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vin\Dropbox\Fantasy Work\NFL 2024\Offseason\"/>
    </mc:Choice>
  </mc:AlternateContent>
  <xr:revisionPtr revIDLastSave="0" documentId="13_ncr:1_{ADFE351D-9C3C-48D6-A592-B117EE1B65D8}" xr6:coauthVersionLast="47" xr6:coauthVersionMax="47" xr10:uidLastSave="{00000000-0000-0000-0000-000000000000}"/>
  <bookViews>
    <workbookView xWindow="-120" yWindow="-120" windowWidth="51840" windowHeight="21840" tabRatio="934" xr2:uid="{00000000-000D-0000-FFFF-FFFF00000000}"/>
  </bookViews>
  <sheets>
    <sheet name="Instructions" sheetId="43" r:id="rId1"/>
    <sheet name="Settings" sheetId="38" r:id="rId2"/>
    <sheet name="POS Ranks" sheetId="44" r:id="rId3"/>
    <sheet name="OVR &amp; VORP Ranks" sheetId="48" r:id="rId4"/>
    <sheet name="Ranks w Proj" sheetId="54" r:id="rId5"/>
    <sheet name="Jake's Ranks" sheetId="55" r:id="rId6"/>
    <sheet name="ARI" sheetId="32" r:id="rId7"/>
    <sheet name="ATL" sheetId="4" r:id="rId8"/>
    <sheet name="BAL" sheetId="5" r:id="rId9"/>
    <sheet name="BUF" sheetId="6" r:id="rId10"/>
    <sheet name="CAR" sheetId="1" r:id="rId11"/>
    <sheet name="CHI" sheetId="7" r:id="rId12"/>
    <sheet name="CIN" sheetId="8" r:id="rId13"/>
    <sheet name="CLE" sheetId="9" r:id="rId14"/>
    <sheet name="DAL" sheetId="10" r:id="rId15"/>
    <sheet name="DEN" sheetId="11" r:id="rId16"/>
    <sheet name="DET" sheetId="12" r:id="rId17"/>
    <sheet name="GB" sheetId="13" r:id="rId18"/>
    <sheet name="HOU" sheetId="14" r:id="rId19"/>
    <sheet name="IND" sheetId="15" r:id="rId20"/>
    <sheet name="JAX" sheetId="16" r:id="rId21"/>
    <sheet name="KC" sheetId="17" r:id="rId22"/>
    <sheet name="LV" sheetId="25" r:id="rId23"/>
    <sheet name="LAC" sheetId="3" r:id="rId24"/>
    <sheet name="LAR" sheetId="18" r:id="rId25"/>
    <sheet name="MIA" sheetId="19" r:id="rId26"/>
    <sheet name="MIN" sheetId="20" r:id="rId27"/>
    <sheet name="NE" sheetId="21" r:id="rId28"/>
    <sheet name="NO" sheetId="22" r:id="rId29"/>
    <sheet name="NYG" sheetId="23" r:id="rId30"/>
    <sheet name="NYJ" sheetId="24" r:id="rId31"/>
    <sheet name="PHI" sheetId="26" r:id="rId32"/>
    <sheet name="PIT" sheetId="27" r:id="rId33"/>
    <sheet name="SF" sheetId="2" r:id="rId34"/>
    <sheet name="SEA" sheetId="28" r:id="rId35"/>
    <sheet name="TB" sheetId="29" r:id="rId36"/>
    <sheet name="TEN" sheetId="30" r:id="rId37"/>
    <sheet name="WSH" sheetId="31" r:id="rId38"/>
    <sheet name="DST" sheetId="37" r:id="rId39"/>
    <sheet name="Calculated Points" sheetId="47" state="hidden" r:id="rId40"/>
    <sheet name="Rankings" sheetId="56" state="hidden" r:id="rId41"/>
    <sheet name="QB" sheetId="33" state="hidden" r:id="rId42"/>
    <sheet name="RB" sheetId="36" state="hidden" r:id="rId43"/>
    <sheet name="WR" sheetId="35" state="hidden" r:id="rId44"/>
    <sheet name="TE" sheetId="34" state="hidden" r:id="rId45"/>
    <sheet name="DST1" sheetId="46" state="hidden" r:id="rId46"/>
  </sheets>
  <externalReferences>
    <externalReference r:id="rId47"/>
  </externalReferences>
  <definedNames>
    <definedName name="COMPLETIONS" localSheetId="39">[1]Settings!$B$3</definedName>
    <definedName name="COMPLETIONS" localSheetId="3">[1]Settings!$B$3</definedName>
    <definedName name="COMPLETIONS">Settings!$B$3</definedName>
    <definedName name="DEF_0_PTS_ALLOW">Settings!$B$22</definedName>
    <definedName name="DEF_1_6_PTS_ALLOW">Settings!$B$23</definedName>
    <definedName name="DEF_14_21_PTS_ALLOW">Settings!$B$25</definedName>
    <definedName name="DEF_22_27_PTS_ALLOW">Settings!$B$26</definedName>
    <definedName name="DEF_28_35_PTS_ALLOW">Settings!$B$27</definedName>
    <definedName name="DEF_35__PTS_ALLOW">Settings!$B$28</definedName>
    <definedName name="DEF_7_13_PTS_ALLOW">Settings!$B$24</definedName>
    <definedName name="DEF_FORCE_FUMBLE">Settings!$B$18</definedName>
    <definedName name="DEF_INT">Settings!$B$17</definedName>
    <definedName name="DEF_RECOVER_FUMBLE">Settings!$B$19</definedName>
    <definedName name="DEF_SACKS">Settings!$B$16</definedName>
    <definedName name="DEF_SAFETIES">Settings!$B$20</definedName>
    <definedName name="DEF_TOUCHDOWN">Settings!$B$21</definedName>
    <definedName name="DEF_YD_ALLOW_PER">Settings!#REF!</definedName>
    <definedName name="FLEXVORPCalc">'OVR &amp; VORP Ranks'!$AD$6</definedName>
    <definedName name="INTERCEPTIONS" localSheetId="39">[1]Settings!$B$6</definedName>
    <definedName name="INTERCEPTIONS" localSheetId="3">[1]Settings!$B$6</definedName>
    <definedName name="INTERCEPTIONS">Settings!$B$6</definedName>
    <definedName name="PASS_ATTEMPTS" localSheetId="39">[1]Settings!$B$2</definedName>
    <definedName name="PASS_ATTEMPTS" localSheetId="3">[1]Settings!$B$2</definedName>
    <definedName name="PASS_ATTEMPTS">Settings!$B$2</definedName>
    <definedName name="PASS_TDS" localSheetId="39">[1]Settings!$B$5</definedName>
    <definedName name="PASS_TDS" localSheetId="3">[1]Settings!$B$5</definedName>
    <definedName name="PASS_TDS">Settings!$B$5</definedName>
    <definedName name="PASS_YARDS" localSheetId="39">[1]Settings!$B$4</definedName>
    <definedName name="PASS_YARDS" localSheetId="3">[1]Settings!$B$4</definedName>
    <definedName name="PASS_YARDS">Settings!$B$4</definedName>
    <definedName name="QBVORPCalc">'OVR &amp; VORP Ranks'!$AD$2</definedName>
    <definedName name="RBVORPCalc">'OVR &amp; VORP Ranks'!$AD$3</definedName>
    <definedName name="RECEPTIONS_RB" localSheetId="39">[1]Settings!$B$11</definedName>
    <definedName name="RECEPTIONS_RB" localSheetId="3">[1]Settings!$B$11</definedName>
    <definedName name="RECEPTIONS_RB">Settings!$B$11</definedName>
    <definedName name="RECEPTIONS_TE" localSheetId="39">[1]Settings!$B$13</definedName>
    <definedName name="RECEPTIONS_TE" localSheetId="3">[1]Settings!$B$13</definedName>
    <definedName name="RECEPTIONS_TE">Settings!$B$13</definedName>
    <definedName name="RECEPTIONS_WR" localSheetId="39">[1]Settings!$B$12</definedName>
    <definedName name="RECEPTIONS_WR" localSheetId="3">[1]Settings!$B$12</definedName>
    <definedName name="RECEPTIONS_WR">Settings!$B$12</definedName>
    <definedName name="RECV_TDS" localSheetId="39">[1]Settings!$B$15</definedName>
    <definedName name="RECV_TDS" localSheetId="3">[1]Settings!$B$15</definedName>
    <definedName name="RECV_TDS">Settings!$B$15</definedName>
    <definedName name="RECV_YARDS" localSheetId="39">[1]Settings!$B$14</definedName>
    <definedName name="RECV_YARDS" localSheetId="3">[1]Settings!$B$14</definedName>
    <definedName name="RECV_YARDS">Settings!$B$14</definedName>
    <definedName name="RUSH_ATTEMPTS" localSheetId="39">[1]Settings!$B$7</definedName>
    <definedName name="RUSH_ATTEMPTS" localSheetId="3">[1]Settings!$B$7</definedName>
    <definedName name="RUSH_ATTEMPTS">Settings!$B$7</definedName>
    <definedName name="RUSH_TDS" localSheetId="39">[1]Settings!$B$9</definedName>
    <definedName name="RUSH_TDS" localSheetId="3">[1]Settings!$B$9</definedName>
    <definedName name="RUSH_TDS">Settings!$B$9</definedName>
    <definedName name="RUSH_YARDS" localSheetId="39">[1]Settings!$B$8</definedName>
    <definedName name="RUSH_YARDS" localSheetId="3">[1]Settings!$B$8</definedName>
    <definedName name="RUSH_YARDS">Settings!$B$8</definedName>
    <definedName name="SFLEXVORPCalc">'OVR &amp; VORP Ranks'!$AD$7</definedName>
    <definedName name="STARTING_DST">Settings!$E$7</definedName>
    <definedName name="STARTING_FLEX">Settings!$E$9</definedName>
    <definedName name="STARTING_QB">Settings!$E$3</definedName>
    <definedName name="STARTING_RB">Settings!$E$4</definedName>
    <definedName name="STARTING_SUPERFLEX">Settings!$E$8</definedName>
    <definedName name="STARTING_TE">Settings!$E$6</definedName>
    <definedName name="STARTING_WR">Settings!$E$5</definedName>
    <definedName name="TARGETS" localSheetId="39">[1]Settings!$B$10</definedName>
    <definedName name="TARGETS" localSheetId="3">[1]Settings!$B$10</definedName>
    <definedName name="TARGETS">Settings!$B$10</definedName>
    <definedName name="TEAMS">Settings!$E$2</definedName>
    <definedName name="TEVORPCalc">'OVR &amp; VORP Ranks'!$AD$5</definedName>
    <definedName name="WRTEVORPCalc">'OVR &amp; VORP Ranks'!$AD$8</definedName>
    <definedName name="WRVORPCalc">'OVR &amp; VORP Ranks'!$AD$4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0" i="11" l="1"/>
  <c r="AA10" i="11"/>
  <c r="W10" i="11"/>
  <c r="AC9" i="11"/>
  <c r="AA9" i="11"/>
  <c r="W9" i="11"/>
  <c r="AC8" i="11"/>
  <c r="AA8" i="11"/>
  <c r="W8" i="11"/>
  <c r="W19" i="26"/>
  <c r="W18" i="26"/>
  <c r="W17" i="26"/>
  <c r="W16" i="26"/>
  <c r="W10" i="10"/>
  <c r="W8" i="10"/>
  <c r="W9" i="10"/>
  <c r="W10" i="2"/>
  <c r="W9" i="2"/>
  <c r="W8" i="2"/>
  <c r="W7" i="2"/>
  <c r="W19" i="23"/>
  <c r="W18" i="23"/>
  <c r="W17" i="23"/>
  <c r="I17" i="23" s="1"/>
  <c r="W10" i="32"/>
  <c r="W9" i="32"/>
  <c r="W8" i="32"/>
  <c r="W10" i="3"/>
  <c r="W9" i="3"/>
  <c r="AG28" i="32"/>
  <c r="AC17" i="6"/>
  <c r="AC17" i="2"/>
  <c r="AC16" i="30"/>
  <c r="AC19" i="30"/>
  <c r="AC16" i="16"/>
  <c r="AA8" i="4"/>
  <c r="AA22" i="4"/>
  <c r="AA13" i="4"/>
  <c r="C3" i="4"/>
  <c r="C4" i="4"/>
  <c r="C6" i="4"/>
  <c r="C7" i="4"/>
  <c r="C8" i="4"/>
  <c r="C9" i="4"/>
  <c r="C10" i="4"/>
  <c r="C11" i="4"/>
  <c r="C13" i="4"/>
  <c r="C14" i="4"/>
  <c r="C15" i="4"/>
  <c r="C16" i="4"/>
  <c r="C17" i="4"/>
  <c r="C18" i="4"/>
  <c r="C19" i="4"/>
  <c r="C20" i="4"/>
  <c r="C22" i="4"/>
  <c r="C23" i="4"/>
  <c r="C24" i="4"/>
  <c r="C25" i="4"/>
  <c r="C3" i="5"/>
  <c r="C4" i="5"/>
  <c r="C6" i="5"/>
  <c r="C7" i="5"/>
  <c r="C8" i="5"/>
  <c r="C9" i="5"/>
  <c r="C10" i="5"/>
  <c r="C11" i="5"/>
  <c r="C13" i="5"/>
  <c r="C14" i="5"/>
  <c r="C15" i="5"/>
  <c r="C16" i="5"/>
  <c r="C17" i="5"/>
  <c r="C18" i="5"/>
  <c r="C19" i="5"/>
  <c r="C20" i="5"/>
  <c r="C22" i="5"/>
  <c r="C23" i="5"/>
  <c r="C24" i="5"/>
  <c r="C25" i="5"/>
  <c r="C3" i="6"/>
  <c r="C4" i="6"/>
  <c r="C6" i="6"/>
  <c r="C7" i="6"/>
  <c r="C8" i="6"/>
  <c r="C9" i="6"/>
  <c r="C10" i="6"/>
  <c r="C11" i="6"/>
  <c r="C13" i="6"/>
  <c r="C14" i="6"/>
  <c r="C15" i="6"/>
  <c r="C16" i="6"/>
  <c r="C17" i="6"/>
  <c r="C18" i="6"/>
  <c r="C19" i="6"/>
  <c r="C20" i="6"/>
  <c r="C22" i="6"/>
  <c r="C23" i="6"/>
  <c r="C24" i="6"/>
  <c r="C25" i="6"/>
  <c r="C3" i="1"/>
  <c r="C4" i="1"/>
  <c r="C6" i="1"/>
  <c r="C7" i="1"/>
  <c r="C8" i="1"/>
  <c r="C9" i="1"/>
  <c r="C10" i="1"/>
  <c r="C11" i="1"/>
  <c r="C13" i="1"/>
  <c r="C14" i="1"/>
  <c r="C15" i="1"/>
  <c r="C16" i="1"/>
  <c r="C17" i="1"/>
  <c r="C18" i="1"/>
  <c r="C19" i="1"/>
  <c r="C20" i="1"/>
  <c r="C22" i="1"/>
  <c r="C23" i="1"/>
  <c r="C24" i="1"/>
  <c r="C25" i="1"/>
  <c r="C3" i="7"/>
  <c r="C4" i="7"/>
  <c r="C6" i="7"/>
  <c r="C7" i="7"/>
  <c r="C8" i="7"/>
  <c r="C9" i="7"/>
  <c r="C10" i="7"/>
  <c r="C11" i="7"/>
  <c r="C13" i="7"/>
  <c r="C14" i="7"/>
  <c r="C15" i="7"/>
  <c r="C16" i="7"/>
  <c r="C17" i="7"/>
  <c r="C18" i="7"/>
  <c r="C19" i="7"/>
  <c r="C20" i="7"/>
  <c r="C22" i="7"/>
  <c r="C23" i="7"/>
  <c r="C24" i="7"/>
  <c r="C25" i="7"/>
  <c r="C3" i="8"/>
  <c r="C4" i="8"/>
  <c r="C6" i="8"/>
  <c r="C7" i="8"/>
  <c r="C8" i="8"/>
  <c r="C9" i="8"/>
  <c r="C10" i="8"/>
  <c r="C11" i="8"/>
  <c r="C13" i="8"/>
  <c r="C14" i="8"/>
  <c r="C15" i="8"/>
  <c r="C16" i="8"/>
  <c r="C17" i="8"/>
  <c r="C18" i="8"/>
  <c r="C19" i="8"/>
  <c r="C20" i="8"/>
  <c r="C22" i="8"/>
  <c r="C23" i="8"/>
  <c r="C24" i="8"/>
  <c r="C25" i="8"/>
  <c r="C3" i="9"/>
  <c r="C4" i="9"/>
  <c r="C6" i="9"/>
  <c r="C7" i="9"/>
  <c r="C8" i="9"/>
  <c r="C9" i="9"/>
  <c r="C10" i="9"/>
  <c r="C11" i="9"/>
  <c r="C13" i="9"/>
  <c r="C14" i="9"/>
  <c r="C15" i="9"/>
  <c r="C16" i="9"/>
  <c r="C17" i="9"/>
  <c r="C18" i="9"/>
  <c r="C19" i="9"/>
  <c r="C20" i="9"/>
  <c r="C22" i="9"/>
  <c r="C23" i="9"/>
  <c r="C24" i="9"/>
  <c r="C25" i="9"/>
  <c r="C3" i="10"/>
  <c r="C4" i="10"/>
  <c r="C6" i="10"/>
  <c r="C7" i="10"/>
  <c r="C9" i="10"/>
  <c r="C8" i="10"/>
  <c r="C10" i="10"/>
  <c r="C11" i="10"/>
  <c r="C13" i="10"/>
  <c r="C14" i="10"/>
  <c r="C15" i="10"/>
  <c r="C16" i="10"/>
  <c r="C17" i="10"/>
  <c r="C18" i="10"/>
  <c r="C19" i="10"/>
  <c r="C20" i="10"/>
  <c r="C22" i="10"/>
  <c r="C23" i="10"/>
  <c r="C24" i="10"/>
  <c r="C25" i="10"/>
  <c r="C3" i="11"/>
  <c r="C4" i="11"/>
  <c r="C6" i="11"/>
  <c r="C7" i="11"/>
  <c r="C8" i="11"/>
  <c r="C9" i="11"/>
  <c r="C10" i="11"/>
  <c r="C11" i="11"/>
  <c r="C13" i="11"/>
  <c r="C16" i="11"/>
  <c r="C14" i="11"/>
  <c r="C17" i="11"/>
  <c r="C15" i="11"/>
  <c r="C18" i="11"/>
  <c r="C19" i="11"/>
  <c r="C20" i="11"/>
  <c r="C22" i="11"/>
  <c r="C23" i="11"/>
  <c r="C24" i="11"/>
  <c r="C25" i="11"/>
  <c r="C3" i="12"/>
  <c r="C4" i="12"/>
  <c r="C6" i="12"/>
  <c r="C7" i="12"/>
  <c r="C8" i="12"/>
  <c r="C9" i="12"/>
  <c r="C10" i="12"/>
  <c r="C11" i="12"/>
  <c r="C13" i="12"/>
  <c r="C14" i="12"/>
  <c r="C15" i="12"/>
  <c r="C16" i="12"/>
  <c r="C17" i="12"/>
  <c r="C18" i="12"/>
  <c r="C19" i="12"/>
  <c r="C20" i="12"/>
  <c r="C22" i="12"/>
  <c r="C23" i="12"/>
  <c r="C24" i="12"/>
  <c r="C25" i="12"/>
  <c r="C3" i="13"/>
  <c r="C4" i="13"/>
  <c r="C6" i="13"/>
  <c r="C7" i="13"/>
  <c r="C8" i="13"/>
  <c r="C9" i="13"/>
  <c r="C10" i="13"/>
  <c r="C11" i="13"/>
  <c r="C13" i="13"/>
  <c r="C15" i="13"/>
  <c r="C14" i="13"/>
  <c r="C16" i="13"/>
  <c r="C17" i="13"/>
  <c r="C18" i="13"/>
  <c r="C19" i="13"/>
  <c r="C20" i="13"/>
  <c r="C22" i="13"/>
  <c r="C23" i="13"/>
  <c r="C24" i="13"/>
  <c r="C25" i="13"/>
  <c r="C3" i="14"/>
  <c r="C4" i="14"/>
  <c r="C6" i="14"/>
  <c r="C7" i="14"/>
  <c r="C8" i="14"/>
  <c r="C9" i="14"/>
  <c r="C10" i="14"/>
  <c r="C11" i="14"/>
  <c r="C13" i="14"/>
  <c r="C14" i="14"/>
  <c r="C15" i="14"/>
  <c r="C16" i="14"/>
  <c r="C17" i="14"/>
  <c r="C18" i="14"/>
  <c r="C19" i="14"/>
  <c r="C20" i="14"/>
  <c r="C22" i="14"/>
  <c r="C23" i="14"/>
  <c r="C24" i="14"/>
  <c r="C25" i="14"/>
  <c r="C3" i="15"/>
  <c r="C4" i="15"/>
  <c r="C6" i="15"/>
  <c r="C7" i="15"/>
  <c r="C8" i="15"/>
  <c r="C9" i="15"/>
  <c r="C10" i="15"/>
  <c r="C11" i="15"/>
  <c r="C13" i="15"/>
  <c r="C14" i="15"/>
  <c r="C15" i="15"/>
  <c r="C16" i="15"/>
  <c r="C17" i="15"/>
  <c r="C18" i="15"/>
  <c r="C19" i="15"/>
  <c r="C20" i="15"/>
  <c r="C22" i="15"/>
  <c r="C23" i="15"/>
  <c r="C24" i="15"/>
  <c r="C25" i="15"/>
  <c r="C3" i="16"/>
  <c r="C4" i="16"/>
  <c r="C6" i="16"/>
  <c r="C7" i="16"/>
  <c r="C8" i="16"/>
  <c r="C9" i="16"/>
  <c r="C10" i="16"/>
  <c r="C11" i="16"/>
  <c r="C13" i="16"/>
  <c r="C14" i="16"/>
  <c r="C15" i="16"/>
  <c r="C16" i="16"/>
  <c r="C17" i="16"/>
  <c r="C18" i="16"/>
  <c r="C19" i="16"/>
  <c r="C20" i="16"/>
  <c r="C22" i="16"/>
  <c r="C23" i="16"/>
  <c r="C24" i="16"/>
  <c r="C25" i="16"/>
  <c r="C3" i="17"/>
  <c r="C4" i="17"/>
  <c r="C6" i="17"/>
  <c r="C7" i="17"/>
  <c r="C8" i="17"/>
  <c r="C9" i="17"/>
  <c r="C10" i="17"/>
  <c r="C11" i="17"/>
  <c r="C13" i="17"/>
  <c r="C14" i="17"/>
  <c r="C15" i="17"/>
  <c r="C16" i="17"/>
  <c r="C17" i="17"/>
  <c r="C18" i="17"/>
  <c r="C19" i="17"/>
  <c r="C20" i="17"/>
  <c r="C22" i="17"/>
  <c r="C23" i="17"/>
  <c r="C24" i="17"/>
  <c r="C25" i="17"/>
  <c r="C3" i="25"/>
  <c r="C4" i="25"/>
  <c r="C6" i="25"/>
  <c r="C7" i="25"/>
  <c r="C8" i="25"/>
  <c r="C9" i="25"/>
  <c r="C10" i="25"/>
  <c r="C11" i="25"/>
  <c r="C13" i="25"/>
  <c r="C14" i="25"/>
  <c r="C15" i="25"/>
  <c r="C16" i="25"/>
  <c r="C17" i="25"/>
  <c r="C18" i="25"/>
  <c r="C19" i="25"/>
  <c r="C20" i="25"/>
  <c r="C22" i="25"/>
  <c r="C23" i="25"/>
  <c r="C24" i="25"/>
  <c r="C25" i="25"/>
  <c r="C3" i="3"/>
  <c r="C4" i="3"/>
  <c r="C6" i="3"/>
  <c r="C7" i="3"/>
  <c r="C8" i="3"/>
  <c r="C9" i="3"/>
  <c r="C10" i="3"/>
  <c r="C11" i="3"/>
  <c r="C14" i="3"/>
  <c r="C13" i="3"/>
  <c r="C17" i="3"/>
  <c r="C18" i="3"/>
  <c r="C16" i="3"/>
  <c r="C15" i="3"/>
  <c r="C19" i="3"/>
  <c r="C20" i="3"/>
  <c r="C22" i="3"/>
  <c r="C23" i="3"/>
  <c r="C24" i="3"/>
  <c r="C25" i="3"/>
  <c r="C3" i="18"/>
  <c r="C4" i="18"/>
  <c r="C6" i="18"/>
  <c r="C7" i="18"/>
  <c r="C8" i="18"/>
  <c r="C9" i="18"/>
  <c r="C10" i="18"/>
  <c r="C11" i="18"/>
  <c r="C13" i="18"/>
  <c r="C14" i="18"/>
  <c r="C15" i="18"/>
  <c r="C17" i="18"/>
  <c r="C16" i="18"/>
  <c r="C18" i="18"/>
  <c r="C19" i="18"/>
  <c r="C20" i="18"/>
  <c r="C22" i="18"/>
  <c r="C23" i="18"/>
  <c r="C24" i="18"/>
  <c r="C25" i="18"/>
  <c r="C3" i="19"/>
  <c r="C4" i="19"/>
  <c r="C6" i="19"/>
  <c r="C7" i="19"/>
  <c r="C8" i="19"/>
  <c r="C9" i="19"/>
  <c r="C10" i="19"/>
  <c r="C11" i="19"/>
  <c r="C13" i="19"/>
  <c r="C14" i="19"/>
  <c r="C15" i="19"/>
  <c r="C16" i="19"/>
  <c r="C17" i="19"/>
  <c r="C18" i="19"/>
  <c r="C19" i="19"/>
  <c r="C20" i="19"/>
  <c r="C22" i="19"/>
  <c r="C23" i="19"/>
  <c r="C24" i="19"/>
  <c r="C25" i="19"/>
  <c r="C3" i="20"/>
  <c r="C4" i="20"/>
  <c r="C6" i="20"/>
  <c r="C7" i="20"/>
  <c r="C8" i="20"/>
  <c r="C9" i="20"/>
  <c r="C10" i="20"/>
  <c r="C11" i="20"/>
  <c r="C13" i="20"/>
  <c r="C14" i="20"/>
  <c r="C15" i="20"/>
  <c r="C16" i="20"/>
  <c r="C17" i="20"/>
  <c r="C18" i="20"/>
  <c r="C19" i="20"/>
  <c r="C20" i="20"/>
  <c r="C22" i="20"/>
  <c r="C23" i="20"/>
  <c r="C24" i="20"/>
  <c r="C25" i="20"/>
  <c r="C3" i="21"/>
  <c r="C4" i="21"/>
  <c r="C6" i="21"/>
  <c r="C7" i="21"/>
  <c r="C8" i="21"/>
  <c r="C9" i="21"/>
  <c r="C10" i="21"/>
  <c r="C11" i="21"/>
  <c r="C13" i="21"/>
  <c r="C14" i="21"/>
  <c r="C15" i="21"/>
  <c r="C16" i="21"/>
  <c r="C17" i="21"/>
  <c r="C18" i="21"/>
  <c r="C19" i="21"/>
  <c r="C20" i="21"/>
  <c r="C22" i="21"/>
  <c r="C23" i="21"/>
  <c r="C24" i="21"/>
  <c r="C25" i="21"/>
  <c r="C3" i="22"/>
  <c r="C4" i="22"/>
  <c r="C6" i="22"/>
  <c r="C7" i="22"/>
  <c r="C8" i="22"/>
  <c r="C9" i="22"/>
  <c r="C10" i="22"/>
  <c r="C11" i="22"/>
  <c r="C13" i="22"/>
  <c r="C14" i="22"/>
  <c r="C15" i="22"/>
  <c r="C16" i="22"/>
  <c r="C17" i="22"/>
  <c r="C18" i="22"/>
  <c r="C19" i="22"/>
  <c r="C20" i="22"/>
  <c r="C22" i="22"/>
  <c r="C23" i="22"/>
  <c r="C24" i="22"/>
  <c r="C25" i="22"/>
  <c r="C3" i="23"/>
  <c r="C4" i="23"/>
  <c r="C6" i="23"/>
  <c r="C7" i="23"/>
  <c r="C8" i="23"/>
  <c r="C9" i="23"/>
  <c r="C10" i="23"/>
  <c r="C11" i="23"/>
  <c r="C13" i="23"/>
  <c r="C14" i="23"/>
  <c r="C15" i="23"/>
  <c r="C16" i="23"/>
  <c r="C17" i="23"/>
  <c r="C18" i="23"/>
  <c r="C19" i="23"/>
  <c r="C20" i="23"/>
  <c r="C22" i="23"/>
  <c r="C23" i="23"/>
  <c r="C24" i="23"/>
  <c r="C25" i="23"/>
  <c r="C3" i="24"/>
  <c r="C4" i="24"/>
  <c r="C6" i="24"/>
  <c r="C7" i="24"/>
  <c r="C8" i="24"/>
  <c r="C9" i="24"/>
  <c r="C10" i="24"/>
  <c r="C11" i="24"/>
  <c r="C13" i="24"/>
  <c r="C14" i="24"/>
  <c r="C15" i="24"/>
  <c r="C16" i="24"/>
  <c r="C17" i="24"/>
  <c r="C18" i="24"/>
  <c r="C19" i="24"/>
  <c r="C20" i="24"/>
  <c r="C22" i="24"/>
  <c r="C23" i="24"/>
  <c r="C24" i="24"/>
  <c r="C25" i="24"/>
  <c r="C3" i="26"/>
  <c r="C4" i="26"/>
  <c r="C6" i="26"/>
  <c r="C7" i="26"/>
  <c r="C8" i="26"/>
  <c r="C9" i="26"/>
  <c r="C10" i="26"/>
  <c r="C11" i="26"/>
  <c r="C13" i="26"/>
  <c r="C14" i="26"/>
  <c r="C18" i="26"/>
  <c r="C16" i="26"/>
  <c r="C15" i="26"/>
  <c r="C17" i="26"/>
  <c r="C19" i="26"/>
  <c r="C20" i="26"/>
  <c r="C22" i="26"/>
  <c r="C23" i="26"/>
  <c r="C24" i="26"/>
  <c r="C25" i="26"/>
  <c r="C3" i="27"/>
  <c r="C4" i="27"/>
  <c r="C6" i="27"/>
  <c r="C7" i="27"/>
  <c r="C8" i="27"/>
  <c r="C9" i="27"/>
  <c r="C10" i="27"/>
  <c r="C11" i="27"/>
  <c r="C13" i="27"/>
  <c r="C14" i="27"/>
  <c r="C15" i="27"/>
  <c r="C16" i="27"/>
  <c r="C17" i="27"/>
  <c r="C18" i="27"/>
  <c r="C19" i="27"/>
  <c r="C20" i="27"/>
  <c r="C22" i="27"/>
  <c r="C23" i="27"/>
  <c r="C24" i="27"/>
  <c r="C25" i="27"/>
  <c r="C3" i="2"/>
  <c r="C4" i="2"/>
  <c r="C6" i="2"/>
  <c r="C7" i="2"/>
  <c r="C8" i="2"/>
  <c r="C9" i="2"/>
  <c r="C10" i="2"/>
  <c r="C11" i="2"/>
  <c r="C13" i="2"/>
  <c r="C14" i="2"/>
  <c r="C15" i="2"/>
  <c r="C16" i="2"/>
  <c r="C17" i="2"/>
  <c r="C18" i="2"/>
  <c r="C19" i="2"/>
  <c r="C20" i="2"/>
  <c r="C22" i="2"/>
  <c r="C23" i="2"/>
  <c r="C24" i="2"/>
  <c r="C25" i="2"/>
  <c r="C3" i="28"/>
  <c r="C4" i="28"/>
  <c r="C6" i="28"/>
  <c r="C7" i="28"/>
  <c r="C8" i="28"/>
  <c r="C9" i="28"/>
  <c r="C10" i="28"/>
  <c r="C11" i="28"/>
  <c r="C13" i="28"/>
  <c r="C14" i="28"/>
  <c r="C15" i="28"/>
  <c r="C16" i="28"/>
  <c r="C17" i="28"/>
  <c r="C18" i="28"/>
  <c r="C19" i="28"/>
  <c r="C20" i="28"/>
  <c r="C22" i="28"/>
  <c r="C23" i="28"/>
  <c r="C24" i="28"/>
  <c r="C25" i="28"/>
  <c r="C3" i="29"/>
  <c r="C4" i="29"/>
  <c r="C6" i="29"/>
  <c r="C7" i="29"/>
  <c r="C8" i="29"/>
  <c r="C9" i="29"/>
  <c r="C10" i="29"/>
  <c r="C11" i="29"/>
  <c r="C13" i="29"/>
  <c r="C14" i="29"/>
  <c r="C15" i="29"/>
  <c r="C16" i="29"/>
  <c r="C17" i="29"/>
  <c r="C18" i="29"/>
  <c r="C19" i="29"/>
  <c r="C20" i="29"/>
  <c r="C22" i="29"/>
  <c r="C23" i="29"/>
  <c r="C24" i="29"/>
  <c r="C25" i="29"/>
  <c r="C3" i="30"/>
  <c r="C4" i="30"/>
  <c r="C6" i="30"/>
  <c r="C7" i="30"/>
  <c r="C8" i="30"/>
  <c r="C9" i="30"/>
  <c r="C10" i="30"/>
  <c r="C11" i="30"/>
  <c r="C13" i="30"/>
  <c r="C14" i="30"/>
  <c r="C15" i="30"/>
  <c r="C16" i="30"/>
  <c r="C17" i="30"/>
  <c r="C18" i="30"/>
  <c r="C19" i="30"/>
  <c r="C20" i="30"/>
  <c r="C22" i="30"/>
  <c r="C23" i="30"/>
  <c r="C24" i="30"/>
  <c r="C25" i="30"/>
  <c r="C3" i="31"/>
  <c r="C4" i="31"/>
  <c r="C6" i="31"/>
  <c r="C7" i="31"/>
  <c r="C8" i="31"/>
  <c r="C9" i="31"/>
  <c r="C10" i="31"/>
  <c r="C11" i="31"/>
  <c r="C13" i="31"/>
  <c r="C14" i="31"/>
  <c r="C15" i="31"/>
  <c r="C16" i="31"/>
  <c r="C17" i="31"/>
  <c r="C18" i="31"/>
  <c r="C19" i="31"/>
  <c r="C20" i="31"/>
  <c r="C22" i="31"/>
  <c r="C23" i="31"/>
  <c r="C24" i="31"/>
  <c r="C25" i="31"/>
  <c r="C3" i="32"/>
  <c r="C4" i="32"/>
  <c r="C6" i="32"/>
  <c r="C7" i="32"/>
  <c r="C8" i="32"/>
  <c r="C9" i="32"/>
  <c r="C10" i="32"/>
  <c r="C11" i="32"/>
  <c r="C13" i="32"/>
  <c r="C14" i="32"/>
  <c r="C15" i="32"/>
  <c r="C16" i="32"/>
  <c r="C17" i="32"/>
  <c r="C18" i="32"/>
  <c r="C19" i="32"/>
  <c r="C20" i="32"/>
  <c r="C22" i="32"/>
  <c r="C23" i="32"/>
  <c r="C24" i="32"/>
  <c r="C25" i="32"/>
  <c r="C2" i="4"/>
  <c r="C2" i="5"/>
  <c r="C2" i="6"/>
  <c r="C2" i="1"/>
  <c r="C2" i="7"/>
  <c r="C2" i="8"/>
  <c r="C2" i="9"/>
  <c r="C2" i="10"/>
  <c r="C2" i="11"/>
  <c r="C2" i="12"/>
  <c r="C2" i="13"/>
  <c r="C2" i="14"/>
  <c r="C2" i="15"/>
  <c r="C2" i="16"/>
  <c r="C2" i="17"/>
  <c r="C2" i="25"/>
  <c r="C2" i="3"/>
  <c r="C2" i="18"/>
  <c r="C2" i="19"/>
  <c r="C2" i="20"/>
  <c r="C2" i="21"/>
  <c r="C2" i="22"/>
  <c r="C2" i="23"/>
  <c r="C2" i="24"/>
  <c r="C2" i="26"/>
  <c r="C2" i="27"/>
  <c r="C2" i="2"/>
  <c r="C2" i="28"/>
  <c r="C2" i="29"/>
  <c r="C2" i="30"/>
  <c r="C2" i="31"/>
  <c r="C2" i="32"/>
  <c r="AA19" i="18"/>
  <c r="W19" i="18"/>
  <c r="I19" i="18" s="1"/>
  <c r="K19" i="18" s="1"/>
  <c r="AA18" i="18"/>
  <c r="W18" i="18"/>
  <c r="I18" i="18" s="1"/>
  <c r="J18" i="18" s="1"/>
  <c r="AA16" i="18"/>
  <c r="W16" i="18"/>
  <c r="I16" i="18" s="1"/>
  <c r="AA17" i="18"/>
  <c r="W17" i="18"/>
  <c r="I17" i="18" s="1"/>
  <c r="K17" i="18" s="1"/>
  <c r="W16" i="30"/>
  <c r="AA16" i="30"/>
  <c r="W17" i="30"/>
  <c r="AA17" i="30"/>
  <c r="W18" i="30"/>
  <c r="AA18" i="30"/>
  <c r="W19" i="30"/>
  <c r="AA19" i="30"/>
  <c r="W14" i="23"/>
  <c r="I14" i="23" s="1"/>
  <c r="AA19" i="16"/>
  <c r="W19" i="16"/>
  <c r="AC18" i="16"/>
  <c r="AA18" i="16"/>
  <c r="W18" i="16"/>
  <c r="AC17" i="16"/>
  <c r="AA17" i="16"/>
  <c r="W17" i="16"/>
  <c r="AA16" i="16"/>
  <c r="W16" i="16"/>
  <c r="AC16" i="6"/>
  <c r="AC17" i="7"/>
  <c r="AA8" i="32"/>
  <c r="I8" i="32"/>
  <c r="AA24" i="32"/>
  <c r="AA24" i="31"/>
  <c r="W15" i="15"/>
  <c r="I15" i="15" s="1"/>
  <c r="AA15" i="15"/>
  <c r="W17" i="15"/>
  <c r="I17" i="15" s="1"/>
  <c r="AA17" i="15"/>
  <c r="W16" i="15"/>
  <c r="I16" i="15" s="1"/>
  <c r="AA16" i="15"/>
  <c r="W8" i="1"/>
  <c r="I8" i="1" s="1"/>
  <c r="AA8" i="1"/>
  <c r="W9" i="1"/>
  <c r="I9" i="1" s="1"/>
  <c r="AA9" i="1"/>
  <c r="AA16" i="21"/>
  <c r="W16" i="21"/>
  <c r="I16" i="21" s="1"/>
  <c r="W17" i="3"/>
  <c r="I17" i="3" s="1"/>
  <c r="AA17" i="3"/>
  <c r="W13" i="3"/>
  <c r="I13" i="3" s="1"/>
  <c r="AA13" i="3"/>
  <c r="W18" i="3"/>
  <c r="I18" i="3" s="1"/>
  <c r="AA18" i="3"/>
  <c r="W16" i="3"/>
  <c r="I16" i="3" s="1"/>
  <c r="AA16" i="3"/>
  <c r="W15" i="6"/>
  <c r="I15" i="6" s="1"/>
  <c r="AA15" i="6"/>
  <c r="W16" i="6"/>
  <c r="I16" i="6" s="1"/>
  <c r="AA16" i="6"/>
  <c r="W17" i="6"/>
  <c r="I17" i="6" s="1"/>
  <c r="AA17" i="6"/>
  <c r="W18" i="6"/>
  <c r="I18" i="6" s="1"/>
  <c r="AA18" i="6"/>
  <c r="W15" i="1"/>
  <c r="I15" i="1" s="1"/>
  <c r="AA15" i="1"/>
  <c r="W16" i="1"/>
  <c r="I16" i="1" s="1"/>
  <c r="AA16" i="1"/>
  <c r="W17" i="1"/>
  <c r="I17" i="1" s="1"/>
  <c r="AA17" i="1"/>
  <c r="W18" i="1"/>
  <c r="I18" i="1" s="1"/>
  <c r="AA18" i="1"/>
  <c r="AA13" i="17"/>
  <c r="W13" i="17"/>
  <c r="W16" i="2"/>
  <c r="I16" i="2" s="1"/>
  <c r="AA16" i="2"/>
  <c r="W17" i="2"/>
  <c r="I17" i="2" s="1"/>
  <c r="AA17" i="2"/>
  <c r="W18" i="2"/>
  <c r="I18" i="2" s="1"/>
  <c r="AA18" i="2"/>
  <c r="W14" i="17"/>
  <c r="AA14" i="17"/>
  <c r="W15" i="17"/>
  <c r="AA15" i="17"/>
  <c r="W17" i="17"/>
  <c r="AA17" i="17"/>
  <c r="W16" i="17"/>
  <c r="AA16" i="17"/>
  <c r="W18" i="17"/>
  <c r="AA18" i="17"/>
  <c r="W13" i="16"/>
  <c r="AA13" i="16"/>
  <c r="W15" i="16"/>
  <c r="AA15" i="16"/>
  <c r="AA23" i="25"/>
  <c r="AA24" i="25"/>
  <c r="W4" i="11"/>
  <c r="I4" i="11" s="1"/>
  <c r="Q4" i="11"/>
  <c r="D4" i="11" s="1"/>
  <c r="G4" i="11" s="1"/>
  <c r="Q3" i="20"/>
  <c r="D3" i="20" s="1"/>
  <c r="W3" i="20"/>
  <c r="I3" i="20" s="1"/>
  <c r="Q4" i="20"/>
  <c r="D4" i="20" s="1"/>
  <c r="G4" i="20" s="1"/>
  <c r="W4" i="20"/>
  <c r="I4" i="20" s="1"/>
  <c r="AA14" i="23"/>
  <c r="W15" i="23"/>
  <c r="I15" i="23" s="1"/>
  <c r="AA15" i="23"/>
  <c r="W16" i="23"/>
  <c r="I16" i="23" s="1"/>
  <c r="AA16" i="23"/>
  <c r="AA17" i="23"/>
  <c r="I18" i="23"/>
  <c r="AA18" i="23"/>
  <c r="W14" i="32"/>
  <c r="I14" i="32" s="1"/>
  <c r="AA14" i="32"/>
  <c r="W15" i="32"/>
  <c r="I15" i="32" s="1"/>
  <c r="AA15" i="32"/>
  <c r="W17" i="32"/>
  <c r="I17" i="32" s="1"/>
  <c r="AA17" i="32"/>
  <c r="W18" i="32"/>
  <c r="I18" i="32" s="1"/>
  <c r="AA18" i="32"/>
  <c r="W16" i="7"/>
  <c r="I16" i="7" s="1"/>
  <c r="AA16" i="7"/>
  <c r="W17" i="7"/>
  <c r="I17" i="7" s="1"/>
  <c r="AA17" i="7"/>
  <c r="F29" i="32"/>
  <c r="Q3" i="4"/>
  <c r="Q4" i="4"/>
  <c r="Q3" i="5"/>
  <c r="Q4" i="5"/>
  <c r="Q3" i="6"/>
  <c r="Q4" i="6"/>
  <c r="Q3" i="1"/>
  <c r="Q4" i="1"/>
  <c r="Q3" i="7"/>
  <c r="Q4" i="7"/>
  <c r="Q3" i="8"/>
  <c r="Q4" i="8"/>
  <c r="Q3" i="9"/>
  <c r="Q4" i="9"/>
  <c r="Q3" i="10"/>
  <c r="Q4" i="10"/>
  <c r="Q3" i="11"/>
  <c r="Q3" i="12"/>
  <c r="Q4" i="12"/>
  <c r="Q3" i="13"/>
  <c r="Q4" i="13"/>
  <c r="Q3" i="14"/>
  <c r="Q4" i="14"/>
  <c r="Q3" i="15"/>
  <c r="Q4" i="15"/>
  <c r="Q3" i="16"/>
  <c r="Q4" i="16"/>
  <c r="Q3" i="17"/>
  <c r="Q4" i="17"/>
  <c r="Q3" i="25"/>
  <c r="Q4" i="25"/>
  <c r="Q3" i="3"/>
  <c r="Q4" i="3"/>
  <c r="Q3" i="18"/>
  <c r="Q4" i="18"/>
  <c r="Q3" i="19"/>
  <c r="Q4" i="19"/>
  <c r="Q3" i="21"/>
  <c r="Q4" i="21"/>
  <c r="Q3" i="22"/>
  <c r="Q4" i="22"/>
  <c r="Q3" i="23"/>
  <c r="Q4" i="23"/>
  <c r="Q3" i="24"/>
  <c r="Q4" i="24"/>
  <c r="Q3" i="26"/>
  <c r="Q4" i="26"/>
  <c r="Q3" i="27"/>
  <c r="Q4" i="27"/>
  <c r="Q3" i="2"/>
  <c r="Q4" i="2"/>
  <c r="Q3" i="28"/>
  <c r="Q4" i="28"/>
  <c r="Q3" i="29"/>
  <c r="Q4" i="29"/>
  <c r="Q3" i="30"/>
  <c r="Q4" i="30"/>
  <c r="Q3" i="31"/>
  <c r="Q4" i="31"/>
  <c r="Q3" i="32"/>
  <c r="Q4" i="32"/>
  <c r="Q2" i="4"/>
  <c r="Q2" i="5"/>
  <c r="Q2" i="6"/>
  <c r="Q2" i="1"/>
  <c r="Q2" i="7"/>
  <c r="Q2" i="8"/>
  <c r="Q2" i="9"/>
  <c r="Q2" i="10"/>
  <c r="Q2" i="11"/>
  <c r="Q2" i="12"/>
  <c r="Q2" i="13"/>
  <c r="Q2" i="14"/>
  <c r="Q2" i="15"/>
  <c r="Q2" i="16"/>
  <c r="Q2" i="17"/>
  <c r="Q2" i="25"/>
  <c r="Q2" i="3"/>
  <c r="Q2" i="18"/>
  <c r="Q2" i="19"/>
  <c r="Q2" i="20"/>
  <c r="Q2" i="21"/>
  <c r="Q2" i="22"/>
  <c r="Q2" i="23"/>
  <c r="Q2" i="24"/>
  <c r="Q2" i="26"/>
  <c r="Q2" i="27"/>
  <c r="Q2" i="2"/>
  <c r="Q2" i="28"/>
  <c r="Q2" i="29"/>
  <c r="Q2" i="30"/>
  <c r="Q2" i="31"/>
  <c r="Q2" i="32"/>
  <c r="AC17" i="30" l="1"/>
  <c r="AC18" i="30"/>
  <c r="AC18" i="18"/>
  <c r="AC16" i="18"/>
  <c r="AC17" i="18"/>
  <c r="AC19" i="18"/>
  <c r="AC19" i="16"/>
  <c r="K8" i="32"/>
  <c r="J8" i="1"/>
  <c r="G3" i="20"/>
  <c r="K16" i="18"/>
  <c r="J16" i="18"/>
  <c r="K18" i="18"/>
  <c r="J17" i="18"/>
  <c r="J19" i="18"/>
  <c r="AC24" i="25"/>
  <c r="AC13" i="17"/>
  <c r="AC17" i="17"/>
  <c r="AC8" i="1"/>
  <c r="AC15" i="1"/>
  <c r="AC16" i="3"/>
  <c r="AC9" i="1"/>
  <c r="AC16" i="17"/>
  <c r="AC24" i="31"/>
  <c r="AC16" i="1"/>
  <c r="AC16" i="21"/>
  <c r="AC14" i="17"/>
  <c r="AC17" i="1"/>
  <c r="AC15" i="16"/>
  <c r="AC17" i="32"/>
  <c r="AC16" i="2"/>
  <c r="AC15" i="15"/>
  <c r="AC23" i="25"/>
  <c r="K16" i="21"/>
  <c r="J16" i="2"/>
  <c r="J17" i="3"/>
  <c r="AC13" i="16"/>
  <c r="AC18" i="32"/>
  <c r="AC18" i="3"/>
  <c r="AC16" i="7"/>
  <c r="AC18" i="2"/>
  <c r="AC13" i="3"/>
  <c r="AC18" i="6"/>
  <c r="AC14" i="23"/>
  <c r="AC17" i="3"/>
  <c r="AC15" i="17"/>
  <c r="AC15" i="32"/>
  <c r="AC18" i="17"/>
  <c r="AC15" i="6"/>
  <c r="AC16" i="15"/>
  <c r="AC14" i="32"/>
  <c r="AC18" i="1"/>
  <c r="AC17" i="15"/>
  <c r="AC18" i="23"/>
  <c r="AC17" i="23"/>
  <c r="AC16" i="23"/>
  <c r="AC24" i="32"/>
  <c r="AC15" i="23"/>
  <c r="AC8" i="32"/>
  <c r="E3" i="20"/>
  <c r="H3" i="20" s="1"/>
  <c r="E4" i="20"/>
  <c r="F4" i="20" s="1"/>
  <c r="E4" i="11"/>
  <c r="H4" i="11" s="1"/>
  <c r="J16" i="23"/>
  <c r="K16" i="23"/>
  <c r="J8" i="32"/>
  <c r="K15" i="15"/>
  <c r="J15" i="15"/>
  <c r="K16" i="15"/>
  <c r="J16" i="15"/>
  <c r="K17" i="15"/>
  <c r="J17" i="15"/>
  <c r="J17" i="1"/>
  <c r="K17" i="1"/>
  <c r="J9" i="1"/>
  <c r="K9" i="1"/>
  <c r="K8" i="1"/>
  <c r="J16" i="21"/>
  <c r="J18" i="3"/>
  <c r="K18" i="3"/>
  <c r="J16" i="3"/>
  <c r="K16" i="3"/>
  <c r="J13" i="3"/>
  <c r="K13" i="3"/>
  <c r="K17" i="3"/>
  <c r="J17" i="6"/>
  <c r="K17" i="6"/>
  <c r="J18" i="6"/>
  <c r="K18" i="6"/>
  <c r="K16" i="6"/>
  <c r="J16" i="6"/>
  <c r="J15" i="6"/>
  <c r="K15" i="6"/>
  <c r="J18" i="1"/>
  <c r="K18" i="1"/>
  <c r="J16" i="1"/>
  <c r="K16" i="1"/>
  <c r="J15" i="1"/>
  <c r="K15" i="1"/>
  <c r="K18" i="2"/>
  <c r="J18" i="2"/>
  <c r="J17" i="2"/>
  <c r="K17" i="2"/>
  <c r="K16" i="2"/>
  <c r="J4" i="11"/>
  <c r="K4" i="11"/>
  <c r="K4" i="20"/>
  <c r="J4" i="20"/>
  <c r="J3" i="20"/>
  <c r="K3" i="20"/>
  <c r="J18" i="23"/>
  <c r="K18" i="23"/>
  <c r="J17" i="23"/>
  <c r="K17" i="23"/>
  <c r="J15" i="23"/>
  <c r="K15" i="23"/>
  <c r="J14" i="23"/>
  <c r="K14" i="23"/>
  <c r="K14" i="32"/>
  <c r="J14" i="32"/>
  <c r="J18" i="32"/>
  <c r="K18" i="32"/>
  <c r="J17" i="32"/>
  <c r="K17" i="32"/>
  <c r="J15" i="32"/>
  <c r="K15" i="32"/>
  <c r="J17" i="7"/>
  <c r="K17" i="7"/>
  <c r="J16" i="7"/>
  <c r="K16" i="7"/>
  <c r="D3" i="46"/>
  <c r="AG4" i="47" s="1"/>
  <c r="D4" i="46"/>
  <c r="AG5" i="47" s="1"/>
  <c r="D5" i="46"/>
  <c r="AG6" i="47" s="1"/>
  <c r="D6" i="46"/>
  <c r="AG7" i="47" s="1"/>
  <c r="D7" i="46"/>
  <c r="AG8" i="47" s="1"/>
  <c r="D8" i="46"/>
  <c r="AG9" i="47" s="1"/>
  <c r="D9" i="46"/>
  <c r="AG10" i="47" s="1"/>
  <c r="D10" i="46"/>
  <c r="AG11" i="47" s="1"/>
  <c r="D11" i="46"/>
  <c r="AG12" i="47" s="1"/>
  <c r="D12" i="46"/>
  <c r="AG13" i="47" s="1"/>
  <c r="D13" i="46"/>
  <c r="AG14" i="47" s="1"/>
  <c r="D14" i="46"/>
  <c r="AG15" i="47" s="1"/>
  <c r="D15" i="46"/>
  <c r="AG16" i="47" s="1"/>
  <c r="D16" i="46"/>
  <c r="AG17" i="47" s="1"/>
  <c r="D17" i="46"/>
  <c r="AG18" i="47" s="1"/>
  <c r="D18" i="46"/>
  <c r="AG19" i="47" s="1"/>
  <c r="D19" i="46"/>
  <c r="AG20" i="47" s="1"/>
  <c r="D20" i="46"/>
  <c r="AG21" i="47" s="1"/>
  <c r="D21" i="46"/>
  <c r="AG22" i="47" s="1"/>
  <c r="D22" i="46"/>
  <c r="AG23" i="47" s="1"/>
  <c r="D23" i="46"/>
  <c r="AG24" i="47" s="1"/>
  <c r="D24" i="46"/>
  <c r="AG25" i="47" s="1"/>
  <c r="D25" i="46"/>
  <c r="D26" i="46"/>
  <c r="AG27" i="47" s="1"/>
  <c r="D27" i="46"/>
  <c r="AG28" i="47" s="1"/>
  <c r="D28" i="46"/>
  <c r="D29" i="46"/>
  <c r="AG30" i="47" s="1"/>
  <c r="D30" i="46"/>
  <c r="AG31" i="47" s="1"/>
  <c r="D31" i="46"/>
  <c r="AG32" i="47" s="1"/>
  <c r="D32" i="46"/>
  <c r="AG33" i="47" s="1"/>
  <c r="D33" i="46"/>
  <c r="AG34" i="47" s="1"/>
  <c r="D2" i="46"/>
  <c r="AG3" i="47" s="1"/>
  <c r="AG26" i="47"/>
  <c r="B4" i="33"/>
  <c r="D4" i="33"/>
  <c r="AD6" i="48"/>
  <c r="AD3" i="48" s="1"/>
  <c r="AR2" i="55"/>
  <c r="AR3" i="55"/>
  <c r="AR4" i="55"/>
  <c r="AR5" i="55"/>
  <c r="AR6" i="55"/>
  <c r="AR7" i="55"/>
  <c r="AR8" i="55"/>
  <c r="AR9" i="55"/>
  <c r="AR10" i="55"/>
  <c r="AR11" i="55"/>
  <c r="AR12" i="55"/>
  <c r="AR13" i="55"/>
  <c r="AR14" i="55"/>
  <c r="AR15" i="55"/>
  <c r="AR16" i="55"/>
  <c r="AR17" i="55"/>
  <c r="AR18" i="55"/>
  <c r="AR19" i="55"/>
  <c r="AR20" i="55"/>
  <c r="AR21" i="55"/>
  <c r="AR22" i="55"/>
  <c r="AR23" i="55"/>
  <c r="AR24" i="55"/>
  <c r="AR25" i="55"/>
  <c r="AR26" i="55"/>
  <c r="AR27" i="55"/>
  <c r="AR28" i="55"/>
  <c r="AR29" i="55"/>
  <c r="AR30" i="55"/>
  <c r="AR31" i="55"/>
  <c r="AR32" i="55"/>
  <c r="AR33" i="55"/>
  <c r="AR34" i="55"/>
  <c r="AR35" i="55"/>
  <c r="AR36" i="55"/>
  <c r="AR37" i="55"/>
  <c r="AR38" i="55"/>
  <c r="AR39" i="55"/>
  <c r="AR40" i="55"/>
  <c r="AR41" i="55"/>
  <c r="AR42" i="55"/>
  <c r="AR43" i="55"/>
  <c r="AR44" i="55"/>
  <c r="AR45" i="55"/>
  <c r="AR46" i="55"/>
  <c r="AR47" i="55"/>
  <c r="AR48" i="55"/>
  <c r="AR49" i="55"/>
  <c r="AR50" i="55"/>
  <c r="AR51" i="55"/>
  <c r="AR52" i="55"/>
  <c r="AR53" i="55"/>
  <c r="AR54" i="55"/>
  <c r="AR55" i="55"/>
  <c r="AR56" i="55"/>
  <c r="AR57" i="55"/>
  <c r="AR58" i="55"/>
  <c r="AR59" i="55"/>
  <c r="AR60" i="55"/>
  <c r="AR61" i="55"/>
  <c r="AR62" i="55"/>
  <c r="AR63" i="55"/>
  <c r="AR64" i="55"/>
  <c r="AR65" i="55"/>
  <c r="AR66" i="55"/>
  <c r="AR67" i="55"/>
  <c r="AR68" i="55"/>
  <c r="AR69" i="55"/>
  <c r="AR70" i="55"/>
  <c r="AR71" i="55"/>
  <c r="AR72" i="55"/>
  <c r="AR73" i="55"/>
  <c r="AR74" i="55"/>
  <c r="AR75" i="55"/>
  <c r="AR76" i="55"/>
  <c r="AR77" i="55"/>
  <c r="AR78" i="55"/>
  <c r="AR79" i="55"/>
  <c r="AR80" i="55"/>
  <c r="AR81" i="55"/>
  <c r="AR82" i="55"/>
  <c r="AR83" i="55"/>
  <c r="AR84" i="55"/>
  <c r="AR85" i="55"/>
  <c r="AR86" i="55"/>
  <c r="AR87" i="55"/>
  <c r="AR88" i="55"/>
  <c r="AR89" i="55"/>
  <c r="AR90" i="55"/>
  <c r="AR91" i="55"/>
  <c r="AR92" i="55"/>
  <c r="AR93" i="55"/>
  <c r="AR94" i="55"/>
  <c r="AR95" i="55"/>
  <c r="AR96" i="55"/>
  <c r="AR97" i="55"/>
  <c r="AR98" i="55"/>
  <c r="AR99" i="55"/>
  <c r="AR100" i="55"/>
  <c r="AR101" i="55"/>
  <c r="AE2" i="55"/>
  <c r="AE3" i="55"/>
  <c r="AE4" i="55"/>
  <c r="AE5" i="55"/>
  <c r="AE6" i="55"/>
  <c r="AE7" i="55"/>
  <c r="AE8" i="55"/>
  <c r="AE9" i="55"/>
  <c r="AE10" i="55"/>
  <c r="AE11" i="55"/>
  <c r="AE12" i="55"/>
  <c r="AE13" i="55"/>
  <c r="AE14" i="55"/>
  <c r="AE15" i="55"/>
  <c r="AE16" i="55"/>
  <c r="AE17" i="55"/>
  <c r="AE18" i="55"/>
  <c r="AE19" i="55"/>
  <c r="AE20" i="55"/>
  <c r="AE21" i="55"/>
  <c r="AE22" i="55"/>
  <c r="AE23" i="55"/>
  <c r="AE24" i="55"/>
  <c r="AE25" i="55"/>
  <c r="AE26" i="55"/>
  <c r="AE27" i="55"/>
  <c r="AE28" i="55"/>
  <c r="AE29" i="55"/>
  <c r="AE30" i="55"/>
  <c r="AE31" i="55"/>
  <c r="AE32" i="55"/>
  <c r="AE33" i="55"/>
  <c r="AE34" i="55"/>
  <c r="AE35" i="55"/>
  <c r="AE36" i="55"/>
  <c r="AE37" i="55"/>
  <c r="AE38" i="55"/>
  <c r="AE39" i="55"/>
  <c r="AE40" i="55"/>
  <c r="AE41" i="55"/>
  <c r="AE42" i="55"/>
  <c r="AE43" i="55"/>
  <c r="AE44" i="55"/>
  <c r="AE45" i="55"/>
  <c r="AE46" i="55"/>
  <c r="AE47" i="55"/>
  <c r="AE48" i="55"/>
  <c r="AE49" i="55"/>
  <c r="AE50" i="55"/>
  <c r="AE51" i="55"/>
  <c r="AE52" i="55"/>
  <c r="AE53" i="55"/>
  <c r="AE54" i="55"/>
  <c r="AE55" i="55"/>
  <c r="AE56" i="55"/>
  <c r="AE57" i="55"/>
  <c r="AE58" i="55"/>
  <c r="AE59" i="55"/>
  <c r="AE60" i="55"/>
  <c r="AE61" i="55"/>
  <c r="AE62" i="55"/>
  <c r="AE63" i="55"/>
  <c r="AE64" i="55"/>
  <c r="AE65" i="55"/>
  <c r="AE66" i="55"/>
  <c r="AE67" i="55"/>
  <c r="AE68" i="55"/>
  <c r="AE69" i="55"/>
  <c r="AE70" i="55"/>
  <c r="AE71" i="55"/>
  <c r="AE72" i="55"/>
  <c r="AE73" i="55"/>
  <c r="AE74" i="55"/>
  <c r="AE75" i="55"/>
  <c r="AE76" i="55"/>
  <c r="AE77" i="55"/>
  <c r="AE78" i="55"/>
  <c r="AE79" i="55"/>
  <c r="AE80" i="55"/>
  <c r="AE81" i="55"/>
  <c r="AE82" i="55"/>
  <c r="AE83" i="55"/>
  <c r="AE84" i="55"/>
  <c r="AE85" i="55"/>
  <c r="AE86" i="55"/>
  <c r="AE87" i="55"/>
  <c r="AE88" i="55"/>
  <c r="AE89" i="55"/>
  <c r="AE90" i="55"/>
  <c r="AE91" i="55"/>
  <c r="AE92" i="55"/>
  <c r="AE93" i="55"/>
  <c r="AE94" i="55"/>
  <c r="AE95" i="55"/>
  <c r="AE96" i="55"/>
  <c r="AE97" i="55"/>
  <c r="AE98" i="55"/>
  <c r="AE99" i="55"/>
  <c r="AE100" i="55"/>
  <c r="AE101" i="55"/>
  <c r="AE102" i="55"/>
  <c r="AE103" i="55"/>
  <c r="AE104" i="55"/>
  <c r="AE105" i="55"/>
  <c r="AE106" i="55"/>
  <c r="AE107" i="55"/>
  <c r="AE108" i="55"/>
  <c r="AE109" i="55"/>
  <c r="AE110" i="55"/>
  <c r="AE111" i="55"/>
  <c r="AE112" i="55"/>
  <c r="AE113" i="55"/>
  <c r="AE114" i="55"/>
  <c r="AE115" i="55"/>
  <c r="AE116" i="55"/>
  <c r="AE117" i="55"/>
  <c r="AE118" i="55"/>
  <c r="AE119" i="55"/>
  <c r="AE120" i="55"/>
  <c r="AE121" i="55"/>
  <c r="AE122" i="55"/>
  <c r="AE123" i="55"/>
  <c r="AE124" i="55"/>
  <c r="AE125" i="55"/>
  <c r="AE126" i="55"/>
  <c r="AE127" i="55"/>
  <c r="AE128" i="55"/>
  <c r="AE129" i="55"/>
  <c r="AE130" i="55"/>
  <c r="AE131" i="55"/>
  <c r="AE132" i="55"/>
  <c r="AE133" i="55"/>
  <c r="AE134" i="55"/>
  <c r="AE135" i="55"/>
  <c r="AE136" i="55"/>
  <c r="AE137" i="55"/>
  <c r="AE138" i="55"/>
  <c r="AE139" i="55"/>
  <c r="AE140" i="55"/>
  <c r="AE141" i="55"/>
  <c r="AE142" i="55"/>
  <c r="AE143" i="55"/>
  <c r="AE144" i="55"/>
  <c r="AE145" i="55"/>
  <c r="AE146" i="55"/>
  <c r="AE147" i="55"/>
  <c r="AE148" i="55"/>
  <c r="AE149" i="55"/>
  <c r="AE150" i="55"/>
  <c r="AE151" i="55"/>
  <c r="AE152" i="55"/>
  <c r="AE153" i="55"/>
  <c r="AE154" i="55"/>
  <c r="AE155" i="55"/>
  <c r="AE156" i="55"/>
  <c r="AE157" i="55"/>
  <c r="AE158" i="55"/>
  <c r="AE159" i="55"/>
  <c r="AE160" i="55"/>
  <c r="AE161" i="55"/>
  <c r="AE162" i="55"/>
  <c r="AE163" i="55"/>
  <c r="AE164" i="55"/>
  <c r="AE165" i="55"/>
  <c r="AE166" i="55"/>
  <c r="AE167" i="55"/>
  <c r="AE168" i="55"/>
  <c r="AE169" i="55"/>
  <c r="AE170" i="55"/>
  <c r="AE171" i="55"/>
  <c r="AE172" i="55"/>
  <c r="AE173" i="55"/>
  <c r="AE174" i="55"/>
  <c r="AE175" i="55"/>
  <c r="AE176" i="55"/>
  <c r="AE177" i="55"/>
  <c r="AE178" i="55"/>
  <c r="AE179" i="55"/>
  <c r="AE180" i="55"/>
  <c r="AE181" i="55"/>
  <c r="AE182" i="55"/>
  <c r="AE183" i="55"/>
  <c r="AE184" i="55"/>
  <c r="AE185" i="55"/>
  <c r="AE186" i="55"/>
  <c r="AE187" i="55"/>
  <c r="AK187" i="55" s="1"/>
  <c r="AE188" i="55"/>
  <c r="AN188" i="55" s="1"/>
  <c r="AE189" i="55"/>
  <c r="AJ189" i="55" s="1"/>
  <c r="AE190" i="55"/>
  <c r="AI190" i="55" s="1"/>
  <c r="AE191" i="55"/>
  <c r="AF191" i="55" s="1"/>
  <c r="AE192" i="55"/>
  <c r="AK192" i="55" s="1"/>
  <c r="AE193" i="55"/>
  <c r="AF193" i="55" s="1"/>
  <c r="AE194" i="55"/>
  <c r="AJ194" i="55" s="1"/>
  <c r="AE195" i="55"/>
  <c r="AG195" i="55" s="1"/>
  <c r="AE196" i="55"/>
  <c r="AM196" i="55" s="1"/>
  <c r="AE197" i="55"/>
  <c r="AF197" i="55" s="1"/>
  <c r="AE198" i="55"/>
  <c r="AJ198" i="55" s="1"/>
  <c r="AE199" i="55"/>
  <c r="AJ199" i="55" s="1"/>
  <c r="AE200" i="55"/>
  <c r="AG200" i="55" s="1"/>
  <c r="AE201" i="55"/>
  <c r="AH201" i="55" s="1"/>
  <c r="AE202" i="55"/>
  <c r="AF202" i="55" s="1"/>
  <c r="AE203" i="55"/>
  <c r="AF203" i="55" s="1"/>
  <c r="AE204" i="55"/>
  <c r="AF204" i="55" s="1"/>
  <c r="AE205" i="55"/>
  <c r="AH205" i="55" s="1"/>
  <c r="AE206" i="55"/>
  <c r="AI206" i="55" s="1"/>
  <c r="AE207" i="55"/>
  <c r="AG207" i="55" s="1"/>
  <c r="AE208" i="55"/>
  <c r="AG208" i="55" s="1"/>
  <c r="AE209" i="55"/>
  <c r="AM209" i="55" s="1"/>
  <c r="AE210" i="55"/>
  <c r="AF210" i="55" s="1"/>
  <c r="AE211" i="55"/>
  <c r="AL211" i="55" s="1"/>
  <c r="AE212" i="55"/>
  <c r="AJ212" i="55" s="1"/>
  <c r="AE213" i="55"/>
  <c r="AI213" i="55" s="1"/>
  <c r="AE214" i="55"/>
  <c r="AH214" i="55" s="1"/>
  <c r="AE215" i="55"/>
  <c r="AG215" i="55" s="1"/>
  <c r="AE216" i="55"/>
  <c r="AF216" i="55" s="1"/>
  <c r="AE217" i="55"/>
  <c r="AI217" i="55" s="1"/>
  <c r="AE218" i="55"/>
  <c r="AN218" i="55" s="1"/>
  <c r="AE219" i="55"/>
  <c r="AJ219" i="55" s="1"/>
  <c r="AE220" i="55"/>
  <c r="AG220" i="55" s="1"/>
  <c r="AE221" i="55"/>
  <c r="AI221" i="55" s="1"/>
  <c r="Q2" i="55"/>
  <c r="Q3" i="55"/>
  <c r="Q4" i="55"/>
  <c r="Q5" i="55"/>
  <c r="Q6" i="55"/>
  <c r="Q7" i="55"/>
  <c r="Q8" i="55"/>
  <c r="Q9" i="55"/>
  <c r="Q10" i="55"/>
  <c r="Q11" i="55"/>
  <c r="Q12" i="55"/>
  <c r="Q13" i="55"/>
  <c r="Q14" i="55"/>
  <c r="Q15" i="55"/>
  <c r="Q16" i="55"/>
  <c r="Q17" i="55"/>
  <c r="Q18" i="55"/>
  <c r="Q19" i="55"/>
  <c r="Q20" i="55"/>
  <c r="Q21" i="55"/>
  <c r="Q22" i="55"/>
  <c r="Q23" i="55"/>
  <c r="Q24" i="55"/>
  <c r="Q25" i="55"/>
  <c r="Q26" i="55"/>
  <c r="Q27" i="55"/>
  <c r="Q28" i="55"/>
  <c r="Q29" i="55"/>
  <c r="Q30" i="55"/>
  <c r="Q31" i="55"/>
  <c r="Q32" i="55"/>
  <c r="Q33" i="55"/>
  <c r="Q34" i="55"/>
  <c r="Q35" i="55"/>
  <c r="Q36" i="55"/>
  <c r="Q37" i="55"/>
  <c r="Q38" i="55"/>
  <c r="Q39" i="55"/>
  <c r="Q40" i="55"/>
  <c r="Q41" i="55"/>
  <c r="Q42" i="55"/>
  <c r="Q43" i="55"/>
  <c r="Q44" i="55"/>
  <c r="Q45" i="55"/>
  <c r="Q46" i="55"/>
  <c r="Q47" i="55"/>
  <c r="Q48" i="55"/>
  <c r="Q49" i="55"/>
  <c r="Q50" i="55"/>
  <c r="Q51" i="55"/>
  <c r="Q52" i="55"/>
  <c r="Q53" i="55"/>
  <c r="Q54" i="55"/>
  <c r="Q55" i="55"/>
  <c r="Q56" i="55"/>
  <c r="Q57" i="55"/>
  <c r="Q58" i="55"/>
  <c r="Q59" i="55"/>
  <c r="Q60" i="55"/>
  <c r="Q61" i="55"/>
  <c r="Q62" i="55"/>
  <c r="Q63" i="55"/>
  <c r="Q64" i="55"/>
  <c r="Q65" i="55"/>
  <c r="Q66" i="55"/>
  <c r="Q67" i="55"/>
  <c r="Q68" i="55"/>
  <c r="Q69" i="55"/>
  <c r="Q70" i="55"/>
  <c r="Q71" i="55"/>
  <c r="Q72" i="55"/>
  <c r="Q73" i="55"/>
  <c r="Q74" i="55"/>
  <c r="Q75" i="55"/>
  <c r="Q76" i="55"/>
  <c r="Q77" i="55"/>
  <c r="Q78" i="55"/>
  <c r="Q79" i="55"/>
  <c r="Q80" i="55"/>
  <c r="Q81" i="55"/>
  <c r="Q82" i="55"/>
  <c r="Q83" i="55"/>
  <c r="Q84" i="55"/>
  <c r="Q85" i="55"/>
  <c r="Q86" i="55"/>
  <c r="Q87" i="55"/>
  <c r="Q88" i="55"/>
  <c r="Q89" i="55"/>
  <c r="Q90" i="55"/>
  <c r="Q91" i="55"/>
  <c r="Q92" i="55"/>
  <c r="Q93" i="55"/>
  <c r="Q94" i="55"/>
  <c r="Q95" i="55"/>
  <c r="Q96" i="55"/>
  <c r="Q97" i="55"/>
  <c r="Q98" i="55"/>
  <c r="Q99" i="55"/>
  <c r="Q100" i="55"/>
  <c r="Q101" i="55"/>
  <c r="Q102" i="55"/>
  <c r="Q103" i="55"/>
  <c r="Q104" i="55"/>
  <c r="Q105" i="55"/>
  <c r="Q106" i="55"/>
  <c r="Q107" i="55"/>
  <c r="Q108" i="55"/>
  <c r="Q109" i="55"/>
  <c r="Q110" i="55"/>
  <c r="Q111" i="55"/>
  <c r="Q112" i="55"/>
  <c r="Q113" i="55"/>
  <c r="Q114" i="55"/>
  <c r="Q115" i="55"/>
  <c r="Q116" i="55"/>
  <c r="Q117" i="55"/>
  <c r="Q118" i="55"/>
  <c r="Q119" i="55"/>
  <c r="Q120" i="55"/>
  <c r="Q121" i="55"/>
  <c r="Q122" i="55"/>
  <c r="Q123" i="55"/>
  <c r="Q124" i="55"/>
  <c r="Q125" i="55"/>
  <c r="Q126" i="55"/>
  <c r="Q127" i="55"/>
  <c r="Q128" i="55"/>
  <c r="Q129" i="55"/>
  <c r="Q130" i="55"/>
  <c r="Q131" i="55"/>
  <c r="Q132" i="55"/>
  <c r="Q133" i="55"/>
  <c r="Q134" i="55"/>
  <c r="Q135" i="55"/>
  <c r="Q136" i="55"/>
  <c r="Q137" i="55"/>
  <c r="Q138" i="55"/>
  <c r="Q139" i="55"/>
  <c r="Q140" i="55"/>
  <c r="Q141" i="55"/>
  <c r="Q142" i="55"/>
  <c r="Q143" i="55"/>
  <c r="Q144" i="55"/>
  <c r="Q145" i="55"/>
  <c r="Q146" i="55"/>
  <c r="Q147" i="55"/>
  <c r="Q148" i="55"/>
  <c r="Q149" i="55"/>
  <c r="Q150" i="55"/>
  <c r="Q151" i="55"/>
  <c r="Q152" i="55"/>
  <c r="Q153" i="55"/>
  <c r="Q154" i="55"/>
  <c r="Q155" i="55"/>
  <c r="Q156" i="55"/>
  <c r="Q157" i="55"/>
  <c r="Q158" i="55"/>
  <c r="Q159" i="55"/>
  <c r="Q160" i="55"/>
  <c r="Q161" i="55"/>
  <c r="Q162" i="55"/>
  <c r="Q163" i="55"/>
  <c r="Q164" i="55"/>
  <c r="Q165" i="55"/>
  <c r="Q166" i="55"/>
  <c r="Q167" i="55"/>
  <c r="Q168" i="55"/>
  <c r="Q169" i="55"/>
  <c r="Q170" i="55"/>
  <c r="Q171" i="55"/>
  <c r="D32" i="31"/>
  <c r="D3" i="31" s="1"/>
  <c r="E73" i="33" s="1"/>
  <c r="F29" i="31"/>
  <c r="D35" i="31" s="1"/>
  <c r="AG28" i="31"/>
  <c r="AF28" i="31"/>
  <c r="AE28" i="31"/>
  <c r="AB28" i="31"/>
  <c r="AC25" i="31"/>
  <c r="AA25" i="31"/>
  <c r="AC23" i="31"/>
  <c r="AA23" i="31"/>
  <c r="AC22" i="31"/>
  <c r="AA22" i="31"/>
  <c r="AC20" i="31"/>
  <c r="AA20" i="31"/>
  <c r="W20" i="31"/>
  <c r="AC19" i="31"/>
  <c r="AA19" i="31"/>
  <c r="W19" i="31"/>
  <c r="AC15" i="31"/>
  <c r="AA15" i="31"/>
  <c r="W15" i="31"/>
  <c r="AC17" i="31"/>
  <c r="AA17" i="31"/>
  <c r="W17" i="31"/>
  <c r="AC18" i="31"/>
  <c r="AA18" i="31"/>
  <c r="W18" i="31"/>
  <c r="AC16" i="31"/>
  <c r="AA16" i="31"/>
  <c r="W16" i="31"/>
  <c r="AC14" i="31"/>
  <c r="AA14" i="31"/>
  <c r="W14" i="31"/>
  <c r="AC13" i="31"/>
  <c r="AA13" i="31"/>
  <c r="W13" i="31"/>
  <c r="AC11" i="31"/>
  <c r="AA11" i="31"/>
  <c r="W11" i="31"/>
  <c r="AC10" i="31"/>
  <c r="AA10" i="31"/>
  <c r="W10" i="31"/>
  <c r="AC9" i="31"/>
  <c r="AA9" i="31"/>
  <c r="W9" i="31"/>
  <c r="AC8" i="31"/>
  <c r="AA8" i="31"/>
  <c r="W8" i="31"/>
  <c r="AC7" i="31"/>
  <c r="AA7" i="31"/>
  <c r="W7" i="31"/>
  <c r="AC6" i="31"/>
  <c r="AA6" i="31"/>
  <c r="W6" i="31"/>
  <c r="W4" i="31"/>
  <c r="W3" i="31"/>
  <c r="W2" i="31"/>
  <c r="D32" i="30"/>
  <c r="F29" i="30"/>
  <c r="D35" i="30" s="1"/>
  <c r="I18" i="30" s="1"/>
  <c r="AG28" i="30"/>
  <c r="AF28" i="30"/>
  <c r="AE28" i="30"/>
  <c r="AB28" i="30"/>
  <c r="AC25" i="30"/>
  <c r="AA25" i="30"/>
  <c r="AC24" i="30"/>
  <c r="AA24" i="30"/>
  <c r="AC23" i="30"/>
  <c r="AA23" i="30"/>
  <c r="AC22" i="30"/>
  <c r="AA22" i="30"/>
  <c r="AC20" i="30"/>
  <c r="AA20" i="30"/>
  <c r="W20" i="30"/>
  <c r="AC15" i="30"/>
  <c r="AA15" i="30"/>
  <c r="W15" i="30"/>
  <c r="AC14" i="30"/>
  <c r="AA14" i="30"/>
  <c r="W14" i="30"/>
  <c r="AC13" i="30"/>
  <c r="AA13" i="30"/>
  <c r="W13" i="30"/>
  <c r="AC11" i="30"/>
  <c r="AA11" i="30"/>
  <c r="W11" i="30"/>
  <c r="AC10" i="30"/>
  <c r="AA10" i="30"/>
  <c r="W10" i="30"/>
  <c r="AC9" i="30"/>
  <c r="AA9" i="30"/>
  <c r="W9" i="30"/>
  <c r="AC8" i="30"/>
  <c r="AA8" i="30"/>
  <c r="W8" i="30"/>
  <c r="AC7" i="30"/>
  <c r="AA7" i="30"/>
  <c r="W7" i="30"/>
  <c r="AC6" i="30"/>
  <c r="AA6" i="30"/>
  <c r="W6" i="30"/>
  <c r="W4" i="30"/>
  <c r="W3" i="30"/>
  <c r="W2" i="30"/>
  <c r="D32" i="29"/>
  <c r="D3" i="29" s="1"/>
  <c r="F29" i="29"/>
  <c r="D35" i="29" s="1"/>
  <c r="F35" i="29" s="1"/>
  <c r="AG28" i="29"/>
  <c r="AF28" i="29"/>
  <c r="AE28" i="29"/>
  <c r="AB28" i="29"/>
  <c r="AC25" i="29"/>
  <c r="AA25" i="29"/>
  <c r="AC24" i="29"/>
  <c r="AA24" i="29"/>
  <c r="AC23" i="29"/>
  <c r="AA23" i="29"/>
  <c r="AC22" i="29"/>
  <c r="AA22" i="29"/>
  <c r="AC20" i="29"/>
  <c r="AA20" i="29"/>
  <c r="W20" i="29"/>
  <c r="AC19" i="29"/>
  <c r="AA19" i="29"/>
  <c r="W19" i="29"/>
  <c r="AC18" i="29"/>
  <c r="AA18" i="29"/>
  <c r="W18" i="29"/>
  <c r="AC16" i="29"/>
  <c r="AA16" i="29"/>
  <c r="W16" i="29"/>
  <c r="AC17" i="29"/>
  <c r="AA17" i="29"/>
  <c r="W17" i="29"/>
  <c r="AC15" i="29"/>
  <c r="AA15" i="29"/>
  <c r="W15" i="29"/>
  <c r="AC14" i="29"/>
  <c r="AA14" i="29"/>
  <c r="W14" i="29"/>
  <c r="AC13" i="29"/>
  <c r="AA13" i="29"/>
  <c r="W13" i="29"/>
  <c r="AC11" i="29"/>
  <c r="AA11" i="29"/>
  <c r="W11" i="29"/>
  <c r="AC10" i="29"/>
  <c r="AA10" i="29"/>
  <c r="W10" i="29"/>
  <c r="AC7" i="29"/>
  <c r="AA7" i="29"/>
  <c r="W7" i="29"/>
  <c r="AC9" i="29"/>
  <c r="AA9" i="29"/>
  <c r="W9" i="29"/>
  <c r="AC8" i="29"/>
  <c r="AA8" i="29"/>
  <c r="W8" i="29"/>
  <c r="AC6" i="29"/>
  <c r="AA6" i="29"/>
  <c r="W6" i="29"/>
  <c r="W4" i="29"/>
  <c r="W3" i="29"/>
  <c r="W2" i="29"/>
  <c r="D32" i="28"/>
  <c r="D2" i="28" s="1"/>
  <c r="G2" i="28" s="1"/>
  <c r="F29" i="28"/>
  <c r="D35" i="28" s="1"/>
  <c r="AG28" i="28"/>
  <c r="AF28" i="28"/>
  <c r="AB28" i="28"/>
  <c r="AC25" i="28"/>
  <c r="AA25" i="28"/>
  <c r="AC24" i="28"/>
  <c r="AA24" i="28"/>
  <c r="AC23" i="28"/>
  <c r="AA23" i="28"/>
  <c r="AC22" i="28"/>
  <c r="AA22" i="28"/>
  <c r="AC20" i="28"/>
  <c r="AA20" i="28"/>
  <c r="W20" i="28"/>
  <c r="AC19" i="28"/>
  <c r="AA19" i="28"/>
  <c r="W19" i="28"/>
  <c r="AC18" i="28"/>
  <c r="AA18" i="28"/>
  <c r="W18" i="28"/>
  <c r="AC17" i="28"/>
  <c r="AA17" i="28"/>
  <c r="W17" i="28"/>
  <c r="AC16" i="28"/>
  <c r="AA16" i="28"/>
  <c r="W16" i="28"/>
  <c r="AC15" i="28"/>
  <c r="AA15" i="28"/>
  <c r="W15" i="28"/>
  <c r="AC14" i="28"/>
  <c r="AA14" i="28"/>
  <c r="W14" i="28"/>
  <c r="AC13" i="28"/>
  <c r="AA13" i="28"/>
  <c r="W13" i="28"/>
  <c r="AC11" i="28"/>
  <c r="AA11" i="28"/>
  <c r="W11" i="28"/>
  <c r="AC10" i="28"/>
  <c r="AA10" i="28"/>
  <c r="W10" i="28"/>
  <c r="AC9" i="28"/>
  <c r="AA9" i="28"/>
  <c r="W9" i="28"/>
  <c r="AC8" i="28"/>
  <c r="AA8" i="28"/>
  <c r="W8" i="28"/>
  <c r="AC7" i="28"/>
  <c r="AA7" i="28"/>
  <c r="W7" i="28"/>
  <c r="AC6" i="28"/>
  <c r="AA6" i="28"/>
  <c r="W6" i="28"/>
  <c r="W4" i="28"/>
  <c r="AE28" i="28"/>
  <c r="W3" i="28"/>
  <c r="W2" i="28"/>
  <c r="D32" i="2"/>
  <c r="D2" i="2" s="1"/>
  <c r="G2" i="2" s="1"/>
  <c r="F29" i="2"/>
  <c r="D35" i="2" s="1"/>
  <c r="AG28" i="2"/>
  <c r="AF28" i="2"/>
  <c r="AE28" i="2"/>
  <c r="AB28" i="2"/>
  <c r="AC25" i="2"/>
  <c r="AA25" i="2"/>
  <c r="AC24" i="2"/>
  <c r="AA24" i="2"/>
  <c r="AC23" i="2"/>
  <c r="AA23" i="2"/>
  <c r="AC22" i="2"/>
  <c r="AA22" i="2"/>
  <c r="AC20" i="2"/>
  <c r="AA20" i="2"/>
  <c r="W20" i="2"/>
  <c r="AC19" i="2"/>
  <c r="AA19" i="2"/>
  <c r="W19" i="2"/>
  <c r="AC15" i="2"/>
  <c r="AA15" i="2"/>
  <c r="W15" i="2"/>
  <c r="AC13" i="2"/>
  <c r="AA13" i="2"/>
  <c r="W13" i="2"/>
  <c r="AC14" i="2"/>
  <c r="AA14" i="2"/>
  <c r="W14" i="2"/>
  <c r="AC11" i="2"/>
  <c r="AA11" i="2"/>
  <c r="W11" i="2"/>
  <c r="AC10" i="2"/>
  <c r="AA10" i="2"/>
  <c r="AC8" i="2"/>
  <c r="AA8" i="2"/>
  <c r="AC9" i="2"/>
  <c r="AA9" i="2"/>
  <c r="AC7" i="2"/>
  <c r="AA7" i="2"/>
  <c r="AC6" i="2"/>
  <c r="AA6" i="2"/>
  <c r="W6" i="2"/>
  <c r="W4" i="2"/>
  <c r="W3" i="2"/>
  <c r="W2" i="2"/>
  <c r="D32" i="27"/>
  <c r="D3" i="27" s="1"/>
  <c r="F29" i="27"/>
  <c r="D35" i="27" s="1"/>
  <c r="AG28" i="27"/>
  <c r="AF28" i="27"/>
  <c r="AB28" i="27"/>
  <c r="AC25" i="27"/>
  <c r="AA25" i="27"/>
  <c r="AC24" i="27"/>
  <c r="AA24" i="27"/>
  <c r="AC23" i="27"/>
  <c r="AA23" i="27"/>
  <c r="AC22" i="27"/>
  <c r="AA22" i="27"/>
  <c r="AC20" i="27"/>
  <c r="AA20" i="27"/>
  <c r="W20" i="27"/>
  <c r="AC19" i="27"/>
  <c r="AA19" i="27"/>
  <c r="W19" i="27"/>
  <c r="AC18" i="27"/>
  <c r="AA18" i="27"/>
  <c r="W18" i="27"/>
  <c r="AC14" i="27"/>
  <c r="AA14" i="27"/>
  <c r="W14" i="27"/>
  <c r="AC17" i="27"/>
  <c r="AA17" i="27"/>
  <c r="W17" i="27"/>
  <c r="AC16" i="27"/>
  <c r="AA16" i="27"/>
  <c r="W16" i="27"/>
  <c r="AC15" i="27"/>
  <c r="AA15" i="27"/>
  <c r="W15" i="27"/>
  <c r="AC13" i="27"/>
  <c r="AA13" i="27"/>
  <c r="W13" i="27"/>
  <c r="AC11" i="27"/>
  <c r="AA11" i="27"/>
  <c r="W11" i="27"/>
  <c r="AC10" i="27"/>
  <c r="AA10" i="27"/>
  <c r="W10" i="27"/>
  <c r="AC9" i="27"/>
  <c r="AA9" i="27"/>
  <c r="W9" i="27"/>
  <c r="AC8" i="27"/>
  <c r="AA8" i="27"/>
  <c r="W8" i="27"/>
  <c r="AC7" i="27"/>
  <c r="AA7" i="27"/>
  <c r="W7" i="27"/>
  <c r="AC6" i="27"/>
  <c r="AA6" i="27"/>
  <c r="W6" i="27"/>
  <c r="W4" i="27"/>
  <c r="AE28" i="27"/>
  <c r="W3" i="27"/>
  <c r="W2" i="27"/>
  <c r="D32" i="26"/>
  <c r="D2" i="26" s="1"/>
  <c r="G2" i="26" s="1"/>
  <c r="F29" i="26"/>
  <c r="D35" i="26" s="1"/>
  <c r="AG28" i="26"/>
  <c r="AF28" i="26"/>
  <c r="AB28" i="26"/>
  <c r="AC25" i="26"/>
  <c r="AA25" i="26"/>
  <c r="AC24" i="26"/>
  <c r="AA24" i="26"/>
  <c r="AC23" i="26"/>
  <c r="AA23" i="26"/>
  <c r="AC22" i="26"/>
  <c r="AA22" i="26"/>
  <c r="AC20" i="26"/>
  <c r="AA20" i="26"/>
  <c r="W20" i="26"/>
  <c r="AC19" i="26"/>
  <c r="AA19" i="26"/>
  <c r="AC17" i="26"/>
  <c r="AA17" i="26"/>
  <c r="AC15" i="26"/>
  <c r="AA15" i="26"/>
  <c r="W15" i="26"/>
  <c r="AC16" i="26"/>
  <c r="AA16" i="26"/>
  <c r="AC18" i="26"/>
  <c r="AA18" i="26"/>
  <c r="AC14" i="26"/>
  <c r="AA14" i="26"/>
  <c r="W14" i="26"/>
  <c r="AC13" i="26"/>
  <c r="AA13" i="26"/>
  <c r="W13" i="26"/>
  <c r="AC11" i="26"/>
  <c r="AA11" i="26"/>
  <c r="W11" i="26"/>
  <c r="AC10" i="26"/>
  <c r="AA10" i="26"/>
  <c r="W10" i="26"/>
  <c r="AC9" i="26"/>
  <c r="AA9" i="26"/>
  <c r="W9" i="26"/>
  <c r="AC8" i="26"/>
  <c r="AA8" i="26"/>
  <c r="W8" i="26"/>
  <c r="AC7" i="26"/>
  <c r="AA7" i="26"/>
  <c r="W7" i="26"/>
  <c r="AC6" i="26"/>
  <c r="AA6" i="26"/>
  <c r="W6" i="26"/>
  <c r="W4" i="26"/>
  <c r="W3" i="26"/>
  <c r="W2" i="26"/>
  <c r="D32" i="24"/>
  <c r="D2" i="24" s="1"/>
  <c r="G2" i="24" s="1"/>
  <c r="F29" i="24"/>
  <c r="D35" i="24" s="1"/>
  <c r="E35" i="24" s="1"/>
  <c r="AG28" i="24"/>
  <c r="AF28" i="24"/>
  <c r="AB28" i="24"/>
  <c r="AC25" i="24"/>
  <c r="AA25" i="24"/>
  <c r="AC24" i="24"/>
  <c r="AA24" i="24"/>
  <c r="AC23" i="24"/>
  <c r="AA23" i="24"/>
  <c r="AC22" i="24"/>
  <c r="AA22" i="24"/>
  <c r="AC20" i="24"/>
  <c r="AA20" i="24"/>
  <c r="W20" i="24"/>
  <c r="AC19" i="24"/>
  <c r="AA19" i="24"/>
  <c r="W19" i="24"/>
  <c r="AC15" i="24"/>
  <c r="AA15" i="24"/>
  <c r="W15" i="24"/>
  <c r="AC17" i="24"/>
  <c r="AA17" i="24"/>
  <c r="W17" i="24"/>
  <c r="AC16" i="24"/>
  <c r="AA16" i="24"/>
  <c r="W16" i="24"/>
  <c r="AC18" i="24"/>
  <c r="AA18" i="24"/>
  <c r="W18" i="24"/>
  <c r="AC14" i="24"/>
  <c r="AA14" i="24"/>
  <c r="W14" i="24"/>
  <c r="AC13" i="24"/>
  <c r="AA13" i="24"/>
  <c r="W13" i="24"/>
  <c r="AC11" i="24"/>
  <c r="AA11" i="24"/>
  <c r="W11" i="24"/>
  <c r="AC10" i="24"/>
  <c r="AA10" i="24"/>
  <c r="W10" i="24"/>
  <c r="AC8" i="24"/>
  <c r="AA8" i="24"/>
  <c r="W8" i="24"/>
  <c r="AC7" i="24"/>
  <c r="AA7" i="24"/>
  <c r="W7" i="24"/>
  <c r="AC9" i="24"/>
  <c r="AA9" i="24"/>
  <c r="W9" i="24"/>
  <c r="AC6" i="24"/>
  <c r="AA6" i="24"/>
  <c r="W6" i="24"/>
  <c r="W4" i="24"/>
  <c r="W3" i="24"/>
  <c r="W2" i="24"/>
  <c r="D32" i="23"/>
  <c r="D4" i="23" s="1"/>
  <c r="F29" i="23"/>
  <c r="D35" i="23" s="1"/>
  <c r="AG28" i="23"/>
  <c r="AF28" i="23"/>
  <c r="AB28" i="23"/>
  <c r="AC25" i="23"/>
  <c r="AA25" i="23"/>
  <c r="AC23" i="23"/>
  <c r="AA23" i="23"/>
  <c r="AC24" i="23"/>
  <c r="AA24" i="23"/>
  <c r="AC22" i="23"/>
  <c r="AA22" i="23"/>
  <c r="AC20" i="23"/>
  <c r="AA20" i="23"/>
  <c r="W20" i="23"/>
  <c r="AC19" i="23"/>
  <c r="AA19" i="23"/>
  <c r="AC13" i="23"/>
  <c r="AA13" i="23"/>
  <c r="W13" i="23"/>
  <c r="AC11" i="23"/>
  <c r="AA11" i="23"/>
  <c r="W11" i="23"/>
  <c r="AC10" i="23"/>
  <c r="AA10" i="23"/>
  <c r="W10" i="23"/>
  <c r="AC8" i="23"/>
  <c r="AA8" i="23"/>
  <c r="W8" i="23"/>
  <c r="AC9" i="23"/>
  <c r="AA9" i="23"/>
  <c r="W9" i="23"/>
  <c r="AC7" i="23"/>
  <c r="AA7" i="23"/>
  <c r="W7" i="23"/>
  <c r="AC6" i="23"/>
  <c r="AA6" i="23"/>
  <c r="W6" i="23"/>
  <c r="W4" i="23"/>
  <c r="AE28" i="23"/>
  <c r="W3" i="23"/>
  <c r="W2" i="23"/>
  <c r="D32" i="22"/>
  <c r="F29" i="22"/>
  <c r="D35" i="22" s="1"/>
  <c r="AG28" i="22"/>
  <c r="AF28" i="22"/>
  <c r="AE28" i="22"/>
  <c r="AB28" i="22"/>
  <c r="AC25" i="22"/>
  <c r="AA25" i="22"/>
  <c r="AC23" i="22"/>
  <c r="AA23" i="22"/>
  <c r="W23" i="22"/>
  <c r="AC24" i="22"/>
  <c r="AA24" i="22"/>
  <c r="AC22" i="22"/>
  <c r="AA22" i="22"/>
  <c r="AC20" i="22"/>
  <c r="AA20" i="22"/>
  <c r="W20" i="22"/>
  <c r="AC19" i="22"/>
  <c r="AA19" i="22"/>
  <c r="W19" i="22"/>
  <c r="AC17" i="22"/>
  <c r="AA17" i="22"/>
  <c r="W17" i="22"/>
  <c r="AC18" i="22"/>
  <c r="AA18" i="22"/>
  <c r="W18" i="22"/>
  <c r="AC16" i="22"/>
  <c r="AA16" i="22"/>
  <c r="W16" i="22"/>
  <c r="AC15" i="22"/>
  <c r="AA15" i="22"/>
  <c r="W15" i="22"/>
  <c r="AC14" i="22"/>
  <c r="AA14" i="22"/>
  <c r="W14" i="22"/>
  <c r="AC13" i="22"/>
  <c r="AA13" i="22"/>
  <c r="W13" i="22"/>
  <c r="AC11" i="22"/>
  <c r="AA11" i="22"/>
  <c r="W11" i="22"/>
  <c r="AC10" i="22"/>
  <c r="AA10" i="22"/>
  <c r="W10" i="22"/>
  <c r="AC9" i="22"/>
  <c r="AA9" i="22"/>
  <c r="W9" i="22"/>
  <c r="AC7" i="22"/>
  <c r="AA7" i="22"/>
  <c r="W7" i="22"/>
  <c r="AC8" i="22"/>
  <c r="AA8" i="22"/>
  <c r="W8" i="22"/>
  <c r="AC6" i="22"/>
  <c r="AA6" i="22"/>
  <c r="W6" i="22"/>
  <c r="W4" i="22"/>
  <c r="W3" i="22"/>
  <c r="W2" i="22"/>
  <c r="D32" i="21"/>
  <c r="D4" i="21" s="1"/>
  <c r="G4" i="21" s="1"/>
  <c r="F29" i="21"/>
  <c r="D35" i="21" s="1"/>
  <c r="AG28" i="21"/>
  <c r="AF28" i="21"/>
  <c r="AB28" i="21"/>
  <c r="AC25" i="21"/>
  <c r="AA25" i="21"/>
  <c r="AC24" i="21"/>
  <c r="AA24" i="21"/>
  <c r="AC23" i="21"/>
  <c r="AA23" i="21"/>
  <c r="AC22" i="21"/>
  <c r="AA22" i="21"/>
  <c r="AC20" i="21"/>
  <c r="AA20" i="21"/>
  <c r="W20" i="21"/>
  <c r="AC19" i="21"/>
  <c r="AA19" i="21"/>
  <c r="W19" i="21"/>
  <c r="AC17" i="21"/>
  <c r="AA17" i="21"/>
  <c r="W17" i="21"/>
  <c r="AC18" i="21"/>
  <c r="AA18" i="21"/>
  <c r="W18" i="21"/>
  <c r="AC14" i="21"/>
  <c r="AA14" i="21"/>
  <c r="W14" i="21"/>
  <c r="AC13" i="21"/>
  <c r="AA13" i="21"/>
  <c r="W13" i="21"/>
  <c r="AC15" i="21"/>
  <c r="AA15" i="21"/>
  <c r="W15" i="21"/>
  <c r="AC11" i="21"/>
  <c r="AA11" i="21"/>
  <c r="W11" i="21"/>
  <c r="AC10" i="21"/>
  <c r="AA10" i="21"/>
  <c r="W10" i="21"/>
  <c r="AC9" i="21"/>
  <c r="AA9" i="21"/>
  <c r="W9" i="21"/>
  <c r="AC8" i="21"/>
  <c r="AA8" i="21"/>
  <c r="W8" i="21"/>
  <c r="AC7" i="21"/>
  <c r="AA7" i="21"/>
  <c r="W7" i="21"/>
  <c r="AC6" i="21"/>
  <c r="AA6" i="21"/>
  <c r="W6" i="21"/>
  <c r="W4" i="21"/>
  <c r="AE28" i="21"/>
  <c r="W3" i="21"/>
  <c r="W2" i="21"/>
  <c r="D32" i="20"/>
  <c r="F29" i="20"/>
  <c r="D35" i="20" s="1"/>
  <c r="E35" i="20" s="1"/>
  <c r="AG28" i="20"/>
  <c r="AF28" i="20"/>
  <c r="AB28" i="20"/>
  <c r="AC25" i="20"/>
  <c r="AA25" i="20"/>
  <c r="AC23" i="20"/>
  <c r="AA23" i="20"/>
  <c r="AC24" i="20"/>
  <c r="AA24" i="20"/>
  <c r="AC22" i="20"/>
  <c r="AA22" i="20"/>
  <c r="AC20" i="20"/>
  <c r="AA20" i="20"/>
  <c r="W20" i="20"/>
  <c r="AC19" i="20"/>
  <c r="AA19" i="20"/>
  <c r="W19" i="20"/>
  <c r="AC18" i="20"/>
  <c r="AA18" i="20"/>
  <c r="W18" i="20"/>
  <c r="AC17" i="20"/>
  <c r="AA17" i="20"/>
  <c r="W17" i="20"/>
  <c r="AC16" i="20"/>
  <c r="AA16" i="20"/>
  <c r="W16" i="20"/>
  <c r="AC15" i="20"/>
  <c r="AA15" i="20"/>
  <c r="W15" i="20"/>
  <c r="AC14" i="20"/>
  <c r="AA14" i="20"/>
  <c r="W14" i="20"/>
  <c r="AC13" i="20"/>
  <c r="AA13" i="20"/>
  <c r="W13" i="20"/>
  <c r="AC11" i="20"/>
  <c r="AA11" i="20"/>
  <c r="W11" i="20"/>
  <c r="AC10" i="20"/>
  <c r="AA10" i="20"/>
  <c r="W10" i="20"/>
  <c r="AC9" i="20"/>
  <c r="AA9" i="20"/>
  <c r="W9" i="20"/>
  <c r="AC8" i="20"/>
  <c r="AA8" i="20"/>
  <c r="W8" i="20"/>
  <c r="AC7" i="20"/>
  <c r="AA7" i="20"/>
  <c r="W7" i="20"/>
  <c r="AC6" i="20"/>
  <c r="AA6" i="20"/>
  <c r="W6" i="20"/>
  <c r="AE28" i="20"/>
  <c r="W2" i="20"/>
  <c r="D32" i="19"/>
  <c r="D4" i="19" s="1"/>
  <c r="F29" i="19"/>
  <c r="D35" i="19" s="1"/>
  <c r="AG28" i="19"/>
  <c r="AF28" i="19"/>
  <c r="AB28" i="19"/>
  <c r="AC25" i="19"/>
  <c r="AA25" i="19"/>
  <c r="AC24" i="19"/>
  <c r="AA24" i="19"/>
  <c r="AC23" i="19"/>
  <c r="AA23" i="19"/>
  <c r="AC22" i="19"/>
  <c r="AA22" i="19"/>
  <c r="AC20" i="19"/>
  <c r="AA20" i="19"/>
  <c r="W20" i="19"/>
  <c r="AC19" i="19"/>
  <c r="AA19" i="19"/>
  <c r="W19" i="19"/>
  <c r="AC18" i="19"/>
  <c r="AA18" i="19"/>
  <c r="W18" i="19"/>
  <c r="AC16" i="19"/>
  <c r="AA16" i="19"/>
  <c r="W16" i="19"/>
  <c r="AC15" i="19"/>
  <c r="AA15" i="19"/>
  <c r="W15" i="19"/>
  <c r="AC17" i="19"/>
  <c r="AA17" i="19"/>
  <c r="W17" i="19"/>
  <c r="AC14" i="19"/>
  <c r="AA14" i="19"/>
  <c r="W14" i="19"/>
  <c r="AC13" i="19"/>
  <c r="AA13" i="19"/>
  <c r="W13" i="19"/>
  <c r="AC11" i="19"/>
  <c r="AA11" i="19"/>
  <c r="W11" i="19"/>
  <c r="AC10" i="19"/>
  <c r="AA10" i="19"/>
  <c r="W10" i="19"/>
  <c r="AC8" i="19"/>
  <c r="AA8" i="19"/>
  <c r="W8" i="19"/>
  <c r="AC9" i="19"/>
  <c r="AA9" i="19"/>
  <c r="W9" i="19"/>
  <c r="AC7" i="19"/>
  <c r="AA7" i="19"/>
  <c r="W7" i="19"/>
  <c r="AC6" i="19"/>
  <c r="AA6" i="19"/>
  <c r="W6" i="19"/>
  <c r="W4" i="19"/>
  <c r="AE28" i="19"/>
  <c r="W3" i="19"/>
  <c r="W2" i="19"/>
  <c r="D32" i="18"/>
  <c r="D4" i="18" s="1"/>
  <c r="F29" i="18"/>
  <c r="D35" i="18" s="1"/>
  <c r="F35" i="18" s="1"/>
  <c r="AG28" i="18"/>
  <c r="AF28" i="18"/>
  <c r="AB28" i="18"/>
  <c r="AC25" i="18"/>
  <c r="AA25" i="18"/>
  <c r="AC24" i="18"/>
  <c r="AA24" i="18"/>
  <c r="AC23" i="18"/>
  <c r="AA23" i="18"/>
  <c r="AC22" i="18"/>
  <c r="AA22" i="18"/>
  <c r="AC20" i="18"/>
  <c r="AA20" i="18"/>
  <c r="W20" i="18"/>
  <c r="AC15" i="18"/>
  <c r="AA15" i="18"/>
  <c r="W15" i="18"/>
  <c r="AC14" i="18"/>
  <c r="AA14" i="18"/>
  <c r="W14" i="18"/>
  <c r="AC13" i="18"/>
  <c r="AA13" i="18"/>
  <c r="W13" i="18"/>
  <c r="AC11" i="18"/>
  <c r="AA11" i="18"/>
  <c r="W11" i="18"/>
  <c r="AC10" i="18"/>
  <c r="AA10" i="18"/>
  <c r="W10" i="18"/>
  <c r="AC9" i="18"/>
  <c r="AA9" i="18"/>
  <c r="W9" i="18"/>
  <c r="AC8" i="18"/>
  <c r="AA8" i="18"/>
  <c r="W8" i="18"/>
  <c r="AC7" i="18"/>
  <c r="AA7" i="18"/>
  <c r="W7" i="18"/>
  <c r="AC6" i="18"/>
  <c r="AA6" i="18"/>
  <c r="W6" i="18"/>
  <c r="W4" i="18"/>
  <c r="AE28" i="18"/>
  <c r="W3" i="18"/>
  <c r="W2" i="18"/>
  <c r="D32" i="3"/>
  <c r="D4" i="3" s="1"/>
  <c r="F29" i="3"/>
  <c r="D35" i="3" s="1"/>
  <c r="AG28" i="3"/>
  <c r="AF28" i="3"/>
  <c r="AB28" i="3"/>
  <c r="AC25" i="3"/>
  <c r="AA25" i="3"/>
  <c r="AC23" i="3"/>
  <c r="AA23" i="3"/>
  <c r="AC24" i="3"/>
  <c r="AA24" i="3"/>
  <c r="AC22" i="3"/>
  <c r="AA22" i="3"/>
  <c r="AC20" i="3"/>
  <c r="AA20" i="3"/>
  <c r="W20" i="3"/>
  <c r="AC19" i="3"/>
  <c r="AA19" i="3"/>
  <c r="W19" i="3"/>
  <c r="AC15" i="3"/>
  <c r="AA15" i="3"/>
  <c r="W15" i="3"/>
  <c r="AC14" i="3"/>
  <c r="AA14" i="3"/>
  <c r="W14" i="3"/>
  <c r="AC11" i="3"/>
  <c r="AA11" i="3"/>
  <c r="W11" i="3"/>
  <c r="AC10" i="3"/>
  <c r="AA10" i="3"/>
  <c r="AC7" i="3"/>
  <c r="AA7" i="3"/>
  <c r="W7" i="3"/>
  <c r="AC8" i="3"/>
  <c r="AA8" i="3"/>
  <c r="W8" i="3"/>
  <c r="AC9" i="3"/>
  <c r="AA9" i="3"/>
  <c r="AC6" i="3"/>
  <c r="AA6" i="3"/>
  <c r="W6" i="3"/>
  <c r="W4" i="3"/>
  <c r="AE28" i="3"/>
  <c r="W3" i="3"/>
  <c r="W2" i="3"/>
  <c r="D32" i="25"/>
  <c r="F29" i="25"/>
  <c r="D35" i="25" s="1"/>
  <c r="E35" i="25" s="1"/>
  <c r="AG28" i="25"/>
  <c r="AF28" i="25"/>
  <c r="AB28" i="25"/>
  <c r="AC25" i="25"/>
  <c r="AA25" i="25"/>
  <c r="AC22" i="25"/>
  <c r="AA22" i="25"/>
  <c r="AC20" i="25"/>
  <c r="AA20" i="25"/>
  <c r="W20" i="25"/>
  <c r="AC19" i="25"/>
  <c r="AA19" i="25"/>
  <c r="W19" i="25"/>
  <c r="AC18" i="25"/>
  <c r="AA18" i="25"/>
  <c r="W18" i="25"/>
  <c r="AC15" i="25"/>
  <c r="AA15" i="25"/>
  <c r="W15" i="25"/>
  <c r="AC17" i="25"/>
  <c r="AA17" i="25"/>
  <c r="W17" i="25"/>
  <c r="AC16" i="25"/>
  <c r="AA16" i="25"/>
  <c r="W16" i="25"/>
  <c r="AC14" i="25"/>
  <c r="AA14" i="25"/>
  <c r="W14" i="25"/>
  <c r="AC13" i="25"/>
  <c r="AA13" i="25"/>
  <c r="W13" i="25"/>
  <c r="AC11" i="25"/>
  <c r="AA11" i="25"/>
  <c r="W11" i="25"/>
  <c r="AC10" i="25"/>
  <c r="AA10" i="25"/>
  <c r="W10" i="25"/>
  <c r="AC9" i="25"/>
  <c r="AA9" i="25"/>
  <c r="W9" i="25"/>
  <c r="AC8" i="25"/>
  <c r="AA8" i="25"/>
  <c r="W8" i="25"/>
  <c r="AC7" i="25"/>
  <c r="AA7" i="25"/>
  <c r="W7" i="25"/>
  <c r="AC6" i="25"/>
  <c r="AA6" i="25"/>
  <c r="W6" i="25"/>
  <c r="W4" i="25"/>
  <c r="AE28" i="25"/>
  <c r="W3" i="25"/>
  <c r="W2" i="25"/>
  <c r="D32" i="17"/>
  <c r="D2" i="17" s="1"/>
  <c r="G2" i="17" s="1"/>
  <c r="F29" i="17"/>
  <c r="D35" i="17" s="1"/>
  <c r="F35" i="17" s="1"/>
  <c r="AG28" i="17"/>
  <c r="AF28" i="17"/>
  <c r="AB28" i="17"/>
  <c r="AC25" i="17"/>
  <c r="AA25" i="17"/>
  <c r="AC24" i="17"/>
  <c r="AA24" i="17"/>
  <c r="AC23" i="17"/>
  <c r="AA23" i="17"/>
  <c r="AC22" i="17"/>
  <c r="AA22" i="17"/>
  <c r="AC20" i="17"/>
  <c r="AA20" i="17"/>
  <c r="W20" i="17"/>
  <c r="AC19" i="17"/>
  <c r="AA19" i="17"/>
  <c r="W19" i="17"/>
  <c r="AC11" i="17"/>
  <c r="AA11" i="17"/>
  <c r="W11" i="17"/>
  <c r="AC10" i="17"/>
  <c r="AA10" i="17"/>
  <c r="W10" i="17"/>
  <c r="AC9" i="17"/>
  <c r="AA9" i="17"/>
  <c r="W9" i="17"/>
  <c r="AC8" i="17"/>
  <c r="AA8" i="17"/>
  <c r="W8" i="17"/>
  <c r="AC7" i="17"/>
  <c r="AA7" i="17"/>
  <c r="W7" i="17"/>
  <c r="AC6" i="17"/>
  <c r="AA6" i="17"/>
  <c r="W6" i="17"/>
  <c r="W4" i="17"/>
  <c r="AE28" i="17"/>
  <c r="W3" i="17"/>
  <c r="W2" i="17"/>
  <c r="D32" i="16"/>
  <c r="D3" i="16" s="1"/>
  <c r="F29" i="16"/>
  <c r="D35" i="16" s="1"/>
  <c r="I18" i="16" s="1"/>
  <c r="J18" i="16" s="1"/>
  <c r="AG28" i="16"/>
  <c r="AF28" i="16"/>
  <c r="AB28" i="16"/>
  <c r="AC25" i="16"/>
  <c r="AA25" i="16"/>
  <c r="AC23" i="16"/>
  <c r="AA23" i="16"/>
  <c r="AC24" i="16"/>
  <c r="AA24" i="16"/>
  <c r="AC22" i="16"/>
  <c r="AA22" i="16"/>
  <c r="AC20" i="16"/>
  <c r="AA20" i="16"/>
  <c r="W20" i="16"/>
  <c r="AC14" i="16"/>
  <c r="AA14" i="16"/>
  <c r="W14" i="16"/>
  <c r="AC11" i="16"/>
  <c r="AA11" i="16"/>
  <c r="W11" i="16"/>
  <c r="AC10" i="16"/>
  <c r="AA10" i="16"/>
  <c r="W10" i="16"/>
  <c r="AC9" i="16"/>
  <c r="AA9" i="16"/>
  <c r="W9" i="16"/>
  <c r="AC8" i="16"/>
  <c r="AA8" i="16"/>
  <c r="W8" i="16"/>
  <c r="AC7" i="16"/>
  <c r="AA7" i="16"/>
  <c r="W7" i="16"/>
  <c r="AC6" i="16"/>
  <c r="AA6" i="16"/>
  <c r="W6" i="16"/>
  <c r="W4" i="16"/>
  <c r="AE28" i="16"/>
  <c r="W3" i="16"/>
  <c r="W2" i="16"/>
  <c r="D32" i="15"/>
  <c r="D3" i="15" s="1"/>
  <c r="F29" i="15"/>
  <c r="D35" i="15" s="1"/>
  <c r="E35" i="15" s="1"/>
  <c r="AG28" i="15"/>
  <c r="AF28" i="15"/>
  <c r="AB28" i="15"/>
  <c r="AC25" i="15"/>
  <c r="AA25" i="15"/>
  <c r="AC22" i="15"/>
  <c r="AA22" i="15"/>
  <c r="AC24" i="15"/>
  <c r="AA24" i="15"/>
  <c r="AC23" i="15"/>
  <c r="AA23" i="15"/>
  <c r="AC20" i="15"/>
  <c r="AA20" i="15"/>
  <c r="W20" i="15"/>
  <c r="AC19" i="15"/>
  <c r="AA19" i="15"/>
  <c r="W19" i="15"/>
  <c r="AC18" i="15"/>
  <c r="AA18" i="15"/>
  <c r="W18" i="15"/>
  <c r="AC14" i="15"/>
  <c r="AA14" i="15"/>
  <c r="W14" i="15"/>
  <c r="AC13" i="15"/>
  <c r="AA13" i="15"/>
  <c r="W13" i="15"/>
  <c r="AC11" i="15"/>
  <c r="AA11" i="15"/>
  <c r="W11" i="15"/>
  <c r="AC10" i="15"/>
  <c r="AA10" i="15"/>
  <c r="W10" i="15"/>
  <c r="AC9" i="15"/>
  <c r="AA9" i="15"/>
  <c r="W9" i="15"/>
  <c r="AC8" i="15"/>
  <c r="AA8" i="15"/>
  <c r="W8" i="15"/>
  <c r="AC7" i="15"/>
  <c r="AA7" i="15"/>
  <c r="W7" i="15"/>
  <c r="AC6" i="15"/>
  <c r="AA6" i="15"/>
  <c r="W6" i="15"/>
  <c r="W4" i="15"/>
  <c r="AE28" i="15"/>
  <c r="W3" i="15"/>
  <c r="W2" i="15"/>
  <c r="D32" i="14"/>
  <c r="D4" i="14" s="1"/>
  <c r="F29" i="14"/>
  <c r="D35" i="14" s="1"/>
  <c r="AG28" i="14"/>
  <c r="AF28" i="14"/>
  <c r="AB28" i="14"/>
  <c r="AC25" i="14"/>
  <c r="AA25" i="14"/>
  <c r="AC24" i="14"/>
  <c r="AA24" i="14"/>
  <c r="AC23" i="14"/>
  <c r="AA23" i="14"/>
  <c r="AC22" i="14"/>
  <c r="AA22" i="14"/>
  <c r="W20" i="14"/>
  <c r="AC19" i="14"/>
  <c r="AA19" i="14"/>
  <c r="W19" i="14"/>
  <c r="AC18" i="14"/>
  <c r="AA18" i="14"/>
  <c r="W18" i="14"/>
  <c r="AC17" i="14"/>
  <c r="AA17" i="14"/>
  <c r="W17" i="14"/>
  <c r="AC16" i="14"/>
  <c r="AA16" i="14"/>
  <c r="W16" i="14"/>
  <c r="AC15" i="14"/>
  <c r="AA15" i="14"/>
  <c r="W15" i="14"/>
  <c r="AC14" i="14"/>
  <c r="AA14" i="14"/>
  <c r="W14" i="14"/>
  <c r="AC13" i="14"/>
  <c r="AA13" i="14"/>
  <c r="W13" i="14"/>
  <c r="AC11" i="14"/>
  <c r="AA11" i="14"/>
  <c r="W11" i="14"/>
  <c r="AC10" i="14"/>
  <c r="AA10" i="14"/>
  <c r="W10" i="14"/>
  <c r="AC9" i="14"/>
  <c r="AA9" i="14"/>
  <c r="W9" i="14"/>
  <c r="AC8" i="14"/>
  <c r="AA8" i="14"/>
  <c r="W8" i="14"/>
  <c r="AC7" i="14"/>
  <c r="AA7" i="14"/>
  <c r="W7" i="14"/>
  <c r="AC6" i="14"/>
  <c r="AA6" i="14"/>
  <c r="W6" i="14"/>
  <c r="W4" i="14"/>
  <c r="AE28" i="14"/>
  <c r="W3" i="14"/>
  <c r="W2" i="14"/>
  <c r="D32" i="13"/>
  <c r="D2" i="13" s="1"/>
  <c r="F29" i="13"/>
  <c r="D35" i="13" s="1"/>
  <c r="E35" i="13" s="1"/>
  <c r="AG28" i="13"/>
  <c r="AF28" i="13"/>
  <c r="AB28" i="13"/>
  <c r="AC25" i="13"/>
  <c r="AA25" i="13"/>
  <c r="AC24" i="13"/>
  <c r="AA24" i="13"/>
  <c r="AC23" i="13"/>
  <c r="AA23" i="13"/>
  <c r="AC22" i="13"/>
  <c r="AA22" i="13"/>
  <c r="AC20" i="13"/>
  <c r="AA20" i="13"/>
  <c r="W20" i="13"/>
  <c r="AC19" i="13"/>
  <c r="AA19" i="13"/>
  <c r="W19" i="13"/>
  <c r="AC18" i="13"/>
  <c r="AA18" i="13"/>
  <c r="W18" i="13"/>
  <c r="AC17" i="13"/>
  <c r="AA17" i="13"/>
  <c r="W17" i="13"/>
  <c r="AC16" i="13"/>
  <c r="AA16" i="13"/>
  <c r="W16" i="13"/>
  <c r="AC15" i="13"/>
  <c r="AA15" i="13"/>
  <c r="W15" i="13"/>
  <c r="AC14" i="13"/>
  <c r="AA14" i="13"/>
  <c r="W14" i="13"/>
  <c r="AC13" i="13"/>
  <c r="AA13" i="13"/>
  <c r="W13" i="13"/>
  <c r="AC11" i="13"/>
  <c r="AA11" i="13"/>
  <c r="W11" i="13"/>
  <c r="AC10" i="13"/>
  <c r="AA10" i="13"/>
  <c r="W10" i="13"/>
  <c r="AC9" i="13"/>
  <c r="AA9" i="13"/>
  <c r="W9" i="13"/>
  <c r="AC8" i="13"/>
  <c r="AA8" i="13"/>
  <c r="W8" i="13"/>
  <c r="AC7" i="13"/>
  <c r="AA7" i="13"/>
  <c r="W7" i="13"/>
  <c r="AC6" i="13"/>
  <c r="AA6" i="13"/>
  <c r="W6" i="13"/>
  <c r="W4" i="13"/>
  <c r="W3" i="13"/>
  <c r="W2" i="13"/>
  <c r="D32" i="12"/>
  <c r="D4" i="12" s="1"/>
  <c r="F29" i="12"/>
  <c r="D35" i="12" s="1"/>
  <c r="AG28" i="12"/>
  <c r="AF28" i="12"/>
  <c r="AB28" i="12"/>
  <c r="AC25" i="12"/>
  <c r="AA25" i="12"/>
  <c r="AC24" i="12"/>
  <c r="AA24" i="12"/>
  <c r="AC23" i="12"/>
  <c r="AA23" i="12"/>
  <c r="AC22" i="12"/>
  <c r="AA22" i="12"/>
  <c r="AC20" i="12"/>
  <c r="AA20" i="12"/>
  <c r="W20" i="12"/>
  <c r="AC19" i="12"/>
  <c r="AA19" i="12"/>
  <c r="W19" i="12"/>
  <c r="AC18" i="12"/>
  <c r="AA18" i="12"/>
  <c r="W18" i="12"/>
  <c r="AC17" i="12"/>
  <c r="AA17" i="12"/>
  <c r="W17" i="12"/>
  <c r="AC16" i="12"/>
  <c r="AA16" i="12"/>
  <c r="W16" i="12"/>
  <c r="AC15" i="12"/>
  <c r="AA15" i="12"/>
  <c r="W15" i="12"/>
  <c r="AC14" i="12"/>
  <c r="AA14" i="12"/>
  <c r="W14" i="12"/>
  <c r="AC13" i="12"/>
  <c r="AA13" i="12"/>
  <c r="W13" i="12"/>
  <c r="AC11" i="12"/>
  <c r="AA11" i="12"/>
  <c r="W11" i="12"/>
  <c r="AC10" i="12"/>
  <c r="AA10" i="12"/>
  <c r="W10" i="12"/>
  <c r="AC9" i="12"/>
  <c r="AA9" i="12"/>
  <c r="W9" i="12"/>
  <c r="AC8" i="12"/>
  <c r="AA8" i="12"/>
  <c r="W8" i="12"/>
  <c r="AC7" i="12"/>
  <c r="AA7" i="12"/>
  <c r="W7" i="12"/>
  <c r="AC6" i="12"/>
  <c r="AA6" i="12"/>
  <c r="W6" i="12"/>
  <c r="W4" i="12"/>
  <c r="AE28" i="12"/>
  <c r="W3" i="12"/>
  <c r="W2" i="12"/>
  <c r="D32" i="11"/>
  <c r="F29" i="11"/>
  <c r="D35" i="11" s="1"/>
  <c r="AG28" i="11"/>
  <c r="AF28" i="11"/>
  <c r="AB28" i="11"/>
  <c r="AC25" i="11"/>
  <c r="AA25" i="11"/>
  <c r="AC24" i="11"/>
  <c r="AA24" i="11"/>
  <c r="AC23" i="11"/>
  <c r="AA23" i="11"/>
  <c r="AC22" i="11"/>
  <c r="AA22" i="11"/>
  <c r="AC20" i="11"/>
  <c r="AA20" i="11"/>
  <c r="W20" i="11"/>
  <c r="AC19" i="11"/>
  <c r="AA19" i="11"/>
  <c r="W19" i="11"/>
  <c r="AC17" i="11"/>
  <c r="AA17" i="11"/>
  <c r="W17" i="11"/>
  <c r="AC15" i="11"/>
  <c r="AA15" i="11"/>
  <c r="W15" i="11"/>
  <c r="AC18" i="11"/>
  <c r="AA18" i="11"/>
  <c r="W18" i="11"/>
  <c r="AC16" i="11"/>
  <c r="AA16" i="11"/>
  <c r="W16" i="11"/>
  <c r="AC14" i="11"/>
  <c r="AA14" i="11"/>
  <c r="W14" i="11"/>
  <c r="AC13" i="11"/>
  <c r="AA13" i="11"/>
  <c r="W13" i="11"/>
  <c r="AC11" i="11"/>
  <c r="AA11" i="11"/>
  <c r="W11" i="11"/>
  <c r="AC7" i="11"/>
  <c r="AA7" i="11"/>
  <c r="W7" i="11"/>
  <c r="AC6" i="11"/>
  <c r="AA6" i="11"/>
  <c r="W6" i="11"/>
  <c r="AE28" i="11"/>
  <c r="W3" i="11"/>
  <c r="W2" i="11"/>
  <c r="D32" i="10"/>
  <c r="D4" i="10" s="1"/>
  <c r="F29" i="10"/>
  <c r="D35" i="10" s="1"/>
  <c r="AG28" i="10"/>
  <c r="AF28" i="10"/>
  <c r="AB28" i="10"/>
  <c r="AC25" i="10"/>
  <c r="AA25" i="10"/>
  <c r="AC24" i="10"/>
  <c r="AA24" i="10"/>
  <c r="AC23" i="10"/>
  <c r="AA23" i="10"/>
  <c r="AC22" i="10"/>
  <c r="AA22" i="10"/>
  <c r="AC20" i="10"/>
  <c r="AA20" i="10"/>
  <c r="W20" i="10"/>
  <c r="AC19" i="10"/>
  <c r="AA19" i="10"/>
  <c r="W19" i="10"/>
  <c r="AC17" i="10"/>
  <c r="AA17" i="10"/>
  <c r="W17" i="10"/>
  <c r="AC16" i="10"/>
  <c r="AA16" i="10"/>
  <c r="W16" i="10"/>
  <c r="AC18" i="10"/>
  <c r="AA18" i="10"/>
  <c r="W18" i="10"/>
  <c r="AC15" i="10"/>
  <c r="AA15" i="10"/>
  <c r="W15" i="10"/>
  <c r="AC14" i="10"/>
  <c r="AA14" i="10"/>
  <c r="W14" i="10"/>
  <c r="AC13" i="10"/>
  <c r="AA13" i="10"/>
  <c r="W13" i="10"/>
  <c r="AC11" i="10"/>
  <c r="AA11" i="10"/>
  <c r="W11" i="10"/>
  <c r="AC10" i="10"/>
  <c r="AA10" i="10"/>
  <c r="AC9" i="10"/>
  <c r="AA9" i="10"/>
  <c r="AC6" i="10"/>
  <c r="AA6" i="10"/>
  <c r="W6" i="10"/>
  <c r="AC8" i="10"/>
  <c r="AA8" i="10"/>
  <c r="AC7" i="10"/>
  <c r="AA7" i="10"/>
  <c r="W7" i="10"/>
  <c r="W4" i="10"/>
  <c r="W3" i="10"/>
  <c r="W2" i="10"/>
  <c r="D32" i="9"/>
  <c r="D3" i="9" s="1"/>
  <c r="G3" i="9" s="1"/>
  <c r="F29" i="9"/>
  <c r="D35" i="9" s="1"/>
  <c r="AG28" i="9"/>
  <c r="AF28" i="9"/>
  <c r="AB28" i="9"/>
  <c r="AC25" i="9"/>
  <c r="AA25" i="9"/>
  <c r="AC24" i="9"/>
  <c r="AA24" i="9"/>
  <c r="AC23" i="9"/>
  <c r="AA23" i="9"/>
  <c r="AC22" i="9"/>
  <c r="AA22" i="9"/>
  <c r="AC20" i="9"/>
  <c r="AA20" i="9"/>
  <c r="W20" i="9"/>
  <c r="AC19" i="9"/>
  <c r="AA19" i="9"/>
  <c r="W19" i="9"/>
  <c r="AC17" i="9"/>
  <c r="AA17" i="9"/>
  <c r="W17" i="9"/>
  <c r="AC18" i="9"/>
  <c r="AA18" i="9"/>
  <c r="W18" i="9"/>
  <c r="AC16" i="9"/>
  <c r="AA16" i="9"/>
  <c r="W16" i="9"/>
  <c r="AC15" i="9"/>
  <c r="AA15" i="9"/>
  <c r="W15" i="9"/>
  <c r="AC14" i="9"/>
  <c r="AA14" i="9"/>
  <c r="W14" i="9"/>
  <c r="AC13" i="9"/>
  <c r="AA13" i="9"/>
  <c r="W13" i="9"/>
  <c r="AC11" i="9"/>
  <c r="AA11" i="9"/>
  <c r="W11" i="9"/>
  <c r="AC10" i="9"/>
  <c r="AA10" i="9"/>
  <c r="W10" i="9"/>
  <c r="AC9" i="9"/>
  <c r="AA9" i="9"/>
  <c r="W9" i="9"/>
  <c r="AC8" i="9"/>
  <c r="AA8" i="9"/>
  <c r="W8" i="9"/>
  <c r="AC7" i="9"/>
  <c r="AA7" i="9"/>
  <c r="W7" i="9"/>
  <c r="AC6" i="9"/>
  <c r="AA6" i="9"/>
  <c r="W6" i="9"/>
  <c r="W4" i="9"/>
  <c r="AE28" i="9"/>
  <c r="W3" i="9"/>
  <c r="W2" i="9"/>
  <c r="D32" i="8"/>
  <c r="D2" i="8" s="1"/>
  <c r="F29" i="8"/>
  <c r="D35" i="8" s="1"/>
  <c r="F35" i="8" s="1"/>
  <c r="AG28" i="8"/>
  <c r="AF28" i="8"/>
  <c r="AB28" i="8"/>
  <c r="AC25" i="8"/>
  <c r="AA25" i="8"/>
  <c r="AC24" i="8"/>
  <c r="AA24" i="8"/>
  <c r="AC23" i="8"/>
  <c r="AA23" i="8"/>
  <c r="AC22" i="8"/>
  <c r="AA22" i="8"/>
  <c r="AC20" i="8"/>
  <c r="AA20" i="8"/>
  <c r="W20" i="8"/>
  <c r="AC19" i="8"/>
  <c r="AA19" i="8"/>
  <c r="W19" i="8"/>
  <c r="AC18" i="8"/>
  <c r="AA18" i="8"/>
  <c r="W18" i="8"/>
  <c r="AC15" i="8"/>
  <c r="AA15" i="8"/>
  <c r="W15" i="8"/>
  <c r="AC17" i="8"/>
  <c r="AA17" i="8"/>
  <c r="W17" i="8"/>
  <c r="AC16" i="8"/>
  <c r="AA16" i="8"/>
  <c r="W16" i="8"/>
  <c r="AC14" i="8"/>
  <c r="AA14" i="8"/>
  <c r="W14" i="8"/>
  <c r="AC13" i="8"/>
  <c r="AA13" i="8"/>
  <c r="W13" i="8"/>
  <c r="AC11" i="8"/>
  <c r="AA11" i="8"/>
  <c r="W11" i="8"/>
  <c r="AC10" i="8"/>
  <c r="AA10" i="8"/>
  <c r="W10" i="8"/>
  <c r="AC9" i="8"/>
  <c r="AA9" i="8"/>
  <c r="W9" i="8"/>
  <c r="AC8" i="8"/>
  <c r="AA8" i="8"/>
  <c r="W8" i="8"/>
  <c r="AC7" i="8"/>
  <c r="AA7" i="8"/>
  <c r="W7" i="8"/>
  <c r="AC6" i="8"/>
  <c r="AA6" i="8"/>
  <c r="W6" i="8"/>
  <c r="W4" i="8"/>
  <c r="AE28" i="8"/>
  <c r="W3" i="8"/>
  <c r="W2" i="8"/>
  <c r="D32" i="7"/>
  <c r="D4" i="7" s="1"/>
  <c r="F29" i="7"/>
  <c r="D35" i="7" s="1"/>
  <c r="AG28" i="7"/>
  <c r="AF28" i="7"/>
  <c r="AB28" i="7"/>
  <c r="AC25" i="7"/>
  <c r="AA25" i="7"/>
  <c r="AC24" i="7"/>
  <c r="AA24" i="7"/>
  <c r="AC23" i="7"/>
  <c r="AA23" i="7"/>
  <c r="AC22" i="7"/>
  <c r="AA22" i="7"/>
  <c r="AC20" i="7"/>
  <c r="AA20" i="7"/>
  <c r="W20" i="7"/>
  <c r="AC19" i="7"/>
  <c r="AA19" i="7"/>
  <c r="W19" i="7"/>
  <c r="AC18" i="7"/>
  <c r="AA18" i="7"/>
  <c r="W18" i="7"/>
  <c r="AC15" i="7"/>
  <c r="AA15" i="7"/>
  <c r="W15" i="7"/>
  <c r="AC14" i="7"/>
  <c r="AA14" i="7"/>
  <c r="W14" i="7"/>
  <c r="AC13" i="7"/>
  <c r="AA13" i="7"/>
  <c r="W13" i="7"/>
  <c r="AC11" i="7"/>
  <c r="AA11" i="7"/>
  <c r="W11" i="7"/>
  <c r="AC10" i="7"/>
  <c r="AA10" i="7"/>
  <c r="W10" i="7"/>
  <c r="AC9" i="7"/>
  <c r="AA9" i="7"/>
  <c r="W9" i="7"/>
  <c r="AC8" i="7"/>
  <c r="AA8" i="7"/>
  <c r="W8" i="7"/>
  <c r="AC7" i="7"/>
  <c r="AA7" i="7"/>
  <c r="W7" i="7"/>
  <c r="AC6" i="7"/>
  <c r="AA6" i="7"/>
  <c r="W6" i="7"/>
  <c r="W4" i="7"/>
  <c r="AE28" i="7"/>
  <c r="W3" i="7"/>
  <c r="W2" i="7"/>
  <c r="D32" i="1"/>
  <c r="D3" i="1" s="1"/>
  <c r="F29" i="1"/>
  <c r="D35" i="1" s="1"/>
  <c r="E35" i="1" s="1"/>
  <c r="AG28" i="1"/>
  <c r="AF28" i="1"/>
  <c r="AE28" i="1"/>
  <c r="AB28" i="1"/>
  <c r="AC25" i="1"/>
  <c r="AA25" i="1"/>
  <c r="AC22" i="1"/>
  <c r="AA22" i="1"/>
  <c r="AC24" i="1"/>
  <c r="AA24" i="1"/>
  <c r="AC23" i="1"/>
  <c r="AA23" i="1"/>
  <c r="AC20" i="1"/>
  <c r="AA20" i="1"/>
  <c r="W20" i="1"/>
  <c r="AC19" i="1"/>
  <c r="AA19" i="1"/>
  <c r="W19" i="1"/>
  <c r="AC14" i="1"/>
  <c r="AA14" i="1"/>
  <c r="W14" i="1"/>
  <c r="AC13" i="1"/>
  <c r="AA13" i="1"/>
  <c r="W13" i="1"/>
  <c r="AC11" i="1"/>
  <c r="AA11" i="1"/>
  <c r="W11" i="1"/>
  <c r="AC10" i="1"/>
  <c r="AA10" i="1"/>
  <c r="W10" i="1"/>
  <c r="AC7" i="1"/>
  <c r="AA7" i="1"/>
  <c r="W7" i="1"/>
  <c r="AC6" i="1"/>
  <c r="AA6" i="1"/>
  <c r="W6" i="1"/>
  <c r="W4" i="1"/>
  <c r="W3" i="1"/>
  <c r="W2" i="1"/>
  <c r="D32" i="6"/>
  <c r="D4" i="6" s="1"/>
  <c r="F29" i="6"/>
  <c r="D35" i="6"/>
  <c r="F35" i="6" s="1"/>
  <c r="AG28" i="6"/>
  <c r="AF28" i="6"/>
  <c r="AB28" i="6"/>
  <c r="AC25" i="6"/>
  <c r="AA25" i="6"/>
  <c r="AC24" i="6"/>
  <c r="AA24" i="6"/>
  <c r="AC23" i="6"/>
  <c r="AA23" i="6"/>
  <c r="AC22" i="6"/>
  <c r="AA22" i="6"/>
  <c r="AC20" i="6"/>
  <c r="AA20" i="6"/>
  <c r="W20" i="6"/>
  <c r="AC19" i="6"/>
  <c r="AA19" i="6"/>
  <c r="W19" i="6"/>
  <c r="AC13" i="6"/>
  <c r="AA13" i="6"/>
  <c r="W13" i="6"/>
  <c r="AC14" i="6"/>
  <c r="AA14" i="6"/>
  <c r="W14" i="6"/>
  <c r="AC11" i="6"/>
  <c r="AA11" i="6"/>
  <c r="W11" i="6"/>
  <c r="AC10" i="6"/>
  <c r="AA10" i="6"/>
  <c r="W10" i="6"/>
  <c r="AC9" i="6"/>
  <c r="AA9" i="6"/>
  <c r="W9" i="6"/>
  <c r="AC8" i="6"/>
  <c r="AA8" i="6"/>
  <c r="W8" i="6"/>
  <c r="AC7" i="6"/>
  <c r="AA7" i="6"/>
  <c r="W7" i="6"/>
  <c r="AC6" i="6"/>
  <c r="AA6" i="6"/>
  <c r="W6" i="6"/>
  <c r="W4" i="6"/>
  <c r="AE28" i="6"/>
  <c r="W3" i="6"/>
  <c r="W2" i="6"/>
  <c r="D32" i="5"/>
  <c r="D4" i="5" s="1"/>
  <c r="F29" i="5"/>
  <c r="D35" i="5" s="1"/>
  <c r="AG28" i="5"/>
  <c r="AF28" i="5"/>
  <c r="AB28" i="5"/>
  <c r="AC25" i="5"/>
  <c r="AA25" i="5"/>
  <c r="AC24" i="5"/>
  <c r="AA24" i="5"/>
  <c r="AC23" i="5"/>
  <c r="AA23" i="5"/>
  <c r="AC22" i="5"/>
  <c r="AA22" i="5"/>
  <c r="AC20" i="5"/>
  <c r="AA20" i="5"/>
  <c r="W20" i="5"/>
  <c r="AC19" i="5"/>
  <c r="AA19" i="5"/>
  <c r="W19" i="5"/>
  <c r="AC18" i="5"/>
  <c r="AA18" i="5"/>
  <c r="W18" i="5"/>
  <c r="AC16" i="5"/>
  <c r="AA16" i="5"/>
  <c r="W16" i="5"/>
  <c r="AC17" i="5"/>
  <c r="AA17" i="5"/>
  <c r="W17" i="5"/>
  <c r="AC15" i="5"/>
  <c r="AA15" i="5"/>
  <c r="W15" i="5"/>
  <c r="AC14" i="5"/>
  <c r="AA14" i="5"/>
  <c r="W14" i="5"/>
  <c r="AC13" i="5"/>
  <c r="AA13" i="5"/>
  <c r="W13" i="5"/>
  <c r="AC11" i="5"/>
  <c r="AA11" i="5"/>
  <c r="W11" i="5"/>
  <c r="AC10" i="5"/>
  <c r="AA10" i="5"/>
  <c r="W10" i="5"/>
  <c r="AC7" i="5"/>
  <c r="AA7" i="5"/>
  <c r="W7" i="5"/>
  <c r="AC9" i="5"/>
  <c r="AA9" i="5"/>
  <c r="W9" i="5"/>
  <c r="AC8" i="5"/>
  <c r="AA8" i="5"/>
  <c r="W8" i="5"/>
  <c r="AC6" i="5"/>
  <c r="AA6" i="5"/>
  <c r="W6" i="5"/>
  <c r="W4" i="5"/>
  <c r="AE28" i="5"/>
  <c r="W3" i="5"/>
  <c r="W2" i="5"/>
  <c r="D32" i="4"/>
  <c r="D3" i="4" s="1"/>
  <c r="F29" i="4"/>
  <c r="D35" i="4" s="1"/>
  <c r="AG28" i="4"/>
  <c r="AF28" i="4"/>
  <c r="AB28" i="4"/>
  <c r="AC25" i="4"/>
  <c r="AA25" i="4"/>
  <c r="AC24" i="4"/>
  <c r="AA24" i="4"/>
  <c r="AC23" i="4"/>
  <c r="AA23" i="4"/>
  <c r="AC22" i="4"/>
  <c r="AC20" i="4"/>
  <c r="AA20" i="4"/>
  <c r="W20" i="4"/>
  <c r="AC19" i="4"/>
  <c r="AA19" i="4"/>
  <c r="W19" i="4"/>
  <c r="AC18" i="4"/>
  <c r="AA18" i="4"/>
  <c r="W18" i="4"/>
  <c r="AC17" i="4"/>
  <c r="AA17" i="4"/>
  <c r="W17" i="4"/>
  <c r="AC16" i="4"/>
  <c r="AA16" i="4"/>
  <c r="W16" i="4"/>
  <c r="AC15" i="4"/>
  <c r="AA15" i="4"/>
  <c r="W15" i="4"/>
  <c r="AC14" i="4"/>
  <c r="AA14" i="4"/>
  <c r="W14" i="4"/>
  <c r="AC13" i="4"/>
  <c r="W13" i="4"/>
  <c r="AC11" i="4"/>
  <c r="AA11" i="4"/>
  <c r="W11" i="4"/>
  <c r="AC10" i="4"/>
  <c r="AA10" i="4"/>
  <c r="W10" i="4"/>
  <c r="AC9" i="4"/>
  <c r="AA9" i="4"/>
  <c r="W9" i="4"/>
  <c r="AC8" i="4"/>
  <c r="W8" i="4"/>
  <c r="AC7" i="4"/>
  <c r="AA7" i="4"/>
  <c r="W7" i="4"/>
  <c r="AC6" i="4"/>
  <c r="AA6" i="4"/>
  <c r="W6" i="4"/>
  <c r="W4" i="4"/>
  <c r="W3" i="4"/>
  <c r="W2" i="4"/>
  <c r="D32" i="32"/>
  <c r="D3" i="32" s="1"/>
  <c r="D35" i="32"/>
  <c r="AF28" i="32"/>
  <c r="AE28" i="32"/>
  <c r="AB28" i="32"/>
  <c r="AC25" i="32"/>
  <c r="AA25" i="32"/>
  <c r="AC23" i="32"/>
  <c r="AA23" i="32"/>
  <c r="AC22" i="32"/>
  <c r="AA22" i="32"/>
  <c r="AC20" i="32"/>
  <c r="AA20" i="32"/>
  <c r="W20" i="32"/>
  <c r="AC19" i="32"/>
  <c r="AA19" i="32"/>
  <c r="W19" i="32"/>
  <c r="AC16" i="32"/>
  <c r="AA16" i="32"/>
  <c r="W16" i="32"/>
  <c r="AC13" i="32"/>
  <c r="AA13" i="32"/>
  <c r="W13" i="32"/>
  <c r="AC11" i="32"/>
  <c r="AA11" i="32"/>
  <c r="W11" i="32"/>
  <c r="AC10" i="32"/>
  <c r="AA10" i="32"/>
  <c r="AC9" i="32"/>
  <c r="AA9" i="32"/>
  <c r="AC7" i="32"/>
  <c r="AA7" i="32"/>
  <c r="W7" i="32"/>
  <c r="AC6" i="32"/>
  <c r="AA6" i="32"/>
  <c r="W6" i="32"/>
  <c r="W4" i="32"/>
  <c r="W3" i="32"/>
  <c r="W2" i="32"/>
  <c r="B102" i="35"/>
  <c r="D102" i="35"/>
  <c r="AD10" i="48"/>
  <c r="AD2" i="48" s="1"/>
  <c r="B66" i="33"/>
  <c r="D66" i="33"/>
  <c r="B71" i="33"/>
  <c r="D71" i="33"/>
  <c r="B48" i="33"/>
  <c r="D3" i="23"/>
  <c r="D3" i="21"/>
  <c r="E46" i="33"/>
  <c r="D3" i="17"/>
  <c r="D56" i="33"/>
  <c r="B56" i="33"/>
  <c r="D74" i="33"/>
  <c r="B74" i="33"/>
  <c r="B199" i="35"/>
  <c r="D199" i="35"/>
  <c r="B200" i="35"/>
  <c r="D200" i="35"/>
  <c r="B201" i="35"/>
  <c r="D201" i="35"/>
  <c r="B202" i="35"/>
  <c r="D202" i="35"/>
  <c r="B203" i="35"/>
  <c r="D203" i="35"/>
  <c r="B192" i="35"/>
  <c r="D192" i="35"/>
  <c r="B193" i="35"/>
  <c r="D193" i="35"/>
  <c r="B194" i="35"/>
  <c r="D194" i="35"/>
  <c r="B195" i="35"/>
  <c r="D195" i="35"/>
  <c r="B196" i="35"/>
  <c r="D196" i="35"/>
  <c r="B186" i="35"/>
  <c r="D186" i="35"/>
  <c r="B187" i="35"/>
  <c r="D187" i="35"/>
  <c r="B188" i="35"/>
  <c r="D188" i="35"/>
  <c r="B189" i="35"/>
  <c r="D189" i="35"/>
  <c r="B180" i="35"/>
  <c r="D180" i="35"/>
  <c r="B181" i="35"/>
  <c r="D181" i="35"/>
  <c r="B182" i="35"/>
  <c r="D182" i="35"/>
  <c r="B183" i="35"/>
  <c r="D183" i="35"/>
  <c r="B175" i="35"/>
  <c r="D175" i="35"/>
  <c r="B176" i="35"/>
  <c r="D176" i="35"/>
  <c r="B177" i="35"/>
  <c r="D177" i="35"/>
  <c r="B169" i="35"/>
  <c r="D169" i="35"/>
  <c r="B170" i="35"/>
  <c r="D170" i="35"/>
  <c r="B171" i="35"/>
  <c r="D171" i="35"/>
  <c r="B172" i="35"/>
  <c r="D172" i="35"/>
  <c r="B163" i="35"/>
  <c r="D163" i="35"/>
  <c r="B164" i="35"/>
  <c r="D164" i="35"/>
  <c r="B165" i="35"/>
  <c r="D165" i="35"/>
  <c r="B166" i="35"/>
  <c r="D166" i="35"/>
  <c r="B156" i="35"/>
  <c r="D156" i="35"/>
  <c r="B157" i="35"/>
  <c r="D157" i="35"/>
  <c r="B158" i="35"/>
  <c r="D158" i="35"/>
  <c r="B159" i="35"/>
  <c r="D159" i="35"/>
  <c r="B160" i="35"/>
  <c r="D160" i="35"/>
  <c r="B153" i="35"/>
  <c r="D153" i="35"/>
  <c r="B149" i="35"/>
  <c r="D149" i="35"/>
  <c r="B150" i="35"/>
  <c r="D150" i="35"/>
  <c r="B151" i="35"/>
  <c r="D151" i="35"/>
  <c r="B152" i="35"/>
  <c r="D152" i="35"/>
  <c r="B143" i="35"/>
  <c r="D143" i="35"/>
  <c r="B144" i="35"/>
  <c r="D144" i="35"/>
  <c r="B145" i="35"/>
  <c r="D145" i="35"/>
  <c r="B146" i="35"/>
  <c r="D146" i="35"/>
  <c r="B137" i="35"/>
  <c r="D137" i="35"/>
  <c r="B138" i="35"/>
  <c r="D138" i="35"/>
  <c r="B139" i="35"/>
  <c r="D139" i="35"/>
  <c r="B140" i="35"/>
  <c r="D140" i="35"/>
  <c r="B131" i="35"/>
  <c r="D131" i="35"/>
  <c r="B132" i="35"/>
  <c r="D132" i="35"/>
  <c r="B133" i="35"/>
  <c r="D133" i="35"/>
  <c r="B134" i="35"/>
  <c r="D134" i="35"/>
  <c r="B127" i="35"/>
  <c r="D127" i="35"/>
  <c r="B128" i="35"/>
  <c r="D128" i="35"/>
  <c r="B120" i="35"/>
  <c r="D120" i="35"/>
  <c r="B121" i="35"/>
  <c r="D121" i="35"/>
  <c r="B114" i="35"/>
  <c r="D114" i="35"/>
  <c r="B115" i="35"/>
  <c r="D115" i="35"/>
  <c r="B112" i="35"/>
  <c r="D112" i="35"/>
  <c r="B113" i="35"/>
  <c r="D113" i="35"/>
  <c r="B105" i="35"/>
  <c r="D105" i="35"/>
  <c r="B106" i="35"/>
  <c r="D106" i="35"/>
  <c r="B107" i="35"/>
  <c r="D107" i="35"/>
  <c r="B108" i="35"/>
  <c r="D108" i="35"/>
  <c r="B109" i="35"/>
  <c r="D109" i="35"/>
  <c r="B99" i="35"/>
  <c r="D99" i="35"/>
  <c r="B100" i="35"/>
  <c r="D100" i="35"/>
  <c r="B101" i="35"/>
  <c r="D101" i="35"/>
  <c r="B92" i="35"/>
  <c r="D92" i="35"/>
  <c r="B93" i="35"/>
  <c r="D93" i="35"/>
  <c r="B94" i="35"/>
  <c r="D94" i="35"/>
  <c r="B95" i="35"/>
  <c r="D95" i="35"/>
  <c r="B96" i="35"/>
  <c r="D96" i="35"/>
  <c r="B86" i="35"/>
  <c r="D86" i="35"/>
  <c r="B87" i="35"/>
  <c r="D87" i="35"/>
  <c r="B88" i="35"/>
  <c r="D88" i="35"/>
  <c r="B89" i="35"/>
  <c r="D89" i="35"/>
  <c r="D85" i="35"/>
  <c r="B85" i="35"/>
  <c r="D84" i="35"/>
  <c r="B84" i="35"/>
  <c r="B79" i="35"/>
  <c r="D79" i="35"/>
  <c r="B80" i="35"/>
  <c r="D80" i="35"/>
  <c r="B81" i="35"/>
  <c r="D81" i="35"/>
  <c r="B82" i="35"/>
  <c r="D82" i="35"/>
  <c r="B83" i="35"/>
  <c r="D83" i="35"/>
  <c r="B72" i="35"/>
  <c r="D72" i="35"/>
  <c r="B73" i="35"/>
  <c r="D73" i="35"/>
  <c r="B74" i="35"/>
  <c r="D74" i="35"/>
  <c r="B75" i="35"/>
  <c r="D75" i="35"/>
  <c r="B76" i="35"/>
  <c r="D76" i="35"/>
  <c r="D71" i="35"/>
  <c r="B71" i="35"/>
  <c r="B66" i="35"/>
  <c r="D66" i="35"/>
  <c r="B67" i="35"/>
  <c r="D67" i="35"/>
  <c r="B68" i="35"/>
  <c r="D68" i="35"/>
  <c r="B69" i="35"/>
  <c r="D69" i="35"/>
  <c r="B60" i="35"/>
  <c r="D60" i="35"/>
  <c r="B61" i="35"/>
  <c r="D61" i="35"/>
  <c r="B62" i="35"/>
  <c r="D62" i="35"/>
  <c r="B63" i="35"/>
  <c r="D63" i="35"/>
  <c r="D198" i="35"/>
  <c r="D197" i="35"/>
  <c r="D191" i="35"/>
  <c r="D190" i="35"/>
  <c r="D185" i="35"/>
  <c r="D184" i="35"/>
  <c r="D179" i="35"/>
  <c r="D178" i="35"/>
  <c r="D174" i="35"/>
  <c r="D173" i="35"/>
  <c r="D168" i="35"/>
  <c r="D167" i="35"/>
  <c r="D162" i="35"/>
  <c r="D161" i="35"/>
  <c r="D155" i="35"/>
  <c r="D154" i="35"/>
  <c r="D148" i="35"/>
  <c r="D147" i="35"/>
  <c r="D142" i="35"/>
  <c r="D141" i="35"/>
  <c r="D136" i="35"/>
  <c r="D135" i="35"/>
  <c r="D130" i="35"/>
  <c r="D129" i="35"/>
  <c r="D126" i="35"/>
  <c r="D125" i="35"/>
  <c r="D124" i="35"/>
  <c r="D123" i="35"/>
  <c r="D122" i="35"/>
  <c r="D119" i="35"/>
  <c r="D118" i="35"/>
  <c r="D117" i="35"/>
  <c r="D116" i="35"/>
  <c r="D111" i="35"/>
  <c r="D110" i="35"/>
  <c r="D104" i="35"/>
  <c r="D103" i="35"/>
  <c r="D98" i="35"/>
  <c r="D97" i="35"/>
  <c r="D91" i="35"/>
  <c r="D90" i="35"/>
  <c r="D78" i="35"/>
  <c r="D77" i="35"/>
  <c r="D70" i="35"/>
  <c r="D65" i="35"/>
  <c r="D64" i="35"/>
  <c r="D59" i="35"/>
  <c r="D58" i="35"/>
  <c r="D57" i="35"/>
  <c r="D56" i="35"/>
  <c r="D55" i="35"/>
  <c r="D54" i="35"/>
  <c r="D53" i="35"/>
  <c r="D52" i="35"/>
  <c r="D51" i="35"/>
  <c r="D50" i="35"/>
  <c r="D49" i="35"/>
  <c r="D48" i="35"/>
  <c r="D47" i="35"/>
  <c r="D46" i="35"/>
  <c r="D45" i="35"/>
  <c r="D44" i="35"/>
  <c r="D43" i="35"/>
  <c r="D42" i="35"/>
  <c r="D41" i="35"/>
  <c r="D40" i="35"/>
  <c r="D39" i="35"/>
  <c r="D38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D5" i="35"/>
  <c r="D4" i="35"/>
  <c r="D3" i="35"/>
  <c r="D2" i="35"/>
  <c r="S3" i="47" s="1"/>
  <c r="B54" i="35"/>
  <c r="B55" i="35"/>
  <c r="B56" i="35"/>
  <c r="B57" i="35"/>
  <c r="B48" i="35"/>
  <c r="B49" i="35"/>
  <c r="B50" i="35"/>
  <c r="B51" i="35"/>
  <c r="B43" i="35"/>
  <c r="B44" i="35"/>
  <c r="B45" i="35"/>
  <c r="B36" i="35"/>
  <c r="B37" i="35"/>
  <c r="B38" i="35"/>
  <c r="B39" i="35"/>
  <c r="B40" i="35"/>
  <c r="B29" i="35"/>
  <c r="B30" i="35"/>
  <c r="B31" i="35"/>
  <c r="B32" i="35"/>
  <c r="B33" i="35"/>
  <c r="B22" i="35"/>
  <c r="B23" i="35"/>
  <c r="B24" i="35"/>
  <c r="B25" i="35"/>
  <c r="B26" i="35"/>
  <c r="B16" i="35"/>
  <c r="B17" i="35"/>
  <c r="B18" i="35"/>
  <c r="B19" i="35"/>
  <c r="B10" i="35"/>
  <c r="B11" i="35"/>
  <c r="B12" i="35"/>
  <c r="B13" i="35"/>
  <c r="B4" i="35"/>
  <c r="B5" i="35"/>
  <c r="B6" i="35"/>
  <c r="B7" i="35"/>
  <c r="B198" i="35"/>
  <c r="B197" i="35"/>
  <c r="B191" i="35"/>
  <c r="B190" i="35"/>
  <c r="B185" i="35"/>
  <c r="B184" i="35"/>
  <c r="B179" i="35"/>
  <c r="B178" i="35"/>
  <c r="B174" i="35"/>
  <c r="B173" i="35"/>
  <c r="B168" i="35"/>
  <c r="B167" i="35"/>
  <c r="B162" i="35"/>
  <c r="B161" i="35"/>
  <c r="B155" i="35"/>
  <c r="B154" i="35"/>
  <c r="B148" i="35"/>
  <c r="B147" i="35"/>
  <c r="B142" i="35"/>
  <c r="B141" i="35"/>
  <c r="B136" i="35"/>
  <c r="B135" i="35"/>
  <c r="B130" i="35"/>
  <c r="B129" i="35"/>
  <c r="B126" i="35"/>
  <c r="B125" i="35"/>
  <c r="B124" i="35"/>
  <c r="B123" i="35"/>
  <c r="B122" i="35"/>
  <c r="B119" i="35"/>
  <c r="B118" i="35"/>
  <c r="B117" i="35"/>
  <c r="B116" i="35"/>
  <c r="B111" i="35"/>
  <c r="B110" i="35"/>
  <c r="B104" i="35"/>
  <c r="B103" i="35"/>
  <c r="B98" i="35"/>
  <c r="B97" i="35"/>
  <c r="B91" i="35"/>
  <c r="B90" i="35"/>
  <c r="B78" i="35"/>
  <c r="B77" i="35"/>
  <c r="B70" i="35"/>
  <c r="B65" i="35"/>
  <c r="B64" i="35"/>
  <c r="B59" i="35"/>
  <c r="B58" i="35"/>
  <c r="B53" i="35"/>
  <c r="B52" i="35"/>
  <c r="B47" i="35"/>
  <c r="B46" i="35"/>
  <c r="B42" i="35"/>
  <c r="B41" i="35"/>
  <c r="B35" i="35"/>
  <c r="B34" i="35"/>
  <c r="B28" i="35"/>
  <c r="B27" i="35"/>
  <c r="B21" i="35"/>
  <c r="B20" i="35"/>
  <c r="B15" i="35"/>
  <c r="B14" i="35"/>
  <c r="B9" i="35"/>
  <c r="B8" i="35"/>
  <c r="B3" i="35"/>
  <c r="A3" i="35" s="1"/>
  <c r="B2" i="35"/>
  <c r="B13" i="33"/>
  <c r="D13" i="33"/>
  <c r="B2" i="55"/>
  <c r="B3" i="55"/>
  <c r="B4" i="55"/>
  <c r="B5" i="55"/>
  <c r="B6" i="55"/>
  <c r="B7" i="55"/>
  <c r="B8" i="55"/>
  <c r="B9" i="55"/>
  <c r="B10" i="55"/>
  <c r="B11" i="55"/>
  <c r="B12" i="55"/>
  <c r="B13" i="55"/>
  <c r="B14" i="55"/>
  <c r="B15" i="55"/>
  <c r="B16" i="55"/>
  <c r="B17" i="55"/>
  <c r="B18" i="55"/>
  <c r="B19" i="55"/>
  <c r="B20" i="55"/>
  <c r="B21" i="55"/>
  <c r="B22" i="55"/>
  <c r="B23" i="55"/>
  <c r="B24" i="55"/>
  <c r="B25" i="55"/>
  <c r="B26" i="55"/>
  <c r="B27" i="55"/>
  <c r="B28" i="55"/>
  <c r="B29" i="55"/>
  <c r="B30" i="55"/>
  <c r="B31" i="55"/>
  <c r="B32" i="55"/>
  <c r="B33" i="55"/>
  <c r="B34" i="55"/>
  <c r="B35" i="55"/>
  <c r="B36" i="55"/>
  <c r="B37" i="55"/>
  <c r="B38" i="55"/>
  <c r="B39" i="55"/>
  <c r="B40" i="55"/>
  <c r="B41" i="55"/>
  <c r="B42" i="55"/>
  <c r="B43" i="55"/>
  <c r="B44" i="55"/>
  <c r="B45" i="55"/>
  <c r="B46" i="55"/>
  <c r="B47" i="55"/>
  <c r="B48" i="55"/>
  <c r="B49" i="55"/>
  <c r="B50" i="55"/>
  <c r="B51" i="55"/>
  <c r="B52" i="55"/>
  <c r="B53" i="55"/>
  <c r="B54" i="55"/>
  <c r="B55" i="55"/>
  <c r="B56" i="55"/>
  <c r="B57" i="55"/>
  <c r="B58" i="55"/>
  <c r="B59" i="55"/>
  <c r="B60" i="55"/>
  <c r="B61" i="55"/>
  <c r="B62" i="55"/>
  <c r="B63" i="55"/>
  <c r="B64" i="55"/>
  <c r="B65" i="55"/>
  <c r="B66" i="55"/>
  <c r="B67" i="55"/>
  <c r="B68" i="55"/>
  <c r="B69" i="55"/>
  <c r="B70" i="55"/>
  <c r="B71" i="55"/>
  <c r="B72" i="55"/>
  <c r="B73" i="55"/>
  <c r="B74" i="55"/>
  <c r="B75" i="55"/>
  <c r="B76" i="55"/>
  <c r="B77" i="55"/>
  <c r="B78" i="55"/>
  <c r="B79" i="55"/>
  <c r="B80" i="55"/>
  <c r="AD8" i="48"/>
  <c r="AN103" i="47"/>
  <c r="AN3" i="47"/>
  <c r="D97" i="34"/>
  <c r="D96" i="34"/>
  <c r="D95" i="34"/>
  <c r="D94" i="34"/>
  <c r="D93" i="34"/>
  <c r="D92" i="34"/>
  <c r="D91" i="34"/>
  <c r="D90" i="34"/>
  <c r="D89" i="34"/>
  <c r="D88" i="34"/>
  <c r="D87" i="34"/>
  <c r="D86" i="34"/>
  <c r="D85" i="34"/>
  <c r="D84" i="34"/>
  <c r="D83" i="34"/>
  <c r="D82" i="34"/>
  <c r="D81" i="34"/>
  <c r="D80" i="34"/>
  <c r="D79" i="34"/>
  <c r="D78" i="34"/>
  <c r="D77" i="34"/>
  <c r="D76" i="34"/>
  <c r="D75" i="34"/>
  <c r="D74" i="34"/>
  <c r="D73" i="34"/>
  <c r="D72" i="34"/>
  <c r="D71" i="34"/>
  <c r="D70" i="34"/>
  <c r="D69" i="34"/>
  <c r="D68" i="34"/>
  <c r="D67" i="34"/>
  <c r="D66" i="34"/>
  <c r="D65" i="34"/>
  <c r="D64" i="34"/>
  <c r="D63" i="34"/>
  <c r="D62" i="34"/>
  <c r="D61" i="34"/>
  <c r="D60" i="34"/>
  <c r="D59" i="34"/>
  <c r="D58" i="34"/>
  <c r="D57" i="34"/>
  <c r="D56" i="34"/>
  <c r="D55" i="34"/>
  <c r="D54" i="34"/>
  <c r="D53" i="34"/>
  <c r="D52" i="34"/>
  <c r="D51" i="34"/>
  <c r="D50" i="34"/>
  <c r="D49" i="34"/>
  <c r="D48" i="34"/>
  <c r="D47" i="34"/>
  <c r="D46" i="34"/>
  <c r="D45" i="34"/>
  <c r="D44" i="34"/>
  <c r="D43" i="34"/>
  <c r="D42" i="34"/>
  <c r="D41" i="34"/>
  <c r="D40" i="34"/>
  <c r="D39" i="34"/>
  <c r="D38" i="34"/>
  <c r="D37" i="34"/>
  <c r="D36" i="34"/>
  <c r="D35" i="34"/>
  <c r="D34" i="34"/>
  <c r="D33" i="34"/>
  <c r="D32" i="34"/>
  <c r="D31" i="34"/>
  <c r="D30" i="34"/>
  <c r="D29" i="34"/>
  <c r="D28" i="34"/>
  <c r="D27" i="34"/>
  <c r="D26" i="34"/>
  <c r="D25" i="34"/>
  <c r="D24" i="34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AO3" i="47" s="1"/>
  <c r="BG273" i="48"/>
  <c r="BG19" i="48"/>
  <c r="BG105" i="48"/>
  <c r="BG117" i="48"/>
  <c r="BG83" i="48"/>
  <c r="BG42" i="48"/>
  <c r="BG91" i="48"/>
  <c r="BG70" i="48"/>
  <c r="BG156" i="48"/>
  <c r="BG50" i="48"/>
  <c r="BG67" i="48"/>
  <c r="BG193" i="48"/>
  <c r="BG208" i="48"/>
  <c r="BG261" i="48"/>
  <c r="BG124" i="48"/>
  <c r="BG240" i="48"/>
  <c r="BG244" i="48"/>
  <c r="BG277" i="48"/>
  <c r="BG185" i="48"/>
  <c r="BG241" i="48"/>
  <c r="BG99" i="48"/>
  <c r="BG54" i="48"/>
  <c r="BG187" i="48"/>
  <c r="BG179" i="48"/>
  <c r="BG72" i="48"/>
  <c r="BG267" i="48"/>
  <c r="BG92" i="48"/>
  <c r="BG65" i="48"/>
  <c r="BG149" i="48"/>
  <c r="BG232" i="48"/>
  <c r="BG247" i="48"/>
  <c r="BG142" i="48"/>
  <c r="BG127" i="48"/>
  <c r="BG219" i="48"/>
  <c r="BG5" i="48"/>
  <c r="BG119" i="48"/>
  <c r="BG14" i="48"/>
  <c r="BG272" i="48"/>
  <c r="BG94" i="48"/>
  <c r="BG266" i="48"/>
  <c r="BG102" i="48"/>
  <c r="BG136" i="48"/>
  <c r="BG43" i="48"/>
  <c r="BG130" i="48"/>
  <c r="BG147" i="48"/>
  <c r="BG171" i="48"/>
  <c r="BG51" i="48"/>
  <c r="BG263" i="48"/>
  <c r="BG186" i="48"/>
  <c r="BG226" i="48"/>
  <c r="BG197" i="48"/>
  <c r="BG218" i="48"/>
  <c r="BG27" i="48"/>
  <c r="BG16" i="48"/>
  <c r="BG48" i="48"/>
  <c r="BG180" i="48"/>
  <c r="BG175" i="48"/>
  <c r="BG113" i="48"/>
  <c r="BG228" i="48"/>
  <c r="BG116" i="48"/>
  <c r="BG161" i="48"/>
  <c r="BG249" i="48"/>
  <c r="BG35" i="48"/>
  <c r="BG157" i="48"/>
  <c r="BG128" i="48"/>
  <c r="BG101" i="48"/>
  <c r="BG38" i="48"/>
  <c r="BG120" i="48"/>
  <c r="BG269" i="48"/>
  <c r="BG260" i="48"/>
  <c r="BG122" i="48"/>
  <c r="BG86" i="48"/>
  <c r="BG45" i="48"/>
  <c r="BG276" i="48"/>
  <c r="BG62" i="48"/>
  <c r="BG90" i="48"/>
  <c r="BG177" i="48"/>
  <c r="BG153" i="48"/>
  <c r="BG198" i="48"/>
  <c r="BG80" i="48"/>
  <c r="BG133" i="48"/>
  <c r="BG275" i="48"/>
  <c r="BG112" i="48"/>
  <c r="BG165" i="48"/>
  <c r="BG148" i="48"/>
  <c r="BG78" i="48"/>
  <c r="BG201" i="48"/>
  <c r="BG166" i="48"/>
  <c r="BG96" i="48"/>
  <c r="BG24" i="48"/>
  <c r="BG4" i="48"/>
  <c r="BG163" i="48"/>
  <c r="BG15" i="48"/>
  <c r="BG190" i="48"/>
  <c r="BG184" i="48"/>
  <c r="BG58" i="48"/>
  <c r="BG159" i="48"/>
  <c r="BG61" i="48"/>
  <c r="BG123" i="48"/>
  <c r="BG71" i="48"/>
  <c r="BG154" i="48"/>
  <c r="BG242" i="48"/>
  <c r="BG47" i="48"/>
  <c r="BG281" i="48"/>
  <c r="BG150" i="48"/>
  <c r="BG60" i="48"/>
  <c r="BG168" i="48"/>
  <c r="BG131" i="48"/>
  <c r="BG115" i="48"/>
  <c r="BG32" i="48"/>
  <c r="BG158" i="48"/>
  <c r="BG251" i="48"/>
  <c r="BG211" i="48"/>
  <c r="BG37" i="48"/>
  <c r="BG25" i="48"/>
  <c r="BG114" i="48"/>
  <c r="BG164" i="48"/>
  <c r="BG225" i="48"/>
  <c r="BG129" i="48"/>
  <c r="BG264" i="48"/>
  <c r="BG189" i="48"/>
  <c r="BG221" i="48"/>
  <c r="BG229" i="48"/>
  <c r="BG199" i="48"/>
  <c r="BG268" i="48"/>
  <c r="BG258" i="48"/>
  <c r="BG207" i="48"/>
  <c r="BG110" i="48"/>
  <c r="BG167" i="48"/>
  <c r="BG274" i="48"/>
  <c r="BG28" i="48"/>
  <c r="BG279" i="48"/>
  <c r="BG100" i="48"/>
  <c r="BG10" i="48"/>
  <c r="BG224" i="48"/>
  <c r="BG141" i="48"/>
  <c r="BG132" i="48"/>
  <c r="BG134" i="48"/>
  <c r="BG173" i="48"/>
  <c r="BG21" i="48"/>
  <c r="BG146" i="48"/>
  <c r="BG26" i="48"/>
  <c r="BG151" i="48"/>
  <c r="BG98" i="48"/>
  <c r="BG13" i="48"/>
  <c r="BG85" i="48"/>
  <c r="BG87" i="48"/>
  <c r="BG192" i="48"/>
  <c r="BG256" i="48"/>
  <c r="BG188" i="48"/>
  <c r="BG280" i="48"/>
  <c r="BG259" i="48"/>
  <c r="BG107" i="48"/>
  <c r="BG220" i="48"/>
  <c r="BG140" i="48"/>
  <c r="BG172" i="48"/>
  <c r="BG8" i="48"/>
  <c r="BG84" i="48"/>
  <c r="BG121" i="48"/>
  <c r="BG235" i="48"/>
  <c r="BG144" i="48"/>
  <c r="BG176" i="48"/>
  <c r="BG138" i="48"/>
  <c r="BG170" i="48"/>
  <c r="BG69" i="48"/>
  <c r="BG82" i="48"/>
  <c r="BG106" i="48"/>
  <c r="BG217" i="48"/>
  <c r="BG214" i="48"/>
  <c r="BG253" i="48"/>
  <c r="BG183" i="48"/>
  <c r="BG2" i="48"/>
  <c r="BG178" i="48"/>
  <c r="BG230" i="48"/>
  <c r="BG270" i="48"/>
  <c r="BG238" i="48"/>
  <c r="BG126" i="48"/>
  <c r="BG152" i="48"/>
  <c r="BG18" i="48"/>
  <c r="BG262" i="48"/>
  <c r="BG95" i="48"/>
  <c r="BG252" i="48"/>
  <c r="BG145" i="48"/>
  <c r="BG174" i="48"/>
  <c r="BG257" i="48"/>
  <c r="BG31" i="48"/>
  <c r="BG222" i="48"/>
  <c r="BG271" i="48"/>
  <c r="BG11" i="48"/>
  <c r="BG44" i="48"/>
  <c r="BG79" i="48"/>
  <c r="BG36" i="48"/>
  <c r="BG39" i="48"/>
  <c r="BG265" i="48"/>
  <c r="BG162" i="48"/>
  <c r="BG40" i="48"/>
  <c r="BG205" i="48"/>
  <c r="BG196" i="48"/>
  <c r="BG169" i="48"/>
  <c r="BG237" i="48"/>
  <c r="BG246" i="48"/>
  <c r="BG213" i="48"/>
  <c r="BG206" i="48"/>
  <c r="BG160" i="48"/>
  <c r="BG33" i="48"/>
  <c r="BG104" i="48"/>
  <c r="BG182" i="48"/>
  <c r="BG77" i="48"/>
  <c r="BG68" i="48"/>
  <c r="BG248" i="48"/>
  <c r="BG109" i="48"/>
  <c r="BG46" i="48"/>
  <c r="BG137" i="48"/>
  <c r="BG93" i="48"/>
  <c r="BG236" i="48"/>
  <c r="BG17" i="48"/>
  <c r="BG89" i="48"/>
  <c r="BG233" i="48"/>
  <c r="BG66" i="48"/>
  <c r="BG118" i="48"/>
  <c r="BG243" i="48"/>
  <c r="BG231" i="48"/>
  <c r="BG56" i="48"/>
  <c r="BG41" i="48"/>
  <c r="BG23" i="48"/>
  <c r="BG52" i="48"/>
  <c r="BG57" i="48"/>
  <c r="BG55" i="48"/>
  <c r="BG125" i="48"/>
  <c r="BG6" i="48"/>
  <c r="BG202" i="48"/>
  <c r="BG155" i="48"/>
  <c r="BG203" i="48"/>
  <c r="BG22" i="48"/>
  <c r="BG63" i="48"/>
  <c r="BG88" i="48"/>
  <c r="BG74" i="48"/>
  <c r="BG223" i="48"/>
  <c r="BG103" i="48"/>
  <c r="BG59" i="48"/>
  <c r="BG250" i="48"/>
  <c r="BG135" i="48"/>
  <c r="BG245" i="48"/>
  <c r="BG49" i="48"/>
  <c r="BG254" i="48"/>
  <c r="BG278" i="48"/>
  <c r="BG53" i="48"/>
  <c r="BG9" i="48"/>
  <c r="BG20" i="48"/>
  <c r="BG7" i="48"/>
  <c r="BG30" i="48"/>
  <c r="BG64" i="48"/>
  <c r="BG73" i="48"/>
  <c r="BG255" i="48"/>
  <c r="BG29" i="48"/>
  <c r="BG204" i="48"/>
  <c r="BG194" i="48"/>
  <c r="BG143" i="48"/>
  <c r="BG239" i="48"/>
  <c r="BG212" i="48"/>
  <c r="BG34" i="48"/>
  <c r="BG81" i="48"/>
  <c r="BG76" i="48"/>
  <c r="BG108" i="48"/>
  <c r="BG181" i="48"/>
  <c r="BG3" i="48"/>
  <c r="BG139" i="48"/>
  <c r="BG111" i="48"/>
  <c r="BG195" i="48"/>
  <c r="BG209" i="48"/>
  <c r="BG200" i="48"/>
  <c r="BG227" i="48"/>
  <c r="BG216" i="48"/>
  <c r="BG97" i="48"/>
  <c r="BG234" i="48"/>
  <c r="BG210" i="48"/>
  <c r="BG215" i="48"/>
  <c r="BG12" i="48"/>
  <c r="BG191" i="48"/>
  <c r="BG75" i="48"/>
  <c r="D161" i="36"/>
  <c r="B161" i="36"/>
  <c r="D160" i="36"/>
  <c r="B160" i="36"/>
  <c r="D159" i="36"/>
  <c r="B159" i="36"/>
  <c r="D158" i="36"/>
  <c r="B158" i="36"/>
  <c r="D157" i="36"/>
  <c r="B157" i="36"/>
  <c r="D156" i="36"/>
  <c r="B156" i="36"/>
  <c r="D155" i="36"/>
  <c r="B155" i="36"/>
  <c r="D154" i="36"/>
  <c r="B154" i="36"/>
  <c r="D153" i="36"/>
  <c r="B153" i="36"/>
  <c r="D152" i="36"/>
  <c r="B152" i="36"/>
  <c r="D151" i="36"/>
  <c r="B151" i="36"/>
  <c r="D150" i="36"/>
  <c r="B150" i="36"/>
  <c r="D149" i="36"/>
  <c r="B149" i="36"/>
  <c r="D148" i="36"/>
  <c r="B148" i="36"/>
  <c r="D147" i="36"/>
  <c r="B147" i="36"/>
  <c r="D146" i="36"/>
  <c r="B146" i="36"/>
  <c r="D145" i="36"/>
  <c r="B145" i="36"/>
  <c r="D144" i="36"/>
  <c r="B144" i="36"/>
  <c r="D143" i="36"/>
  <c r="B143" i="36"/>
  <c r="D142" i="36"/>
  <c r="B142" i="36"/>
  <c r="D141" i="36"/>
  <c r="B141" i="36"/>
  <c r="D140" i="36"/>
  <c r="B140" i="36"/>
  <c r="D139" i="36"/>
  <c r="B139" i="36"/>
  <c r="D138" i="36"/>
  <c r="B138" i="36"/>
  <c r="D137" i="36"/>
  <c r="B137" i="36"/>
  <c r="D136" i="36"/>
  <c r="B136" i="36"/>
  <c r="D135" i="36"/>
  <c r="B135" i="36"/>
  <c r="D134" i="36"/>
  <c r="B134" i="36"/>
  <c r="D133" i="36"/>
  <c r="B133" i="36"/>
  <c r="D132" i="36"/>
  <c r="B132" i="36"/>
  <c r="D131" i="36"/>
  <c r="B131" i="36"/>
  <c r="D130" i="36"/>
  <c r="B130" i="36"/>
  <c r="D129" i="36"/>
  <c r="B129" i="36"/>
  <c r="D128" i="36"/>
  <c r="B128" i="36"/>
  <c r="D127" i="36"/>
  <c r="B127" i="36"/>
  <c r="D126" i="36"/>
  <c r="B126" i="36"/>
  <c r="D125" i="36"/>
  <c r="B125" i="36"/>
  <c r="D124" i="36"/>
  <c r="B124" i="36"/>
  <c r="D123" i="36"/>
  <c r="B123" i="36"/>
  <c r="D122" i="36"/>
  <c r="B122" i="36"/>
  <c r="D121" i="36"/>
  <c r="B121" i="36"/>
  <c r="D120" i="36"/>
  <c r="B120" i="36"/>
  <c r="D119" i="36"/>
  <c r="B119" i="36"/>
  <c r="D118" i="36"/>
  <c r="B118" i="36"/>
  <c r="D117" i="36"/>
  <c r="B117" i="36"/>
  <c r="D116" i="36"/>
  <c r="B116" i="36"/>
  <c r="D115" i="36"/>
  <c r="B115" i="36"/>
  <c r="D114" i="36"/>
  <c r="B114" i="36"/>
  <c r="D113" i="36"/>
  <c r="B113" i="36"/>
  <c r="D112" i="36"/>
  <c r="B112" i="36"/>
  <c r="D111" i="36"/>
  <c r="B111" i="36"/>
  <c r="D110" i="36"/>
  <c r="B110" i="36"/>
  <c r="D109" i="36"/>
  <c r="B109" i="36"/>
  <c r="D108" i="36"/>
  <c r="B108" i="36"/>
  <c r="D107" i="36"/>
  <c r="B107" i="36"/>
  <c r="D106" i="36"/>
  <c r="B106" i="36"/>
  <c r="D105" i="36"/>
  <c r="B105" i="36"/>
  <c r="D104" i="36"/>
  <c r="B104" i="36"/>
  <c r="D103" i="36"/>
  <c r="B103" i="36"/>
  <c r="D102" i="36"/>
  <c r="B102" i="36"/>
  <c r="D101" i="36"/>
  <c r="B101" i="36"/>
  <c r="D100" i="36"/>
  <c r="B100" i="36"/>
  <c r="D99" i="36"/>
  <c r="B99" i="36"/>
  <c r="D98" i="36"/>
  <c r="B98" i="36"/>
  <c r="D97" i="36"/>
  <c r="B97" i="36"/>
  <c r="D96" i="36"/>
  <c r="B96" i="36"/>
  <c r="D95" i="36"/>
  <c r="B95" i="36"/>
  <c r="D94" i="36"/>
  <c r="B94" i="36"/>
  <c r="D93" i="36"/>
  <c r="B93" i="36"/>
  <c r="D92" i="36"/>
  <c r="B92" i="36"/>
  <c r="D91" i="36"/>
  <c r="B91" i="36"/>
  <c r="D90" i="36"/>
  <c r="B90" i="36"/>
  <c r="D89" i="36"/>
  <c r="B89" i="36"/>
  <c r="D88" i="36"/>
  <c r="B88" i="36"/>
  <c r="D87" i="36"/>
  <c r="B87" i="36"/>
  <c r="D86" i="36"/>
  <c r="B86" i="36"/>
  <c r="D85" i="36"/>
  <c r="B85" i="36"/>
  <c r="D84" i="36"/>
  <c r="B84" i="36"/>
  <c r="D83" i="36"/>
  <c r="B83" i="36"/>
  <c r="D82" i="36"/>
  <c r="B82" i="36"/>
  <c r="D81" i="36"/>
  <c r="B81" i="36"/>
  <c r="D80" i="36"/>
  <c r="B80" i="36"/>
  <c r="D79" i="36"/>
  <c r="B79" i="36"/>
  <c r="D78" i="36"/>
  <c r="B78" i="36"/>
  <c r="D77" i="36"/>
  <c r="B77" i="36"/>
  <c r="D76" i="36"/>
  <c r="B76" i="36"/>
  <c r="D75" i="36"/>
  <c r="B75" i="36"/>
  <c r="D74" i="36"/>
  <c r="B74" i="36"/>
  <c r="D73" i="36"/>
  <c r="B73" i="36"/>
  <c r="D72" i="36"/>
  <c r="B72" i="36"/>
  <c r="D71" i="36"/>
  <c r="B71" i="36"/>
  <c r="D70" i="36"/>
  <c r="B70" i="36"/>
  <c r="D69" i="36"/>
  <c r="B69" i="36"/>
  <c r="D68" i="36"/>
  <c r="B68" i="36"/>
  <c r="D67" i="36"/>
  <c r="B67" i="36"/>
  <c r="D66" i="36"/>
  <c r="B66" i="36"/>
  <c r="D65" i="36"/>
  <c r="B65" i="36"/>
  <c r="D64" i="36"/>
  <c r="B64" i="36"/>
  <c r="D63" i="36"/>
  <c r="B63" i="36"/>
  <c r="D62" i="36"/>
  <c r="B62" i="36"/>
  <c r="D61" i="36"/>
  <c r="B61" i="36"/>
  <c r="D60" i="36"/>
  <c r="B60" i="36"/>
  <c r="D59" i="36"/>
  <c r="B59" i="36"/>
  <c r="D58" i="36"/>
  <c r="B58" i="36"/>
  <c r="D57" i="36"/>
  <c r="B57" i="36"/>
  <c r="D56" i="36"/>
  <c r="B56" i="36"/>
  <c r="D55" i="36"/>
  <c r="B55" i="36"/>
  <c r="D54" i="36"/>
  <c r="B54" i="36"/>
  <c r="D53" i="36"/>
  <c r="B53" i="36"/>
  <c r="D52" i="36"/>
  <c r="B52" i="36"/>
  <c r="D51" i="36"/>
  <c r="B51" i="36"/>
  <c r="D50" i="36"/>
  <c r="B50" i="36"/>
  <c r="D49" i="36"/>
  <c r="B49" i="36"/>
  <c r="D48" i="36"/>
  <c r="B48" i="36"/>
  <c r="D47" i="36"/>
  <c r="B47" i="36"/>
  <c r="D46" i="36"/>
  <c r="B46" i="36"/>
  <c r="D45" i="36"/>
  <c r="B45" i="36"/>
  <c r="D44" i="36"/>
  <c r="B44" i="36"/>
  <c r="D43" i="36"/>
  <c r="B43" i="36"/>
  <c r="D42" i="36"/>
  <c r="B42" i="36"/>
  <c r="D41" i="36"/>
  <c r="B41" i="36"/>
  <c r="D40" i="36"/>
  <c r="B40" i="36"/>
  <c r="D39" i="36"/>
  <c r="B39" i="36"/>
  <c r="D38" i="36"/>
  <c r="B38" i="36"/>
  <c r="D37" i="36"/>
  <c r="B37" i="36"/>
  <c r="D36" i="36"/>
  <c r="B36" i="36"/>
  <c r="D35" i="36"/>
  <c r="B35" i="36"/>
  <c r="D34" i="36"/>
  <c r="B34" i="36"/>
  <c r="D33" i="36"/>
  <c r="B33" i="36"/>
  <c r="D32" i="36"/>
  <c r="B32" i="36"/>
  <c r="D31" i="36"/>
  <c r="B31" i="36"/>
  <c r="D30" i="36"/>
  <c r="B30" i="36"/>
  <c r="D29" i="36"/>
  <c r="B29" i="36"/>
  <c r="D28" i="36"/>
  <c r="B28" i="36"/>
  <c r="D27" i="36"/>
  <c r="B27" i="36"/>
  <c r="D26" i="36"/>
  <c r="B26" i="36"/>
  <c r="D25" i="36"/>
  <c r="B25" i="36"/>
  <c r="D24" i="36"/>
  <c r="B24" i="36"/>
  <c r="D23" i="36"/>
  <c r="B23" i="36"/>
  <c r="D22" i="36"/>
  <c r="B22" i="36"/>
  <c r="D21" i="36"/>
  <c r="B21" i="36"/>
  <c r="D20" i="36"/>
  <c r="B20" i="36"/>
  <c r="D19" i="36"/>
  <c r="B19" i="36"/>
  <c r="D18" i="36"/>
  <c r="B18" i="36"/>
  <c r="D17" i="36"/>
  <c r="B17" i="36"/>
  <c r="D16" i="36"/>
  <c r="B16" i="36"/>
  <c r="D15" i="36"/>
  <c r="B15" i="36"/>
  <c r="D14" i="36"/>
  <c r="B14" i="36"/>
  <c r="D13" i="36"/>
  <c r="B13" i="36"/>
  <c r="D12" i="36"/>
  <c r="B12" i="36"/>
  <c r="B9" i="36"/>
  <c r="B8" i="36"/>
  <c r="B7" i="36"/>
  <c r="D7" i="36"/>
  <c r="D8" i="36"/>
  <c r="D9" i="36"/>
  <c r="B10" i="36"/>
  <c r="D10" i="36"/>
  <c r="B11" i="36"/>
  <c r="D11" i="36"/>
  <c r="B2" i="36"/>
  <c r="J3" i="47" s="1"/>
  <c r="B3" i="36"/>
  <c r="A3" i="36" s="1"/>
  <c r="D2" i="36"/>
  <c r="L3" i="47" s="1"/>
  <c r="B4" i="36"/>
  <c r="B5" i="36"/>
  <c r="B6" i="36"/>
  <c r="D3" i="36"/>
  <c r="D4" i="36"/>
  <c r="D5" i="36"/>
  <c r="D6" i="36"/>
  <c r="Y3" i="47"/>
  <c r="R3" i="47"/>
  <c r="D3" i="47"/>
  <c r="AD7" i="48"/>
  <c r="AD4" i="48"/>
  <c r="AD5" i="48"/>
  <c r="AJ3" i="48"/>
  <c r="AJ4" i="48"/>
  <c r="AJ5" i="48"/>
  <c r="AJ6" i="48"/>
  <c r="AJ7" i="48"/>
  <c r="AJ8" i="48"/>
  <c r="AJ9" i="48"/>
  <c r="AJ10" i="48"/>
  <c r="AJ11" i="48"/>
  <c r="AJ12" i="48"/>
  <c r="AJ13" i="48"/>
  <c r="AJ14" i="48"/>
  <c r="AJ15" i="48"/>
  <c r="AJ16" i="48"/>
  <c r="AJ17" i="48"/>
  <c r="AJ18" i="48"/>
  <c r="AJ19" i="48"/>
  <c r="AJ20" i="48"/>
  <c r="AJ21" i="48"/>
  <c r="AJ22" i="48"/>
  <c r="AJ23" i="48"/>
  <c r="AJ24" i="48"/>
  <c r="AJ25" i="48"/>
  <c r="AJ26" i="48"/>
  <c r="AJ27" i="48"/>
  <c r="AJ28" i="48"/>
  <c r="AJ29" i="48"/>
  <c r="AJ30" i="48"/>
  <c r="AJ31" i="48"/>
  <c r="AJ32" i="48"/>
  <c r="AJ33" i="48"/>
  <c r="AJ34" i="48"/>
  <c r="AJ35" i="48"/>
  <c r="AJ36" i="48"/>
  <c r="AJ37" i="48"/>
  <c r="AJ38" i="48"/>
  <c r="AJ39" i="48"/>
  <c r="AJ40" i="48"/>
  <c r="AJ41" i="48"/>
  <c r="AJ42" i="48"/>
  <c r="AJ43" i="48"/>
  <c r="AJ44" i="48"/>
  <c r="AJ45" i="48"/>
  <c r="AJ46" i="48"/>
  <c r="AJ47" i="48"/>
  <c r="AJ48" i="48"/>
  <c r="AJ49" i="48"/>
  <c r="AJ50" i="48"/>
  <c r="AJ51" i="48"/>
  <c r="AJ52" i="48"/>
  <c r="AJ53" i="48"/>
  <c r="AJ54" i="48"/>
  <c r="AJ55" i="48"/>
  <c r="AJ56" i="48"/>
  <c r="AJ57" i="48"/>
  <c r="AJ58" i="48"/>
  <c r="AJ59" i="48"/>
  <c r="AJ60" i="48"/>
  <c r="AJ61" i="48"/>
  <c r="AJ62" i="48"/>
  <c r="AJ63" i="48"/>
  <c r="AJ64" i="48"/>
  <c r="AJ65" i="48"/>
  <c r="AJ66" i="48"/>
  <c r="AJ67" i="48"/>
  <c r="AJ68" i="48"/>
  <c r="AJ69" i="48"/>
  <c r="AJ70" i="48"/>
  <c r="AJ71" i="48"/>
  <c r="AJ72" i="48"/>
  <c r="AJ73" i="48"/>
  <c r="AJ74" i="48"/>
  <c r="AJ75" i="48"/>
  <c r="AJ76" i="48"/>
  <c r="AJ77" i="48"/>
  <c r="AJ78" i="48"/>
  <c r="AJ79" i="48"/>
  <c r="AJ80" i="48"/>
  <c r="AJ81" i="48"/>
  <c r="AJ82" i="48"/>
  <c r="AJ83" i="48"/>
  <c r="AJ84" i="48"/>
  <c r="AJ85" i="48"/>
  <c r="AJ86" i="48"/>
  <c r="AJ87" i="48"/>
  <c r="AJ88" i="48"/>
  <c r="AJ89" i="48"/>
  <c r="AJ90" i="48"/>
  <c r="AJ91" i="48"/>
  <c r="AJ92" i="48"/>
  <c r="AJ93" i="48"/>
  <c r="AJ94" i="48"/>
  <c r="AJ95" i="48"/>
  <c r="AJ96" i="48"/>
  <c r="AJ97" i="48"/>
  <c r="AJ98" i="48"/>
  <c r="AJ99" i="48"/>
  <c r="AJ100" i="48"/>
  <c r="AJ101" i="48"/>
  <c r="AJ102" i="48"/>
  <c r="AJ103" i="48"/>
  <c r="AJ104" i="48"/>
  <c r="AJ105" i="48"/>
  <c r="AJ106" i="48"/>
  <c r="AJ107" i="48"/>
  <c r="AJ108" i="48"/>
  <c r="AJ109" i="48"/>
  <c r="AJ110" i="48"/>
  <c r="AJ111" i="48"/>
  <c r="AJ112" i="48"/>
  <c r="AJ113" i="48"/>
  <c r="AJ114" i="48"/>
  <c r="AJ115" i="48"/>
  <c r="AJ116" i="48"/>
  <c r="AJ117" i="48"/>
  <c r="AJ118" i="48"/>
  <c r="AJ119" i="48"/>
  <c r="AJ120" i="48"/>
  <c r="AJ121" i="48"/>
  <c r="AJ122" i="48"/>
  <c r="AJ123" i="48"/>
  <c r="AJ124" i="48"/>
  <c r="AJ125" i="48"/>
  <c r="AJ126" i="48"/>
  <c r="AJ127" i="48"/>
  <c r="AJ128" i="48"/>
  <c r="AJ129" i="48"/>
  <c r="AJ130" i="48"/>
  <c r="AJ131" i="48"/>
  <c r="AJ132" i="48"/>
  <c r="AJ133" i="48"/>
  <c r="AJ134" i="48"/>
  <c r="AJ135" i="48"/>
  <c r="AJ136" i="48"/>
  <c r="AJ137" i="48"/>
  <c r="AJ138" i="48"/>
  <c r="AJ139" i="48"/>
  <c r="AJ140" i="48"/>
  <c r="AJ141" i="48"/>
  <c r="AJ142" i="48"/>
  <c r="AJ143" i="48"/>
  <c r="AJ144" i="48"/>
  <c r="AJ145" i="48"/>
  <c r="AJ146" i="48"/>
  <c r="AJ147" i="48"/>
  <c r="AJ148" i="48"/>
  <c r="AJ149" i="48"/>
  <c r="AJ150" i="48"/>
  <c r="AJ151" i="48"/>
  <c r="AJ152" i="48"/>
  <c r="AJ153" i="48"/>
  <c r="AJ154" i="48"/>
  <c r="AJ155" i="48"/>
  <c r="AJ156" i="48"/>
  <c r="AJ157" i="48"/>
  <c r="AJ158" i="48"/>
  <c r="AJ159" i="48"/>
  <c r="AJ160" i="48"/>
  <c r="AJ161" i="48"/>
  <c r="AJ162" i="48"/>
  <c r="AJ163" i="48"/>
  <c r="AJ164" i="48"/>
  <c r="AJ165" i="48"/>
  <c r="AJ166" i="48"/>
  <c r="AJ167" i="48"/>
  <c r="AJ168" i="48"/>
  <c r="AJ169" i="48"/>
  <c r="AJ170" i="48"/>
  <c r="AJ171" i="48"/>
  <c r="AJ172" i="48"/>
  <c r="AJ173" i="48"/>
  <c r="AJ174" i="48"/>
  <c r="AJ175" i="48"/>
  <c r="AJ176" i="48"/>
  <c r="AJ177" i="48"/>
  <c r="AJ178" i="48"/>
  <c r="AJ179" i="48"/>
  <c r="AJ180" i="48"/>
  <c r="AJ181" i="48"/>
  <c r="AJ182" i="48"/>
  <c r="AJ183" i="48"/>
  <c r="AJ184" i="48"/>
  <c r="AJ185" i="48"/>
  <c r="AJ186" i="48"/>
  <c r="AJ187" i="48"/>
  <c r="AJ188" i="48"/>
  <c r="AJ189" i="48"/>
  <c r="AJ190" i="48"/>
  <c r="AJ191" i="48"/>
  <c r="AJ192" i="48"/>
  <c r="AJ193" i="48"/>
  <c r="AJ194" i="48"/>
  <c r="AJ195" i="48"/>
  <c r="AJ196" i="48"/>
  <c r="AJ197" i="48"/>
  <c r="AJ198" i="48"/>
  <c r="AJ199" i="48"/>
  <c r="AJ200" i="48"/>
  <c r="AJ201" i="48"/>
  <c r="AJ202" i="48"/>
  <c r="AJ203" i="48"/>
  <c r="AJ204" i="48"/>
  <c r="AJ205" i="48"/>
  <c r="AJ206" i="48"/>
  <c r="AJ207" i="48"/>
  <c r="AJ208" i="48"/>
  <c r="AJ209" i="48"/>
  <c r="AJ210" i="48"/>
  <c r="AJ211" i="48"/>
  <c r="AJ212" i="48"/>
  <c r="AJ213" i="48"/>
  <c r="AJ214" i="48"/>
  <c r="AJ215" i="48"/>
  <c r="AJ216" i="48"/>
  <c r="AJ217" i="48"/>
  <c r="AJ218" i="48"/>
  <c r="AJ219" i="48"/>
  <c r="AJ220" i="48"/>
  <c r="AJ221" i="48"/>
  <c r="AJ222" i="48"/>
  <c r="AJ223" i="48"/>
  <c r="AJ224" i="48"/>
  <c r="AJ225" i="48"/>
  <c r="AJ226" i="48"/>
  <c r="AJ227" i="48"/>
  <c r="AJ228" i="48"/>
  <c r="AJ229" i="48"/>
  <c r="AJ230" i="48"/>
  <c r="AJ231" i="48"/>
  <c r="AJ232" i="48"/>
  <c r="AJ233" i="48"/>
  <c r="AJ234" i="48"/>
  <c r="AJ235" i="48"/>
  <c r="AJ236" i="48"/>
  <c r="AJ237" i="48"/>
  <c r="AJ238" i="48"/>
  <c r="AJ239" i="48"/>
  <c r="AJ240" i="48"/>
  <c r="AJ241" i="48"/>
  <c r="AJ242" i="48"/>
  <c r="AJ243" i="48"/>
  <c r="AJ244" i="48"/>
  <c r="AJ245" i="48"/>
  <c r="AJ246" i="48"/>
  <c r="AJ247" i="48"/>
  <c r="AJ248" i="48"/>
  <c r="AJ249" i="48"/>
  <c r="AJ250" i="48"/>
  <c r="AJ251" i="48"/>
  <c r="AJ252" i="48"/>
  <c r="AJ253" i="48"/>
  <c r="AJ254" i="48"/>
  <c r="AJ255" i="48"/>
  <c r="AJ256" i="48"/>
  <c r="AJ257" i="48"/>
  <c r="AJ258" i="48"/>
  <c r="AJ259" i="48"/>
  <c r="AJ260" i="48"/>
  <c r="AJ261" i="48"/>
  <c r="AJ262" i="48"/>
  <c r="AJ263" i="48"/>
  <c r="AJ264" i="48"/>
  <c r="AJ265" i="48"/>
  <c r="AJ266" i="48"/>
  <c r="AJ267" i="48"/>
  <c r="AJ268" i="48"/>
  <c r="AJ269" i="48"/>
  <c r="AJ270" i="48"/>
  <c r="AJ271" i="48"/>
  <c r="AJ272" i="48"/>
  <c r="AJ273" i="48"/>
  <c r="AJ274" i="48"/>
  <c r="AJ275" i="48"/>
  <c r="AJ276" i="48"/>
  <c r="AJ277" i="48"/>
  <c r="AJ278" i="48"/>
  <c r="AJ279" i="48"/>
  <c r="AJ280" i="48"/>
  <c r="AJ281" i="48"/>
  <c r="AJ282" i="48"/>
  <c r="AJ283" i="48"/>
  <c r="AJ284" i="48"/>
  <c r="AJ285" i="48"/>
  <c r="AJ286" i="48"/>
  <c r="AJ287" i="48"/>
  <c r="AJ288" i="48"/>
  <c r="AJ289" i="48"/>
  <c r="AJ290" i="48"/>
  <c r="AJ291" i="48"/>
  <c r="AJ292" i="48"/>
  <c r="AJ293" i="48"/>
  <c r="AJ294" i="48"/>
  <c r="AJ295" i="48"/>
  <c r="AJ296" i="48"/>
  <c r="AJ297" i="48"/>
  <c r="AJ298" i="48"/>
  <c r="AJ299" i="48"/>
  <c r="AJ300" i="48"/>
  <c r="AJ301" i="48"/>
  <c r="C33" i="46"/>
  <c r="AF34" i="47" s="1"/>
  <c r="B33" i="46"/>
  <c r="AE34" i="47" s="1"/>
  <c r="C32" i="46"/>
  <c r="AF33" i="47" s="1"/>
  <c r="B32" i="46"/>
  <c r="AE33" i="47"/>
  <c r="C31" i="46"/>
  <c r="AF32" i="47" s="1"/>
  <c r="B31" i="46"/>
  <c r="AE32" i="47" s="1"/>
  <c r="C30" i="46"/>
  <c r="AF31" i="47" s="1"/>
  <c r="B30" i="46"/>
  <c r="AE31" i="47" s="1"/>
  <c r="C29" i="46"/>
  <c r="AF30" i="47" s="1"/>
  <c r="B29" i="46"/>
  <c r="AE30" i="47" s="1"/>
  <c r="AG29" i="47"/>
  <c r="C28" i="46"/>
  <c r="AF29" i="47" s="1"/>
  <c r="B28" i="46"/>
  <c r="AE29" i="47" s="1"/>
  <c r="C27" i="46"/>
  <c r="AF28" i="47" s="1"/>
  <c r="B27" i="46"/>
  <c r="AE28" i="47" s="1"/>
  <c r="C26" i="46"/>
  <c r="AF27" i="47" s="1"/>
  <c r="B26" i="46"/>
  <c r="AE27" i="47" s="1"/>
  <c r="C25" i="46"/>
  <c r="AF26" i="47" s="1"/>
  <c r="B25" i="46"/>
  <c r="AE26" i="47" s="1"/>
  <c r="C24" i="46"/>
  <c r="AF25" i="47" s="1"/>
  <c r="B24" i="46"/>
  <c r="AE25" i="47" s="1"/>
  <c r="C23" i="46"/>
  <c r="AF24" i="47" s="1"/>
  <c r="B23" i="46"/>
  <c r="AE24" i="47" s="1"/>
  <c r="C22" i="46"/>
  <c r="AF23" i="47" s="1"/>
  <c r="B22" i="46"/>
  <c r="AE23" i="47" s="1"/>
  <c r="C21" i="46"/>
  <c r="AF22" i="47" s="1"/>
  <c r="B21" i="46"/>
  <c r="AE22" i="47" s="1"/>
  <c r="C20" i="46"/>
  <c r="AF21" i="47" s="1"/>
  <c r="B20" i="46"/>
  <c r="AE21" i="47" s="1"/>
  <c r="C19" i="46"/>
  <c r="AF20" i="47" s="1"/>
  <c r="B19" i="46"/>
  <c r="AE20" i="47" s="1"/>
  <c r="C18" i="46"/>
  <c r="AF19" i="47" s="1"/>
  <c r="B18" i="46"/>
  <c r="AE19" i="47" s="1"/>
  <c r="C17" i="46"/>
  <c r="AF18" i="47" s="1"/>
  <c r="B17" i="46"/>
  <c r="AE18" i="47" s="1"/>
  <c r="C16" i="46"/>
  <c r="AF17" i="47" s="1"/>
  <c r="B16" i="46"/>
  <c r="AE17" i="47" s="1"/>
  <c r="C15" i="46"/>
  <c r="AF16" i="47" s="1"/>
  <c r="B15" i="46"/>
  <c r="AE16" i="47" s="1"/>
  <c r="C14" i="46"/>
  <c r="AF15" i="47" s="1"/>
  <c r="B14" i="46"/>
  <c r="AE15" i="47" s="1"/>
  <c r="C13" i="46"/>
  <c r="AF14" i="47" s="1"/>
  <c r="B13" i="46"/>
  <c r="AE14" i="47" s="1"/>
  <c r="C12" i="46"/>
  <c r="AF13" i="47" s="1"/>
  <c r="B12" i="46"/>
  <c r="AE13" i="47" s="1"/>
  <c r="C11" i="46"/>
  <c r="AF12" i="47" s="1"/>
  <c r="B11" i="46"/>
  <c r="AE12" i="47" s="1"/>
  <c r="C10" i="46"/>
  <c r="AF11" i="47" s="1"/>
  <c r="B10" i="46"/>
  <c r="AE11" i="47" s="1"/>
  <c r="C9" i="46"/>
  <c r="AF10" i="47" s="1"/>
  <c r="B9" i="46"/>
  <c r="AE10" i="47" s="1"/>
  <c r="C8" i="46"/>
  <c r="AF9" i="47" s="1"/>
  <c r="B8" i="46"/>
  <c r="AE9" i="47" s="1"/>
  <c r="C7" i="46"/>
  <c r="AF8" i="47" s="1"/>
  <c r="B7" i="46"/>
  <c r="AE8" i="47" s="1"/>
  <c r="C6" i="46"/>
  <c r="AF7" i="47" s="1"/>
  <c r="B6" i="46"/>
  <c r="AE7" i="47" s="1"/>
  <c r="C5" i="46"/>
  <c r="AF6" i="47"/>
  <c r="B5" i="46"/>
  <c r="AE6" i="47" s="1"/>
  <c r="C4" i="46"/>
  <c r="AF5" i="47" s="1"/>
  <c r="B4" i="46"/>
  <c r="AE5" i="47" s="1"/>
  <c r="C3" i="46"/>
  <c r="AF4" i="47" s="1"/>
  <c r="B3" i="46"/>
  <c r="AE4" i="47" s="1"/>
  <c r="C2" i="46"/>
  <c r="AF3" i="47" s="1"/>
  <c r="B2" i="46"/>
  <c r="AE3" i="47" s="1"/>
  <c r="D73" i="33"/>
  <c r="D72" i="33"/>
  <c r="D70" i="33"/>
  <c r="D69" i="33"/>
  <c r="D68" i="33"/>
  <c r="D67" i="33"/>
  <c r="D65" i="33"/>
  <c r="D64" i="33"/>
  <c r="D63" i="33"/>
  <c r="D62" i="33"/>
  <c r="D61" i="33"/>
  <c r="D60" i="33"/>
  <c r="D59" i="33"/>
  <c r="D58" i="33"/>
  <c r="D57" i="33"/>
  <c r="D42" i="33"/>
  <c r="D41" i="33"/>
  <c r="D55" i="33"/>
  <c r="D54" i="33"/>
  <c r="D53" i="33"/>
  <c r="D52" i="33"/>
  <c r="D51" i="33"/>
  <c r="D50" i="33"/>
  <c r="D49" i="33"/>
  <c r="D48" i="33"/>
  <c r="D47" i="33"/>
  <c r="D46" i="33"/>
  <c r="D45" i="33"/>
  <c r="D44" i="33"/>
  <c r="D43" i="33"/>
  <c r="D40" i="33"/>
  <c r="D39" i="33"/>
  <c r="D38" i="33"/>
  <c r="D37" i="33"/>
  <c r="D36" i="33"/>
  <c r="D35" i="33"/>
  <c r="D34" i="33"/>
  <c r="D33" i="33"/>
  <c r="D32" i="33"/>
  <c r="D31" i="33"/>
  <c r="D30" i="33"/>
  <c r="D28" i="33"/>
  <c r="D29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2" i="33"/>
  <c r="D11" i="33"/>
  <c r="D10" i="33"/>
  <c r="D9" i="33"/>
  <c r="D8" i="33"/>
  <c r="D7" i="33"/>
  <c r="D6" i="33"/>
  <c r="D5" i="33"/>
  <c r="D3" i="33"/>
  <c r="D2" i="33"/>
  <c r="E3" i="47" s="1"/>
  <c r="B61" i="33"/>
  <c r="B51" i="33"/>
  <c r="B30" i="33"/>
  <c r="B3" i="33"/>
  <c r="A3" i="33" s="1"/>
  <c r="A4" i="33" s="1"/>
  <c r="B2" i="33"/>
  <c r="C3" i="47" s="1"/>
  <c r="B73" i="33"/>
  <c r="B70" i="33"/>
  <c r="B68" i="33"/>
  <c r="B65" i="33"/>
  <c r="B63" i="33"/>
  <c r="B60" i="33"/>
  <c r="B58" i="33"/>
  <c r="B42" i="33"/>
  <c r="B55" i="33"/>
  <c r="B53" i="33"/>
  <c r="B50" i="33"/>
  <c r="B46" i="33"/>
  <c r="B44" i="33"/>
  <c r="B40" i="33"/>
  <c r="B38" i="33"/>
  <c r="B36" i="33"/>
  <c r="B34" i="33"/>
  <c r="B32" i="33"/>
  <c r="B28" i="33"/>
  <c r="B27" i="33"/>
  <c r="B25" i="33"/>
  <c r="B23" i="33"/>
  <c r="B21" i="33"/>
  <c r="B19" i="33"/>
  <c r="B17" i="33"/>
  <c r="B15" i="33"/>
  <c r="B12" i="33"/>
  <c r="B10" i="33"/>
  <c r="B8" i="33"/>
  <c r="B6" i="33"/>
  <c r="B72" i="33"/>
  <c r="B69" i="33"/>
  <c r="B67" i="33"/>
  <c r="B64" i="33"/>
  <c r="B62" i="33"/>
  <c r="B59" i="33"/>
  <c r="B57" i="33"/>
  <c r="B41" i="33"/>
  <c r="B54" i="33"/>
  <c r="B52" i="33"/>
  <c r="B49" i="33"/>
  <c r="B47" i="33"/>
  <c r="B45" i="33"/>
  <c r="B43" i="33"/>
  <c r="B39" i="33"/>
  <c r="B37" i="33"/>
  <c r="B35" i="33"/>
  <c r="B33" i="33"/>
  <c r="B31" i="33"/>
  <c r="B29" i="33"/>
  <c r="B26" i="33"/>
  <c r="B24" i="33"/>
  <c r="B22" i="33"/>
  <c r="B20" i="33"/>
  <c r="B18" i="33"/>
  <c r="B16" i="33"/>
  <c r="B14" i="33"/>
  <c r="B11" i="33"/>
  <c r="B9" i="33"/>
  <c r="B7" i="33"/>
  <c r="B5" i="33"/>
  <c r="Q3" i="47"/>
  <c r="AL103" i="47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B76" i="34"/>
  <c r="B75" i="34"/>
  <c r="B74" i="34"/>
  <c r="B73" i="34"/>
  <c r="B72" i="34"/>
  <c r="B71" i="34"/>
  <c r="B70" i="34"/>
  <c r="B69" i="34"/>
  <c r="B68" i="34"/>
  <c r="B67" i="34"/>
  <c r="B66" i="34"/>
  <c r="B65" i="34"/>
  <c r="B64" i="34"/>
  <c r="B63" i="34"/>
  <c r="B62" i="34"/>
  <c r="B61" i="34"/>
  <c r="B60" i="34"/>
  <c r="B59" i="34"/>
  <c r="B58" i="34"/>
  <c r="B57" i="34"/>
  <c r="B56" i="34"/>
  <c r="B55" i="34"/>
  <c r="B54" i="34"/>
  <c r="B53" i="34"/>
  <c r="B52" i="34"/>
  <c r="B51" i="34"/>
  <c r="B50" i="34"/>
  <c r="B49" i="34"/>
  <c r="B48" i="34"/>
  <c r="B47" i="34"/>
  <c r="B46" i="34"/>
  <c r="B45" i="34"/>
  <c r="B44" i="34"/>
  <c r="B43" i="34"/>
  <c r="B42" i="34"/>
  <c r="B41" i="34"/>
  <c r="B40" i="34"/>
  <c r="B39" i="34"/>
  <c r="B38" i="34"/>
  <c r="B37" i="34"/>
  <c r="B36" i="34"/>
  <c r="B35" i="34"/>
  <c r="B34" i="34"/>
  <c r="B33" i="34"/>
  <c r="B32" i="34"/>
  <c r="B31" i="34"/>
  <c r="B30" i="34"/>
  <c r="B29" i="34"/>
  <c r="B28" i="34"/>
  <c r="B27" i="34"/>
  <c r="B26" i="34"/>
  <c r="B25" i="34"/>
  <c r="B24" i="34"/>
  <c r="B23" i="34"/>
  <c r="B22" i="34"/>
  <c r="B21" i="34"/>
  <c r="B20" i="34"/>
  <c r="B19" i="34"/>
  <c r="B18" i="34"/>
  <c r="B17" i="34"/>
  <c r="B16" i="34"/>
  <c r="B15" i="34"/>
  <c r="B14" i="34"/>
  <c r="B13" i="34"/>
  <c r="B12" i="34"/>
  <c r="B11" i="34"/>
  <c r="B10" i="34"/>
  <c r="B9" i="34"/>
  <c r="B8" i="34"/>
  <c r="B7" i="34"/>
  <c r="B6" i="34"/>
  <c r="B5" i="34"/>
  <c r="B4" i="34"/>
  <c r="B3" i="34"/>
  <c r="A3" i="34" s="1"/>
  <c r="B2" i="34"/>
  <c r="AL3" i="47" s="1"/>
  <c r="AJ2" i="48"/>
  <c r="K3" i="47"/>
  <c r="I19" i="30" l="1"/>
  <c r="I16" i="30"/>
  <c r="I17" i="30"/>
  <c r="J18" i="30"/>
  <c r="K18" i="30"/>
  <c r="K18" i="16"/>
  <c r="F95" i="35" s="1"/>
  <c r="I13" i="16"/>
  <c r="I17" i="16"/>
  <c r="I19" i="16"/>
  <c r="I15" i="16"/>
  <c r="I16" i="16"/>
  <c r="D3" i="14"/>
  <c r="Z4" i="47"/>
  <c r="I8" i="31"/>
  <c r="E159" i="36" s="1"/>
  <c r="I17" i="31"/>
  <c r="J17" i="31" s="1"/>
  <c r="E201" i="35" s="1"/>
  <c r="I14" i="17"/>
  <c r="I15" i="17"/>
  <c r="I17" i="17"/>
  <c r="I16" i="17"/>
  <c r="I18" i="17"/>
  <c r="I13" i="17"/>
  <c r="D3" i="12"/>
  <c r="E25" i="33" s="1"/>
  <c r="E4" i="19"/>
  <c r="H4" i="19" s="1"/>
  <c r="G4" i="19"/>
  <c r="E4" i="23"/>
  <c r="F4" i="23" s="1"/>
  <c r="G4" i="23"/>
  <c r="E4" i="3"/>
  <c r="F4" i="3" s="1"/>
  <c r="G4" i="3"/>
  <c r="E3" i="31"/>
  <c r="H3" i="31" s="1"/>
  <c r="I73" i="33" s="1"/>
  <c r="G3" i="31"/>
  <c r="E3" i="14"/>
  <c r="F3" i="14" s="1"/>
  <c r="G28" i="33" s="1"/>
  <c r="G3" i="14"/>
  <c r="H28" i="33" s="1"/>
  <c r="E36" i="33"/>
  <c r="G3" i="17"/>
  <c r="E4" i="7"/>
  <c r="F4" i="7" s="1"/>
  <c r="G4" i="7"/>
  <c r="E4" i="14"/>
  <c r="H4" i="14" s="1"/>
  <c r="I30" i="33" s="1"/>
  <c r="G4" i="14"/>
  <c r="H30" i="33" s="1"/>
  <c r="E3" i="27"/>
  <c r="F3" i="27" s="1"/>
  <c r="G60" i="33" s="1"/>
  <c r="G3" i="27"/>
  <c r="H60" i="33" s="1"/>
  <c r="E3" i="29"/>
  <c r="H3" i="29" s="1"/>
  <c r="I68" i="33" s="1"/>
  <c r="G3" i="29"/>
  <c r="E48" i="33"/>
  <c r="G3" i="21"/>
  <c r="E4" i="5"/>
  <c r="F4" i="5" s="1"/>
  <c r="G4" i="5"/>
  <c r="E4" i="6"/>
  <c r="H4" i="6" s="1"/>
  <c r="G4" i="6"/>
  <c r="E3" i="15"/>
  <c r="H3" i="15" s="1"/>
  <c r="I32" i="33" s="1"/>
  <c r="G3" i="15"/>
  <c r="H32" i="33" s="1"/>
  <c r="E13" i="33"/>
  <c r="G3" i="1"/>
  <c r="E53" i="33"/>
  <c r="G3" i="23"/>
  <c r="E3" i="16"/>
  <c r="H3" i="16" s="1"/>
  <c r="I34" i="33" s="1"/>
  <c r="G3" i="16"/>
  <c r="H34" i="33" s="1"/>
  <c r="E4" i="10"/>
  <c r="F4" i="10" s="1"/>
  <c r="G4" i="10"/>
  <c r="E4" i="12"/>
  <c r="F4" i="12" s="1"/>
  <c r="G4" i="12"/>
  <c r="E4" i="18"/>
  <c r="F4" i="18" s="1"/>
  <c r="G4" i="18"/>
  <c r="E2" i="8"/>
  <c r="G2" i="8"/>
  <c r="E3" i="32"/>
  <c r="F3" i="32" s="1"/>
  <c r="G3" i="33" s="1"/>
  <c r="G3" i="32"/>
  <c r="H3" i="33" s="1"/>
  <c r="E3" i="4"/>
  <c r="H3" i="4" s="1"/>
  <c r="I6" i="33" s="1"/>
  <c r="G3" i="4"/>
  <c r="H6" i="33" s="1"/>
  <c r="E2" i="13"/>
  <c r="H2" i="13" s="1"/>
  <c r="I26" i="33" s="1"/>
  <c r="G2" i="13"/>
  <c r="H26" i="33" s="1"/>
  <c r="F3" i="20"/>
  <c r="G46" i="33" s="1"/>
  <c r="F4" i="11"/>
  <c r="H4" i="20"/>
  <c r="I11" i="30"/>
  <c r="K11" i="30" s="1"/>
  <c r="I3" i="26"/>
  <c r="J58" i="33" s="1"/>
  <c r="I15" i="9"/>
  <c r="J15" i="9" s="1"/>
  <c r="E48" i="35" s="1"/>
  <c r="E2" i="2"/>
  <c r="F64" i="33" s="1"/>
  <c r="I4" i="29"/>
  <c r="J4" i="29" s="1"/>
  <c r="D2" i="29"/>
  <c r="G2" i="29" s="1"/>
  <c r="I18" i="29"/>
  <c r="K18" i="29" s="1"/>
  <c r="F189" i="35" s="1"/>
  <c r="I7" i="29"/>
  <c r="I14" i="29"/>
  <c r="J14" i="29" s="1"/>
  <c r="E185" i="35" s="1"/>
  <c r="D4" i="29"/>
  <c r="D3" i="28"/>
  <c r="D3" i="26"/>
  <c r="E3" i="26" s="1"/>
  <c r="E35" i="26"/>
  <c r="D3" i="19"/>
  <c r="I9" i="25"/>
  <c r="J9" i="25" s="1"/>
  <c r="F95" i="36" s="1"/>
  <c r="I10" i="25"/>
  <c r="K10" i="25" s="1"/>
  <c r="G96" i="36" s="1"/>
  <c r="I16" i="25"/>
  <c r="J16" i="25" s="1"/>
  <c r="D3" i="18"/>
  <c r="L24" i="18" s="1"/>
  <c r="M24" i="18" s="1"/>
  <c r="I2" i="17"/>
  <c r="K2" i="17" s="1"/>
  <c r="L35" i="33" s="1"/>
  <c r="I7" i="9"/>
  <c r="K7" i="9" s="1"/>
  <c r="G38" i="36" s="1"/>
  <c r="I16" i="9"/>
  <c r="K16" i="9" s="1"/>
  <c r="F49" i="35" s="1"/>
  <c r="E35" i="9"/>
  <c r="I13" i="9"/>
  <c r="J13" i="9" s="1"/>
  <c r="E46" i="35" s="1"/>
  <c r="I2" i="9"/>
  <c r="J2" i="9" s="1"/>
  <c r="K18" i="33" s="1"/>
  <c r="D3" i="8"/>
  <c r="L17" i="8" s="1"/>
  <c r="M17" i="8" s="1"/>
  <c r="O17" i="8" s="1"/>
  <c r="D4" i="8"/>
  <c r="D2" i="1"/>
  <c r="G2" i="1" s="1"/>
  <c r="F35" i="16"/>
  <c r="E35" i="16"/>
  <c r="E35" i="22"/>
  <c r="I7" i="22"/>
  <c r="J7" i="22" s="1"/>
  <c r="I13" i="22"/>
  <c r="K13" i="22" s="1"/>
  <c r="F141" i="35" s="1"/>
  <c r="F35" i="22"/>
  <c r="I7" i="26"/>
  <c r="K7" i="26" s="1"/>
  <c r="G128" i="36" s="1"/>
  <c r="I16" i="26"/>
  <c r="K16" i="26" s="1"/>
  <c r="F164" i="35" s="1"/>
  <c r="I8" i="26"/>
  <c r="E129" i="36" s="1"/>
  <c r="I15" i="26"/>
  <c r="J15" i="26" s="1"/>
  <c r="I9" i="26"/>
  <c r="E130" i="36" s="1"/>
  <c r="I10" i="16"/>
  <c r="E76" i="36" s="1"/>
  <c r="D4" i="27"/>
  <c r="G4" i="27" s="1"/>
  <c r="F35" i="26"/>
  <c r="I11" i="9"/>
  <c r="K11" i="9" s="1"/>
  <c r="I20" i="9"/>
  <c r="K20" i="9" s="1"/>
  <c r="I14" i="13"/>
  <c r="K14" i="13" s="1"/>
  <c r="I10" i="26"/>
  <c r="E131" i="36" s="1"/>
  <c r="I19" i="26"/>
  <c r="J19" i="26" s="1"/>
  <c r="I11" i="29"/>
  <c r="K11" i="29" s="1"/>
  <c r="I20" i="29"/>
  <c r="J20" i="29" s="1"/>
  <c r="I13" i="18"/>
  <c r="K13" i="18" s="1"/>
  <c r="F111" i="35" s="1"/>
  <c r="I13" i="26"/>
  <c r="K13" i="26" s="1"/>
  <c r="F161" i="35" s="1"/>
  <c r="I17" i="26"/>
  <c r="J17" i="26" s="1"/>
  <c r="I11" i="26"/>
  <c r="J11" i="26" s="1"/>
  <c r="I8" i="16"/>
  <c r="J8" i="16" s="1"/>
  <c r="F74" i="36" s="1"/>
  <c r="D4" i="4"/>
  <c r="I2" i="26"/>
  <c r="J57" i="33" s="1"/>
  <c r="I14" i="26"/>
  <c r="J14" i="26" s="1"/>
  <c r="E162" i="35" s="1"/>
  <c r="Z3" i="47"/>
  <c r="I4" i="26"/>
  <c r="K4" i="26" s="1"/>
  <c r="I6" i="26"/>
  <c r="E127" i="36" s="1"/>
  <c r="I18" i="26"/>
  <c r="K18" i="26" s="1"/>
  <c r="I17" i="29"/>
  <c r="J17" i="29" s="1"/>
  <c r="E64" i="33"/>
  <c r="I3" i="9"/>
  <c r="J19" i="33" s="1"/>
  <c r="I19" i="25"/>
  <c r="J19" i="25" s="1"/>
  <c r="I3" i="3"/>
  <c r="J3" i="3" s="1"/>
  <c r="K38" i="33" s="1"/>
  <c r="I2" i="3"/>
  <c r="K2" i="3" s="1"/>
  <c r="L37" i="33" s="1"/>
  <c r="E2" i="24"/>
  <c r="H54" i="33" s="1"/>
  <c r="E54" i="33"/>
  <c r="I10" i="9"/>
  <c r="K10" i="9" s="1"/>
  <c r="G41" i="36" s="1"/>
  <c r="F35" i="25"/>
  <c r="D2" i="4"/>
  <c r="G2" i="4" s="1"/>
  <c r="I2" i="22"/>
  <c r="J49" i="33" s="1"/>
  <c r="D4" i="28"/>
  <c r="I23" i="22"/>
  <c r="J23" i="22" s="1"/>
  <c r="D3" i="5"/>
  <c r="D2" i="7"/>
  <c r="G2" i="7" s="1"/>
  <c r="I14" i="16"/>
  <c r="K14" i="16" s="1"/>
  <c r="I8" i="17"/>
  <c r="J8" i="17" s="1"/>
  <c r="F79" i="36" s="1"/>
  <c r="I14" i="20"/>
  <c r="K14" i="20" s="1"/>
  <c r="F130" i="35" s="1"/>
  <c r="I15" i="22"/>
  <c r="J15" i="22" s="1"/>
  <c r="E143" i="35" s="1"/>
  <c r="E35" i="17"/>
  <c r="D4" i="9"/>
  <c r="G4" i="9" s="1"/>
  <c r="AO103" i="47"/>
  <c r="F35" i="9"/>
  <c r="F35" i="20"/>
  <c r="I4" i="9"/>
  <c r="J4" i="9" s="1"/>
  <c r="I6" i="9"/>
  <c r="K6" i="9" s="1"/>
  <c r="G37" i="36" s="1"/>
  <c r="I6" i="16"/>
  <c r="J6" i="16" s="1"/>
  <c r="F72" i="36" s="1"/>
  <c r="I7" i="16"/>
  <c r="E73" i="36" s="1"/>
  <c r="D2" i="5"/>
  <c r="I8" i="24"/>
  <c r="I9" i="9"/>
  <c r="J9" i="9" s="1"/>
  <c r="F40" i="36" s="1"/>
  <c r="I17" i="9"/>
  <c r="K17" i="9" s="1"/>
  <c r="K4" i="47"/>
  <c r="L4" i="47"/>
  <c r="I20" i="21"/>
  <c r="K20" i="21" s="1"/>
  <c r="I4" i="21"/>
  <c r="K4" i="21" s="1"/>
  <c r="E35" i="21"/>
  <c r="I19" i="21"/>
  <c r="K19" i="21" s="1"/>
  <c r="I14" i="21"/>
  <c r="K14" i="21" s="1"/>
  <c r="I10" i="21"/>
  <c r="E111" i="36" s="1"/>
  <c r="I6" i="21"/>
  <c r="K6" i="21" s="1"/>
  <c r="G107" i="36" s="1"/>
  <c r="I11" i="21"/>
  <c r="K11" i="21" s="1"/>
  <c r="I17" i="21"/>
  <c r="K17" i="21" s="1"/>
  <c r="F35" i="21"/>
  <c r="E35" i="27"/>
  <c r="I3" i="27"/>
  <c r="J60" i="33" s="1"/>
  <c r="I19" i="27"/>
  <c r="K19" i="27" s="1"/>
  <c r="I16" i="27"/>
  <c r="K16" i="27" s="1"/>
  <c r="I10" i="27"/>
  <c r="E136" i="36" s="1"/>
  <c r="I6" i="27"/>
  <c r="K6" i="27" s="1"/>
  <c r="G132" i="36" s="1"/>
  <c r="I4" i="27"/>
  <c r="K4" i="27" s="1"/>
  <c r="L61" i="33" s="1"/>
  <c r="I15" i="27"/>
  <c r="K15" i="27" s="1"/>
  <c r="I2" i="27"/>
  <c r="K2" i="27" s="1"/>
  <c r="L59" i="33" s="1"/>
  <c r="I13" i="27"/>
  <c r="K13" i="27" s="1"/>
  <c r="F167" i="35" s="1"/>
  <c r="F35" i="27"/>
  <c r="I7" i="11"/>
  <c r="I14" i="11"/>
  <c r="K14" i="11" s="1"/>
  <c r="E3" i="9"/>
  <c r="F19" i="33" s="1"/>
  <c r="E19" i="33"/>
  <c r="I9" i="14"/>
  <c r="K9" i="14" s="1"/>
  <c r="G65" i="36" s="1"/>
  <c r="I8" i="14"/>
  <c r="J8" i="14" s="1"/>
  <c r="F64" i="36" s="1"/>
  <c r="F35" i="14"/>
  <c r="I19" i="14"/>
  <c r="K19" i="14" s="1"/>
  <c r="F83" i="35" s="1"/>
  <c r="I6" i="14"/>
  <c r="J6" i="14" s="1"/>
  <c r="F62" i="36" s="1"/>
  <c r="F35" i="5"/>
  <c r="I10" i="5"/>
  <c r="E16" i="36" s="1"/>
  <c r="I11" i="5"/>
  <c r="J11" i="5" s="1"/>
  <c r="D3" i="3"/>
  <c r="G3" i="3" s="1"/>
  <c r="I19" i="8"/>
  <c r="K19" i="8" s="1"/>
  <c r="I6" i="11"/>
  <c r="E47" i="36" s="1"/>
  <c r="I6" i="13"/>
  <c r="E57" i="36" s="1"/>
  <c r="I11" i="16"/>
  <c r="K11" i="16" s="1"/>
  <c r="I20" i="16"/>
  <c r="J20" i="16" s="1"/>
  <c r="D2" i="32"/>
  <c r="G2" i="32" s="1"/>
  <c r="I7" i="15"/>
  <c r="K7" i="15" s="1"/>
  <c r="G68" i="36" s="1"/>
  <c r="E87" i="35"/>
  <c r="I2" i="19"/>
  <c r="J43" i="33" s="1"/>
  <c r="I13" i="20"/>
  <c r="J13" i="20" s="1"/>
  <c r="E129" i="35" s="1"/>
  <c r="D4" i="32"/>
  <c r="G4" i="32" s="1"/>
  <c r="I9" i="21"/>
  <c r="J9" i="21" s="1"/>
  <c r="F110" i="36" s="1"/>
  <c r="I14" i="5"/>
  <c r="J14" i="5" s="1"/>
  <c r="E15" i="35" s="1"/>
  <c r="I8" i="13"/>
  <c r="J8" i="13" s="1"/>
  <c r="F59" i="36" s="1"/>
  <c r="I9" i="6"/>
  <c r="E20" i="36" s="1"/>
  <c r="F25" i="35"/>
  <c r="I14" i="1"/>
  <c r="K14" i="1" s="1"/>
  <c r="F28" i="35" s="1"/>
  <c r="I9" i="17"/>
  <c r="K9" i="17" s="1"/>
  <c r="G80" i="36" s="1"/>
  <c r="I8" i="9"/>
  <c r="J8" i="9" s="1"/>
  <c r="F39" i="36" s="1"/>
  <c r="I18" i="9"/>
  <c r="J18" i="9" s="1"/>
  <c r="D2" i="9"/>
  <c r="D2" i="12"/>
  <c r="D3" i="11"/>
  <c r="I6" i="5"/>
  <c r="J6" i="5" s="1"/>
  <c r="F12" i="36" s="1"/>
  <c r="I15" i="5"/>
  <c r="J15" i="5" s="1"/>
  <c r="E16" i="35" s="1"/>
  <c r="I18" i="13"/>
  <c r="K18" i="13" s="1"/>
  <c r="F75" i="35" s="1"/>
  <c r="I20" i="26"/>
  <c r="K20" i="26" s="1"/>
  <c r="I7" i="27"/>
  <c r="E133" i="36" s="1"/>
  <c r="I17" i="27"/>
  <c r="J17" i="27" s="1"/>
  <c r="I19" i="3"/>
  <c r="K19" i="3" s="1"/>
  <c r="F109" i="35" s="1"/>
  <c r="F35" i="13"/>
  <c r="I10" i="30"/>
  <c r="K10" i="30" s="1"/>
  <c r="G156" i="36" s="1"/>
  <c r="I8" i="27"/>
  <c r="E134" i="36" s="1"/>
  <c r="I20" i="3"/>
  <c r="J20" i="3" s="1"/>
  <c r="I7" i="14"/>
  <c r="E63" i="36" s="1"/>
  <c r="I16" i="14"/>
  <c r="K16" i="14" s="1"/>
  <c r="F80" i="35" s="1"/>
  <c r="I18" i="25"/>
  <c r="K18" i="25" s="1"/>
  <c r="F121" i="35" s="1"/>
  <c r="I2" i="21"/>
  <c r="J47" i="33" s="1"/>
  <c r="I9" i="27"/>
  <c r="K9" i="27" s="1"/>
  <c r="G135" i="36" s="1"/>
  <c r="I18" i="27"/>
  <c r="K18" i="27" s="1"/>
  <c r="F172" i="35" s="1"/>
  <c r="I9" i="20"/>
  <c r="E105" i="36" s="1"/>
  <c r="I3" i="21"/>
  <c r="J3" i="21" s="1"/>
  <c r="K48" i="33" s="1"/>
  <c r="D2" i="15"/>
  <c r="G2" i="15" s="1"/>
  <c r="E35" i="6"/>
  <c r="I16" i="20"/>
  <c r="J16" i="20" s="1"/>
  <c r="E132" i="35" s="1"/>
  <c r="E25" i="36"/>
  <c r="E32" i="35"/>
  <c r="I3" i="15"/>
  <c r="J32" i="33" s="1"/>
  <c r="D3" i="6"/>
  <c r="F35" i="15"/>
  <c r="D4" i="17"/>
  <c r="L22" i="17" s="1"/>
  <c r="A4" i="34"/>
  <c r="A5" i="34" s="1"/>
  <c r="Y5" i="47" s="1"/>
  <c r="I19" i="5"/>
  <c r="K19" i="5" s="1"/>
  <c r="I4" i="6"/>
  <c r="J4" i="6" s="1"/>
  <c r="I4" i="17"/>
  <c r="K4" i="17" s="1"/>
  <c r="I11" i="22"/>
  <c r="J11" i="22" s="1"/>
  <c r="I20" i="22"/>
  <c r="J20" i="22" s="1"/>
  <c r="I11" i="27"/>
  <c r="J11" i="27" s="1"/>
  <c r="I20" i="27"/>
  <c r="J20" i="27" s="1"/>
  <c r="E35" i="8"/>
  <c r="F23" i="35"/>
  <c r="I10" i="1"/>
  <c r="K10" i="1" s="1"/>
  <c r="G26" i="36" s="1"/>
  <c r="I19" i="1"/>
  <c r="K19" i="1" s="1"/>
  <c r="F33" i="35" s="1"/>
  <c r="D4" i="13"/>
  <c r="I6" i="17"/>
  <c r="E77" i="36" s="1"/>
  <c r="D2" i="6"/>
  <c r="I10" i="8"/>
  <c r="K10" i="8" s="1"/>
  <c r="G36" i="36" s="1"/>
  <c r="I14" i="9"/>
  <c r="K14" i="9" s="1"/>
  <c r="F47" i="35" s="1"/>
  <c r="I11" i="20"/>
  <c r="K11" i="20" s="1"/>
  <c r="I20" i="20"/>
  <c r="K20" i="20" s="1"/>
  <c r="E2" i="26"/>
  <c r="H57" i="33" s="1"/>
  <c r="E57" i="33"/>
  <c r="F35" i="4"/>
  <c r="E35" i="4"/>
  <c r="I14" i="4"/>
  <c r="K14" i="4" s="1"/>
  <c r="F9" i="35" s="1"/>
  <c r="I17" i="4"/>
  <c r="K17" i="4" s="1"/>
  <c r="F12" i="35" s="1"/>
  <c r="I9" i="23"/>
  <c r="J9" i="23" s="1"/>
  <c r="I13" i="23"/>
  <c r="K13" i="23" s="1"/>
  <c r="F147" i="35" s="1"/>
  <c r="F35" i="7"/>
  <c r="E35" i="7"/>
  <c r="I14" i="7"/>
  <c r="K14" i="7" s="1"/>
  <c r="F35" i="35" s="1"/>
  <c r="I2" i="7"/>
  <c r="J2" i="7" s="1"/>
  <c r="K14" i="33" s="1"/>
  <c r="E35" i="33"/>
  <c r="E2" i="17"/>
  <c r="H2" i="17" s="1"/>
  <c r="I35" i="33" s="1"/>
  <c r="A4" i="35"/>
  <c r="S5" i="47" s="1"/>
  <c r="Q4" i="47"/>
  <c r="R4" i="47"/>
  <c r="AO104" i="47"/>
  <c r="S4" i="47"/>
  <c r="E2" i="28"/>
  <c r="H2" i="28" s="1"/>
  <c r="I62" i="33" s="1"/>
  <c r="E62" i="33"/>
  <c r="I8" i="2"/>
  <c r="J8" i="2" s="1"/>
  <c r="E35" i="2"/>
  <c r="F35" i="2"/>
  <c r="I18" i="14"/>
  <c r="J18" i="14" s="1"/>
  <c r="E82" i="35" s="1"/>
  <c r="I6" i="7"/>
  <c r="E27" i="36" s="1"/>
  <c r="I15" i="7"/>
  <c r="K15" i="7" s="1"/>
  <c r="F36" i="35" s="1"/>
  <c r="I9" i="10"/>
  <c r="I2" i="11"/>
  <c r="K2" i="11" s="1"/>
  <c r="L22" i="33" s="1"/>
  <c r="D2" i="3"/>
  <c r="G2" i="3" s="1"/>
  <c r="E35" i="5"/>
  <c r="I9" i="4"/>
  <c r="E10" i="36" s="1"/>
  <c r="I18" i="4"/>
  <c r="J18" i="4" s="1"/>
  <c r="E13" i="35" s="1"/>
  <c r="I2" i="5"/>
  <c r="J7" i="33" s="1"/>
  <c r="I8" i="6"/>
  <c r="E19" i="36" s="1"/>
  <c r="F24" i="35"/>
  <c r="I13" i="1"/>
  <c r="J13" i="1" s="1"/>
  <c r="E27" i="35" s="1"/>
  <c r="I3" i="11"/>
  <c r="J3" i="11" s="1"/>
  <c r="K23" i="33" s="1"/>
  <c r="I8" i="22"/>
  <c r="I16" i="22"/>
  <c r="J16" i="22" s="1"/>
  <c r="E144" i="35" s="1"/>
  <c r="I3" i="5"/>
  <c r="K3" i="5" s="1"/>
  <c r="L8" i="33" s="1"/>
  <c r="I16" i="4"/>
  <c r="K16" i="4" s="1"/>
  <c r="F11" i="35" s="1"/>
  <c r="I7" i="7"/>
  <c r="J7" i="7" s="1"/>
  <c r="F28" i="36" s="1"/>
  <c r="F37" i="35"/>
  <c r="I10" i="2"/>
  <c r="K10" i="2" s="1"/>
  <c r="G146" i="36" s="1"/>
  <c r="I19" i="2"/>
  <c r="J19" i="2" s="1"/>
  <c r="I10" i="4"/>
  <c r="E11" i="36" s="1"/>
  <c r="I19" i="4"/>
  <c r="J19" i="4" s="1"/>
  <c r="I18" i="22"/>
  <c r="K18" i="22" s="1"/>
  <c r="I4" i="5"/>
  <c r="K4" i="5" s="1"/>
  <c r="I3" i="1"/>
  <c r="J3" i="1" s="1"/>
  <c r="I20" i="8"/>
  <c r="K20" i="8" s="1"/>
  <c r="I14" i="19"/>
  <c r="J14" i="19" s="1"/>
  <c r="E123" i="35" s="1"/>
  <c r="D2" i="21"/>
  <c r="E47" i="33" s="1"/>
  <c r="I20" i="23"/>
  <c r="K20" i="23" s="1"/>
  <c r="I11" i="10"/>
  <c r="J11" i="10" s="1"/>
  <c r="I20" i="10"/>
  <c r="K20" i="10" s="1"/>
  <c r="I4" i="3"/>
  <c r="K4" i="3" s="1"/>
  <c r="I11" i="2"/>
  <c r="K11" i="2" s="1"/>
  <c r="I20" i="2"/>
  <c r="J20" i="2" s="1"/>
  <c r="I11" i="4"/>
  <c r="K11" i="4" s="1"/>
  <c r="I20" i="4"/>
  <c r="J20" i="4" s="1"/>
  <c r="I10" i="6"/>
  <c r="E21" i="36" s="1"/>
  <c r="I19" i="6"/>
  <c r="J19" i="6" s="1"/>
  <c r="E26" i="35" s="1"/>
  <c r="I8" i="11"/>
  <c r="K8" i="11" s="1"/>
  <c r="I18" i="11"/>
  <c r="J18" i="11" s="1"/>
  <c r="I11" i="14"/>
  <c r="K11" i="14" s="1"/>
  <c r="I20" i="14"/>
  <c r="J20" i="14" s="1"/>
  <c r="I4" i="19"/>
  <c r="K4" i="19" s="1"/>
  <c r="I4" i="1"/>
  <c r="J4" i="1" s="1"/>
  <c r="I13" i="8"/>
  <c r="K13" i="8" s="1"/>
  <c r="F41" i="35" s="1"/>
  <c r="I7" i="17"/>
  <c r="E78" i="36" s="1"/>
  <c r="I11" i="25"/>
  <c r="J11" i="25" s="1"/>
  <c r="I20" i="25"/>
  <c r="J20" i="25" s="1"/>
  <c r="I6" i="19"/>
  <c r="E97" i="36" s="1"/>
  <c r="I17" i="19"/>
  <c r="K17" i="19" s="1"/>
  <c r="I13" i="21"/>
  <c r="K13" i="21" s="1"/>
  <c r="D2" i="23"/>
  <c r="G2" i="23" s="1"/>
  <c r="I8" i="5"/>
  <c r="I17" i="5"/>
  <c r="K17" i="5" s="1"/>
  <c r="I9" i="7"/>
  <c r="K9" i="7" s="1"/>
  <c r="G30" i="36" s="1"/>
  <c r="I18" i="7"/>
  <c r="J18" i="7" s="1"/>
  <c r="E39" i="35" s="1"/>
  <c r="I2" i="8"/>
  <c r="J2" i="8" s="1"/>
  <c r="K16" i="33" s="1"/>
  <c r="I13" i="10"/>
  <c r="K13" i="10" s="1"/>
  <c r="F52" i="35" s="1"/>
  <c r="I10" i="20"/>
  <c r="J10" i="20" s="1"/>
  <c r="F106" i="36" s="1"/>
  <c r="I19" i="20"/>
  <c r="K19" i="20" s="1"/>
  <c r="I14" i="27"/>
  <c r="K14" i="27" s="1"/>
  <c r="I14" i="2"/>
  <c r="J14" i="2" s="1"/>
  <c r="I13" i="4"/>
  <c r="J13" i="4" s="1"/>
  <c r="E8" i="35" s="1"/>
  <c r="I3" i="8"/>
  <c r="J17" i="33" s="1"/>
  <c r="I13" i="14"/>
  <c r="J13" i="14" s="1"/>
  <c r="E77" i="35" s="1"/>
  <c r="I2" i="16"/>
  <c r="K2" i="16" s="1"/>
  <c r="L33" i="33" s="1"/>
  <c r="I2" i="4"/>
  <c r="J2" i="4" s="1"/>
  <c r="K5" i="33" s="1"/>
  <c r="I14" i="8"/>
  <c r="K14" i="8" s="1"/>
  <c r="F42" i="35" s="1"/>
  <c r="I2" i="10"/>
  <c r="K2" i="10" s="1"/>
  <c r="L20" i="33" s="1"/>
  <c r="I3" i="16"/>
  <c r="I13" i="25"/>
  <c r="K13" i="25" s="1"/>
  <c r="F116" i="35" s="1"/>
  <c r="I3" i="4"/>
  <c r="J6" i="33" s="1"/>
  <c r="I9" i="5"/>
  <c r="J9" i="5" s="1"/>
  <c r="I16" i="5"/>
  <c r="K16" i="5" s="1"/>
  <c r="I10" i="7"/>
  <c r="J10" i="7" s="1"/>
  <c r="F31" i="36" s="1"/>
  <c r="I19" i="7"/>
  <c r="K19" i="7" s="1"/>
  <c r="F40" i="35" s="1"/>
  <c r="I14" i="10"/>
  <c r="K14" i="10" s="1"/>
  <c r="F53" i="35" s="1"/>
  <c r="I3" i="2"/>
  <c r="J65" i="33" s="1"/>
  <c r="I13" i="2"/>
  <c r="K13" i="2" s="1"/>
  <c r="E35" i="14"/>
  <c r="I14" i="6"/>
  <c r="J14" i="6" s="1"/>
  <c r="I4" i="8"/>
  <c r="K4" i="8" s="1"/>
  <c r="D3" i="10"/>
  <c r="I14" i="14"/>
  <c r="K14" i="14" s="1"/>
  <c r="F78" i="35" s="1"/>
  <c r="I2" i="25"/>
  <c r="J2" i="25" s="1"/>
  <c r="K41" i="33" s="1"/>
  <c r="I4" i="23"/>
  <c r="K4" i="23" s="1"/>
  <c r="D4" i="2"/>
  <c r="I14" i="31"/>
  <c r="J14" i="31" s="1"/>
  <c r="E198" i="35" s="1"/>
  <c r="I18" i="8"/>
  <c r="K18" i="8" s="1"/>
  <c r="I3" i="14"/>
  <c r="K3" i="14" s="1"/>
  <c r="L28" i="33" s="1"/>
  <c r="I2" i="6"/>
  <c r="J2" i="6" s="1"/>
  <c r="K9" i="33" s="1"/>
  <c r="D4" i="1"/>
  <c r="I6" i="8"/>
  <c r="E32" i="36" s="1"/>
  <c r="I16" i="8"/>
  <c r="K16" i="8" s="1"/>
  <c r="I4" i="10"/>
  <c r="K4" i="10" s="1"/>
  <c r="I14" i="12"/>
  <c r="J14" i="12" s="1"/>
  <c r="E64" i="35" s="1"/>
  <c r="I4" i="16"/>
  <c r="K4" i="16" s="1"/>
  <c r="I3" i="25"/>
  <c r="J42" i="33" s="1"/>
  <c r="I14" i="25"/>
  <c r="K14" i="25" s="1"/>
  <c r="F117" i="35" s="1"/>
  <c r="I7" i="21"/>
  <c r="K7" i="21" s="1"/>
  <c r="G108" i="36" s="1"/>
  <c r="I18" i="21"/>
  <c r="K18" i="21" s="1"/>
  <c r="F138" i="35" s="1"/>
  <c r="I19" i="24"/>
  <c r="J19" i="24" s="1"/>
  <c r="E160" i="35" s="1"/>
  <c r="I4" i="2"/>
  <c r="J4" i="2" s="1"/>
  <c r="K66" i="33" s="1"/>
  <c r="I4" i="4"/>
  <c r="K4" i="4" s="1"/>
  <c r="I7" i="5"/>
  <c r="I18" i="5"/>
  <c r="K18" i="5" s="1"/>
  <c r="F18" i="35" s="1"/>
  <c r="I11" i="7"/>
  <c r="J11" i="7" s="1"/>
  <c r="I20" i="7"/>
  <c r="K20" i="7" s="1"/>
  <c r="I7" i="10"/>
  <c r="K7" i="10" s="1"/>
  <c r="I15" i="10"/>
  <c r="J15" i="10" s="1"/>
  <c r="E54" i="35" s="1"/>
  <c r="I4" i="14"/>
  <c r="J30" i="33" s="1"/>
  <c r="D2" i="18"/>
  <c r="I6" i="2"/>
  <c r="E142" i="36" s="1"/>
  <c r="T2" i="55" s="1"/>
  <c r="I15" i="2"/>
  <c r="J15" i="2" s="1"/>
  <c r="E180" i="35" s="1"/>
  <c r="I4" i="31"/>
  <c r="J74" i="33" s="1"/>
  <c r="I6" i="4"/>
  <c r="E7" i="36" s="1"/>
  <c r="I15" i="4"/>
  <c r="K15" i="4" s="1"/>
  <c r="F10" i="35" s="1"/>
  <c r="I3" i="6"/>
  <c r="J3" i="6" s="1"/>
  <c r="K10" i="33" s="1"/>
  <c r="I13" i="6"/>
  <c r="K13" i="6" s="1"/>
  <c r="I10" i="11"/>
  <c r="K10" i="11" s="1"/>
  <c r="G51" i="36" s="1"/>
  <c r="I4" i="25"/>
  <c r="K4" i="25" s="1"/>
  <c r="D2" i="20"/>
  <c r="J4" i="47"/>
  <c r="I11" i="8"/>
  <c r="J11" i="8" s="1"/>
  <c r="I10" i="14"/>
  <c r="E66" i="36" s="1"/>
  <c r="I15" i="14"/>
  <c r="K15" i="14" s="1"/>
  <c r="F79" i="35" s="1"/>
  <c r="I7" i="8"/>
  <c r="J7" i="8" s="1"/>
  <c r="F33" i="36" s="1"/>
  <c r="I17" i="8"/>
  <c r="J17" i="8" s="1"/>
  <c r="I6" i="25"/>
  <c r="K6" i="25" s="1"/>
  <c r="G92" i="36" s="1"/>
  <c r="I2" i="20"/>
  <c r="K2" i="20" s="1"/>
  <c r="L45" i="33" s="1"/>
  <c r="I8" i="21"/>
  <c r="E109" i="36" s="1"/>
  <c r="I13" i="7"/>
  <c r="J13" i="7" s="1"/>
  <c r="E34" i="35" s="1"/>
  <c r="I7" i="2"/>
  <c r="K7" i="2" s="1"/>
  <c r="G143" i="36" s="1"/>
  <c r="I7" i="31"/>
  <c r="K7" i="31" s="1"/>
  <c r="G158" i="36" s="1"/>
  <c r="I18" i="31"/>
  <c r="K18" i="31" s="1"/>
  <c r="I7" i="12"/>
  <c r="K7" i="12" s="1"/>
  <c r="G53" i="36" s="1"/>
  <c r="I16" i="12"/>
  <c r="J16" i="12" s="1"/>
  <c r="E66" i="35" s="1"/>
  <c r="I7" i="25"/>
  <c r="E93" i="36" s="1"/>
  <c r="I17" i="25"/>
  <c r="K17" i="25" s="1"/>
  <c r="I3" i="7"/>
  <c r="J15" i="33" s="1"/>
  <c r="I8" i="8"/>
  <c r="K8" i="8" s="1"/>
  <c r="G34" i="36" s="1"/>
  <c r="I15" i="8"/>
  <c r="K15" i="8" s="1"/>
  <c r="I17" i="14"/>
  <c r="K17" i="14" s="1"/>
  <c r="F81" i="35" s="1"/>
  <c r="I6" i="10"/>
  <c r="K6" i="10" s="1"/>
  <c r="I16" i="10"/>
  <c r="J16" i="10" s="1"/>
  <c r="D2" i="27"/>
  <c r="I9" i="2"/>
  <c r="E182" i="35"/>
  <c r="I7" i="4"/>
  <c r="K7" i="4" s="1"/>
  <c r="G8" i="36" s="1"/>
  <c r="I20" i="5"/>
  <c r="K20" i="5" s="1"/>
  <c r="I2" i="14"/>
  <c r="J29" i="33" s="1"/>
  <c r="I8" i="4"/>
  <c r="J8" i="4" s="1"/>
  <c r="F9" i="36" s="1"/>
  <c r="I7" i="6"/>
  <c r="K7" i="6" s="1"/>
  <c r="G18" i="36" s="1"/>
  <c r="F22" i="35"/>
  <c r="I11" i="1"/>
  <c r="K11" i="1" s="1"/>
  <c r="I4" i="7"/>
  <c r="K4" i="7" s="1"/>
  <c r="D2" i="11"/>
  <c r="I8" i="12"/>
  <c r="E54" i="36" s="1"/>
  <c r="I17" i="12"/>
  <c r="K17" i="12" s="1"/>
  <c r="F69" i="35" s="1"/>
  <c r="I8" i="25"/>
  <c r="I15" i="25"/>
  <c r="E26" i="33"/>
  <c r="E3" i="33"/>
  <c r="E32" i="33"/>
  <c r="W28" i="12"/>
  <c r="W28" i="2"/>
  <c r="AA28" i="16"/>
  <c r="E34" i="33"/>
  <c r="F87" i="35"/>
  <c r="I9" i="13"/>
  <c r="J9" i="13" s="1"/>
  <c r="F60" i="36" s="1"/>
  <c r="E16" i="33"/>
  <c r="W28" i="23"/>
  <c r="W28" i="18"/>
  <c r="E68" i="33"/>
  <c r="W28" i="28"/>
  <c r="E28" i="33"/>
  <c r="E6" i="33"/>
  <c r="E23" i="35"/>
  <c r="W28" i="27"/>
  <c r="K3" i="26"/>
  <c r="L58" i="33" s="1"/>
  <c r="W28" i="14"/>
  <c r="J3" i="26"/>
  <c r="K58" i="33" s="1"/>
  <c r="I2" i="2"/>
  <c r="AA28" i="14"/>
  <c r="W28" i="13"/>
  <c r="E12" i="33"/>
  <c r="E3" i="1"/>
  <c r="F13" i="33" s="1"/>
  <c r="E60" i="33"/>
  <c r="AC28" i="24"/>
  <c r="AC28" i="14"/>
  <c r="W28" i="22"/>
  <c r="G4" i="36"/>
  <c r="L25" i="8"/>
  <c r="M25" i="8" s="1"/>
  <c r="O25" i="8" s="1"/>
  <c r="E4" i="21"/>
  <c r="F4" i="6"/>
  <c r="L13" i="8"/>
  <c r="E30" i="33"/>
  <c r="H4" i="18"/>
  <c r="X3" i="47"/>
  <c r="AN104" i="47"/>
  <c r="AL104" i="47"/>
  <c r="AC28" i="8"/>
  <c r="AA28" i="8"/>
  <c r="AC28" i="27"/>
  <c r="AA28" i="22"/>
  <c r="AC28" i="47"/>
  <c r="AC4" i="47"/>
  <c r="AC22" i="47"/>
  <c r="AC25" i="47"/>
  <c r="AC16" i="47"/>
  <c r="AC19" i="47"/>
  <c r="AC31" i="47"/>
  <c r="AC27" i="47"/>
  <c r="AC30" i="47"/>
  <c r="AC11" i="47"/>
  <c r="AC14" i="47"/>
  <c r="AC17" i="47"/>
  <c r="AC5" i="47"/>
  <c r="AC33" i="47"/>
  <c r="AC15" i="47"/>
  <c r="AC18" i="47"/>
  <c r="AC21" i="47"/>
  <c r="AC24" i="47"/>
  <c r="Y4" i="47"/>
  <c r="AN4" i="47"/>
  <c r="X4" i="47"/>
  <c r="AC3" i="47"/>
  <c r="AC6" i="47"/>
  <c r="AC9" i="47"/>
  <c r="AC12" i="47"/>
  <c r="AC23" i="47"/>
  <c r="AC26" i="47"/>
  <c r="AC29" i="47"/>
  <c r="AC32" i="47"/>
  <c r="AC20" i="47"/>
  <c r="AC8" i="47"/>
  <c r="AO4" i="47"/>
  <c r="AL4" i="47"/>
  <c r="A5" i="33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A59" i="33" s="1"/>
  <c r="A60" i="33" s="1"/>
  <c r="A61" i="33" s="1"/>
  <c r="A62" i="33" s="1"/>
  <c r="A63" i="33" s="1"/>
  <c r="A64" i="33" s="1"/>
  <c r="A65" i="33" s="1"/>
  <c r="A66" i="33" s="1"/>
  <c r="A67" i="33" s="1"/>
  <c r="A68" i="33" s="1"/>
  <c r="A69" i="33" s="1"/>
  <c r="A70" i="33" s="1"/>
  <c r="A71" i="33" s="1"/>
  <c r="A72" i="33" s="1"/>
  <c r="A73" i="33" s="1"/>
  <c r="A74" i="33" s="1"/>
  <c r="AC34" i="47"/>
  <c r="AC7" i="47"/>
  <c r="AC10" i="47"/>
  <c r="AC13" i="47"/>
  <c r="AL105" i="47"/>
  <c r="A4" i="36"/>
  <c r="K5" i="47" s="1"/>
  <c r="E3" i="17"/>
  <c r="E4" i="9"/>
  <c r="L18" i="8"/>
  <c r="M18" i="8" s="1"/>
  <c r="I15" i="21"/>
  <c r="W28" i="21"/>
  <c r="I4" i="13"/>
  <c r="I3" i="13"/>
  <c r="E3" i="21"/>
  <c r="E3" i="23"/>
  <c r="W28" i="29"/>
  <c r="I8" i="29"/>
  <c r="I7" i="13"/>
  <c r="I13" i="13"/>
  <c r="I10" i="13"/>
  <c r="F35" i="32"/>
  <c r="E35" i="32"/>
  <c r="I11" i="13"/>
  <c r="I17" i="13"/>
  <c r="I15" i="13"/>
  <c r="AA28" i="4"/>
  <c r="D4" i="25"/>
  <c r="I7" i="3"/>
  <c r="I11" i="3"/>
  <c r="I10" i="3"/>
  <c r="I14" i="3"/>
  <c r="I9" i="3"/>
  <c r="I6" i="3"/>
  <c r="I8" i="3"/>
  <c r="I15" i="3"/>
  <c r="E35" i="3"/>
  <c r="F35" i="3"/>
  <c r="AE28" i="24"/>
  <c r="D3" i="24"/>
  <c r="G3" i="24" s="1"/>
  <c r="I6" i="24"/>
  <c r="I13" i="24"/>
  <c r="I3" i="24"/>
  <c r="J3" i="24" s="1"/>
  <c r="I7" i="24"/>
  <c r="I4" i="24"/>
  <c r="F35" i="24"/>
  <c r="I15" i="24"/>
  <c r="I20" i="24"/>
  <c r="I14" i="24"/>
  <c r="I11" i="24"/>
  <c r="I18" i="24"/>
  <c r="I2" i="24"/>
  <c r="I10" i="24"/>
  <c r="I17" i="24"/>
  <c r="F35" i="28"/>
  <c r="I14" i="28"/>
  <c r="I11" i="28"/>
  <c r="I6" i="28"/>
  <c r="E35" i="28"/>
  <c r="I20" i="28"/>
  <c r="I15" i="28"/>
  <c r="I2" i="28"/>
  <c r="I18" i="28"/>
  <c r="I16" i="28"/>
  <c r="I10" i="28"/>
  <c r="I19" i="28"/>
  <c r="I3" i="28"/>
  <c r="I4" i="28"/>
  <c r="I17" i="28"/>
  <c r="I8" i="28"/>
  <c r="I9" i="28"/>
  <c r="I7" i="28"/>
  <c r="I13" i="28"/>
  <c r="I16" i="13"/>
  <c r="I2" i="13"/>
  <c r="I19" i="13"/>
  <c r="AC28" i="4"/>
  <c r="I20" i="13"/>
  <c r="W28" i="4"/>
  <c r="D2" i="25"/>
  <c r="G2" i="25" s="1"/>
  <c r="I8" i="30"/>
  <c r="I15" i="30"/>
  <c r="I10" i="32"/>
  <c r="J10" i="32" s="1"/>
  <c r="F6" i="36" s="1"/>
  <c r="I19" i="32"/>
  <c r="K19" i="32" s="1"/>
  <c r="I19" i="11"/>
  <c r="I13" i="11"/>
  <c r="I20" i="11"/>
  <c r="I16" i="11"/>
  <c r="E35" i="11"/>
  <c r="I17" i="11"/>
  <c r="I15" i="11"/>
  <c r="AA28" i="25"/>
  <c r="W28" i="26"/>
  <c r="I10" i="29"/>
  <c r="I9" i="29"/>
  <c r="I3" i="29"/>
  <c r="I2" i="29"/>
  <c r="I6" i="29"/>
  <c r="I15" i="29"/>
  <c r="I13" i="29"/>
  <c r="I7" i="30"/>
  <c r="I13" i="30"/>
  <c r="E3" i="35"/>
  <c r="AE28" i="4"/>
  <c r="AA28" i="6"/>
  <c r="W28" i="8"/>
  <c r="W28" i="11"/>
  <c r="I9" i="11"/>
  <c r="F35" i="11"/>
  <c r="I2" i="15"/>
  <c r="J31" i="33" s="1"/>
  <c r="I7" i="18"/>
  <c r="J7" i="18" s="1"/>
  <c r="F88" i="36" s="1"/>
  <c r="F113" i="35"/>
  <c r="AA28" i="21"/>
  <c r="D23" i="22"/>
  <c r="E23" i="22" s="1"/>
  <c r="D3" i="22"/>
  <c r="G3" i="22" s="1"/>
  <c r="D2" i="22"/>
  <c r="G2" i="22" s="1"/>
  <c r="AE28" i="26"/>
  <c r="D4" i="26"/>
  <c r="G4" i="26" s="1"/>
  <c r="E35" i="31"/>
  <c r="I6" i="31"/>
  <c r="F35" i="31"/>
  <c r="I3" i="30"/>
  <c r="J70" i="33" s="1"/>
  <c r="H73" i="33"/>
  <c r="I2" i="32"/>
  <c r="K2" i="32" s="1"/>
  <c r="L2" i="33" s="1"/>
  <c r="I4" i="32"/>
  <c r="J4" i="33" s="1"/>
  <c r="J76" i="55" s="1"/>
  <c r="I11" i="32"/>
  <c r="K11" i="32" s="1"/>
  <c r="I20" i="32"/>
  <c r="K20" i="32" s="1"/>
  <c r="W28" i="25"/>
  <c r="I19" i="23"/>
  <c r="E35" i="23"/>
  <c r="E35" i="29"/>
  <c r="D3" i="30"/>
  <c r="G3" i="30" s="1"/>
  <c r="D4" i="30"/>
  <c r="G4" i="30" s="1"/>
  <c r="D2" i="30"/>
  <c r="I20" i="30"/>
  <c r="I9" i="30"/>
  <c r="I6" i="32"/>
  <c r="K6" i="32" s="1"/>
  <c r="G2" i="36" s="1"/>
  <c r="E29" i="35"/>
  <c r="F35" i="1"/>
  <c r="I2" i="1"/>
  <c r="K2" i="1" s="1"/>
  <c r="I6" i="1"/>
  <c r="I8" i="15"/>
  <c r="K8" i="15" s="1"/>
  <c r="G69" i="36" s="1"/>
  <c r="F88" i="35"/>
  <c r="D4" i="15"/>
  <c r="G4" i="15" s="1"/>
  <c r="AC28" i="25"/>
  <c r="I9" i="19"/>
  <c r="J9" i="19" s="1"/>
  <c r="I16" i="19"/>
  <c r="J16" i="19" s="1"/>
  <c r="I6" i="23"/>
  <c r="J6" i="23" s="1"/>
  <c r="F149" i="35"/>
  <c r="F35" i="23"/>
  <c r="D4" i="24"/>
  <c r="G4" i="24" s="1"/>
  <c r="E3" i="28"/>
  <c r="F35" i="30"/>
  <c r="I9" i="32"/>
  <c r="J9" i="32" s="1"/>
  <c r="F5" i="36" s="1"/>
  <c r="I16" i="32"/>
  <c r="J16" i="32" s="1"/>
  <c r="E7" i="35" s="1"/>
  <c r="F35" i="10"/>
  <c r="E35" i="10"/>
  <c r="I11" i="11"/>
  <c r="AC28" i="16"/>
  <c r="D3" i="25"/>
  <c r="G3" i="25" s="1"/>
  <c r="W28" i="3"/>
  <c r="E35" i="18"/>
  <c r="AC28" i="21"/>
  <c r="I19" i="29"/>
  <c r="E35" i="30"/>
  <c r="I6" i="30"/>
  <c r="I13" i="32"/>
  <c r="K13" i="32" s="1"/>
  <c r="F2" i="35" s="1"/>
  <c r="I19" i="9"/>
  <c r="K19" i="9" s="1"/>
  <c r="D3" i="13"/>
  <c r="G3" i="13" s="1"/>
  <c r="AE28" i="13"/>
  <c r="I6" i="15"/>
  <c r="J6" i="15" s="1"/>
  <c r="F67" i="36" s="1"/>
  <c r="F86" i="35"/>
  <c r="AA28" i="3"/>
  <c r="I2" i="18"/>
  <c r="K2" i="18" s="1"/>
  <c r="L39" i="33" s="1"/>
  <c r="I6" i="18"/>
  <c r="J6" i="18" s="1"/>
  <c r="F87" i="36" s="1"/>
  <c r="I15" i="18"/>
  <c r="J15" i="18" s="1"/>
  <c r="E112" i="35" s="1"/>
  <c r="D2" i="19"/>
  <c r="F35" i="19"/>
  <c r="E35" i="19"/>
  <c r="AC28" i="22"/>
  <c r="I2" i="23"/>
  <c r="J52" i="33" s="1"/>
  <c r="I16" i="29"/>
  <c r="I4" i="30"/>
  <c r="I3" i="32"/>
  <c r="K3" i="32" s="1"/>
  <c r="L3" i="33" s="1"/>
  <c r="I7" i="32"/>
  <c r="J7" i="32" s="1"/>
  <c r="F3" i="36" s="1"/>
  <c r="F35" i="12"/>
  <c r="E35" i="12"/>
  <c r="I9" i="15"/>
  <c r="K9" i="15" s="1"/>
  <c r="G70" i="36" s="1"/>
  <c r="I18" i="15"/>
  <c r="J18" i="15" s="1"/>
  <c r="E89" i="35" s="1"/>
  <c r="D4" i="16"/>
  <c r="D2" i="16"/>
  <c r="AC28" i="3"/>
  <c r="I8" i="19"/>
  <c r="I18" i="19"/>
  <c r="K18" i="19" s="1"/>
  <c r="F128" i="35" s="1"/>
  <c r="D4" i="22"/>
  <c r="G4" i="22" s="1"/>
  <c r="I7" i="23"/>
  <c r="J7" i="23" s="1"/>
  <c r="F150" i="35"/>
  <c r="W28" i="24"/>
  <c r="I3" i="10"/>
  <c r="K3" i="10" s="1"/>
  <c r="I10" i="10"/>
  <c r="J10" i="10" s="1"/>
  <c r="F46" i="36" s="1"/>
  <c r="I19" i="10"/>
  <c r="K19" i="10" s="1"/>
  <c r="I13" i="12"/>
  <c r="K13" i="12" s="1"/>
  <c r="F65" i="35" s="1"/>
  <c r="I14" i="15"/>
  <c r="K14" i="15" s="1"/>
  <c r="F85" i="35" s="1"/>
  <c r="I11" i="17"/>
  <c r="K11" i="17" s="1"/>
  <c r="I20" i="17"/>
  <c r="J20" i="17" s="1"/>
  <c r="I4" i="18"/>
  <c r="K4" i="18" s="1"/>
  <c r="I11" i="18"/>
  <c r="J11" i="18" s="1"/>
  <c r="I20" i="18"/>
  <c r="J20" i="18" s="1"/>
  <c r="I18" i="20"/>
  <c r="J18" i="20" s="1"/>
  <c r="E134" i="35" s="1"/>
  <c r="I10" i="22"/>
  <c r="I19" i="22"/>
  <c r="I11" i="23"/>
  <c r="K11" i="23" s="1"/>
  <c r="D3" i="2"/>
  <c r="G3" i="2" s="1"/>
  <c r="I3" i="31"/>
  <c r="J73" i="33" s="1"/>
  <c r="I13" i="31"/>
  <c r="K13" i="31" s="1"/>
  <c r="F197" i="35" s="1"/>
  <c r="E24" i="36"/>
  <c r="I10" i="12"/>
  <c r="K10" i="12" s="1"/>
  <c r="G56" i="36" s="1"/>
  <c r="I19" i="12"/>
  <c r="J19" i="12" s="1"/>
  <c r="I4" i="15"/>
  <c r="K4" i="15" s="1"/>
  <c r="I11" i="15"/>
  <c r="K11" i="15" s="1"/>
  <c r="I20" i="15"/>
  <c r="K20" i="15" s="1"/>
  <c r="I3" i="18"/>
  <c r="J3" i="18" s="1"/>
  <c r="K40" i="33" s="1"/>
  <c r="I9" i="18"/>
  <c r="K9" i="18" s="1"/>
  <c r="G90" i="36" s="1"/>
  <c r="E115" i="35"/>
  <c r="I11" i="19"/>
  <c r="K11" i="19" s="1"/>
  <c r="I20" i="19"/>
  <c r="K20" i="19" s="1"/>
  <c r="I7" i="20"/>
  <c r="J7" i="20" s="1"/>
  <c r="F103" i="36" s="1"/>
  <c r="I6" i="22"/>
  <c r="I9" i="22"/>
  <c r="I17" i="22"/>
  <c r="I3" i="23"/>
  <c r="K3" i="23" s="1"/>
  <c r="L53" i="33" s="1"/>
  <c r="I8" i="23"/>
  <c r="K8" i="23" s="1"/>
  <c r="F152" i="35"/>
  <c r="D2" i="31"/>
  <c r="D4" i="31"/>
  <c r="G4" i="31" s="1"/>
  <c r="I10" i="31"/>
  <c r="K10" i="31" s="1"/>
  <c r="G161" i="36" s="1"/>
  <c r="I19" i="31"/>
  <c r="J19" i="31" s="1"/>
  <c r="E203" i="35" s="1"/>
  <c r="I13" i="5"/>
  <c r="J13" i="5" s="1"/>
  <c r="E14" i="35" s="1"/>
  <c r="I8" i="7"/>
  <c r="E29" i="36" s="1"/>
  <c r="F38" i="35"/>
  <c r="I17" i="10"/>
  <c r="J17" i="10" s="1"/>
  <c r="I4" i="12"/>
  <c r="I11" i="12"/>
  <c r="K11" i="12" s="1"/>
  <c r="I20" i="12"/>
  <c r="K20" i="12" s="1"/>
  <c r="I13" i="15"/>
  <c r="J13" i="15" s="1"/>
  <c r="E84" i="35" s="1"/>
  <c r="I9" i="16"/>
  <c r="J9" i="16" s="1"/>
  <c r="F75" i="36" s="1"/>
  <c r="I10" i="17"/>
  <c r="I19" i="17"/>
  <c r="J19" i="17" s="1"/>
  <c r="I10" i="18"/>
  <c r="J10" i="18" s="1"/>
  <c r="F91" i="36" s="1"/>
  <c r="I13" i="19"/>
  <c r="K13" i="19" s="1"/>
  <c r="F122" i="35" s="1"/>
  <c r="I8" i="20"/>
  <c r="J8" i="20" s="1"/>
  <c r="F104" i="36" s="1"/>
  <c r="I17" i="20"/>
  <c r="J17" i="20" s="1"/>
  <c r="E133" i="35" s="1"/>
  <c r="I10" i="23"/>
  <c r="I14" i="30"/>
  <c r="J14" i="30" s="1"/>
  <c r="E191" i="35" s="1"/>
  <c r="I11" i="31"/>
  <c r="K11" i="31" s="1"/>
  <c r="I20" i="31"/>
  <c r="K20" i="31" s="1"/>
  <c r="I11" i="6"/>
  <c r="K11" i="6" s="1"/>
  <c r="I20" i="6"/>
  <c r="K20" i="6" s="1"/>
  <c r="D2" i="10"/>
  <c r="G2" i="10" s="1"/>
  <c r="I2" i="12"/>
  <c r="J2" i="12" s="1"/>
  <c r="I6" i="12"/>
  <c r="K6" i="12" s="1"/>
  <c r="G52" i="36" s="1"/>
  <c r="I15" i="12"/>
  <c r="K15" i="12" s="1"/>
  <c r="F67" i="35" s="1"/>
  <c r="D2" i="14"/>
  <c r="G2" i="14" s="1"/>
  <c r="I14" i="18"/>
  <c r="J14" i="18" s="1"/>
  <c r="E110" i="35" s="1"/>
  <c r="I3" i="19"/>
  <c r="K3" i="19" s="1"/>
  <c r="L44" i="33" s="1"/>
  <c r="I7" i="19"/>
  <c r="K7" i="19" s="1"/>
  <c r="G98" i="36" s="1"/>
  <c r="I15" i="19"/>
  <c r="K15" i="19" s="1"/>
  <c r="I3" i="22"/>
  <c r="I4" i="22"/>
  <c r="I14" i="22"/>
  <c r="E148" i="35"/>
  <c r="I9" i="24"/>
  <c r="J9" i="24" s="1"/>
  <c r="I16" i="24"/>
  <c r="J16" i="24" s="1"/>
  <c r="E157" i="35" s="1"/>
  <c r="I16" i="31"/>
  <c r="J16" i="31" s="1"/>
  <c r="I6" i="6"/>
  <c r="J6" i="6" s="1"/>
  <c r="F17" i="36" s="1"/>
  <c r="I7" i="1"/>
  <c r="J7" i="1" s="1"/>
  <c r="F23" i="36" s="1"/>
  <c r="I20" i="1"/>
  <c r="K20" i="1" s="1"/>
  <c r="I8" i="10"/>
  <c r="J8" i="10" s="1"/>
  <c r="I18" i="10"/>
  <c r="K18" i="10" s="1"/>
  <c r="I3" i="12"/>
  <c r="J3" i="12" s="1"/>
  <c r="K25" i="33" s="1"/>
  <c r="I9" i="12"/>
  <c r="E55" i="36" s="1"/>
  <c r="I18" i="12"/>
  <c r="K18" i="12" s="1"/>
  <c r="F68" i="35" s="1"/>
  <c r="I10" i="15"/>
  <c r="J10" i="15" s="1"/>
  <c r="F71" i="36" s="1"/>
  <c r="I19" i="15"/>
  <c r="K19" i="15" s="1"/>
  <c r="I3" i="17"/>
  <c r="K3" i="17" s="1"/>
  <c r="I8" i="18"/>
  <c r="J8" i="18" s="1"/>
  <c r="F89" i="36" s="1"/>
  <c r="F114" i="35"/>
  <c r="I10" i="19"/>
  <c r="I19" i="19"/>
  <c r="K19" i="19" s="1"/>
  <c r="F127" i="35" s="1"/>
  <c r="I6" i="20"/>
  <c r="J6" i="20" s="1"/>
  <c r="F102" i="36" s="1"/>
  <c r="I15" i="20"/>
  <c r="J15" i="20" s="1"/>
  <c r="E131" i="35" s="1"/>
  <c r="I9" i="31"/>
  <c r="K9" i="31" s="1"/>
  <c r="G160" i="36" s="1"/>
  <c r="I15" i="31"/>
  <c r="J15" i="31" s="1"/>
  <c r="D4" i="47"/>
  <c r="E4" i="47"/>
  <c r="C4" i="47"/>
  <c r="E39" i="55"/>
  <c r="AL209" i="55"/>
  <c r="AN201" i="55"/>
  <c r="AF217" i="55"/>
  <c r="AI209" i="55"/>
  <c r="W28" i="19"/>
  <c r="AJ217" i="55"/>
  <c r="AM193" i="55"/>
  <c r="AH217" i="55"/>
  <c r="AF201" i="55"/>
  <c r="AM201" i="55"/>
  <c r="AK193" i="55"/>
  <c r="AL217" i="55"/>
  <c r="AH209" i="55"/>
  <c r="AF209" i="55"/>
  <c r="AK217" i="55"/>
  <c r="AN209" i="55"/>
  <c r="AH193" i="55"/>
  <c r="AN217" i="55"/>
  <c r="AG201" i="55"/>
  <c r="AG193" i="55"/>
  <c r="AI201" i="55"/>
  <c r="AJ193" i="55"/>
  <c r="AG217" i="55"/>
  <c r="AL201" i="55"/>
  <c r="AK201" i="55"/>
  <c r="AM217" i="55"/>
  <c r="AK209" i="55"/>
  <c r="AJ201" i="55"/>
  <c r="AL221" i="55"/>
  <c r="AL197" i="55"/>
  <c r="AL193" i="55"/>
  <c r="AJ209" i="55"/>
  <c r="AG209" i="55"/>
  <c r="AI193" i="55"/>
  <c r="AN213" i="55"/>
  <c r="AN193" i="55"/>
  <c r="AA28" i="12"/>
  <c r="AC28" i="15"/>
  <c r="AC28" i="5"/>
  <c r="AC28" i="20"/>
  <c r="AH198" i="55"/>
  <c r="AJ214" i="55"/>
  <c r="AL208" i="55"/>
  <c r="AN219" i="55"/>
  <c r="AI200" i="55"/>
  <c r="AJ216" i="55"/>
  <c r="AM211" i="55"/>
  <c r="AH203" i="55"/>
  <c r="AF189" i="55"/>
  <c r="AI197" i="55"/>
  <c r="AH211" i="55"/>
  <c r="AJ203" i="55"/>
  <c r="AK219" i="55"/>
  <c r="AJ197" i="55"/>
  <c r="E42" i="55"/>
  <c r="AK213" i="55"/>
  <c r="AJ213" i="55"/>
  <c r="AJ221" i="55"/>
  <c r="AI189" i="55"/>
  <c r="AH204" i="55"/>
  <c r="AF212" i="55"/>
  <c r="AM189" i="55"/>
  <c r="AI205" i="55"/>
  <c r="AH197" i="55"/>
  <c r="AM213" i="55"/>
  <c r="AM197" i="55"/>
  <c r="AG196" i="55"/>
  <c r="AK189" i="55"/>
  <c r="AG189" i="55"/>
  <c r="AL204" i="55"/>
  <c r="AK196" i="55"/>
  <c r="AG221" i="55"/>
  <c r="AL189" i="55"/>
  <c r="AF213" i="55"/>
  <c r="AN204" i="55"/>
  <c r="AJ220" i="55"/>
  <c r="AI188" i="55"/>
  <c r="AC28" i="29"/>
  <c r="AA28" i="29"/>
  <c r="AC28" i="26"/>
  <c r="AA28" i="26"/>
  <c r="AA28" i="18"/>
  <c r="AC28" i="18"/>
  <c r="AC28" i="17"/>
  <c r="W28" i="17"/>
  <c r="AC28" i="12"/>
  <c r="AE28" i="10"/>
  <c r="D3" i="7"/>
  <c r="G3" i="7" s="1"/>
  <c r="L40" i="55"/>
  <c r="AA28" i="1"/>
  <c r="AC28" i="1"/>
  <c r="W28" i="1"/>
  <c r="AC28" i="6"/>
  <c r="W28" i="6"/>
  <c r="AA28" i="5"/>
  <c r="W28" i="5"/>
  <c r="F6" i="35"/>
  <c r="E6" i="35"/>
  <c r="AC28" i="32"/>
  <c r="W28" i="32"/>
  <c r="AA28" i="32"/>
  <c r="F4" i="36"/>
  <c r="E4" i="36"/>
  <c r="AA28" i="20"/>
  <c r="AA28" i="15"/>
  <c r="AC28" i="2"/>
  <c r="AA28" i="2"/>
  <c r="W28" i="30"/>
  <c r="I2" i="30"/>
  <c r="AC28" i="10"/>
  <c r="W28" i="31"/>
  <c r="I2" i="31"/>
  <c r="AC28" i="31"/>
  <c r="AM214" i="55"/>
  <c r="AN198" i="55"/>
  <c r="AF190" i="55"/>
  <c r="AN214" i="55"/>
  <c r="AF214" i="55"/>
  <c r="AG198" i="55"/>
  <c r="AL190" i="55"/>
  <c r="AG214" i="55"/>
  <c r="AL206" i="55"/>
  <c r="AH190" i="55"/>
  <c r="AM190" i="55"/>
  <c r="AI218" i="55"/>
  <c r="AK202" i="55"/>
  <c r="AL195" i="55"/>
  <c r="AM195" i="55"/>
  <c r="AF211" i="55"/>
  <c r="AG203" i="55"/>
  <c r="AL218" i="55"/>
  <c r="AN203" i="55"/>
  <c r="AK208" i="55"/>
  <c r="AK197" i="55"/>
  <c r="AH221" i="55"/>
  <c r="AL214" i="55"/>
  <c r="AN197" i="55"/>
  <c r="AM221" i="55"/>
  <c r="AJ206" i="55"/>
  <c r="AF205" i="55"/>
  <c r="AG205" i="55"/>
  <c r="AG216" i="55"/>
  <c r="AG192" i="55"/>
  <c r="AG190" i="55"/>
  <c r="AJ190" i="55"/>
  <c r="AN208" i="55"/>
  <c r="AL205" i="55"/>
  <c r="AI216" i="55"/>
  <c r="AH208" i="55"/>
  <c r="AM198" i="55"/>
  <c r="AK206" i="55"/>
  <c r="AN205" i="55"/>
  <c r="AJ200" i="55"/>
  <c r="AF221" i="55"/>
  <c r="AG213" i="55"/>
  <c r="AM192" i="55"/>
  <c r="AI192" i="55"/>
  <c r="AN221" i="55"/>
  <c r="AF206" i="55"/>
  <c r="AL216" i="55"/>
  <c r="AK200" i="55"/>
  <c r="AI208" i="55"/>
  <c r="AH206" i="55"/>
  <c r="AK214" i="55"/>
  <c r="AM200" i="55"/>
  <c r="AJ208" i="55"/>
  <c r="AF198" i="55"/>
  <c r="AK190" i="55"/>
  <c r="AM205" i="55"/>
  <c r="AL200" i="55"/>
  <c r="AK221" i="55"/>
  <c r="AH213" i="55"/>
  <c r="AL198" i="55"/>
  <c r="AN206" i="55"/>
  <c r="AI198" i="55"/>
  <c r="AJ205" i="55"/>
  <c r="AF200" i="55"/>
  <c r="AG206" i="55"/>
  <c r="AN190" i="55"/>
  <c r="AJ192" i="55"/>
  <c r="AN189" i="55"/>
  <c r="AN216" i="55"/>
  <c r="AF192" i="55"/>
  <c r="AH200" i="55"/>
  <c r="AM216" i="55"/>
  <c r="AF208" i="55"/>
  <c r="AN192" i="55"/>
  <c r="AH192" i="55"/>
  <c r="AN200" i="55"/>
  <c r="AK216" i="55"/>
  <c r="AH216" i="55"/>
  <c r="AM206" i="55"/>
  <c r="AI214" i="55"/>
  <c r="AM208" i="55"/>
  <c r="AL192" i="55"/>
  <c r="AK198" i="55"/>
  <c r="AL213" i="55"/>
  <c r="AK205" i="55"/>
  <c r="AG197" i="55"/>
  <c r="AH189" i="55"/>
  <c r="AM187" i="55"/>
  <c r="AI203" i="55"/>
  <c r="AM219" i="55"/>
  <c r="AK207" i="55"/>
  <c r="AG211" i="55"/>
  <c r="AL191" i="55"/>
  <c r="AK203" i="55"/>
  <c r="AH219" i="55"/>
  <c r="AM215" i="55"/>
  <c r="AM203" i="55"/>
  <c r="AF199" i="55"/>
  <c r="AF195" i="55"/>
  <c r="AG219" i="55"/>
  <c r="AF187" i="55"/>
  <c r="AN211" i="55"/>
  <c r="AL203" i="55"/>
  <c r="AI219" i="55"/>
  <c r="AJ195" i="55"/>
  <c r="AG199" i="55"/>
  <c r="AK191" i="55"/>
  <c r="AI187" i="55"/>
  <c r="AI199" i="55"/>
  <c r="AJ187" i="55"/>
  <c r="AH187" i="55"/>
  <c r="AN187" i="55"/>
  <c r="AH195" i="55"/>
  <c r="AI211" i="55"/>
  <c r="AL219" i="55"/>
  <c r="AL215" i="55"/>
  <c r="AJ211" i="55"/>
  <c r="AF219" i="55"/>
  <c r="AJ191" i="55"/>
  <c r="AL207" i="55"/>
  <c r="AI195" i="55"/>
  <c r="AK211" i="55"/>
  <c r="AK199" i="55"/>
  <c r="AN215" i="55"/>
  <c r="AJ207" i="55"/>
  <c r="AN195" i="55"/>
  <c r="AG187" i="55"/>
  <c r="AK195" i="55"/>
  <c r="AN191" i="55"/>
  <c r="AL187" i="55"/>
  <c r="AH215" i="55"/>
  <c r="AM220" i="55"/>
  <c r="AL220" i="55"/>
  <c r="AK220" i="55"/>
  <c r="AI194" i="55"/>
  <c r="AH199" i="55"/>
  <c r="AI207" i="55"/>
  <c r="AH207" i="55"/>
  <c r="AN196" i="55"/>
  <c r="AJ215" i="55"/>
  <c r="AF218" i="55"/>
  <c r="AF220" i="55"/>
  <c r="AM212" i="55"/>
  <c r="AK204" i="55"/>
  <c r="AI215" i="55"/>
  <c r="AL199" i="55"/>
  <c r="AN212" i="55"/>
  <c r="AN199" i="55"/>
  <c r="AN202" i="55"/>
  <c r="AG202" i="55"/>
  <c r="AG204" i="55"/>
  <c r="AG191" i="55"/>
  <c r="AK188" i="55"/>
  <c r="AH220" i="55"/>
  <c r="AH212" i="55"/>
  <c r="AI204" i="55"/>
  <c r="AI196" i="55"/>
  <c r="AI191" i="55"/>
  <c r="AL210" i="55"/>
  <c r="AK215" i="55"/>
  <c r="AI202" i="55"/>
  <c r="AI220" i="55"/>
  <c r="AH218" i="55"/>
  <c r="AM207" i="55"/>
  <c r="AN220" i="55"/>
  <c r="AN207" i="55"/>
  <c r="AN210" i="55"/>
  <c r="AG210" i="55"/>
  <c r="AG212" i="55"/>
  <c r="AL188" i="55"/>
  <c r="AG188" i="55"/>
  <c r="AH188" i="55"/>
  <c r="AM188" i="55"/>
  <c r="AG194" i="55"/>
  <c r="AM204" i="55"/>
  <c r="AH196" i="55"/>
  <c r="AM210" i="55"/>
  <c r="AI212" i="55"/>
  <c r="AM202" i="55"/>
  <c r="AH210" i="55"/>
  <c r="AJ196" i="55"/>
  <c r="AG218" i="55"/>
  <c r="AJ218" i="55"/>
  <c r="AJ210" i="55"/>
  <c r="AJ202" i="55"/>
  <c r="AF194" i="55"/>
  <c r="AN194" i="55"/>
  <c r="AL202" i="55"/>
  <c r="AL212" i="55"/>
  <c r="AL196" i="55"/>
  <c r="AK212" i="55"/>
  <c r="AK218" i="55"/>
  <c r="AH202" i="55"/>
  <c r="AM199" i="55"/>
  <c r="AK210" i="55"/>
  <c r="AJ204" i="55"/>
  <c r="AF207" i="55"/>
  <c r="AF196" i="55"/>
  <c r="AF188" i="55"/>
  <c r="AM191" i="55"/>
  <c r="AH191" i="55"/>
  <c r="AJ188" i="55"/>
  <c r="AH194" i="55"/>
  <c r="AI210" i="55"/>
  <c r="AK194" i="55"/>
  <c r="AM194" i="55"/>
  <c r="AM218" i="55"/>
  <c r="AF215" i="55"/>
  <c r="AL194" i="55"/>
  <c r="AA28" i="31"/>
  <c r="AC28" i="30"/>
  <c r="AA28" i="30"/>
  <c r="AC28" i="28"/>
  <c r="AA28" i="28"/>
  <c r="AA28" i="27"/>
  <c r="AA28" i="24"/>
  <c r="AC28" i="23"/>
  <c r="AA28" i="23"/>
  <c r="W28" i="20"/>
  <c r="AC28" i="19"/>
  <c r="AA28" i="19"/>
  <c r="AA28" i="17"/>
  <c r="W28" i="15"/>
  <c r="AC28" i="13"/>
  <c r="AA28" i="13"/>
  <c r="AC28" i="11"/>
  <c r="AA28" i="11"/>
  <c r="W28" i="10"/>
  <c r="AA28" i="10"/>
  <c r="AC28" i="9"/>
  <c r="AA28" i="9"/>
  <c r="W28" i="9"/>
  <c r="I9" i="8"/>
  <c r="AC28" i="7"/>
  <c r="AA28" i="7"/>
  <c r="W28" i="7"/>
  <c r="W28" i="16"/>
  <c r="E15" i="36" l="1"/>
  <c r="U162" i="55"/>
  <c r="J42" i="55"/>
  <c r="K8" i="31"/>
  <c r="G159" i="36" s="1"/>
  <c r="E165" i="35"/>
  <c r="T6" i="55"/>
  <c r="E124" i="36"/>
  <c r="E40" i="33"/>
  <c r="L22" i="18"/>
  <c r="M22" i="18" s="1"/>
  <c r="L10" i="18"/>
  <c r="M10" i="18" s="1"/>
  <c r="N10" i="18" s="1"/>
  <c r="J91" i="36" s="1"/>
  <c r="K17" i="30"/>
  <c r="F194" i="35" s="1"/>
  <c r="J17" i="30"/>
  <c r="E194" i="35" s="1"/>
  <c r="J16" i="30"/>
  <c r="E193" i="35" s="1"/>
  <c r="K16" i="30"/>
  <c r="F193" i="35" s="1"/>
  <c r="J19" i="30"/>
  <c r="E196" i="35" s="1"/>
  <c r="K19" i="30"/>
  <c r="F196" i="35" s="1"/>
  <c r="J16" i="16"/>
  <c r="E93" i="35" s="1"/>
  <c r="K16" i="16"/>
  <c r="F93" i="35" s="1"/>
  <c r="J15" i="16"/>
  <c r="E92" i="35" s="1"/>
  <c r="K15" i="16"/>
  <c r="F92" i="35" s="1"/>
  <c r="J19" i="16"/>
  <c r="E96" i="35" s="1"/>
  <c r="K19" i="16"/>
  <c r="F96" i="35" s="1"/>
  <c r="J17" i="16"/>
  <c r="E94" i="35" s="1"/>
  <c r="K17" i="16"/>
  <c r="F94" i="35" s="1"/>
  <c r="J13" i="16"/>
  <c r="K13" i="16"/>
  <c r="F90" i="35" s="1"/>
  <c r="E150" i="36"/>
  <c r="L13" i="6"/>
  <c r="M13" i="6" s="1"/>
  <c r="N13" i="6" s="1"/>
  <c r="E41" i="55"/>
  <c r="L14" i="8"/>
  <c r="M14" i="8" s="1"/>
  <c r="J18" i="33"/>
  <c r="E113" i="36"/>
  <c r="T48" i="55" s="1"/>
  <c r="L23" i="8"/>
  <c r="M23" i="8" s="1"/>
  <c r="N23" i="8" s="1"/>
  <c r="G21" i="34" s="1"/>
  <c r="L6" i="8"/>
  <c r="H32" i="36" s="1"/>
  <c r="E17" i="33"/>
  <c r="AH22" i="55"/>
  <c r="L8" i="8"/>
  <c r="M8" i="8" s="1"/>
  <c r="L20" i="8"/>
  <c r="M20" i="8" s="1"/>
  <c r="O20" i="8" s="1"/>
  <c r="L19" i="8"/>
  <c r="M19" i="8" s="1"/>
  <c r="N19" i="8" s="1"/>
  <c r="E44" i="55"/>
  <c r="AI84" i="55"/>
  <c r="H16" i="33"/>
  <c r="F28" i="33"/>
  <c r="H3" i="14"/>
  <c r="I28" i="33" s="1"/>
  <c r="F4" i="14"/>
  <c r="G30" i="33" s="1"/>
  <c r="F3" i="4"/>
  <c r="G6" i="33" s="1"/>
  <c r="F2" i="8"/>
  <c r="G16" i="33" s="1"/>
  <c r="AH34" i="55"/>
  <c r="L16" i="55"/>
  <c r="G42" i="36"/>
  <c r="AI3" i="55"/>
  <c r="E56" i="35"/>
  <c r="K14" i="55"/>
  <c r="T25" i="55"/>
  <c r="J4" i="55"/>
  <c r="F17" i="35"/>
  <c r="K17" i="31"/>
  <c r="F201" i="35" s="1"/>
  <c r="J8" i="31"/>
  <c r="F159" i="36" s="1"/>
  <c r="L8" i="29"/>
  <c r="M8" i="29" s="1"/>
  <c r="F3" i="29"/>
  <c r="G68" i="33" s="1"/>
  <c r="E125" i="36"/>
  <c r="E36" i="55"/>
  <c r="E121" i="36"/>
  <c r="F117" i="36"/>
  <c r="J20" i="23"/>
  <c r="F136" i="35"/>
  <c r="F140" i="35"/>
  <c r="AI8" i="55"/>
  <c r="H4" i="3"/>
  <c r="E95" i="36"/>
  <c r="F34" i="33"/>
  <c r="F91" i="35"/>
  <c r="F3" i="15"/>
  <c r="G32" i="33" s="1"/>
  <c r="E68" i="36"/>
  <c r="F2" i="13"/>
  <c r="G26" i="33" s="1"/>
  <c r="F26" i="33"/>
  <c r="H4" i="10"/>
  <c r="K2" i="9"/>
  <c r="L18" i="33" s="1"/>
  <c r="F16" i="33"/>
  <c r="H2" i="8"/>
  <c r="I16" i="33" s="1"/>
  <c r="F43" i="35"/>
  <c r="L19" i="6"/>
  <c r="M19" i="6" s="1"/>
  <c r="H26" i="35" s="1"/>
  <c r="F19" i="35"/>
  <c r="AI127" i="55" s="1"/>
  <c r="R5" i="47"/>
  <c r="AO105" i="47"/>
  <c r="Q5" i="47"/>
  <c r="A5" i="35"/>
  <c r="AN106" i="47" s="1"/>
  <c r="L16" i="18"/>
  <c r="M16" i="18" s="1"/>
  <c r="L18" i="18"/>
  <c r="M18" i="18" s="1"/>
  <c r="L19" i="18"/>
  <c r="M19" i="18" s="1"/>
  <c r="L17" i="18"/>
  <c r="M17" i="18" s="1"/>
  <c r="L6" i="18"/>
  <c r="H87" i="36" s="1"/>
  <c r="L13" i="18"/>
  <c r="G111" i="35" s="1"/>
  <c r="G2" i="30"/>
  <c r="L17" i="30"/>
  <c r="M17" i="30" s="1"/>
  <c r="L16" i="30"/>
  <c r="M16" i="30" s="1"/>
  <c r="L19" i="30"/>
  <c r="M19" i="30" s="1"/>
  <c r="L18" i="30"/>
  <c r="M18" i="30" s="1"/>
  <c r="AD4" i="44"/>
  <c r="AD12" i="44"/>
  <c r="AD20" i="44"/>
  <c r="AD28" i="44"/>
  <c r="AE4" i="44"/>
  <c r="AE12" i="44"/>
  <c r="AE20" i="44"/>
  <c r="AE28" i="44"/>
  <c r="AF4" i="44"/>
  <c r="AF12" i="44"/>
  <c r="AF20" i="44"/>
  <c r="AF28" i="44"/>
  <c r="AE13" i="44"/>
  <c r="AE29" i="44"/>
  <c r="AF5" i="44"/>
  <c r="AF29" i="44"/>
  <c r="AF15" i="44"/>
  <c r="AD32" i="44"/>
  <c r="AE5" i="44"/>
  <c r="AF21" i="44"/>
  <c r="AF23" i="44"/>
  <c r="AD24" i="44"/>
  <c r="AD5" i="44"/>
  <c r="AD13" i="44"/>
  <c r="AD21" i="44"/>
  <c r="AD29" i="44"/>
  <c r="AE21" i="44"/>
  <c r="AF13" i="44"/>
  <c r="AF31" i="44"/>
  <c r="AD16" i="44"/>
  <c r="AD6" i="44"/>
  <c r="AD14" i="44"/>
  <c r="AD22" i="44"/>
  <c r="AD30" i="44"/>
  <c r="AF7" i="44"/>
  <c r="AE6" i="44"/>
  <c r="AE14" i="44"/>
  <c r="AE22" i="44"/>
  <c r="AE30" i="44"/>
  <c r="AF6" i="44"/>
  <c r="AF14" i="44"/>
  <c r="AF22" i="44"/>
  <c r="AF30" i="44"/>
  <c r="AD7" i="44"/>
  <c r="AD15" i="44"/>
  <c r="AD23" i="44"/>
  <c r="AD31" i="44"/>
  <c r="AE7" i="44"/>
  <c r="AE15" i="44"/>
  <c r="AE23" i="44"/>
  <c r="AE31" i="44"/>
  <c r="AE8" i="44"/>
  <c r="AE16" i="44"/>
  <c r="AE24" i="44"/>
  <c r="AE32" i="44"/>
  <c r="AF8" i="44"/>
  <c r="AF16" i="44"/>
  <c r="AF24" i="44"/>
  <c r="AF32" i="44"/>
  <c r="AD9" i="44"/>
  <c r="AD17" i="44"/>
  <c r="AD25" i="44"/>
  <c r="AD33" i="44"/>
  <c r="AE9" i="44"/>
  <c r="AE17" i="44"/>
  <c r="AE25" i="44"/>
  <c r="AE33" i="44"/>
  <c r="AF9" i="44"/>
  <c r="AF17" i="44"/>
  <c r="AF25" i="44"/>
  <c r="AF33" i="44"/>
  <c r="AD10" i="44"/>
  <c r="AD18" i="44"/>
  <c r="AD26" i="44"/>
  <c r="AE10" i="44"/>
  <c r="AE18" i="44"/>
  <c r="AE26" i="44"/>
  <c r="AF10" i="44"/>
  <c r="AF18" i="44"/>
  <c r="AF26" i="44"/>
  <c r="AD11" i="44"/>
  <c r="AD27" i="44"/>
  <c r="AE11" i="44"/>
  <c r="AE19" i="44"/>
  <c r="AE27" i="44"/>
  <c r="AD8" i="44"/>
  <c r="AD19" i="44"/>
  <c r="AF11" i="44"/>
  <c r="AF19" i="44"/>
  <c r="AF27" i="44"/>
  <c r="L6" i="21"/>
  <c r="M6" i="21" s="1"/>
  <c r="E199" i="35"/>
  <c r="F73" i="33"/>
  <c r="F3" i="31"/>
  <c r="G73" i="33" s="1"/>
  <c r="E13" i="36"/>
  <c r="F168" i="35"/>
  <c r="AI69" i="55" s="1"/>
  <c r="F169" i="35"/>
  <c r="H3" i="27"/>
  <c r="I60" i="33" s="1"/>
  <c r="H4" i="23"/>
  <c r="K7" i="22"/>
  <c r="F3" i="16"/>
  <c r="G34" i="33" s="1"/>
  <c r="G2" i="16"/>
  <c r="L17" i="16"/>
  <c r="M17" i="16" s="1"/>
  <c r="L19" i="16"/>
  <c r="M19" i="16" s="1"/>
  <c r="L18" i="16"/>
  <c r="M18" i="16" s="1"/>
  <c r="L16" i="16"/>
  <c r="M16" i="16" s="1"/>
  <c r="F4" i="19"/>
  <c r="K13" i="17"/>
  <c r="J13" i="17"/>
  <c r="J18" i="17"/>
  <c r="E102" i="35" s="1"/>
  <c r="K18" i="17"/>
  <c r="F102" i="35" s="1"/>
  <c r="J16" i="17"/>
  <c r="K16" i="17"/>
  <c r="J17" i="17"/>
  <c r="K17" i="17"/>
  <c r="F101" i="35" s="1"/>
  <c r="AI126" i="55" s="1"/>
  <c r="J15" i="17"/>
  <c r="E99" i="35" s="1"/>
  <c r="K15" i="17"/>
  <c r="F99" i="35" s="1"/>
  <c r="J14" i="17"/>
  <c r="E98" i="35" s="1"/>
  <c r="K14" i="17"/>
  <c r="F98" i="35" s="1"/>
  <c r="G3" i="12"/>
  <c r="E3" i="12"/>
  <c r="F3" i="12" s="1"/>
  <c r="H4" i="12"/>
  <c r="J17" i="12"/>
  <c r="E69" i="35" s="1"/>
  <c r="E53" i="36"/>
  <c r="J7" i="12"/>
  <c r="F53" i="36" s="1"/>
  <c r="E50" i="36"/>
  <c r="E45" i="36"/>
  <c r="J2" i="5"/>
  <c r="K7" i="33" s="1"/>
  <c r="F60" i="33"/>
  <c r="F6" i="33"/>
  <c r="F68" i="33"/>
  <c r="F30" i="33"/>
  <c r="F32" i="33"/>
  <c r="H4" i="7"/>
  <c r="H4" i="5"/>
  <c r="E4" i="32"/>
  <c r="H4" i="32" s="1"/>
  <c r="I4" i="33" s="1"/>
  <c r="I49" i="55" s="1"/>
  <c r="J13" i="10"/>
  <c r="E52" i="35" s="1"/>
  <c r="L24" i="17"/>
  <c r="E49" i="34" s="1"/>
  <c r="E4" i="1"/>
  <c r="F4" i="1" s="1"/>
  <c r="G4" i="1"/>
  <c r="E23" i="33"/>
  <c r="G3" i="11"/>
  <c r="E2" i="12"/>
  <c r="H2" i="12" s="1"/>
  <c r="I24" i="33" s="1"/>
  <c r="G2" i="12"/>
  <c r="E3" i="19"/>
  <c r="F3" i="19" s="1"/>
  <c r="G44" i="33" s="1"/>
  <c r="G3" i="19"/>
  <c r="H44" i="33" s="1"/>
  <c r="E18" i="33"/>
  <c r="G2" i="9"/>
  <c r="L23" i="9"/>
  <c r="E24" i="34" s="1"/>
  <c r="E2" i="6"/>
  <c r="H2" i="6" s="1"/>
  <c r="I9" i="33" s="1"/>
  <c r="I2" i="55" s="1"/>
  <c r="G2" i="6"/>
  <c r="H9" i="33" s="1"/>
  <c r="E58" i="33"/>
  <c r="G3" i="26"/>
  <c r="H58" i="33" s="1"/>
  <c r="E39" i="33"/>
  <c r="G2" i="18"/>
  <c r="E4" i="16"/>
  <c r="F4" i="16" s="1"/>
  <c r="G4" i="16"/>
  <c r="E22" i="33"/>
  <c r="G2" i="11"/>
  <c r="E63" i="33"/>
  <c r="G3" i="28"/>
  <c r="E4" i="2"/>
  <c r="F66" i="33" s="1"/>
  <c r="G4" i="2"/>
  <c r="H66" i="33" s="1"/>
  <c r="E4" i="13"/>
  <c r="F4" i="13" s="1"/>
  <c r="G4" i="13"/>
  <c r="E4" i="29"/>
  <c r="H4" i="29" s="1"/>
  <c r="G4" i="29"/>
  <c r="L20" i="17"/>
  <c r="M20" i="17" s="1"/>
  <c r="O20" i="17" s="1"/>
  <c r="F3" i="33"/>
  <c r="E4" i="4"/>
  <c r="H4" i="4" s="1"/>
  <c r="G4" i="4"/>
  <c r="L24" i="31"/>
  <c r="M24" i="31" s="1"/>
  <c r="N24" i="31" s="1"/>
  <c r="G2" i="31"/>
  <c r="L9" i="8"/>
  <c r="M9" i="8" s="1"/>
  <c r="E4" i="25"/>
  <c r="F4" i="25" s="1"/>
  <c r="G4" i="25"/>
  <c r="E3" i="10"/>
  <c r="H3" i="10" s="1"/>
  <c r="I21" i="33" s="1"/>
  <c r="G3" i="10"/>
  <c r="H21" i="33" s="1"/>
  <c r="E8" i="33"/>
  <c r="G3" i="5"/>
  <c r="L24" i="8"/>
  <c r="M24" i="8" s="1"/>
  <c r="L18" i="28"/>
  <c r="M18" i="28" s="1"/>
  <c r="O18" i="28" s="1"/>
  <c r="G4" i="28"/>
  <c r="H3" i="32"/>
  <c r="I3" i="33" s="1"/>
  <c r="E4" i="8"/>
  <c r="F4" i="8" s="1"/>
  <c r="G4" i="8"/>
  <c r="L8" i="17"/>
  <c r="M8" i="17" s="1"/>
  <c r="N8" i="17" s="1"/>
  <c r="J79" i="36" s="1"/>
  <c r="L6" i="17"/>
  <c r="H77" i="36" s="1"/>
  <c r="E3" i="8"/>
  <c r="F17" i="33" s="1"/>
  <c r="G3" i="8"/>
  <c r="H17" i="33" s="1"/>
  <c r="L20" i="5"/>
  <c r="M20" i="5" s="1"/>
  <c r="O20" i="5" s="1"/>
  <c r="G2" i="5"/>
  <c r="E4" i="33"/>
  <c r="E78" i="55" s="1"/>
  <c r="E2" i="1"/>
  <c r="E59" i="33"/>
  <c r="G2" i="27"/>
  <c r="L15" i="21"/>
  <c r="M15" i="21" s="1"/>
  <c r="N15" i="21" s="1"/>
  <c r="G2" i="21"/>
  <c r="L13" i="19"/>
  <c r="G122" i="35" s="1"/>
  <c r="G2" i="19"/>
  <c r="L20" i="21"/>
  <c r="M20" i="21" s="1"/>
  <c r="O20" i="21" s="1"/>
  <c r="E45" i="33"/>
  <c r="G2" i="20"/>
  <c r="E4" i="17"/>
  <c r="F4" i="17" s="1"/>
  <c r="G4" i="17"/>
  <c r="E3" i="6"/>
  <c r="F3" i="6" s="1"/>
  <c r="G10" i="33" s="1"/>
  <c r="G3" i="6"/>
  <c r="H10" i="33" s="1"/>
  <c r="E3" i="18"/>
  <c r="F40" i="33" s="1"/>
  <c r="G3" i="18"/>
  <c r="H40" i="33" s="1"/>
  <c r="H2" i="2"/>
  <c r="I64" i="33" s="1"/>
  <c r="F2" i="24"/>
  <c r="G54" i="33" s="1"/>
  <c r="K10" i="5"/>
  <c r="G16" i="36" s="1"/>
  <c r="J10" i="5"/>
  <c r="F16" i="36" s="1"/>
  <c r="L23" i="5"/>
  <c r="M23" i="5" s="1"/>
  <c r="L9" i="5"/>
  <c r="M9" i="5" s="1"/>
  <c r="L7" i="5"/>
  <c r="M7" i="5" s="1"/>
  <c r="N7" i="5" s="1"/>
  <c r="L19" i="5"/>
  <c r="M19" i="5" s="1"/>
  <c r="O19" i="5" s="1"/>
  <c r="L13" i="5"/>
  <c r="M13" i="5" s="1"/>
  <c r="O13" i="5" s="1"/>
  <c r="J14" i="35" s="1"/>
  <c r="L25" i="5"/>
  <c r="M25" i="5" s="1"/>
  <c r="N25" i="5" s="1"/>
  <c r="J7" i="31"/>
  <c r="F158" i="36" s="1"/>
  <c r="K14" i="31"/>
  <c r="F198" i="35" s="1"/>
  <c r="E158" i="36"/>
  <c r="J11" i="30"/>
  <c r="K14" i="29"/>
  <c r="F185" i="35" s="1"/>
  <c r="L9" i="29"/>
  <c r="M9" i="29" s="1"/>
  <c r="L19" i="29"/>
  <c r="M19" i="29" s="1"/>
  <c r="O19" i="29" s="1"/>
  <c r="L7" i="29"/>
  <c r="H148" i="36" s="1"/>
  <c r="L13" i="29"/>
  <c r="M13" i="29" s="1"/>
  <c r="L11" i="29"/>
  <c r="M11" i="29" s="1"/>
  <c r="O11" i="29" s="1"/>
  <c r="L22" i="29"/>
  <c r="M22" i="29" s="1"/>
  <c r="L15" i="29"/>
  <c r="M15" i="29" s="1"/>
  <c r="O15" i="29" s="1"/>
  <c r="J186" i="35" s="1"/>
  <c r="E2" i="29"/>
  <c r="E67" i="33"/>
  <c r="E32" i="55" s="1"/>
  <c r="L16" i="29"/>
  <c r="L24" i="29"/>
  <c r="M24" i="29" s="1"/>
  <c r="N24" i="29" s="1"/>
  <c r="G91" i="34" s="1"/>
  <c r="J7" i="29"/>
  <c r="K7" i="29"/>
  <c r="J18" i="29"/>
  <c r="E189" i="35" s="1"/>
  <c r="K4" i="29"/>
  <c r="F2" i="2"/>
  <c r="G64" i="33" s="1"/>
  <c r="H64" i="33"/>
  <c r="J13" i="27"/>
  <c r="E167" i="35" s="1"/>
  <c r="K8" i="27"/>
  <c r="G134" i="36" s="1"/>
  <c r="K6" i="26"/>
  <c r="G127" i="36" s="1"/>
  <c r="J6" i="26"/>
  <c r="F127" i="36" s="1"/>
  <c r="K9" i="26"/>
  <c r="G130" i="36" s="1"/>
  <c r="J9" i="26"/>
  <c r="F130" i="36" s="1"/>
  <c r="J7" i="26"/>
  <c r="F128" i="36" s="1"/>
  <c r="K14" i="26"/>
  <c r="F162" i="35" s="1"/>
  <c r="J8" i="26"/>
  <c r="F129" i="36" s="1"/>
  <c r="K15" i="26"/>
  <c r="E128" i="36"/>
  <c r="J18" i="26"/>
  <c r="E163" i="35" s="1"/>
  <c r="K8" i="24"/>
  <c r="J13" i="23"/>
  <c r="E147" i="35" s="1"/>
  <c r="K2" i="22"/>
  <c r="L49" i="33" s="1"/>
  <c r="K15" i="22"/>
  <c r="F143" i="35" s="1"/>
  <c r="J2" i="22"/>
  <c r="K49" i="33" s="1"/>
  <c r="K23" i="22"/>
  <c r="K11" i="22"/>
  <c r="J8" i="22"/>
  <c r="F113" i="36" s="1"/>
  <c r="L13" i="21"/>
  <c r="M13" i="21" s="1"/>
  <c r="L23" i="21"/>
  <c r="E63" i="34" s="1"/>
  <c r="L11" i="21"/>
  <c r="M11" i="21" s="1"/>
  <c r="O11" i="21" s="1"/>
  <c r="L14" i="21"/>
  <c r="M14" i="21" s="1"/>
  <c r="L9" i="21"/>
  <c r="H110" i="36" s="1"/>
  <c r="J14" i="21"/>
  <c r="E110" i="36"/>
  <c r="K13" i="20"/>
  <c r="F129" i="35" s="1"/>
  <c r="AI2" i="55" s="1"/>
  <c r="J2" i="19"/>
  <c r="K43" i="33" s="1"/>
  <c r="K2" i="19"/>
  <c r="L43" i="33" s="1"/>
  <c r="K6" i="19"/>
  <c r="G97" i="36" s="1"/>
  <c r="J6" i="19"/>
  <c r="F97" i="36" s="1"/>
  <c r="K9" i="25"/>
  <c r="G95" i="36" s="1"/>
  <c r="K16" i="25"/>
  <c r="J10" i="25"/>
  <c r="F96" i="36" s="1"/>
  <c r="K19" i="25"/>
  <c r="E96" i="36"/>
  <c r="J7" i="15"/>
  <c r="F68" i="36" s="1"/>
  <c r="K13" i="14"/>
  <c r="F77" i="35" s="1"/>
  <c r="J18" i="13"/>
  <c r="E75" i="35" s="1"/>
  <c r="J14" i="13"/>
  <c r="K8" i="13"/>
  <c r="G59" i="36" s="1"/>
  <c r="J8" i="12"/>
  <c r="F54" i="36" s="1"/>
  <c r="U98" i="55" s="1"/>
  <c r="K16" i="12"/>
  <c r="F66" i="35" s="1"/>
  <c r="K8" i="12"/>
  <c r="G54" i="36" s="1"/>
  <c r="J20" i="10"/>
  <c r="E38" i="36"/>
  <c r="J17" i="9"/>
  <c r="E51" i="35" s="1"/>
  <c r="J16" i="9"/>
  <c r="E49" i="35" s="1"/>
  <c r="K13" i="9"/>
  <c r="F46" i="35" s="1"/>
  <c r="K15" i="9"/>
  <c r="F48" i="35" s="1"/>
  <c r="J7" i="9"/>
  <c r="F38" i="36" s="1"/>
  <c r="U42" i="55" s="1"/>
  <c r="J20" i="9"/>
  <c r="J11" i="9"/>
  <c r="K11" i="8"/>
  <c r="J14" i="7"/>
  <c r="E35" i="35" s="1"/>
  <c r="K7" i="7"/>
  <c r="G28" i="36" s="1"/>
  <c r="L23" i="6"/>
  <c r="E12" i="34" s="1"/>
  <c r="J20" i="5"/>
  <c r="E12" i="36"/>
  <c r="K6" i="5"/>
  <c r="G12" i="36" s="1"/>
  <c r="K8" i="5"/>
  <c r="J8" i="5"/>
  <c r="K15" i="5"/>
  <c r="F16" i="35" s="1"/>
  <c r="J19" i="5"/>
  <c r="J16" i="5"/>
  <c r="K9" i="5"/>
  <c r="K14" i="5"/>
  <c r="F15" i="35" s="1"/>
  <c r="L10" i="5"/>
  <c r="H16" i="36" s="1"/>
  <c r="L17" i="5"/>
  <c r="M17" i="5" s="1"/>
  <c r="L22" i="5"/>
  <c r="E8" i="34" s="1"/>
  <c r="E3" i="5"/>
  <c r="L18" i="5"/>
  <c r="G19" i="35" s="1"/>
  <c r="L15" i="5"/>
  <c r="G16" i="35" s="1"/>
  <c r="L24" i="5"/>
  <c r="M24" i="5" s="1"/>
  <c r="F10" i="34" s="1"/>
  <c r="L11" i="5"/>
  <c r="M11" i="5" s="1"/>
  <c r="O11" i="5" s="1"/>
  <c r="L16" i="5"/>
  <c r="K13" i="4"/>
  <c r="F8" i="35" s="1"/>
  <c r="AI30" i="55" s="1"/>
  <c r="J16" i="4"/>
  <c r="E11" i="35" s="1"/>
  <c r="L24" i="4"/>
  <c r="M24" i="4" s="1"/>
  <c r="L5" i="47"/>
  <c r="L24" i="32"/>
  <c r="M24" i="32" s="1"/>
  <c r="O24" i="32" s="1"/>
  <c r="H4" i="34" s="1"/>
  <c r="L8" i="32"/>
  <c r="M8" i="32" s="1"/>
  <c r="J3" i="15"/>
  <c r="K32" i="33" s="1"/>
  <c r="E2" i="15"/>
  <c r="H31" i="33" s="1"/>
  <c r="L17" i="15"/>
  <c r="M17" i="15" s="1"/>
  <c r="L15" i="15"/>
  <c r="M15" i="15" s="1"/>
  <c r="L16" i="15"/>
  <c r="M16" i="15" s="1"/>
  <c r="K3" i="15"/>
  <c r="L32" i="33" s="1"/>
  <c r="L8" i="1"/>
  <c r="M8" i="1" s="1"/>
  <c r="I24" i="36" s="1"/>
  <c r="L9" i="1"/>
  <c r="M9" i="1" s="1"/>
  <c r="J48" i="33"/>
  <c r="J17" i="21"/>
  <c r="K9" i="21"/>
  <c r="G110" i="36" s="1"/>
  <c r="L7" i="21"/>
  <c r="M7" i="21" s="1"/>
  <c r="L16" i="21"/>
  <c r="M16" i="21" s="1"/>
  <c r="L24" i="21"/>
  <c r="M24" i="21" s="1"/>
  <c r="J37" i="33"/>
  <c r="E37" i="33"/>
  <c r="E9" i="55" s="1"/>
  <c r="L17" i="3"/>
  <c r="M17" i="3" s="1"/>
  <c r="L16" i="3"/>
  <c r="M16" i="3" s="1"/>
  <c r="L13" i="3"/>
  <c r="M13" i="3" s="1"/>
  <c r="L18" i="3"/>
  <c r="M18" i="3" s="1"/>
  <c r="K3" i="3"/>
  <c r="L38" i="33" s="1"/>
  <c r="J9" i="6"/>
  <c r="F20" i="36" s="1"/>
  <c r="K9" i="6"/>
  <c r="G20" i="36" s="1"/>
  <c r="K2" i="6"/>
  <c r="L9" i="33" s="1"/>
  <c r="L24" i="6"/>
  <c r="M24" i="6" s="1"/>
  <c r="O24" i="6" s="1"/>
  <c r="H13" i="34" s="1"/>
  <c r="E10" i="33"/>
  <c r="E9" i="33"/>
  <c r="E3" i="55" s="1"/>
  <c r="L15" i="6"/>
  <c r="M15" i="6" s="1"/>
  <c r="L17" i="6"/>
  <c r="M17" i="6" s="1"/>
  <c r="H24" i="35" s="1"/>
  <c r="L18" i="6"/>
  <c r="M18" i="6" s="1"/>
  <c r="L16" i="6"/>
  <c r="M16" i="6" s="1"/>
  <c r="L14" i="6"/>
  <c r="M14" i="6" s="1"/>
  <c r="H21" i="35" s="1"/>
  <c r="L7" i="6"/>
  <c r="M7" i="6" s="1"/>
  <c r="N7" i="6" s="1"/>
  <c r="J18" i="36" s="1"/>
  <c r="L25" i="6"/>
  <c r="M25" i="6" s="1"/>
  <c r="N25" i="6" s="1"/>
  <c r="K10" i="6"/>
  <c r="G21" i="36" s="1"/>
  <c r="E11" i="33"/>
  <c r="E18" i="55" s="1"/>
  <c r="L17" i="1"/>
  <c r="M17" i="1" s="1"/>
  <c r="H31" i="35" s="1"/>
  <c r="L15" i="1"/>
  <c r="M15" i="1" s="1"/>
  <c r="L18" i="1"/>
  <c r="M18" i="1" s="1"/>
  <c r="H32" i="35" s="1"/>
  <c r="L16" i="1"/>
  <c r="M16" i="1" s="1"/>
  <c r="K13" i="1"/>
  <c r="F27" i="35" s="1"/>
  <c r="K7" i="17"/>
  <c r="G78" i="36" s="1"/>
  <c r="L17" i="17"/>
  <c r="M17" i="17" s="1"/>
  <c r="L13" i="17"/>
  <c r="M13" i="17" s="1"/>
  <c r="L15" i="2"/>
  <c r="M15" i="2" s="1"/>
  <c r="H180" i="35" s="1"/>
  <c r="L16" i="2"/>
  <c r="M16" i="2" s="1"/>
  <c r="L18" i="2"/>
  <c r="M18" i="2" s="1"/>
  <c r="L17" i="2"/>
  <c r="M17" i="2" s="1"/>
  <c r="J7" i="17"/>
  <c r="F78" i="36" s="1"/>
  <c r="J2" i="17"/>
  <c r="K35" i="33" s="1"/>
  <c r="K2" i="55" s="1"/>
  <c r="J35" i="33"/>
  <c r="L16" i="17"/>
  <c r="M16" i="17" s="1"/>
  <c r="L18" i="17"/>
  <c r="M18" i="17" s="1"/>
  <c r="H102" i="35" s="1"/>
  <c r="L15" i="17"/>
  <c r="M15" i="17" s="1"/>
  <c r="L14" i="17"/>
  <c r="M14" i="17" s="1"/>
  <c r="L15" i="16"/>
  <c r="M15" i="16" s="1"/>
  <c r="L13" i="16"/>
  <c r="M13" i="16" s="1"/>
  <c r="K7" i="16"/>
  <c r="G73" i="36" s="1"/>
  <c r="J7" i="16"/>
  <c r="F73" i="36" s="1"/>
  <c r="K8" i="16"/>
  <c r="G74" i="36" s="1"/>
  <c r="J14" i="16"/>
  <c r="E90" i="35" s="1"/>
  <c r="L23" i="25"/>
  <c r="M23" i="25" s="1"/>
  <c r="L24" i="25"/>
  <c r="M24" i="25" s="1"/>
  <c r="J10" i="11"/>
  <c r="F51" i="36" s="1"/>
  <c r="K10" i="20"/>
  <c r="G106" i="36" s="1"/>
  <c r="J11" i="20"/>
  <c r="J9" i="20"/>
  <c r="F105" i="36" s="1"/>
  <c r="K9" i="20"/>
  <c r="G105" i="36" s="1"/>
  <c r="L16" i="23"/>
  <c r="M16" i="23" s="1"/>
  <c r="H150" i="35" s="1"/>
  <c r="L14" i="23"/>
  <c r="M14" i="23" s="1"/>
  <c r="L17" i="23"/>
  <c r="M17" i="23" s="1"/>
  <c r="L15" i="23"/>
  <c r="M15" i="23" s="1"/>
  <c r="L18" i="23"/>
  <c r="M18" i="23" s="1"/>
  <c r="H152" i="35" s="1"/>
  <c r="E2" i="33"/>
  <c r="L14" i="32"/>
  <c r="M14" i="32" s="1"/>
  <c r="H3" i="35" s="1"/>
  <c r="L18" i="32"/>
  <c r="M18" i="32" s="1"/>
  <c r="L15" i="32"/>
  <c r="M15" i="32" s="1"/>
  <c r="L17" i="32"/>
  <c r="M17" i="32" s="1"/>
  <c r="AN105" i="47"/>
  <c r="J15" i="7"/>
  <c r="E36" i="35" s="1"/>
  <c r="E2" i="7"/>
  <c r="H14" i="33" s="1"/>
  <c r="L16" i="7"/>
  <c r="M16" i="7" s="1"/>
  <c r="L17" i="7"/>
  <c r="M17" i="7" s="1"/>
  <c r="J4" i="31"/>
  <c r="K74" i="33" s="1"/>
  <c r="J10" i="30"/>
  <c r="F156" i="36" s="1"/>
  <c r="E156" i="36"/>
  <c r="J11" i="29"/>
  <c r="K17" i="29"/>
  <c r="L18" i="29"/>
  <c r="G189" i="35" s="1"/>
  <c r="L17" i="29"/>
  <c r="L10" i="29"/>
  <c r="M10" i="29" s="1"/>
  <c r="L6" i="29"/>
  <c r="M6" i="29" s="1"/>
  <c r="L14" i="29"/>
  <c r="M14" i="29" s="1"/>
  <c r="N14" i="29" s="1"/>
  <c r="I185" i="35" s="1"/>
  <c r="L23" i="29"/>
  <c r="M23" i="29" s="1"/>
  <c r="L25" i="29"/>
  <c r="M25" i="29" s="1"/>
  <c r="N25" i="29" s="1"/>
  <c r="K20" i="29"/>
  <c r="L20" i="29"/>
  <c r="M20" i="29" s="1"/>
  <c r="N20" i="29" s="1"/>
  <c r="L25" i="28"/>
  <c r="M25" i="28" s="1"/>
  <c r="N25" i="28" s="1"/>
  <c r="L13" i="28"/>
  <c r="M13" i="28" s="1"/>
  <c r="L10" i="28"/>
  <c r="H141" i="36" s="1"/>
  <c r="L14" i="28"/>
  <c r="M14" i="28" s="1"/>
  <c r="L11" i="28"/>
  <c r="M11" i="28" s="1"/>
  <c r="N11" i="28" s="1"/>
  <c r="E4" i="28"/>
  <c r="L23" i="28"/>
  <c r="E84" i="34" s="1"/>
  <c r="L19" i="28"/>
  <c r="M19" i="28" s="1"/>
  <c r="O19" i="28" s="1"/>
  <c r="L20" i="28"/>
  <c r="M20" i="28" s="1"/>
  <c r="N20" i="28" s="1"/>
  <c r="L16" i="28"/>
  <c r="M16" i="28" s="1"/>
  <c r="L15" i="28"/>
  <c r="G175" i="35" s="1"/>
  <c r="L7" i="28"/>
  <c r="M7" i="28" s="1"/>
  <c r="L17" i="28"/>
  <c r="M17" i="28" s="1"/>
  <c r="L6" i="28"/>
  <c r="H137" i="36" s="1"/>
  <c r="L9" i="28"/>
  <c r="H140" i="36" s="1"/>
  <c r="L22" i="28"/>
  <c r="M22" i="28" s="1"/>
  <c r="N22" i="28" s="1"/>
  <c r="G83" i="34" s="1"/>
  <c r="L8" i="28"/>
  <c r="M8" i="28" s="1"/>
  <c r="N8" i="28" s="1"/>
  <c r="J139" i="36" s="1"/>
  <c r="L24" i="28"/>
  <c r="E85" i="34" s="1"/>
  <c r="J10" i="27"/>
  <c r="F136" i="36" s="1"/>
  <c r="J19" i="27"/>
  <c r="L15" i="27"/>
  <c r="M15" i="27" s="1"/>
  <c r="J4" i="27"/>
  <c r="K61" i="33" s="1"/>
  <c r="J61" i="33"/>
  <c r="K11" i="27"/>
  <c r="J7" i="27"/>
  <c r="F133" i="36" s="1"/>
  <c r="E132" i="36"/>
  <c r="T32" i="55" s="1"/>
  <c r="K17" i="27"/>
  <c r="F170" i="35" s="1"/>
  <c r="K7" i="27"/>
  <c r="G133" i="36" s="1"/>
  <c r="L16" i="27"/>
  <c r="M16" i="27" s="1"/>
  <c r="K8" i="26"/>
  <c r="G129" i="36" s="1"/>
  <c r="K17" i="26"/>
  <c r="F166" i="35" s="1"/>
  <c r="K19" i="26"/>
  <c r="K10" i="26"/>
  <c r="G131" i="36" s="1"/>
  <c r="J10" i="26"/>
  <c r="F131" i="36" s="1"/>
  <c r="J4" i="26"/>
  <c r="J13" i="26"/>
  <c r="E161" i="35" s="1"/>
  <c r="J16" i="26"/>
  <c r="E164" i="35" s="1"/>
  <c r="AH127" i="55" s="1"/>
  <c r="H2" i="26"/>
  <c r="I57" i="33" s="1"/>
  <c r="K2" i="26"/>
  <c r="L57" i="33" s="1"/>
  <c r="J20" i="26"/>
  <c r="K11" i="26"/>
  <c r="J2" i="26"/>
  <c r="K57" i="33" s="1"/>
  <c r="J8" i="24"/>
  <c r="F125" i="36" s="1"/>
  <c r="U87" i="55" s="1"/>
  <c r="H2" i="24"/>
  <c r="I54" i="33" s="1"/>
  <c r="E120" i="36"/>
  <c r="E114" i="36"/>
  <c r="J13" i="22"/>
  <c r="E141" i="35" s="1"/>
  <c r="AH15" i="55" s="1"/>
  <c r="J19" i="21"/>
  <c r="J10" i="21"/>
  <c r="F111" i="36" s="1"/>
  <c r="J14" i="20"/>
  <c r="E130" i="35" s="1"/>
  <c r="E44" i="33"/>
  <c r="J17" i="19"/>
  <c r="J14" i="25"/>
  <c r="E117" i="35" s="1"/>
  <c r="J13" i="18"/>
  <c r="E111" i="35" s="1"/>
  <c r="L20" i="18"/>
  <c r="M20" i="18" s="1"/>
  <c r="O20" i="18" s="1"/>
  <c r="L8" i="18"/>
  <c r="H89" i="36" s="1"/>
  <c r="J19" i="3"/>
  <c r="E109" i="35" s="1"/>
  <c r="E2" i="3"/>
  <c r="F37" i="33" s="1"/>
  <c r="L20" i="3"/>
  <c r="M20" i="3" s="1"/>
  <c r="O20" i="3" s="1"/>
  <c r="L24" i="3"/>
  <c r="L6" i="3"/>
  <c r="H82" i="36" s="1"/>
  <c r="L11" i="3"/>
  <c r="M11" i="3" s="1"/>
  <c r="N11" i="3" s="1"/>
  <c r="L9" i="3"/>
  <c r="M9" i="3" s="1"/>
  <c r="L14" i="3"/>
  <c r="M14" i="3" s="1"/>
  <c r="J6" i="17"/>
  <c r="F77" i="36" s="1"/>
  <c r="K6" i="16"/>
  <c r="G72" i="36" s="1"/>
  <c r="K20" i="16"/>
  <c r="J10" i="16"/>
  <c r="F76" i="36" s="1"/>
  <c r="K10" i="16"/>
  <c r="G76" i="36" s="1"/>
  <c r="E74" i="36"/>
  <c r="L14" i="15"/>
  <c r="M14" i="15" s="1"/>
  <c r="K6" i="14"/>
  <c r="G62" i="36" s="1"/>
  <c r="E62" i="36"/>
  <c r="K14" i="12"/>
  <c r="F64" i="35" s="1"/>
  <c r="AI39" i="55" s="1"/>
  <c r="L10" i="12"/>
  <c r="H56" i="36" s="1"/>
  <c r="L9" i="12"/>
  <c r="M9" i="12" s="1"/>
  <c r="L23" i="12"/>
  <c r="E33" i="34" s="1"/>
  <c r="L6" i="12"/>
  <c r="M6" i="12" s="1"/>
  <c r="L22" i="12"/>
  <c r="M22" i="12" s="1"/>
  <c r="L17" i="12"/>
  <c r="G69" i="35" s="1"/>
  <c r="L11" i="12"/>
  <c r="M11" i="12" s="1"/>
  <c r="O11" i="12" s="1"/>
  <c r="L7" i="12"/>
  <c r="H53" i="36" s="1"/>
  <c r="L13" i="12"/>
  <c r="G65" i="35" s="1"/>
  <c r="L8" i="12"/>
  <c r="M8" i="12" s="1"/>
  <c r="O8" i="12" s="1"/>
  <c r="K54" i="36" s="1"/>
  <c r="L19" i="12"/>
  <c r="M19" i="12" s="1"/>
  <c r="N19" i="12" s="1"/>
  <c r="L20" i="12"/>
  <c r="M20" i="12" s="1"/>
  <c r="N20" i="12" s="1"/>
  <c r="L15" i="12"/>
  <c r="M15" i="12" s="1"/>
  <c r="L14" i="12"/>
  <c r="M14" i="12" s="1"/>
  <c r="J2" i="11"/>
  <c r="K22" i="33" s="1"/>
  <c r="L16" i="11"/>
  <c r="L23" i="11"/>
  <c r="M23" i="11" s="1"/>
  <c r="F30" i="34" s="1"/>
  <c r="L9" i="11"/>
  <c r="E3" i="11"/>
  <c r="F3" i="11" s="1"/>
  <c r="G23" i="33" s="1"/>
  <c r="L15" i="11"/>
  <c r="M15" i="11" s="1"/>
  <c r="O15" i="11" s="1"/>
  <c r="K7" i="11"/>
  <c r="K6" i="11"/>
  <c r="G47" i="36" s="1"/>
  <c r="J6" i="11"/>
  <c r="F47" i="36" s="1"/>
  <c r="J22" i="33"/>
  <c r="L19" i="11"/>
  <c r="M19" i="11" s="1"/>
  <c r="N19" i="11" s="1"/>
  <c r="L25" i="11"/>
  <c r="M25" i="11" s="1"/>
  <c r="O25" i="11" s="1"/>
  <c r="L11" i="11"/>
  <c r="M11" i="11" s="1"/>
  <c r="N11" i="11" s="1"/>
  <c r="L10" i="11"/>
  <c r="M10" i="11" s="1"/>
  <c r="N10" i="11" s="1"/>
  <c r="J51" i="36" s="1"/>
  <c r="L24" i="11"/>
  <c r="E31" i="34" s="1"/>
  <c r="L18" i="11"/>
  <c r="M18" i="11" s="1"/>
  <c r="O18" i="11" s="1"/>
  <c r="L13" i="11"/>
  <c r="M13" i="11" s="1"/>
  <c r="O13" i="11" s="1"/>
  <c r="J58" i="35" s="1"/>
  <c r="L6" i="11"/>
  <c r="H47" i="36" s="1"/>
  <c r="K15" i="10"/>
  <c r="F54" i="35" s="1"/>
  <c r="J9" i="10"/>
  <c r="F45" i="36" s="1"/>
  <c r="J14" i="10"/>
  <c r="E53" i="35" s="1"/>
  <c r="L16" i="9"/>
  <c r="G49" i="35" s="1"/>
  <c r="L6" i="9"/>
  <c r="H37" i="36" s="1"/>
  <c r="L19" i="9"/>
  <c r="M19" i="9" s="1"/>
  <c r="O19" i="9" s="1"/>
  <c r="L25" i="9"/>
  <c r="M25" i="9" s="1"/>
  <c r="O25" i="9" s="1"/>
  <c r="L7" i="9"/>
  <c r="H38" i="36" s="1"/>
  <c r="L9" i="9"/>
  <c r="M9" i="9" s="1"/>
  <c r="L11" i="9"/>
  <c r="M11" i="9" s="1"/>
  <c r="O11" i="9" s="1"/>
  <c r="E2" i="9"/>
  <c r="F18" i="33" s="1"/>
  <c r="L17" i="9"/>
  <c r="L14" i="9"/>
  <c r="M14" i="9" s="1"/>
  <c r="H47" i="35" s="1"/>
  <c r="J10" i="9"/>
  <c r="F41" i="36" s="1"/>
  <c r="E41" i="36"/>
  <c r="K18" i="9"/>
  <c r="F50" i="35" s="1"/>
  <c r="E40" i="36"/>
  <c r="L22" i="9"/>
  <c r="E23" i="34" s="1"/>
  <c r="L15" i="9"/>
  <c r="M15" i="9" s="1"/>
  <c r="O15" i="9" s="1"/>
  <c r="J48" i="35" s="1"/>
  <c r="E37" i="36"/>
  <c r="K3" i="9"/>
  <c r="L19" i="33" s="1"/>
  <c r="J14" i="9"/>
  <c r="E47" i="35" s="1"/>
  <c r="L18" i="9"/>
  <c r="J20" i="8"/>
  <c r="L7" i="8"/>
  <c r="M7" i="8" s="1"/>
  <c r="O7" i="8" s="1"/>
  <c r="K33" i="36" s="1"/>
  <c r="L11" i="8"/>
  <c r="M11" i="8" s="1"/>
  <c r="O11" i="8" s="1"/>
  <c r="L22" i="8"/>
  <c r="M22" i="8" s="1"/>
  <c r="L10" i="8"/>
  <c r="H36" i="36" s="1"/>
  <c r="L16" i="8"/>
  <c r="G44" i="35" s="1"/>
  <c r="L15" i="8"/>
  <c r="M15" i="8" s="1"/>
  <c r="O15" i="8" s="1"/>
  <c r="J45" i="35" s="1"/>
  <c r="K6" i="7"/>
  <c r="G27" i="36" s="1"/>
  <c r="J6" i="7"/>
  <c r="F27" i="36" s="1"/>
  <c r="L7" i="7"/>
  <c r="H28" i="36" s="1"/>
  <c r="G25" i="36"/>
  <c r="F25" i="36"/>
  <c r="U103" i="55" s="1"/>
  <c r="J19" i="1"/>
  <c r="E33" i="35" s="1"/>
  <c r="L10" i="1"/>
  <c r="M10" i="1" s="1"/>
  <c r="I26" i="36" s="1"/>
  <c r="L23" i="1"/>
  <c r="M23" i="1" s="1"/>
  <c r="O23" i="1" s="1"/>
  <c r="L7" i="1"/>
  <c r="H23" i="36" s="1"/>
  <c r="L14" i="1"/>
  <c r="G28" i="35" s="1"/>
  <c r="J10" i="1"/>
  <c r="F26" i="36" s="1"/>
  <c r="J13" i="6"/>
  <c r="E21" i="35" s="1"/>
  <c r="E25" i="35"/>
  <c r="L9" i="6"/>
  <c r="M9" i="6" s="1"/>
  <c r="O9" i="6" s="1"/>
  <c r="K20" i="36" s="1"/>
  <c r="L8" i="6"/>
  <c r="M8" i="6" s="1"/>
  <c r="N8" i="6" s="1"/>
  <c r="J19" i="36" s="1"/>
  <c r="L19" i="4"/>
  <c r="M19" i="4" s="1"/>
  <c r="N19" i="4" s="1"/>
  <c r="L25" i="4"/>
  <c r="M25" i="4" s="1"/>
  <c r="N25" i="4" s="1"/>
  <c r="E5" i="33"/>
  <c r="E15" i="55" s="1"/>
  <c r="L7" i="4"/>
  <c r="M7" i="4" s="1"/>
  <c r="L17" i="4"/>
  <c r="G12" i="35" s="1"/>
  <c r="L8" i="4"/>
  <c r="H9" i="36" s="1"/>
  <c r="L6" i="4"/>
  <c r="M6" i="4" s="1"/>
  <c r="L16" i="4"/>
  <c r="G11" i="35" s="1"/>
  <c r="L14" i="4"/>
  <c r="M14" i="4" s="1"/>
  <c r="L9" i="4"/>
  <c r="H10" i="36" s="1"/>
  <c r="L13" i="4"/>
  <c r="M13" i="4" s="1"/>
  <c r="J5" i="33"/>
  <c r="L23" i="4"/>
  <c r="M23" i="4" s="1"/>
  <c r="L15" i="4"/>
  <c r="M15" i="4" s="1"/>
  <c r="E2" i="4"/>
  <c r="F2" i="4" s="1"/>
  <c r="G5" i="33" s="1"/>
  <c r="L22" i="4"/>
  <c r="E5" i="34" s="1"/>
  <c r="L18" i="4"/>
  <c r="G13" i="35" s="1"/>
  <c r="L20" i="4"/>
  <c r="M20" i="4" s="1"/>
  <c r="N20" i="4" s="1"/>
  <c r="K10" i="4"/>
  <c r="G11" i="36" s="1"/>
  <c r="K19" i="4"/>
  <c r="L10" i="4"/>
  <c r="M10" i="4" s="1"/>
  <c r="L11" i="4"/>
  <c r="M11" i="4" s="1"/>
  <c r="N11" i="4" s="1"/>
  <c r="L10" i="32"/>
  <c r="M10" i="32" s="1"/>
  <c r="I6" i="36" s="1"/>
  <c r="L13" i="32"/>
  <c r="G2" i="35" s="1"/>
  <c r="L16" i="32"/>
  <c r="M16" i="32" s="1"/>
  <c r="L9" i="32"/>
  <c r="M9" i="32" s="1"/>
  <c r="L7" i="32"/>
  <c r="M7" i="32" s="1"/>
  <c r="N7" i="32" s="1"/>
  <c r="J3" i="36" s="1"/>
  <c r="L19" i="32"/>
  <c r="M19" i="32" s="1"/>
  <c r="O19" i="32" s="1"/>
  <c r="J18" i="31"/>
  <c r="E200" i="35" s="1"/>
  <c r="K3" i="31"/>
  <c r="L73" i="33" s="1"/>
  <c r="J13" i="8"/>
  <c r="E41" i="35" s="1"/>
  <c r="AH4" i="55" s="1"/>
  <c r="L9" i="17"/>
  <c r="M9" i="17" s="1"/>
  <c r="I80" i="36" s="1"/>
  <c r="AL5" i="47"/>
  <c r="L9" i="23"/>
  <c r="M9" i="23" s="1"/>
  <c r="L10" i="17"/>
  <c r="M10" i="17" s="1"/>
  <c r="L7" i="17"/>
  <c r="M7" i="17" s="1"/>
  <c r="N7" i="17" s="1"/>
  <c r="J78" i="36" s="1"/>
  <c r="K13" i="7"/>
  <c r="F34" i="35" s="1"/>
  <c r="L23" i="17"/>
  <c r="M23" i="17" s="1"/>
  <c r="E4" i="27"/>
  <c r="E61" i="33"/>
  <c r="L7" i="23"/>
  <c r="M7" i="23" s="1"/>
  <c r="K6" i="4"/>
  <c r="G7" i="36" s="1"/>
  <c r="J6" i="27"/>
  <c r="F132" i="36" s="1"/>
  <c r="U12" i="55" s="1"/>
  <c r="F3" i="26"/>
  <c r="G58" i="33" s="1"/>
  <c r="J7" i="14"/>
  <c r="F63" i="36" s="1"/>
  <c r="K4" i="31"/>
  <c r="L74" i="33" s="1"/>
  <c r="L24" i="1"/>
  <c r="M24" i="1" s="1"/>
  <c r="O24" i="1" s="1"/>
  <c r="J19" i="7"/>
  <c r="E40" i="35" s="1"/>
  <c r="K9" i="9"/>
  <c r="G40" i="36" s="1"/>
  <c r="L6" i="32"/>
  <c r="M6" i="32" s="1"/>
  <c r="I2" i="36" s="1"/>
  <c r="K9" i="16"/>
  <c r="G75" i="36" s="1"/>
  <c r="E66" i="33"/>
  <c r="E51" i="36"/>
  <c r="J4" i="14"/>
  <c r="K30" i="33" s="1"/>
  <c r="L24" i="20"/>
  <c r="J11" i="4"/>
  <c r="K3" i="6"/>
  <c r="L10" i="33" s="1"/>
  <c r="E2" i="18"/>
  <c r="H2" i="18" s="1"/>
  <c r="I39" i="33" s="1"/>
  <c r="I21" i="55" s="1"/>
  <c r="E64" i="36"/>
  <c r="L22" i="21"/>
  <c r="E62" i="34" s="1"/>
  <c r="E72" i="36"/>
  <c r="J13" i="25"/>
  <c r="E116" i="35" s="1"/>
  <c r="K10" i="7"/>
  <c r="G31" i="36" s="1"/>
  <c r="E80" i="36"/>
  <c r="J8" i="23"/>
  <c r="F118" i="36" s="1"/>
  <c r="L8" i="3"/>
  <c r="M8" i="3" s="1"/>
  <c r="I84" i="36" s="1"/>
  <c r="K9" i="10"/>
  <c r="E31" i="36"/>
  <c r="J14" i="1"/>
  <c r="E28" i="35" s="1"/>
  <c r="K2" i="8"/>
  <c r="L16" i="33" s="1"/>
  <c r="J15" i="8"/>
  <c r="E45" i="35" s="1"/>
  <c r="L19" i="10"/>
  <c r="M19" i="10" s="1"/>
  <c r="O19" i="10" s="1"/>
  <c r="K9" i="24"/>
  <c r="L14" i="13"/>
  <c r="E79" i="36"/>
  <c r="J2" i="21"/>
  <c r="K47" i="33" s="1"/>
  <c r="J19" i="14"/>
  <c r="E83" i="35" s="1"/>
  <c r="K8" i="17"/>
  <c r="G79" i="36" s="1"/>
  <c r="K2" i="21"/>
  <c r="L47" i="33" s="1"/>
  <c r="J56" i="55"/>
  <c r="L18" i="21"/>
  <c r="M18" i="21" s="1"/>
  <c r="E2" i="21"/>
  <c r="F2" i="21" s="1"/>
  <c r="G47" i="33" s="1"/>
  <c r="K3" i="2"/>
  <c r="L65" i="33" s="1"/>
  <c r="J11" i="16"/>
  <c r="L10" i="21"/>
  <c r="H111" i="36" s="1"/>
  <c r="L11" i="32"/>
  <c r="M11" i="32" s="1"/>
  <c r="O11" i="32" s="1"/>
  <c r="E30" i="36"/>
  <c r="K20" i="3"/>
  <c r="E119" i="36"/>
  <c r="K15" i="18"/>
  <c r="F112" i="35" s="1"/>
  <c r="E21" i="33"/>
  <c r="E65" i="36"/>
  <c r="J11" i="23"/>
  <c r="K14" i="18"/>
  <c r="F110" i="35" s="1"/>
  <c r="K2" i="5"/>
  <c r="L7" i="33" s="1"/>
  <c r="L5" i="55" s="1"/>
  <c r="J3" i="25"/>
  <c r="K42" i="33" s="1"/>
  <c r="J3" i="31"/>
  <c r="K73" i="33" s="1"/>
  <c r="L17" i="21"/>
  <c r="L23" i="20"/>
  <c r="M23" i="20" s="1"/>
  <c r="K10" i="27"/>
  <c r="G136" i="36" s="1"/>
  <c r="J2" i="3"/>
  <c r="K37" i="33" s="1"/>
  <c r="F54" i="33"/>
  <c r="J6" i="25"/>
  <c r="F92" i="36" s="1"/>
  <c r="F32" i="35"/>
  <c r="J38" i="33"/>
  <c r="E34" i="36"/>
  <c r="K20" i="25"/>
  <c r="K11" i="25"/>
  <c r="J9" i="14"/>
  <c r="F65" i="36" s="1"/>
  <c r="L19" i="27"/>
  <c r="M19" i="27" s="1"/>
  <c r="O19" i="27" s="1"/>
  <c r="L23" i="27"/>
  <c r="M23" i="27" s="1"/>
  <c r="K7" i="14"/>
  <c r="G63" i="36" s="1"/>
  <c r="K15" i="2"/>
  <c r="F180" i="35" s="1"/>
  <c r="J15" i="14"/>
  <c r="E79" i="35" s="1"/>
  <c r="AH39" i="55" s="1"/>
  <c r="E39" i="36"/>
  <c r="E2" i="27"/>
  <c r="F2" i="27" s="1"/>
  <c r="L13" i="27"/>
  <c r="G167" i="35" s="1"/>
  <c r="L6" i="27"/>
  <c r="H132" i="36" s="1"/>
  <c r="E8" i="36"/>
  <c r="J9" i="33"/>
  <c r="J3" i="55" s="1"/>
  <c r="J16" i="8"/>
  <c r="E14" i="33"/>
  <c r="K7" i="25"/>
  <c r="G93" i="36" s="1"/>
  <c r="E88" i="36"/>
  <c r="L20" i="1"/>
  <c r="M20" i="1" s="1"/>
  <c r="N20" i="1" s="1"/>
  <c r="J15" i="27"/>
  <c r="K8" i="9"/>
  <c r="G39" i="36" s="1"/>
  <c r="J17" i="25"/>
  <c r="K3" i="4"/>
  <c r="L6" i="33" s="1"/>
  <c r="E22" i="35"/>
  <c r="J3" i="4"/>
  <c r="K6" i="33" s="1"/>
  <c r="K20" i="27"/>
  <c r="E95" i="35"/>
  <c r="J11" i="2"/>
  <c r="J8" i="6"/>
  <c r="F19" i="36" s="1"/>
  <c r="K8" i="6"/>
  <c r="G19" i="36" s="1"/>
  <c r="K4" i="9"/>
  <c r="J14" i="8"/>
  <c r="E42" i="35" s="1"/>
  <c r="J20" i="20"/>
  <c r="J9" i="7"/>
  <c r="F30" i="36" s="1"/>
  <c r="J7" i="4"/>
  <c r="F8" i="36" s="1"/>
  <c r="K20" i="14"/>
  <c r="E38" i="35"/>
  <c r="L14" i="5"/>
  <c r="M14" i="5" s="1"/>
  <c r="O14" i="5" s="1"/>
  <c r="J15" i="35" s="1"/>
  <c r="L14" i="18"/>
  <c r="M14" i="18" s="1"/>
  <c r="H110" i="35" s="1"/>
  <c r="K4" i="14"/>
  <c r="L30" i="33" s="1"/>
  <c r="K18" i="11"/>
  <c r="J6" i="9"/>
  <c r="F37" i="36" s="1"/>
  <c r="K17" i="8"/>
  <c r="F44" i="35" s="1"/>
  <c r="J20" i="21"/>
  <c r="J14" i="4"/>
  <c r="E9" i="35" s="1"/>
  <c r="J11" i="15"/>
  <c r="J13" i="2"/>
  <c r="E179" i="35" s="1"/>
  <c r="AH31" i="55" s="1"/>
  <c r="L6" i="1"/>
  <c r="H22" i="36" s="1"/>
  <c r="L15" i="3"/>
  <c r="E33" i="36"/>
  <c r="K18" i="14"/>
  <c r="F82" i="35" s="1"/>
  <c r="K11" i="7"/>
  <c r="L22" i="3"/>
  <c r="M22" i="3" s="1"/>
  <c r="K6" i="13"/>
  <c r="G57" i="36" s="1"/>
  <c r="J4" i="21"/>
  <c r="J3" i="9"/>
  <c r="K19" i="33" s="1"/>
  <c r="J2" i="27"/>
  <c r="K59" i="33" s="1"/>
  <c r="K7" i="18"/>
  <c r="G88" i="36" s="1"/>
  <c r="L19" i="1"/>
  <c r="M19" i="1" s="1"/>
  <c r="H33" i="35" s="1"/>
  <c r="L25" i="21"/>
  <c r="M25" i="21" s="1"/>
  <c r="O25" i="21" s="1"/>
  <c r="H4" i="1"/>
  <c r="J20" i="33"/>
  <c r="J6" i="13"/>
  <c r="F57" i="36" s="1"/>
  <c r="J16" i="27"/>
  <c r="F58" i="33"/>
  <c r="H3" i="9"/>
  <c r="I19" i="33" s="1"/>
  <c r="F3" i="9"/>
  <c r="G19" i="33" s="1"/>
  <c r="H19" i="33"/>
  <c r="H3" i="26"/>
  <c r="I58" i="33" s="1"/>
  <c r="H35" i="33"/>
  <c r="F62" i="33"/>
  <c r="AO5" i="47"/>
  <c r="J15" i="4"/>
  <c r="E10" i="35" s="1"/>
  <c r="K3" i="8"/>
  <c r="L17" i="33" s="1"/>
  <c r="L24" i="9"/>
  <c r="M24" i="9" s="1"/>
  <c r="F25" i="34" s="1"/>
  <c r="K4" i="1"/>
  <c r="E24" i="33"/>
  <c r="E23" i="55" s="1"/>
  <c r="J3" i="7"/>
  <c r="K15" i="33" s="1"/>
  <c r="K3" i="7"/>
  <c r="L15" i="33" s="1"/>
  <c r="L20" i="11"/>
  <c r="M20" i="11" s="1"/>
  <c r="O20" i="11" s="1"/>
  <c r="J4" i="32"/>
  <c r="K4" i="33" s="1"/>
  <c r="K50" i="55" s="1"/>
  <c r="J17" i="4"/>
  <c r="E12" i="35" s="1"/>
  <c r="AH111" i="55" s="1"/>
  <c r="K4" i="32"/>
  <c r="L4" i="33" s="1"/>
  <c r="L49" i="55" s="1"/>
  <c r="K6" i="8"/>
  <c r="G32" i="36" s="1"/>
  <c r="L20" i="32"/>
  <c r="M20" i="32" s="1"/>
  <c r="N20" i="32" s="1"/>
  <c r="J4" i="5"/>
  <c r="E123" i="36"/>
  <c r="L20" i="9"/>
  <c r="M20" i="9" s="1"/>
  <c r="O20" i="9" s="1"/>
  <c r="L19" i="21"/>
  <c r="M19" i="21" s="1"/>
  <c r="O19" i="21" s="1"/>
  <c r="L11" i="18"/>
  <c r="M11" i="18" s="1"/>
  <c r="N11" i="18" s="1"/>
  <c r="L22" i="6"/>
  <c r="L23" i="3"/>
  <c r="M23" i="3" s="1"/>
  <c r="N23" i="3" s="1"/>
  <c r="J4" i="19"/>
  <c r="K20" i="22"/>
  <c r="J13" i="33"/>
  <c r="J3" i="32"/>
  <c r="K3" i="33" s="1"/>
  <c r="L18" i="12"/>
  <c r="M18" i="12" s="1"/>
  <c r="L25" i="17"/>
  <c r="M25" i="17" s="1"/>
  <c r="N25" i="17" s="1"/>
  <c r="L8" i="21"/>
  <c r="H109" i="36" s="1"/>
  <c r="L7" i="18"/>
  <c r="M7" i="18" s="1"/>
  <c r="N7" i="18" s="1"/>
  <c r="J88" i="36" s="1"/>
  <c r="J7" i="25"/>
  <c r="F93" i="36" s="1"/>
  <c r="J66" i="33"/>
  <c r="J4" i="4"/>
  <c r="J2" i="14"/>
  <c r="K29" i="33" s="1"/>
  <c r="K3" i="11"/>
  <c r="L23" i="33" s="1"/>
  <c r="J12" i="33"/>
  <c r="L10" i="3"/>
  <c r="H86" i="36" s="1"/>
  <c r="L6" i="6"/>
  <c r="H17" i="36" s="1"/>
  <c r="L25" i="3"/>
  <c r="M25" i="3" s="1"/>
  <c r="N25" i="3" s="1"/>
  <c r="H24" i="33"/>
  <c r="K4" i="2"/>
  <c r="L66" i="33" s="1"/>
  <c r="J10" i="2"/>
  <c r="F146" i="36" s="1"/>
  <c r="J20" i="7"/>
  <c r="K3" i="1"/>
  <c r="K4" i="6"/>
  <c r="J2" i="10"/>
  <c r="K20" i="33" s="1"/>
  <c r="E114" i="35"/>
  <c r="J6" i="8"/>
  <c r="F32" i="36" s="1"/>
  <c r="F139" i="35"/>
  <c r="J18" i="21"/>
  <c r="E138" i="35" s="1"/>
  <c r="J33" i="33"/>
  <c r="J64" i="55"/>
  <c r="J53" i="55"/>
  <c r="J14" i="14"/>
  <c r="E78" i="35" s="1"/>
  <c r="J10" i="14"/>
  <c r="F66" i="36" s="1"/>
  <c r="J28" i="33"/>
  <c r="E2" i="5"/>
  <c r="E7" i="33"/>
  <c r="E5" i="55" s="1"/>
  <c r="E23" i="36"/>
  <c r="K3" i="21"/>
  <c r="L48" i="33" s="1"/>
  <c r="J6" i="4"/>
  <c r="F7" i="36" s="1"/>
  <c r="E69" i="36"/>
  <c r="AI7" i="55"/>
  <c r="L6" i="5"/>
  <c r="M6" i="5" s="1"/>
  <c r="N6" i="5" s="1"/>
  <c r="J12" i="36" s="1"/>
  <c r="L10" i="9"/>
  <c r="M10" i="9" s="1"/>
  <c r="L19" i="17"/>
  <c r="M19" i="17" s="1"/>
  <c r="O19" i="17" s="1"/>
  <c r="L8" i="5"/>
  <c r="H62" i="33"/>
  <c r="L22" i="32"/>
  <c r="M22" i="32" s="1"/>
  <c r="F2" i="34" s="1"/>
  <c r="AV5" i="55" s="1"/>
  <c r="J18" i="8"/>
  <c r="J8" i="27"/>
  <c r="F134" i="36" s="1"/>
  <c r="E18" i="36"/>
  <c r="L25" i="32"/>
  <c r="M25" i="32" s="1"/>
  <c r="N25" i="32" s="1"/>
  <c r="E2" i="11"/>
  <c r="H2" i="11" s="1"/>
  <c r="I22" i="33" s="1"/>
  <c r="K6" i="2"/>
  <c r="G142" i="36" s="1"/>
  <c r="V2" i="55" s="1"/>
  <c r="J8" i="15"/>
  <c r="F69" i="36" s="1"/>
  <c r="U95" i="55" s="1"/>
  <c r="F24" i="36"/>
  <c r="J77" i="55"/>
  <c r="L13" i="9"/>
  <c r="M13" i="9" s="1"/>
  <c r="L11" i="17"/>
  <c r="M11" i="17" s="1"/>
  <c r="O11" i="17" s="1"/>
  <c r="J10" i="4"/>
  <c r="F11" i="36" s="1"/>
  <c r="F2" i="28"/>
  <c r="G62" i="33" s="1"/>
  <c r="L25" i="18"/>
  <c r="M25" i="18" s="1"/>
  <c r="N25" i="18" s="1"/>
  <c r="L8" i="11"/>
  <c r="J8" i="33"/>
  <c r="K11" i="5"/>
  <c r="J16" i="14"/>
  <c r="E80" i="35" s="1"/>
  <c r="J4" i="17"/>
  <c r="K14" i="2"/>
  <c r="F178" i="35" s="1"/>
  <c r="J3" i="8"/>
  <c r="K17" i="33" s="1"/>
  <c r="L8" i="9"/>
  <c r="M8" i="9" s="1"/>
  <c r="O8" i="9" s="1"/>
  <c r="K39" i="36" s="1"/>
  <c r="J7" i="11"/>
  <c r="J6" i="2"/>
  <c r="F142" i="36" s="1"/>
  <c r="U2" i="55" s="1"/>
  <c r="K20" i="2"/>
  <c r="J14" i="11"/>
  <c r="J3" i="27"/>
  <c r="K60" i="33" s="1"/>
  <c r="A5" i="36"/>
  <c r="A6" i="36" s="1"/>
  <c r="A7" i="36" s="1"/>
  <c r="A8" i="36" s="1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L25" i="27"/>
  <c r="M25" i="27" s="1"/>
  <c r="N25" i="27" s="1"/>
  <c r="L25" i="12"/>
  <c r="M25" i="12" s="1"/>
  <c r="N25" i="12" s="1"/>
  <c r="L19" i="3"/>
  <c r="G109" i="35" s="1"/>
  <c r="L11" i="6"/>
  <c r="M11" i="6" s="1"/>
  <c r="L15" i="18"/>
  <c r="M15" i="18" s="1"/>
  <c r="H112" i="35" s="1"/>
  <c r="L22" i="1"/>
  <c r="J11" i="21"/>
  <c r="L16" i="12"/>
  <c r="M16" i="12" s="1"/>
  <c r="H66" i="35" s="1"/>
  <c r="K16" i="10"/>
  <c r="E135" i="36"/>
  <c r="J18" i="5"/>
  <c r="E18" i="35" s="1"/>
  <c r="E106" i="35"/>
  <c r="F106" i="35"/>
  <c r="J5" i="47"/>
  <c r="L20" i="27"/>
  <c r="M20" i="27" s="1"/>
  <c r="O20" i="27" s="1"/>
  <c r="L17" i="11"/>
  <c r="M17" i="11" s="1"/>
  <c r="N17" i="11" s="1"/>
  <c r="L24" i="27"/>
  <c r="M24" i="27" s="1"/>
  <c r="E108" i="36"/>
  <c r="L14" i="20"/>
  <c r="M14" i="20" s="1"/>
  <c r="H130" i="35" s="1"/>
  <c r="D38" i="8"/>
  <c r="D39" i="8" s="1"/>
  <c r="L11" i="27"/>
  <c r="M11" i="27" s="1"/>
  <c r="N11" i="27" s="1"/>
  <c r="J7" i="21"/>
  <c r="F108" i="36" s="1"/>
  <c r="L7" i="27"/>
  <c r="M7" i="27" s="1"/>
  <c r="K8" i="14"/>
  <c r="G64" i="36" s="1"/>
  <c r="J17" i="5"/>
  <c r="J9" i="12"/>
  <c r="F55" i="36" s="1"/>
  <c r="L18" i="27"/>
  <c r="G172" i="35" s="1"/>
  <c r="L10" i="6"/>
  <c r="M10" i="6" s="1"/>
  <c r="O10" i="6" s="1"/>
  <c r="K21" i="36" s="1"/>
  <c r="L22" i="11"/>
  <c r="M22" i="11" s="1"/>
  <c r="L23" i="18"/>
  <c r="E54" i="34" s="1"/>
  <c r="K7" i="8"/>
  <c r="G33" i="36" s="1"/>
  <c r="K9" i="4"/>
  <c r="G10" i="36" s="1"/>
  <c r="J2" i="16"/>
  <c r="K33" i="33" s="1"/>
  <c r="E48" i="36"/>
  <c r="K14" i="19"/>
  <c r="F123" i="35" s="1"/>
  <c r="J59" i="33"/>
  <c r="D38" i="25"/>
  <c r="D39" i="25" s="1"/>
  <c r="K10" i="21"/>
  <c r="G111" i="36" s="1"/>
  <c r="K3" i="18"/>
  <c r="L40" i="33" s="1"/>
  <c r="J40" i="33"/>
  <c r="L10" i="27"/>
  <c r="M10" i="27" s="1"/>
  <c r="K19" i="2"/>
  <c r="J18" i="22"/>
  <c r="L25" i="1"/>
  <c r="M25" i="1" s="1"/>
  <c r="N25" i="1" s="1"/>
  <c r="J3" i="14"/>
  <c r="K28" i="33" s="1"/>
  <c r="J9" i="17"/>
  <c r="F80" i="36" s="1"/>
  <c r="K16" i="20"/>
  <c r="F132" i="35" s="1"/>
  <c r="F182" i="35"/>
  <c r="E9" i="36"/>
  <c r="L14" i="11"/>
  <c r="E3" i="3"/>
  <c r="E38" i="33"/>
  <c r="F3" i="35"/>
  <c r="L9" i="27"/>
  <c r="H135" i="36" s="1"/>
  <c r="J9" i="27"/>
  <c r="F135" i="36" s="1"/>
  <c r="J4" i="8"/>
  <c r="J16" i="33"/>
  <c r="J6" i="55" s="1"/>
  <c r="J19" i="20"/>
  <c r="L8" i="27"/>
  <c r="H134" i="36" s="1"/>
  <c r="E26" i="36"/>
  <c r="J18" i="25"/>
  <c r="E121" i="35" s="1"/>
  <c r="J4" i="10"/>
  <c r="E66" i="55"/>
  <c r="E5" i="35"/>
  <c r="L22" i="27"/>
  <c r="E80" i="34" s="1"/>
  <c r="L7" i="11"/>
  <c r="J6" i="21"/>
  <c r="F107" i="36" s="1"/>
  <c r="U10" i="55" s="1"/>
  <c r="E107" i="36"/>
  <c r="E36" i="36"/>
  <c r="K2" i="7"/>
  <c r="L14" i="33" s="1"/>
  <c r="J19" i="8"/>
  <c r="J14" i="33"/>
  <c r="J14" i="55" s="1"/>
  <c r="D38" i="4"/>
  <c r="D39" i="4" s="1"/>
  <c r="D38" i="27"/>
  <c r="D39" i="27" s="1"/>
  <c r="E146" i="36"/>
  <c r="L17" i="27"/>
  <c r="J10" i="8"/>
  <c r="F36" i="36" s="1"/>
  <c r="E6" i="36"/>
  <c r="K19" i="6"/>
  <c r="F26" i="35" s="1"/>
  <c r="J4" i="3"/>
  <c r="E152" i="35"/>
  <c r="K16" i="22"/>
  <c r="F144" i="35" s="1"/>
  <c r="E118" i="36"/>
  <c r="K10" i="32"/>
  <c r="G6" i="36" s="1"/>
  <c r="K6" i="17"/>
  <c r="G77" i="36" s="1"/>
  <c r="E14" i="36"/>
  <c r="L6" i="31"/>
  <c r="H157" i="36" s="1"/>
  <c r="L23" i="32"/>
  <c r="M23" i="32" s="1"/>
  <c r="O23" i="32" s="1"/>
  <c r="H3" i="34" s="1"/>
  <c r="D38" i="26"/>
  <c r="D39" i="26" s="1"/>
  <c r="L24" i="12"/>
  <c r="E34" i="34" s="1"/>
  <c r="L7" i="3"/>
  <c r="M7" i="3" s="1"/>
  <c r="L9" i="18"/>
  <c r="M9" i="18" s="1"/>
  <c r="O9" i="18" s="1"/>
  <c r="K90" i="36" s="1"/>
  <c r="L20" i="6"/>
  <c r="M20" i="6" s="1"/>
  <c r="N20" i="6" s="1"/>
  <c r="J18" i="27"/>
  <c r="E172" i="35" s="1"/>
  <c r="K3" i="27"/>
  <c r="L60" i="33" s="1"/>
  <c r="J2" i="20"/>
  <c r="K45" i="33" s="1"/>
  <c r="E59" i="36"/>
  <c r="K10" i="14"/>
  <c r="G66" i="36" s="1"/>
  <c r="E31" i="33"/>
  <c r="K13" i="33"/>
  <c r="K12" i="33"/>
  <c r="F183" i="35"/>
  <c r="E183" i="35"/>
  <c r="L19" i="23"/>
  <c r="M19" i="23" s="1"/>
  <c r="N19" i="23" s="1"/>
  <c r="I153" i="35" s="1"/>
  <c r="X5" i="47"/>
  <c r="F2" i="17"/>
  <c r="G35" i="33" s="1"/>
  <c r="L20" i="23"/>
  <c r="M20" i="23" s="1"/>
  <c r="K2" i="25"/>
  <c r="L41" i="33" s="1"/>
  <c r="L25" i="23"/>
  <c r="M25" i="23" s="1"/>
  <c r="O25" i="23" s="1"/>
  <c r="K18" i="4"/>
  <c r="F13" i="35" s="1"/>
  <c r="E2" i="23"/>
  <c r="H2" i="23" s="1"/>
  <c r="I52" i="33" s="1"/>
  <c r="K9" i="23"/>
  <c r="G119" i="36" s="1"/>
  <c r="J41" i="33"/>
  <c r="J33" i="55" s="1"/>
  <c r="E24" i="35"/>
  <c r="J4" i="23"/>
  <c r="J8" i="11"/>
  <c r="K18" i="7"/>
  <c r="F39" i="35" s="1"/>
  <c r="K7" i="5"/>
  <c r="J57" i="55"/>
  <c r="L8" i="23"/>
  <c r="M8" i="23" s="1"/>
  <c r="K8" i="20"/>
  <c r="G104" i="36" s="1"/>
  <c r="J9" i="31"/>
  <c r="F160" i="36" s="1"/>
  <c r="J20" i="1"/>
  <c r="J7" i="5"/>
  <c r="F15" i="36" s="1"/>
  <c r="L24" i="23"/>
  <c r="M24" i="23" s="1"/>
  <c r="F35" i="33"/>
  <c r="L11" i="23"/>
  <c r="M11" i="23" s="1"/>
  <c r="O11" i="23" s="1"/>
  <c r="E52" i="33"/>
  <c r="E11" i="55" s="1"/>
  <c r="E28" i="36"/>
  <c r="J23" i="33"/>
  <c r="J55" i="55"/>
  <c r="F115" i="35"/>
  <c r="L22" i="20"/>
  <c r="E59" i="34" s="1"/>
  <c r="L14" i="27"/>
  <c r="L13" i="1"/>
  <c r="M13" i="1" s="1"/>
  <c r="H27" i="35" s="1"/>
  <c r="L23" i="23"/>
  <c r="M23" i="23" s="1"/>
  <c r="J6" i="10"/>
  <c r="K9" i="2"/>
  <c r="E144" i="36"/>
  <c r="J9" i="2"/>
  <c r="F144" i="36" s="1"/>
  <c r="J17" i="14"/>
  <c r="E81" i="35" s="1"/>
  <c r="AH84" i="55" s="1"/>
  <c r="E44" i="36"/>
  <c r="J4" i="16"/>
  <c r="E80" i="55"/>
  <c r="J21" i="33"/>
  <c r="J46" i="55" s="1"/>
  <c r="E87" i="36"/>
  <c r="E106" i="36"/>
  <c r="L18" i="20"/>
  <c r="E37" i="35"/>
  <c r="J4" i="25"/>
  <c r="L13" i="23"/>
  <c r="M13" i="23" s="1"/>
  <c r="O13" i="23" s="1"/>
  <c r="J147" i="35" s="1"/>
  <c r="K3" i="25"/>
  <c r="L42" i="33" s="1"/>
  <c r="K2" i="14"/>
  <c r="L29" i="33" s="1"/>
  <c r="K6" i="18"/>
  <c r="G87" i="36" s="1"/>
  <c r="J39" i="33"/>
  <c r="D38" i="7"/>
  <c r="D39" i="7" s="1"/>
  <c r="L9" i="20"/>
  <c r="H105" i="36" s="1"/>
  <c r="AN5" i="47"/>
  <c r="L10" i="23"/>
  <c r="M10" i="23" s="1"/>
  <c r="J9" i="4"/>
  <c r="F10" i="36" s="1"/>
  <c r="L25" i="20"/>
  <c r="M25" i="20" s="1"/>
  <c r="E92" i="36"/>
  <c r="K15" i="31"/>
  <c r="F202" i="35" s="1"/>
  <c r="J24" i="33"/>
  <c r="A6" i="34"/>
  <c r="A7" i="34" s="1"/>
  <c r="A8" i="34" s="1"/>
  <c r="A9" i="34" s="1"/>
  <c r="A10" i="34" s="1"/>
  <c r="A11" i="34" s="1"/>
  <c r="J7" i="6"/>
  <c r="F18" i="36" s="1"/>
  <c r="K19" i="24"/>
  <c r="F160" i="35" s="1"/>
  <c r="D38" i="14"/>
  <c r="D39" i="14" s="1"/>
  <c r="E113" i="35"/>
  <c r="E143" i="36"/>
  <c r="J2" i="18"/>
  <c r="K39" i="33" s="1"/>
  <c r="K11" i="10"/>
  <c r="K2" i="12"/>
  <c r="L24" i="33" s="1"/>
  <c r="J7" i="2"/>
  <c r="F143" i="36" s="1"/>
  <c r="K20" i="4"/>
  <c r="J34" i="33"/>
  <c r="K3" i="16"/>
  <c r="L34" i="33" s="1"/>
  <c r="L31" i="55" s="1"/>
  <c r="J3" i="16"/>
  <c r="K34" i="33" s="1"/>
  <c r="L8" i="20"/>
  <c r="M8" i="20" s="1"/>
  <c r="N8" i="20" s="1"/>
  <c r="J104" i="36" s="1"/>
  <c r="K15" i="25"/>
  <c r="F120" i="35" s="1"/>
  <c r="J15" i="25"/>
  <c r="J10" i="12"/>
  <c r="F56" i="36" s="1"/>
  <c r="E2" i="20"/>
  <c r="F2" i="20" s="1"/>
  <c r="G45" i="33" s="1"/>
  <c r="K13" i="15"/>
  <c r="F84" i="35" s="1"/>
  <c r="J20" i="12"/>
  <c r="L11" i="20"/>
  <c r="M11" i="20" s="1"/>
  <c r="O11" i="20" s="1"/>
  <c r="J8" i="21"/>
  <c r="F109" i="36" s="1"/>
  <c r="U92" i="55" s="1"/>
  <c r="L6" i="23"/>
  <c r="M6" i="23" s="1"/>
  <c r="I117" i="36" s="1"/>
  <c r="E94" i="36"/>
  <c r="K8" i="25"/>
  <c r="G94" i="36" s="1"/>
  <c r="J8" i="25"/>
  <c r="F94" i="36" s="1"/>
  <c r="E42" i="36"/>
  <c r="J7" i="10"/>
  <c r="J9" i="18"/>
  <c r="F90" i="36" s="1"/>
  <c r="K7" i="23"/>
  <c r="G118" i="36" s="1"/>
  <c r="J72" i="55"/>
  <c r="J4" i="15"/>
  <c r="L20" i="20"/>
  <c r="M20" i="20" s="1"/>
  <c r="O20" i="20" s="1"/>
  <c r="L15" i="20"/>
  <c r="M15" i="20" s="1"/>
  <c r="H131" i="35" s="1"/>
  <c r="J11" i="14"/>
  <c r="J3" i="2"/>
  <c r="K65" i="33" s="1"/>
  <c r="K8" i="21"/>
  <c r="G109" i="36" s="1"/>
  <c r="E2" i="36"/>
  <c r="L16" i="20"/>
  <c r="M16" i="20" s="1"/>
  <c r="L19" i="20"/>
  <c r="M19" i="20" s="1"/>
  <c r="O19" i="20" s="1"/>
  <c r="J4" i="7"/>
  <c r="J8" i="8"/>
  <c r="F34" i="36" s="1"/>
  <c r="J14" i="27"/>
  <c r="E171" i="35" s="1"/>
  <c r="J10" i="33"/>
  <c r="J50" i="55" s="1"/>
  <c r="J13" i="21"/>
  <c r="F181" i="35"/>
  <c r="E181" i="35"/>
  <c r="J52" i="55"/>
  <c r="J18" i="10"/>
  <c r="E55" i="35" s="1"/>
  <c r="K20" i="18"/>
  <c r="L17" i="20"/>
  <c r="G133" i="35" s="1"/>
  <c r="L22" i="23"/>
  <c r="M22" i="23" s="1"/>
  <c r="K8" i="4"/>
  <c r="G9" i="36" s="1"/>
  <c r="J3" i="5"/>
  <c r="K8" i="33" s="1"/>
  <c r="J45" i="33"/>
  <c r="J27" i="55" s="1"/>
  <c r="K2" i="4"/>
  <c r="L5" i="33" s="1"/>
  <c r="L17" i="55" s="1"/>
  <c r="L7" i="20"/>
  <c r="H103" i="36" s="1"/>
  <c r="E90" i="36"/>
  <c r="D38" i="16"/>
  <c r="D39" i="16" s="1"/>
  <c r="J78" i="55"/>
  <c r="J74" i="55"/>
  <c r="E149" i="35"/>
  <c r="AH75" i="55" s="1"/>
  <c r="E161" i="36"/>
  <c r="K14" i="6"/>
  <c r="F20" i="35" s="1"/>
  <c r="K10" i="10"/>
  <c r="G46" i="36" s="1"/>
  <c r="K37" i="55"/>
  <c r="L13" i="20"/>
  <c r="M13" i="20" s="1"/>
  <c r="H129" i="35" s="1"/>
  <c r="J10" i="6"/>
  <c r="F21" i="36" s="1"/>
  <c r="E117" i="36"/>
  <c r="J66" i="55"/>
  <c r="J10" i="31"/>
  <c r="F161" i="36" s="1"/>
  <c r="J3" i="33"/>
  <c r="J11" i="1"/>
  <c r="J13" i="19"/>
  <c r="E122" i="35" s="1"/>
  <c r="K8" i="22"/>
  <c r="L10" i="20"/>
  <c r="M10" i="20" s="1"/>
  <c r="I106" i="36" s="1"/>
  <c r="L6" i="20"/>
  <c r="M6" i="20" s="1"/>
  <c r="L11" i="1"/>
  <c r="M11" i="1" s="1"/>
  <c r="K8" i="2"/>
  <c r="E145" i="36"/>
  <c r="F2" i="26"/>
  <c r="G57" i="33" s="1"/>
  <c r="F57" i="33"/>
  <c r="J11" i="6"/>
  <c r="J18" i="12"/>
  <c r="E68" i="35" s="1"/>
  <c r="E98" i="36"/>
  <c r="J20" i="31"/>
  <c r="K8" i="10"/>
  <c r="G43" i="36" s="1"/>
  <c r="K18" i="15"/>
  <c r="F89" i="35" s="1"/>
  <c r="K11" i="18"/>
  <c r="K7" i="1"/>
  <c r="G23" i="36" s="1"/>
  <c r="K16" i="24"/>
  <c r="F157" i="35" s="1"/>
  <c r="E46" i="36"/>
  <c r="K6" i="23"/>
  <c r="G117" i="36" s="1"/>
  <c r="K16" i="32"/>
  <c r="E43" i="36"/>
  <c r="E104" i="36"/>
  <c r="K6" i="6"/>
  <c r="G17" i="36" s="1"/>
  <c r="K6" i="20"/>
  <c r="G102" i="36" s="1"/>
  <c r="J19" i="15"/>
  <c r="J13" i="12"/>
  <c r="E65" i="35" s="1"/>
  <c r="AH6" i="55" s="1"/>
  <c r="J14" i="15"/>
  <c r="E85" i="35" s="1"/>
  <c r="E17" i="36"/>
  <c r="E102" i="36"/>
  <c r="T23" i="55" s="1"/>
  <c r="D38" i="9"/>
  <c r="D39" i="9" s="1"/>
  <c r="K17" i="10"/>
  <c r="F57" i="35" s="1"/>
  <c r="K20" i="17"/>
  <c r="E75" i="36"/>
  <c r="F148" i="35"/>
  <c r="K19" i="17"/>
  <c r="E5" i="36"/>
  <c r="J11" i="31"/>
  <c r="J19" i="9"/>
  <c r="E60" i="55"/>
  <c r="K19" i="31"/>
  <c r="F203" i="35" s="1"/>
  <c r="J20" i="32"/>
  <c r="J15" i="12"/>
  <c r="E67" i="35" s="1"/>
  <c r="J79" i="55"/>
  <c r="J73" i="55"/>
  <c r="K9" i="13"/>
  <c r="G60" i="36" s="1"/>
  <c r="E60" i="36"/>
  <c r="J11" i="32"/>
  <c r="E73" i="55"/>
  <c r="K9" i="32"/>
  <c r="G5" i="36" s="1"/>
  <c r="V89" i="55" s="1"/>
  <c r="J36" i="33"/>
  <c r="J75" i="55"/>
  <c r="K8" i="18"/>
  <c r="G89" i="36" s="1"/>
  <c r="J53" i="33"/>
  <c r="D38" i="18"/>
  <c r="D39" i="18" s="1"/>
  <c r="D38" i="10"/>
  <c r="D39" i="10" s="1"/>
  <c r="J2" i="15"/>
  <c r="K31" i="33" s="1"/>
  <c r="E89" i="36"/>
  <c r="J3" i="23"/>
  <c r="K53" i="33" s="1"/>
  <c r="J10" i="23"/>
  <c r="J80" i="55"/>
  <c r="J13" i="32"/>
  <c r="E2" i="35" s="1"/>
  <c r="J19" i="32"/>
  <c r="G24" i="36"/>
  <c r="J6" i="12"/>
  <c r="F52" i="36" s="1"/>
  <c r="D38" i="32"/>
  <c r="D39" i="32" s="1"/>
  <c r="J3" i="10"/>
  <c r="K2" i="15"/>
  <c r="L31" i="33" s="1"/>
  <c r="J2" i="33"/>
  <c r="J34" i="55" s="1"/>
  <c r="K10" i="23"/>
  <c r="G121" i="36" s="1"/>
  <c r="J68" i="55"/>
  <c r="E150" i="35"/>
  <c r="J13" i="31"/>
  <c r="E197" i="35" s="1"/>
  <c r="AH25" i="55" s="1"/>
  <c r="J61" i="55"/>
  <c r="J59" i="55"/>
  <c r="E20" i="33"/>
  <c r="K3" i="12"/>
  <c r="L25" i="33" s="1"/>
  <c r="K8" i="7"/>
  <c r="G29" i="36" s="1"/>
  <c r="K18" i="20"/>
  <c r="F134" i="35" s="1"/>
  <c r="J2" i="23"/>
  <c r="K52" i="33" s="1"/>
  <c r="J67" i="55"/>
  <c r="L15" i="10"/>
  <c r="M15" i="10" s="1"/>
  <c r="O15" i="10" s="1"/>
  <c r="J54" i="35" s="1"/>
  <c r="D38" i="6"/>
  <c r="D39" i="6" s="1"/>
  <c r="J8" i="7"/>
  <c r="F29" i="36" s="1"/>
  <c r="K10" i="18"/>
  <c r="G91" i="36" s="1"/>
  <c r="K2" i="23"/>
  <c r="L52" i="33" s="1"/>
  <c r="L30" i="55" s="1"/>
  <c r="J69" i="55"/>
  <c r="K3" i="24"/>
  <c r="L55" i="33" s="1"/>
  <c r="J20" i="6"/>
  <c r="L23" i="10"/>
  <c r="M23" i="10" s="1"/>
  <c r="O23" i="10" s="1"/>
  <c r="H27" i="34" s="1"/>
  <c r="J63" i="55"/>
  <c r="D38" i="23"/>
  <c r="D39" i="23" s="1"/>
  <c r="E91" i="36"/>
  <c r="J58" i="55"/>
  <c r="J4" i="18"/>
  <c r="K17" i="20"/>
  <c r="F133" i="35" s="1"/>
  <c r="E160" i="36"/>
  <c r="K9" i="12"/>
  <c r="G55" i="36" s="1"/>
  <c r="E77" i="55"/>
  <c r="L19" i="15"/>
  <c r="M19" i="15" s="1"/>
  <c r="N19" i="15" s="1"/>
  <c r="L10" i="2"/>
  <c r="M10" i="2" s="1"/>
  <c r="O10" i="2" s="1"/>
  <c r="K146" i="36" s="1"/>
  <c r="L13" i="24"/>
  <c r="L24" i="2"/>
  <c r="M24" i="2" s="1"/>
  <c r="O24" i="2" s="1"/>
  <c r="H88" i="34" s="1"/>
  <c r="L13" i="2"/>
  <c r="M13" i="2" s="1"/>
  <c r="O13" i="2" s="1"/>
  <c r="L9" i="2"/>
  <c r="M9" i="2" s="1"/>
  <c r="L25" i="2"/>
  <c r="M25" i="2" s="1"/>
  <c r="O25" i="2" s="1"/>
  <c r="L11" i="2"/>
  <c r="M11" i="2" s="1"/>
  <c r="O11" i="2" s="1"/>
  <c r="L6" i="2"/>
  <c r="M6" i="2" s="1"/>
  <c r="I142" i="36" s="1"/>
  <c r="X2" i="55" s="1"/>
  <c r="N17" i="8"/>
  <c r="L20" i="10"/>
  <c r="M20" i="10" s="1"/>
  <c r="K16" i="31"/>
  <c r="J54" i="55"/>
  <c r="E52" i="36"/>
  <c r="J15" i="19"/>
  <c r="J20" i="19"/>
  <c r="N25" i="8"/>
  <c r="J25" i="33"/>
  <c r="J65" i="55"/>
  <c r="K7" i="32"/>
  <c r="G3" i="36" s="1"/>
  <c r="E151" i="35"/>
  <c r="E56" i="36"/>
  <c r="J62" i="55"/>
  <c r="K14" i="30"/>
  <c r="F191" i="35" s="1"/>
  <c r="K7" i="20"/>
  <c r="G103" i="36" s="1"/>
  <c r="J70" i="55"/>
  <c r="F151" i="35"/>
  <c r="K2" i="2"/>
  <c r="J64" i="33"/>
  <c r="J2" i="2"/>
  <c r="D38" i="2"/>
  <c r="D39" i="2" s="1"/>
  <c r="K15" i="20"/>
  <c r="F131" i="35" s="1"/>
  <c r="AI109" i="55" s="1"/>
  <c r="E103" i="36"/>
  <c r="J6" i="32"/>
  <c r="F2" i="36" s="1"/>
  <c r="J71" i="55"/>
  <c r="J3" i="17"/>
  <c r="K36" i="33" s="1"/>
  <c r="J60" i="55"/>
  <c r="E86" i="35"/>
  <c r="E70" i="36"/>
  <c r="T60" i="55" s="1"/>
  <c r="J19" i="10"/>
  <c r="J9" i="15"/>
  <c r="F70" i="36" s="1"/>
  <c r="K19" i="12"/>
  <c r="E4" i="35"/>
  <c r="F4" i="35"/>
  <c r="J2" i="32"/>
  <c r="K2" i="33" s="1"/>
  <c r="J11" i="12"/>
  <c r="J11" i="19"/>
  <c r="K16" i="19"/>
  <c r="F125" i="35" s="1"/>
  <c r="L10" i="10"/>
  <c r="M10" i="10" s="1"/>
  <c r="I46" i="36" s="1"/>
  <c r="E55" i="55"/>
  <c r="H3" i="1"/>
  <c r="F12" i="33"/>
  <c r="L13" i="10"/>
  <c r="M13" i="10" s="1"/>
  <c r="E2" i="10"/>
  <c r="F20" i="33" s="1"/>
  <c r="L10" i="24"/>
  <c r="M10" i="24" s="1"/>
  <c r="I126" i="36" s="1"/>
  <c r="L6" i="10"/>
  <c r="M6" i="10" s="1"/>
  <c r="E75" i="55"/>
  <c r="L18" i="10"/>
  <c r="M18" i="10" s="1"/>
  <c r="L7" i="10"/>
  <c r="L8" i="10"/>
  <c r="M8" i="10" s="1"/>
  <c r="E58" i="55"/>
  <c r="E74" i="55"/>
  <c r="E57" i="55"/>
  <c r="L25" i="10"/>
  <c r="M25" i="10" s="1"/>
  <c r="E53" i="55"/>
  <c r="L22" i="10"/>
  <c r="M22" i="10" s="1"/>
  <c r="L14" i="2"/>
  <c r="M14" i="2" s="1"/>
  <c r="O14" i="2" s="1"/>
  <c r="L16" i="10"/>
  <c r="M16" i="10" s="1"/>
  <c r="E54" i="55"/>
  <c r="H13" i="33"/>
  <c r="E56" i="55"/>
  <c r="L24" i="10"/>
  <c r="M24" i="10" s="1"/>
  <c r="O24" i="10" s="1"/>
  <c r="H28" i="34" s="1"/>
  <c r="L14" i="10"/>
  <c r="G53" i="35" s="1"/>
  <c r="E52" i="55"/>
  <c r="F3" i="1"/>
  <c r="G12" i="33" s="1"/>
  <c r="H46" i="33"/>
  <c r="AI6" i="55"/>
  <c r="U119" i="55"/>
  <c r="U130" i="55"/>
  <c r="U106" i="55"/>
  <c r="U167" i="55"/>
  <c r="E65" i="55"/>
  <c r="E63" i="55"/>
  <c r="F4" i="21"/>
  <c r="H4" i="21"/>
  <c r="L10" i="15"/>
  <c r="M10" i="15" s="1"/>
  <c r="N10" i="15" s="1"/>
  <c r="J71" i="36" s="1"/>
  <c r="M13" i="8"/>
  <c r="G41" i="35"/>
  <c r="I46" i="33"/>
  <c r="L8" i="2"/>
  <c r="F46" i="33"/>
  <c r="L11" i="10"/>
  <c r="M11" i="10" s="1"/>
  <c r="L17" i="10"/>
  <c r="L17" i="19"/>
  <c r="L9" i="10"/>
  <c r="M9" i="10" s="1"/>
  <c r="L6" i="19"/>
  <c r="E55" i="34"/>
  <c r="H68" i="33"/>
  <c r="E5" i="47"/>
  <c r="X9" i="47"/>
  <c r="Z5" i="47"/>
  <c r="Z6" i="47"/>
  <c r="Y6" i="47"/>
  <c r="C5" i="47"/>
  <c r="J7" i="19"/>
  <c r="F98" i="36" s="1"/>
  <c r="J18" i="19"/>
  <c r="E128" i="35" s="1"/>
  <c r="E99" i="36"/>
  <c r="J44" i="33"/>
  <c r="K9" i="19"/>
  <c r="J3" i="19"/>
  <c r="K44" i="33" s="1"/>
  <c r="D38" i="5"/>
  <c r="D39" i="5" s="1"/>
  <c r="K13" i="5"/>
  <c r="F14" i="35" s="1"/>
  <c r="D38" i="15"/>
  <c r="D39" i="15" s="1"/>
  <c r="E88" i="35"/>
  <c r="E67" i="36"/>
  <c r="K6" i="15"/>
  <c r="G67" i="36" s="1"/>
  <c r="E71" i="36"/>
  <c r="K10" i="15"/>
  <c r="G71" i="36" s="1"/>
  <c r="J20" i="15"/>
  <c r="AH24" i="55"/>
  <c r="V20" i="55"/>
  <c r="U166" i="55"/>
  <c r="U142" i="55"/>
  <c r="U115" i="55"/>
  <c r="U139" i="55"/>
  <c r="U111" i="55"/>
  <c r="U116" i="55"/>
  <c r="U164" i="55"/>
  <c r="U100" i="55"/>
  <c r="U122" i="55"/>
  <c r="U99" i="55"/>
  <c r="D38" i="17"/>
  <c r="D39" i="17" s="1"/>
  <c r="U158" i="55"/>
  <c r="U127" i="55"/>
  <c r="U163" i="55"/>
  <c r="U123" i="55"/>
  <c r="U148" i="55"/>
  <c r="U156" i="55"/>
  <c r="E3" i="36"/>
  <c r="J11" i="17"/>
  <c r="F29" i="35"/>
  <c r="D38" i="1"/>
  <c r="D39" i="1" s="1"/>
  <c r="L17" i="25"/>
  <c r="L6" i="25"/>
  <c r="L11" i="25"/>
  <c r="M11" i="25" s="1"/>
  <c r="L18" i="25"/>
  <c r="L15" i="25"/>
  <c r="L22" i="25"/>
  <c r="L13" i="25"/>
  <c r="L19" i="25"/>
  <c r="M19" i="25" s="1"/>
  <c r="L9" i="25"/>
  <c r="L16" i="25"/>
  <c r="L10" i="25"/>
  <c r="E2" i="25"/>
  <c r="L14" i="25"/>
  <c r="L8" i="25"/>
  <c r="L20" i="25"/>
  <c r="M20" i="25" s="1"/>
  <c r="L25" i="25"/>
  <c r="M25" i="25" s="1"/>
  <c r="L7" i="25"/>
  <c r="E41" i="33"/>
  <c r="K20" i="13"/>
  <c r="J20" i="13"/>
  <c r="U128" i="55"/>
  <c r="U101" i="55"/>
  <c r="K10" i="19"/>
  <c r="G101" i="36" s="1"/>
  <c r="J10" i="19"/>
  <c r="F101" i="36" s="1"/>
  <c r="E101" i="36"/>
  <c r="E31" i="35"/>
  <c r="F31" i="35"/>
  <c r="K10" i="22"/>
  <c r="G116" i="36" s="1"/>
  <c r="J10" i="22"/>
  <c r="F116" i="36" s="1"/>
  <c r="E116" i="36"/>
  <c r="E100" i="36"/>
  <c r="K8" i="19"/>
  <c r="J8" i="19"/>
  <c r="F100" i="36" s="1"/>
  <c r="U110" i="55"/>
  <c r="G23" i="22"/>
  <c r="H23" i="22"/>
  <c r="F23" i="22"/>
  <c r="J2" i="29"/>
  <c r="K2" i="29"/>
  <c r="D38" i="29"/>
  <c r="D39" i="29" s="1"/>
  <c r="J67" i="33"/>
  <c r="U102" i="55"/>
  <c r="U159" i="55"/>
  <c r="U154" i="55"/>
  <c r="L8" i="31"/>
  <c r="E2" i="31"/>
  <c r="L17" i="31"/>
  <c r="L10" i="31"/>
  <c r="L23" i="31"/>
  <c r="L16" i="31"/>
  <c r="L19" i="31"/>
  <c r="L7" i="31"/>
  <c r="L18" i="31"/>
  <c r="L22" i="31"/>
  <c r="E72" i="33"/>
  <c r="L9" i="31"/>
  <c r="L11" i="31"/>
  <c r="M11" i="31" s="1"/>
  <c r="L15" i="31"/>
  <c r="L20" i="31"/>
  <c r="M20" i="31" s="1"/>
  <c r="L13" i="31"/>
  <c r="L25" i="31"/>
  <c r="M25" i="31" s="1"/>
  <c r="E3" i="25"/>
  <c r="E42" i="33"/>
  <c r="E35" i="55" s="1"/>
  <c r="L14" i="31"/>
  <c r="U138" i="55"/>
  <c r="J3" i="30"/>
  <c r="K70" i="33" s="1"/>
  <c r="K3" i="30"/>
  <c r="L70" i="33" s="1"/>
  <c r="J11" i="13"/>
  <c r="K11" i="13"/>
  <c r="U134" i="55"/>
  <c r="U170" i="55"/>
  <c r="J10" i="17"/>
  <c r="F81" i="36" s="1"/>
  <c r="K10" i="17"/>
  <c r="G81" i="36" s="1"/>
  <c r="E81" i="36"/>
  <c r="J4" i="12"/>
  <c r="D38" i="12"/>
  <c r="D39" i="12" s="1"/>
  <c r="K4" i="12"/>
  <c r="E4" i="26"/>
  <c r="L13" i="26"/>
  <c r="L19" i="26"/>
  <c r="M19" i="26" s="1"/>
  <c r="L8" i="26"/>
  <c r="L18" i="26"/>
  <c r="L22" i="26"/>
  <c r="L16" i="26"/>
  <c r="L17" i="26"/>
  <c r="L25" i="26"/>
  <c r="M25" i="26" s="1"/>
  <c r="L9" i="26"/>
  <c r="L20" i="26"/>
  <c r="M20" i="26" s="1"/>
  <c r="L11" i="26"/>
  <c r="M11" i="26" s="1"/>
  <c r="L7" i="26"/>
  <c r="L6" i="26"/>
  <c r="L15" i="26"/>
  <c r="L10" i="26"/>
  <c r="L14" i="26"/>
  <c r="L24" i="26"/>
  <c r="L23" i="26"/>
  <c r="K19" i="28"/>
  <c r="J19" i="28"/>
  <c r="J6" i="28"/>
  <c r="F137" i="36" s="1"/>
  <c r="U19" i="55" s="1"/>
  <c r="K6" i="28"/>
  <c r="G137" i="36" s="1"/>
  <c r="V19" i="55" s="1"/>
  <c r="E137" i="36"/>
  <c r="T19" i="55" s="1"/>
  <c r="K17" i="24"/>
  <c r="F158" i="35" s="1"/>
  <c r="J17" i="24"/>
  <c r="E158" i="35" s="1"/>
  <c r="AH130" i="55" s="1"/>
  <c r="J6" i="3"/>
  <c r="K6" i="3"/>
  <c r="G82" i="36" s="1"/>
  <c r="E82" i="36"/>
  <c r="D38" i="3"/>
  <c r="D39" i="3" s="1"/>
  <c r="K17" i="22"/>
  <c r="F146" i="35" s="1"/>
  <c r="J17" i="22"/>
  <c r="E4" i="22"/>
  <c r="E51" i="33"/>
  <c r="F195" i="35"/>
  <c r="E195" i="35"/>
  <c r="F30" i="35"/>
  <c r="E30" i="35"/>
  <c r="K20" i="30"/>
  <c r="J20" i="30"/>
  <c r="E4" i="30"/>
  <c r="E71" i="33"/>
  <c r="K6" i="31"/>
  <c r="G157" i="36" s="1"/>
  <c r="J6" i="31"/>
  <c r="F157" i="36" s="1"/>
  <c r="E157" i="36"/>
  <c r="K13" i="29"/>
  <c r="F184" i="35" s="1"/>
  <c r="AI37" i="55" s="1"/>
  <c r="J13" i="29"/>
  <c r="E184" i="35" s="1"/>
  <c r="K20" i="11"/>
  <c r="J20" i="11"/>
  <c r="K8" i="30"/>
  <c r="G154" i="36" s="1"/>
  <c r="J8" i="30"/>
  <c r="F154" i="36" s="1"/>
  <c r="E154" i="36"/>
  <c r="K17" i="28"/>
  <c r="F177" i="35" s="1"/>
  <c r="J17" i="28"/>
  <c r="E177" i="35" s="1"/>
  <c r="J15" i="28"/>
  <c r="E175" i="35" s="1"/>
  <c r="K15" i="28"/>
  <c r="F175" i="35" s="1"/>
  <c r="AI55" i="55" s="1"/>
  <c r="K14" i="24"/>
  <c r="F155" i="35" s="1"/>
  <c r="J14" i="24"/>
  <c r="E155" i="35" s="1"/>
  <c r="J6" i="24"/>
  <c r="F122" i="36" s="1"/>
  <c r="K6" i="24"/>
  <c r="G122" i="36" s="1"/>
  <c r="V26" i="55" s="1"/>
  <c r="E122" i="36"/>
  <c r="F107" i="35"/>
  <c r="AI129" i="55" s="1"/>
  <c r="E107" i="35"/>
  <c r="K8" i="29"/>
  <c r="J8" i="29"/>
  <c r="E148" i="36"/>
  <c r="M22" i="17"/>
  <c r="E47" i="34"/>
  <c r="D38" i="19"/>
  <c r="D39" i="19" s="1"/>
  <c r="K9" i="22"/>
  <c r="G115" i="36" s="1"/>
  <c r="J9" i="22"/>
  <c r="F115" i="36" s="1"/>
  <c r="E115" i="36"/>
  <c r="J2" i="1"/>
  <c r="K11" i="33" s="1"/>
  <c r="J11" i="33"/>
  <c r="E3" i="30"/>
  <c r="E70" i="33"/>
  <c r="E43" i="55" s="1"/>
  <c r="E2" i="22"/>
  <c r="L8" i="22"/>
  <c r="L14" i="22"/>
  <c r="L6" i="22"/>
  <c r="L7" i="22"/>
  <c r="L25" i="22"/>
  <c r="M25" i="22" s="1"/>
  <c r="L19" i="22"/>
  <c r="M19" i="22" s="1"/>
  <c r="L11" i="22"/>
  <c r="M11" i="22" s="1"/>
  <c r="L13" i="22"/>
  <c r="L17" i="22"/>
  <c r="L22" i="22"/>
  <c r="L16" i="22"/>
  <c r="L20" i="22"/>
  <c r="M20" i="22" s="1"/>
  <c r="L10" i="22"/>
  <c r="L23" i="22"/>
  <c r="L15" i="22"/>
  <c r="L9" i="22"/>
  <c r="L18" i="22"/>
  <c r="L24" i="22"/>
  <c r="E49" i="33"/>
  <c r="K15" i="29"/>
  <c r="F186" i="35" s="1"/>
  <c r="J15" i="29"/>
  <c r="E186" i="35" s="1"/>
  <c r="AH87" i="55" s="1"/>
  <c r="J13" i="11"/>
  <c r="E58" i="35" s="1"/>
  <c r="K13" i="11"/>
  <c r="F58" i="35" s="1"/>
  <c r="K4" i="28"/>
  <c r="J4" i="28"/>
  <c r="K20" i="28"/>
  <c r="J20" i="28"/>
  <c r="J20" i="24"/>
  <c r="K20" i="24"/>
  <c r="E3" i="24"/>
  <c r="L15" i="24"/>
  <c r="L16" i="24"/>
  <c r="L20" i="24"/>
  <c r="M20" i="24" s="1"/>
  <c r="L19" i="24"/>
  <c r="L23" i="24"/>
  <c r="L25" i="24"/>
  <c r="M25" i="24" s="1"/>
  <c r="L24" i="24"/>
  <c r="L6" i="24"/>
  <c r="L7" i="24"/>
  <c r="L8" i="24"/>
  <c r="L9" i="24"/>
  <c r="L18" i="24"/>
  <c r="L14" i="24"/>
  <c r="L11" i="24"/>
  <c r="M11" i="24" s="1"/>
  <c r="L22" i="24"/>
  <c r="L17" i="24"/>
  <c r="E55" i="33"/>
  <c r="E38" i="55" s="1"/>
  <c r="K15" i="3"/>
  <c r="F108" i="35" s="1"/>
  <c r="AI115" i="55" s="1"/>
  <c r="J15" i="3"/>
  <c r="E108" i="35" s="1"/>
  <c r="K15" i="13"/>
  <c r="F72" i="35" s="1"/>
  <c r="J15" i="13"/>
  <c r="H3" i="12"/>
  <c r="I25" i="33" s="1"/>
  <c r="F25" i="33"/>
  <c r="H3" i="17"/>
  <c r="I36" i="33" s="1"/>
  <c r="F3" i="17"/>
  <c r="F36" i="33"/>
  <c r="X6" i="47"/>
  <c r="E4" i="31"/>
  <c r="E74" i="33"/>
  <c r="J6" i="22"/>
  <c r="F112" i="36" s="1"/>
  <c r="U15" i="55" s="1"/>
  <c r="K6" i="22"/>
  <c r="G112" i="36" s="1"/>
  <c r="V21" i="55" s="1"/>
  <c r="E112" i="36"/>
  <c r="K19" i="22"/>
  <c r="J19" i="22"/>
  <c r="K16" i="29"/>
  <c r="J16" i="29"/>
  <c r="E188" i="35" s="1"/>
  <c r="L23" i="19"/>
  <c r="E2" i="19"/>
  <c r="L11" i="19"/>
  <c r="M11" i="19" s="1"/>
  <c r="L20" i="19"/>
  <c r="M20" i="19" s="1"/>
  <c r="L7" i="19"/>
  <c r="L16" i="19"/>
  <c r="L9" i="19"/>
  <c r="L24" i="19"/>
  <c r="L10" i="19"/>
  <c r="L18" i="19"/>
  <c r="L25" i="19"/>
  <c r="M25" i="19" s="1"/>
  <c r="L14" i="19"/>
  <c r="L15" i="19"/>
  <c r="L19" i="19"/>
  <c r="E43" i="33"/>
  <c r="E10" i="55" s="1"/>
  <c r="E3" i="13"/>
  <c r="L17" i="13"/>
  <c r="L19" i="13"/>
  <c r="L13" i="13"/>
  <c r="L15" i="13"/>
  <c r="L8" i="13"/>
  <c r="L10" i="13"/>
  <c r="L25" i="13"/>
  <c r="M25" i="13" s="1"/>
  <c r="L6" i="13"/>
  <c r="L11" i="13"/>
  <c r="M11" i="13" s="1"/>
  <c r="L20" i="13"/>
  <c r="M20" i="13" s="1"/>
  <c r="L18" i="13"/>
  <c r="L22" i="13"/>
  <c r="L9" i="13"/>
  <c r="E27" i="33"/>
  <c r="J6" i="30"/>
  <c r="F152" i="36" s="1"/>
  <c r="K6" i="30"/>
  <c r="G152" i="36" s="1"/>
  <c r="E152" i="36"/>
  <c r="J19" i="29"/>
  <c r="K19" i="29"/>
  <c r="K11" i="11"/>
  <c r="J11" i="11"/>
  <c r="H3" i="28"/>
  <c r="I63" i="33" s="1"/>
  <c r="F3" i="28"/>
  <c r="F63" i="33"/>
  <c r="E3" i="22"/>
  <c r="E50" i="33"/>
  <c r="J6" i="29"/>
  <c r="F147" i="36" s="1"/>
  <c r="K6" i="29"/>
  <c r="G147" i="36" s="1"/>
  <c r="E147" i="36"/>
  <c r="L24" i="13"/>
  <c r="J19" i="11"/>
  <c r="K19" i="11"/>
  <c r="K3" i="28"/>
  <c r="L63" i="33" s="1"/>
  <c r="J3" i="28"/>
  <c r="K63" i="33" s="1"/>
  <c r="J63" i="33"/>
  <c r="K15" i="24"/>
  <c r="J15" i="24"/>
  <c r="K8" i="3"/>
  <c r="G84" i="36" s="1"/>
  <c r="J8" i="3"/>
  <c r="F84" i="36" s="1"/>
  <c r="E84" i="36"/>
  <c r="K7" i="3"/>
  <c r="J7" i="3"/>
  <c r="E85" i="36"/>
  <c r="J17" i="13"/>
  <c r="E74" i="35" s="1"/>
  <c r="K17" i="13"/>
  <c r="F74" i="35" s="1"/>
  <c r="H4" i="9"/>
  <c r="F4" i="9"/>
  <c r="D38" i="11"/>
  <c r="D39" i="11" s="1"/>
  <c r="K14" i="22"/>
  <c r="F142" i="35" s="1"/>
  <c r="J14" i="22"/>
  <c r="E142" i="35" s="1"/>
  <c r="E4" i="15"/>
  <c r="L18" i="15"/>
  <c r="L22" i="15"/>
  <c r="L20" i="15"/>
  <c r="M20" i="15" s="1"/>
  <c r="L7" i="15"/>
  <c r="L6" i="15"/>
  <c r="L24" i="15"/>
  <c r="L8" i="15"/>
  <c r="L13" i="15"/>
  <c r="L11" i="15"/>
  <c r="M11" i="15" s="1"/>
  <c r="L25" i="15"/>
  <c r="M25" i="15" s="1"/>
  <c r="L9" i="15"/>
  <c r="L23" i="15"/>
  <c r="J19" i="23"/>
  <c r="E153" i="35" s="1"/>
  <c r="K19" i="23"/>
  <c r="F153" i="35" s="1"/>
  <c r="L19" i="2"/>
  <c r="M19" i="2" s="1"/>
  <c r="K3" i="29"/>
  <c r="L68" i="33" s="1"/>
  <c r="J3" i="29"/>
  <c r="K68" i="33" s="1"/>
  <c r="J68" i="33"/>
  <c r="K15" i="11"/>
  <c r="J15" i="11"/>
  <c r="J13" i="28"/>
  <c r="E173" i="35" s="1"/>
  <c r="K13" i="28"/>
  <c r="F173" i="35" s="1"/>
  <c r="AI17" i="55" s="1"/>
  <c r="K10" i="28"/>
  <c r="G141" i="36" s="1"/>
  <c r="J10" i="28"/>
  <c r="F141" i="36" s="1"/>
  <c r="E141" i="36"/>
  <c r="J11" i="28"/>
  <c r="K11" i="28"/>
  <c r="J10" i="24"/>
  <c r="F126" i="36" s="1"/>
  <c r="K10" i="24"/>
  <c r="G126" i="36" s="1"/>
  <c r="E126" i="36"/>
  <c r="J4" i="24"/>
  <c r="K56" i="33" s="1"/>
  <c r="K4" i="24"/>
  <c r="L56" i="33" s="1"/>
  <c r="J56" i="33"/>
  <c r="K9" i="3"/>
  <c r="J9" i="3"/>
  <c r="E83" i="36"/>
  <c r="H3" i="23"/>
  <c r="I53" i="33" s="1"/>
  <c r="F3" i="23"/>
  <c r="F53" i="33"/>
  <c r="J3" i="13"/>
  <c r="K27" i="33" s="1"/>
  <c r="K3" i="13"/>
  <c r="L27" i="33" s="1"/>
  <c r="J27" i="33"/>
  <c r="K15" i="21"/>
  <c r="F137" i="35" s="1"/>
  <c r="J15" i="21"/>
  <c r="D38" i="21"/>
  <c r="D39" i="21" s="1"/>
  <c r="Q6" i="47"/>
  <c r="AL106" i="47"/>
  <c r="J19" i="19"/>
  <c r="E127" i="35" s="1"/>
  <c r="K4" i="22"/>
  <c r="L51" i="33" s="1"/>
  <c r="J4" i="22"/>
  <c r="K51" i="33" s="1"/>
  <c r="J51" i="33"/>
  <c r="L22" i="19"/>
  <c r="L23" i="13"/>
  <c r="J4" i="30"/>
  <c r="K71" i="33" s="1"/>
  <c r="K4" i="30"/>
  <c r="L71" i="33" s="1"/>
  <c r="J71" i="33"/>
  <c r="E4" i="24"/>
  <c r="E56" i="33"/>
  <c r="K9" i="11"/>
  <c r="G49" i="36" s="1"/>
  <c r="J9" i="11"/>
  <c r="E49" i="36"/>
  <c r="T72" i="55" s="1"/>
  <c r="K13" i="30"/>
  <c r="F190" i="35" s="1"/>
  <c r="AI19" i="55" s="1"/>
  <c r="J13" i="30"/>
  <c r="E190" i="35" s="1"/>
  <c r="K9" i="29"/>
  <c r="J9" i="29"/>
  <c r="E149" i="36"/>
  <c r="K17" i="11"/>
  <c r="J17" i="11"/>
  <c r="E63" i="35" s="1"/>
  <c r="J19" i="13"/>
  <c r="E76" i="35" s="1"/>
  <c r="K19" i="13"/>
  <c r="F76" i="35" s="1"/>
  <c r="K7" i="28"/>
  <c r="G138" i="36" s="1"/>
  <c r="J7" i="28"/>
  <c r="F138" i="36" s="1"/>
  <c r="E138" i="36"/>
  <c r="J16" i="28"/>
  <c r="E176" i="35" s="1"/>
  <c r="K16" i="28"/>
  <c r="F176" i="35" s="1"/>
  <c r="K14" i="28"/>
  <c r="F174" i="35" s="1"/>
  <c r="J14" i="28"/>
  <c r="E174" i="35" s="1"/>
  <c r="K2" i="24"/>
  <c r="L54" i="33" s="1"/>
  <c r="J2" i="24"/>
  <c r="K54" i="33" s="1"/>
  <c r="J54" i="33"/>
  <c r="J7" i="24"/>
  <c r="K7" i="24"/>
  <c r="J14" i="3"/>
  <c r="E103" i="35" s="1"/>
  <c r="K14" i="3"/>
  <c r="F103" i="35" s="1"/>
  <c r="J10" i="13"/>
  <c r="F61" i="36" s="1"/>
  <c r="K10" i="13"/>
  <c r="G61" i="36" s="1"/>
  <c r="E61" i="36"/>
  <c r="J4" i="13"/>
  <c r="K4" i="13"/>
  <c r="AF3" i="44"/>
  <c r="AD3" i="44"/>
  <c r="AF2" i="44"/>
  <c r="AD2" i="44"/>
  <c r="AE2" i="44"/>
  <c r="AE3" i="44"/>
  <c r="AL6" i="47"/>
  <c r="AN6" i="47"/>
  <c r="K3" i="22"/>
  <c r="J3" i="22"/>
  <c r="D38" i="22"/>
  <c r="D39" i="22" s="1"/>
  <c r="J50" i="33"/>
  <c r="J51" i="55" s="1"/>
  <c r="L15" i="14"/>
  <c r="L22" i="14"/>
  <c r="L7" i="14"/>
  <c r="E2" i="14"/>
  <c r="L16" i="14"/>
  <c r="L6" i="14"/>
  <c r="L14" i="14"/>
  <c r="L20" i="14"/>
  <c r="M20" i="14" s="1"/>
  <c r="L24" i="14"/>
  <c r="L19" i="14"/>
  <c r="L8" i="14"/>
  <c r="L17" i="14"/>
  <c r="L9" i="14"/>
  <c r="L11" i="14"/>
  <c r="M11" i="14" s="1"/>
  <c r="L10" i="14"/>
  <c r="L23" i="14"/>
  <c r="L25" i="14"/>
  <c r="M25" i="14" s="1"/>
  <c r="L18" i="14"/>
  <c r="L13" i="14"/>
  <c r="E29" i="33"/>
  <c r="L16" i="13"/>
  <c r="J7" i="30"/>
  <c r="F153" i="36" s="1"/>
  <c r="K7" i="30"/>
  <c r="G153" i="36" s="1"/>
  <c r="E153" i="36"/>
  <c r="K10" i="29"/>
  <c r="G151" i="36" s="1"/>
  <c r="J10" i="29"/>
  <c r="F151" i="36" s="1"/>
  <c r="E151" i="36"/>
  <c r="K2" i="13"/>
  <c r="D38" i="13"/>
  <c r="D39" i="13" s="1"/>
  <c r="J2" i="13"/>
  <c r="J26" i="33"/>
  <c r="K9" i="28"/>
  <c r="G140" i="36" s="1"/>
  <c r="J9" i="28"/>
  <c r="F140" i="36" s="1"/>
  <c r="E140" i="36"/>
  <c r="K18" i="28"/>
  <c r="J18" i="28"/>
  <c r="K18" i="24"/>
  <c r="J18" i="24"/>
  <c r="D38" i="24"/>
  <c r="D39" i="24" s="1"/>
  <c r="J55" i="33"/>
  <c r="J10" i="3"/>
  <c r="F86" i="36" s="1"/>
  <c r="K10" i="3"/>
  <c r="G86" i="36" s="1"/>
  <c r="E86" i="36"/>
  <c r="K13" i="13"/>
  <c r="F70" i="35" s="1"/>
  <c r="J13" i="13"/>
  <c r="E70" i="35" s="1"/>
  <c r="H3" i="21"/>
  <c r="I48" i="33" s="1"/>
  <c r="F3" i="21"/>
  <c r="F48" i="33"/>
  <c r="F39" i="55" s="1"/>
  <c r="S6" i="47"/>
  <c r="Z8" i="47"/>
  <c r="L8" i="19"/>
  <c r="L7" i="13"/>
  <c r="E3" i="2"/>
  <c r="L20" i="2"/>
  <c r="M20" i="2" s="1"/>
  <c r="L22" i="2"/>
  <c r="L7" i="2"/>
  <c r="E65" i="33"/>
  <c r="L23" i="16"/>
  <c r="L9" i="16"/>
  <c r="L7" i="16"/>
  <c r="L25" i="16"/>
  <c r="M25" i="16" s="1"/>
  <c r="L22" i="16"/>
  <c r="L14" i="16"/>
  <c r="L11" i="16"/>
  <c r="M11" i="16" s="1"/>
  <c r="L20" i="16"/>
  <c r="M20" i="16" s="1"/>
  <c r="L10" i="16"/>
  <c r="E2" i="16"/>
  <c r="L24" i="16"/>
  <c r="L6" i="16"/>
  <c r="L8" i="16"/>
  <c r="E33" i="33"/>
  <c r="J6" i="1"/>
  <c r="F22" i="36" s="1"/>
  <c r="U41" i="55" s="1"/>
  <c r="K6" i="1"/>
  <c r="G22" i="36" s="1"/>
  <c r="E22" i="36"/>
  <c r="K9" i="30"/>
  <c r="G155" i="36" s="1"/>
  <c r="J9" i="30"/>
  <c r="F155" i="36" s="1"/>
  <c r="E155" i="36"/>
  <c r="L14" i="30"/>
  <c r="L23" i="30"/>
  <c r="L13" i="30"/>
  <c r="L22" i="30"/>
  <c r="L8" i="30"/>
  <c r="L15" i="30"/>
  <c r="L25" i="30"/>
  <c r="M25" i="30" s="1"/>
  <c r="L10" i="30"/>
  <c r="L20" i="30"/>
  <c r="M20" i="30" s="1"/>
  <c r="L6" i="30"/>
  <c r="L11" i="30"/>
  <c r="M11" i="30" s="1"/>
  <c r="L24" i="30"/>
  <c r="L7" i="30"/>
  <c r="L9" i="30"/>
  <c r="E2" i="30"/>
  <c r="E69" i="33"/>
  <c r="E28" i="55" s="1"/>
  <c r="L23" i="2"/>
  <c r="K16" i="11"/>
  <c r="F60" i="35" s="1"/>
  <c r="J16" i="11"/>
  <c r="K15" i="30"/>
  <c r="F192" i="35" s="1"/>
  <c r="J15" i="30"/>
  <c r="E192" i="35" s="1"/>
  <c r="J16" i="13"/>
  <c r="E73" i="35" s="1"/>
  <c r="K16" i="13"/>
  <c r="F73" i="35" s="1"/>
  <c r="K8" i="28"/>
  <c r="G139" i="36" s="1"/>
  <c r="V88" i="55" s="1"/>
  <c r="J8" i="28"/>
  <c r="F139" i="36" s="1"/>
  <c r="U88" i="55" s="1"/>
  <c r="E139" i="36"/>
  <c r="T88" i="55" s="1"/>
  <c r="J2" i="28"/>
  <c r="K2" i="28"/>
  <c r="D38" i="28"/>
  <c r="D39" i="28" s="1"/>
  <c r="J62" i="33"/>
  <c r="J11" i="24"/>
  <c r="K11" i="24"/>
  <c r="J13" i="24"/>
  <c r="E154" i="35" s="1"/>
  <c r="AH14" i="55" s="1"/>
  <c r="K13" i="24"/>
  <c r="F154" i="35" s="1"/>
  <c r="K11" i="3"/>
  <c r="J11" i="3"/>
  <c r="K7" i="13"/>
  <c r="G58" i="36" s="1"/>
  <c r="E58" i="36"/>
  <c r="T39" i="55" s="1"/>
  <c r="J7" i="13"/>
  <c r="F58" i="36" s="1"/>
  <c r="O18" i="8"/>
  <c r="N18" i="8"/>
  <c r="AO106" i="47"/>
  <c r="AO6" i="47"/>
  <c r="R6" i="47"/>
  <c r="Z7" i="47"/>
  <c r="C10" i="47"/>
  <c r="C11" i="47"/>
  <c r="D10" i="47"/>
  <c r="J37" i="55"/>
  <c r="C6" i="47"/>
  <c r="D5" i="47"/>
  <c r="D6" i="47"/>
  <c r="K24" i="33"/>
  <c r="N24" i="18"/>
  <c r="G55" i="34" s="1"/>
  <c r="O24" i="18"/>
  <c r="H55" i="34" s="1"/>
  <c r="F55" i="34"/>
  <c r="L36" i="33"/>
  <c r="D26" i="47"/>
  <c r="F3" i="10"/>
  <c r="G21" i="33" s="1"/>
  <c r="E31" i="47"/>
  <c r="E3" i="7"/>
  <c r="L11" i="7"/>
  <c r="M11" i="7" s="1"/>
  <c r="L23" i="7"/>
  <c r="L6" i="7"/>
  <c r="L20" i="7"/>
  <c r="M20" i="7" s="1"/>
  <c r="L25" i="7"/>
  <c r="M25" i="7" s="1"/>
  <c r="L10" i="7"/>
  <c r="L9" i="7"/>
  <c r="L15" i="7"/>
  <c r="L8" i="7"/>
  <c r="L19" i="7"/>
  <c r="L13" i="7"/>
  <c r="E15" i="33"/>
  <c r="L14" i="7"/>
  <c r="L22" i="7"/>
  <c r="L24" i="7"/>
  <c r="L18" i="7"/>
  <c r="L11" i="33"/>
  <c r="U168" i="55"/>
  <c r="U104" i="55"/>
  <c r="U132" i="55"/>
  <c r="U140" i="55"/>
  <c r="U135" i="55"/>
  <c r="U118" i="55"/>
  <c r="U160" i="55"/>
  <c r="U120" i="55"/>
  <c r="U136" i="55"/>
  <c r="U145" i="55"/>
  <c r="U117" i="55"/>
  <c r="U169" i="55"/>
  <c r="U146" i="55"/>
  <c r="U149" i="55"/>
  <c r="U124" i="55"/>
  <c r="U126" i="55"/>
  <c r="U131" i="55"/>
  <c r="U114" i="55"/>
  <c r="U161" i="55"/>
  <c r="U157" i="55"/>
  <c r="U150" i="55"/>
  <c r="U109" i="55"/>
  <c r="U107" i="55"/>
  <c r="U121" i="55"/>
  <c r="U141" i="55"/>
  <c r="U137" i="55"/>
  <c r="U152" i="55"/>
  <c r="U147" i="55"/>
  <c r="U112" i="55"/>
  <c r="U125" i="55"/>
  <c r="U144" i="55"/>
  <c r="U143" i="55"/>
  <c r="U129" i="55"/>
  <c r="U171" i="55"/>
  <c r="U105" i="55"/>
  <c r="U108" i="55"/>
  <c r="U153" i="55"/>
  <c r="U151" i="55"/>
  <c r="U155" i="55"/>
  <c r="U133" i="55"/>
  <c r="U165" i="55"/>
  <c r="U113" i="55"/>
  <c r="AI41" i="55"/>
  <c r="X10" i="47"/>
  <c r="J2" i="30"/>
  <c r="K2" i="30"/>
  <c r="D38" i="30"/>
  <c r="D39" i="30" s="1"/>
  <c r="J69" i="33"/>
  <c r="J47" i="55" s="1"/>
  <c r="J72" i="33"/>
  <c r="K2" i="31"/>
  <c r="J2" i="31"/>
  <c r="K72" i="33" s="1"/>
  <c r="D38" i="31"/>
  <c r="D39" i="31" s="1"/>
  <c r="D51" i="47"/>
  <c r="F76" i="47"/>
  <c r="D65" i="47"/>
  <c r="D83" i="47"/>
  <c r="C60" i="47"/>
  <c r="F85" i="47"/>
  <c r="E62" i="47"/>
  <c r="D52" i="47"/>
  <c r="F78" i="47"/>
  <c r="C88" i="47"/>
  <c r="F95" i="47"/>
  <c r="D58" i="47"/>
  <c r="D57" i="47"/>
  <c r="F91" i="47"/>
  <c r="K55" i="33"/>
  <c r="J46" i="33"/>
  <c r="D38" i="20"/>
  <c r="D39" i="20" s="1"/>
  <c r="U73" i="55"/>
  <c r="L21" i="33"/>
  <c r="T9" i="55"/>
  <c r="E35" i="36"/>
  <c r="K9" i="8"/>
  <c r="J9" i="8"/>
  <c r="F35" i="36" s="1"/>
  <c r="T61" i="55" l="1"/>
  <c r="T41" i="55"/>
  <c r="V41" i="55"/>
  <c r="AH7" i="55"/>
  <c r="AI15" i="55"/>
  <c r="T73" i="55"/>
  <c r="V39" i="55"/>
  <c r="AI24" i="55"/>
  <c r="I91" i="36"/>
  <c r="J13" i="55"/>
  <c r="V73" i="55"/>
  <c r="E136" i="35"/>
  <c r="E100" i="35"/>
  <c r="AH53" i="55"/>
  <c r="T55" i="55"/>
  <c r="V55" i="55"/>
  <c r="V110" i="55"/>
  <c r="K42" i="55"/>
  <c r="L48" i="55"/>
  <c r="L42" i="55"/>
  <c r="T99" i="55"/>
  <c r="K9" i="55"/>
  <c r="G108" i="35"/>
  <c r="T47" i="55"/>
  <c r="F104" i="35"/>
  <c r="AI56" i="55" s="1"/>
  <c r="E104" i="35"/>
  <c r="AH56" i="55" s="1"/>
  <c r="AH16" i="55"/>
  <c r="U62" i="55"/>
  <c r="AH17" i="55"/>
  <c r="U17" i="55"/>
  <c r="AI97" i="55"/>
  <c r="L33" i="55"/>
  <c r="T43" i="55"/>
  <c r="T42" i="55"/>
  <c r="U27" i="55"/>
  <c r="AI5" i="55"/>
  <c r="V16" i="55"/>
  <c r="T14" i="55"/>
  <c r="T52" i="55"/>
  <c r="U35" i="55"/>
  <c r="T29" i="55"/>
  <c r="F165" i="35"/>
  <c r="F163" i="35"/>
  <c r="E166" i="35"/>
  <c r="E62" i="35"/>
  <c r="F62" i="35"/>
  <c r="T59" i="55"/>
  <c r="J20" i="55"/>
  <c r="E53" i="34"/>
  <c r="H91" i="36"/>
  <c r="O10" i="18"/>
  <c r="K91" i="36" s="1"/>
  <c r="L91" i="36" s="1"/>
  <c r="M91" i="36" s="1"/>
  <c r="AI64" i="55"/>
  <c r="U68" i="55"/>
  <c r="AH64" i="55"/>
  <c r="T27" i="55"/>
  <c r="H103" i="35"/>
  <c r="F105" i="35"/>
  <c r="AI67" i="55" s="1"/>
  <c r="E105" i="35"/>
  <c r="E19" i="55"/>
  <c r="I36" i="55"/>
  <c r="AI119" i="55"/>
  <c r="J36" i="55"/>
  <c r="U96" i="55"/>
  <c r="J44" i="55"/>
  <c r="U11" i="55"/>
  <c r="T11" i="55"/>
  <c r="U44" i="55"/>
  <c r="E21" i="34"/>
  <c r="O19" i="8"/>
  <c r="AH23" i="55"/>
  <c r="V23" i="55"/>
  <c r="O13" i="6"/>
  <c r="E9" i="34"/>
  <c r="H13" i="36"/>
  <c r="AI116" i="55"/>
  <c r="V31" i="55"/>
  <c r="J31" i="55"/>
  <c r="AI108" i="55"/>
  <c r="AH26" i="55"/>
  <c r="V33" i="55"/>
  <c r="V72" i="55"/>
  <c r="T65" i="55"/>
  <c r="T84" i="55"/>
  <c r="AH46" i="55"/>
  <c r="E26" i="55"/>
  <c r="V50" i="55"/>
  <c r="E34" i="55"/>
  <c r="V30" i="55"/>
  <c r="T91" i="55"/>
  <c r="F149" i="36"/>
  <c r="G149" i="36"/>
  <c r="K38" i="55"/>
  <c r="J38" i="55"/>
  <c r="AH49" i="55"/>
  <c r="T71" i="55"/>
  <c r="U85" i="55"/>
  <c r="T85" i="55"/>
  <c r="T74" i="55"/>
  <c r="AH57" i="55"/>
  <c r="L20" i="55"/>
  <c r="E16" i="55"/>
  <c r="J17" i="55"/>
  <c r="AI128" i="55"/>
  <c r="AH3" i="55"/>
  <c r="G42" i="35"/>
  <c r="H34" i="36"/>
  <c r="N20" i="8"/>
  <c r="M6" i="8"/>
  <c r="I32" i="36" s="1"/>
  <c r="O23" i="8"/>
  <c r="H21" i="34" s="1"/>
  <c r="I21" i="34" s="1"/>
  <c r="F21" i="34"/>
  <c r="E12" i="55"/>
  <c r="E6" i="55"/>
  <c r="T15" i="55"/>
  <c r="J11" i="55"/>
  <c r="E20" i="55"/>
  <c r="U9" i="55"/>
  <c r="F21" i="33"/>
  <c r="T70" i="55"/>
  <c r="E24" i="55"/>
  <c r="T8" i="55"/>
  <c r="T36" i="55"/>
  <c r="J9" i="55"/>
  <c r="E14" i="55"/>
  <c r="T54" i="55"/>
  <c r="H15" i="34"/>
  <c r="J25" i="55"/>
  <c r="T77" i="55"/>
  <c r="J18" i="55"/>
  <c r="J39" i="55"/>
  <c r="T12" i="55"/>
  <c r="E156" i="35"/>
  <c r="V42" i="55"/>
  <c r="AI34" i="55"/>
  <c r="L38" i="55"/>
  <c r="AI21" i="55"/>
  <c r="V66" i="55"/>
  <c r="V27" i="55"/>
  <c r="L29" i="55"/>
  <c r="AI75" i="55"/>
  <c r="AI110" i="55"/>
  <c r="E169" i="35"/>
  <c r="AH108" i="55" s="1"/>
  <c r="AH109" i="55"/>
  <c r="E137" i="35"/>
  <c r="AH71" i="55" s="1"/>
  <c r="AH5" i="55"/>
  <c r="E71" i="35"/>
  <c r="U23" i="55"/>
  <c r="AH12" i="55"/>
  <c r="AH93" i="55"/>
  <c r="AH70" i="55"/>
  <c r="AH2" i="55"/>
  <c r="H14" i="35"/>
  <c r="AI4" i="55"/>
  <c r="AI33" i="55"/>
  <c r="AI100" i="55"/>
  <c r="AI53" i="55"/>
  <c r="AI93" i="55"/>
  <c r="AI22" i="55"/>
  <c r="AI16" i="55"/>
  <c r="G100" i="36"/>
  <c r="G125" i="36"/>
  <c r="V87" i="55" s="1"/>
  <c r="G124" i="36"/>
  <c r="G144" i="36"/>
  <c r="G148" i="36"/>
  <c r="V74" i="55" s="1"/>
  <c r="V15" i="55"/>
  <c r="G113" i="36"/>
  <c r="V62" i="55" s="1"/>
  <c r="V34" i="55"/>
  <c r="V5" i="55"/>
  <c r="V10" i="55"/>
  <c r="V11" i="55"/>
  <c r="V6" i="55"/>
  <c r="V14" i="55"/>
  <c r="V17" i="55"/>
  <c r="F148" i="36"/>
  <c r="U57" i="55" s="1"/>
  <c r="F48" i="36"/>
  <c r="U5" i="55"/>
  <c r="U6" i="55"/>
  <c r="U14" i="55"/>
  <c r="L34" i="55"/>
  <c r="L15" i="55"/>
  <c r="L3" i="55"/>
  <c r="L18" i="55"/>
  <c r="K31" i="55"/>
  <c r="K18" i="55"/>
  <c r="K4" i="55"/>
  <c r="K29" i="55"/>
  <c r="K3" i="55"/>
  <c r="H6" i="55"/>
  <c r="E32" i="1"/>
  <c r="F2" i="1"/>
  <c r="H4" i="13"/>
  <c r="F3" i="8"/>
  <c r="M28" i="33"/>
  <c r="I3" i="55"/>
  <c r="F9" i="55"/>
  <c r="G15" i="55"/>
  <c r="AI114" i="55"/>
  <c r="T34" i="55"/>
  <c r="AH29" i="55"/>
  <c r="T30" i="55"/>
  <c r="J24" i="55"/>
  <c r="AH114" i="55"/>
  <c r="E31" i="55"/>
  <c r="G140" i="35"/>
  <c r="E60" i="34"/>
  <c r="I39" i="55"/>
  <c r="AH112" i="55"/>
  <c r="J16" i="55"/>
  <c r="T28" i="55"/>
  <c r="E120" i="35"/>
  <c r="U20" i="55"/>
  <c r="AH55" i="55"/>
  <c r="G71" i="35"/>
  <c r="AI42" i="55"/>
  <c r="AI78" i="55"/>
  <c r="F61" i="35"/>
  <c r="AI83" i="55" s="1"/>
  <c r="AH42" i="55"/>
  <c r="V56" i="55"/>
  <c r="H50" i="36"/>
  <c r="H48" i="36"/>
  <c r="F56" i="35"/>
  <c r="AI131" i="55" s="1"/>
  <c r="F42" i="36"/>
  <c r="U24" i="55" s="1"/>
  <c r="T24" i="55"/>
  <c r="V43" i="55"/>
  <c r="J8" i="55"/>
  <c r="G50" i="35"/>
  <c r="T51" i="55"/>
  <c r="U25" i="55"/>
  <c r="V25" i="55"/>
  <c r="L14" i="55"/>
  <c r="U55" i="55"/>
  <c r="K26" i="55"/>
  <c r="U36" i="55"/>
  <c r="J43" i="55"/>
  <c r="L26" i="55"/>
  <c r="J26" i="55"/>
  <c r="G26" i="35"/>
  <c r="O19" i="6"/>
  <c r="J26" i="35" s="1"/>
  <c r="N19" i="6"/>
  <c r="I26" i="35" s="1"/>
  <c r="G21" i="35"/>
  <c r="E20" i="35"/>
  <c r="J2" i="55"/>
  <c r="AH48" i="55"/>
  <c r="E19" i="35"/>
  <c r="AH167" i="55" s="1"/>
  <c r="AH186" i="55"/>
  <c r="AH155" i="55"/>
  <c r="AH141" i="55"/>
  <c r="AH169" i="55"/>
  <c r="AH143" i="55"/>
  <c r="AH170" i="55"/>
  <c r="U29" i="55"/>
  <c r="V29" i="55"/>
  <c r="AJ6" i="55"/>
  <c r="J12" i="55"/>
  <c r="K8" i="55"/>
  <c r="T89" i="55"/>
  <c r="AI25" i="55"/>
  <c r="T5" i="55"/>
  <c r="K43" i="55"/>
  <c r="AI99" i="55"/>
  <c r="T13" i="55"/>
  <c r="U13" i="55"/>
  <c r="H150" i="36"/>
  <c r="I149" i="36"/>
  <c r="F187" i="35"/>
  <c r="AI77" i="55" s="1"/>
  <c r="G150" i="36"/>
  <c r="F150" i="36"/>
  <c r="E187" i="35"/>
  <c r="G188" i="35"/>
  <c r="G187" i="35"/>
  <c r="F4" i="29"/>
  <c r="F188" i="35"/>
  <c r="V13" i="55"/>
  <c r="E32" i="29"/>
  <c r="T79" i="55"/>
  <c r="N18" i="28"/>
  <c r="J178" i="35"/>
  <c r="T69" i="55"/>
  <c r="G145" i="36"/>
  <c r="V65" i="55" s="1"/>
  <c r="H145" i="36"/>
  <c r="F179" i="35"/>
  <c r="AI31" i="55" s="1"/>
  <c r="AI9" i="55"/>
  <c r="AH125" i="55"/>
  <c r="F145" i="36"/>
  <c r="U65" i="55" s="1"/>
  <c r="H4" i="2"/>
  <c r="I66" i="33" s="1"/>
  <c r="J179" i="35"/>
  <c r="AI125" i="55"/>
  <c r="F4" i="2"/>
  <c r="G66" i="33" s="1"/>
  <c r="M66" i="33" s="1"/>
  <c r="E178" i="35"/>
  <c r="AH9" i="55" s="1"/>
  <c r="F156" i="35"/>
  <c r="G123" i="36"/>
  <c r="V58" i="55" s="1"/>
  <c r="U4" i="55"/>
  <c r="V4" i="55"/>
  <c r="AI14" i="55"/>
  <c r="J19" i="55"/>
  <c r="L19" i="55"/>
  <c r="F124" i="36"/>
  <c r="AI111" i="55"/>
  <c r="U83" i="55"/>
  <c r="F123" i="36"/>
  <c r="F70" i="34"/>
  <c r="F119" i="36"/>
  <c r="U50" i="55" s="1"/>
  <c r="T81" i="55"/>
  <c r="E30" i="55"/>
  <c r="G120" i="36"/>
  <c r="F121" i="36"/>
  <c r="F36" i="55"/>
  <c r="F120" i="36"/>
  <c r="AI71" i="55"/>
  <c r="T4" i="55"/>
  <c r="T35" i="55"/>
  <c r="K36" i="55"/>
  <c r="V35" i="55"/>
  <c r="G114" i="36"/>
  <c r="V76" i="55" s="1"/>
  <c r="T76" i="55"/>
  <c r="T82" i="55"/>
  <c r="U45" i="55"/>
  <c r="V45" i="55"/>
  <c r="L27" i="55"/>
  <c r="F114" i="36"/>
  <c r="U76" i="55" s="1"/>
  <c r="E145" i="35"/>
  <c r="V37" i="55"/>
  <c r="K27" i="55"/>
  <c r="T45" i="55"/>
  <c r="AI117" i="55"/>
  <c r="AI80" i="55"/>
  <c r="E140" i="35"/>
  <c r="AH117" i="55" s="1"/>
  <c r="E139" i="35"/>
  <c r="AH99" i="55" s="1"/>
  <c r="G135" i="35"/>
  <c r="O15" i="21"/>
  <c r="E25" i="55"/>
  <c r="G115" i="35"/>
  <c r="G114" i="35"/>
  <c r="T10" i="55"/>
  <c r="AH8" i="55"/>
  <c r="M6" i="18"/>
  <c r="I87" i="36" s="1"/>
  <c r="G113" i="35"/>
  <c r="E51" i="34"/>
  <c r="K16" i="55"/>
  <c r="V28" i="55"/>
  <c r="H104" i="35"/>
  <c r="E37" i="55"/>
  <c r="E33" i="55"/>
  <c r="F118" i="35"/>
  <c r="AI104" i="55" s="1"/>
  <c r="E118" i="35"/>
  <c r="AH104" i="55" s="1"/>
  <c r="V60" i="55"/>
  <c r="K5" i="55"/>
  <c r="F100" i="35"/>
  <c r="J5" i="55"/>
  <c r="M6" i="17"/>
  <c r="N6" i="17" s="1"/>
  <c r="H79" i="36"/>
  <c r="E91" i="35"/>
  <c r="AH41" i="55" s="1"/>
  <c r="K17" i="55"/>
  <c r="E17" i="55"/>
  <c r="AH122" i="55"/>
  <c r="U89" i="55"/>
  <c r="L8" i="55"/>
  <c r="L6" i="55"/>
  <c r="K6" i="55"/>
  <c r="AH21" i="55"/>
  <c r="E72" i="35"/>
  <c r="AH61" i="55" s="1"/>
  <c r="U8" i="55"/>
  <c r="T64" i="55"/>
  <c r="U64" i="55"/>
  <c r="F71" i="35"/>
  <c r="AI44" i="55" s="1"/>
  <c r="V64" i="55"/>
  <c r="AH121" i="55"/>
  <c r="F55" i="35"/>
  <c r="J7" i="55"/>
  <c r="E7" i="55"/>
  <c r="U26" i="55"/>
  <c r="E57" i="35"/>
  <c r="V68" i="55"/>
  <c r="T90" i="55"/>
  <c r="T68" i="55"/>
  <c r="G51" i="35"/>
  <c r="F51" i="35"/>
  <c r="E50" i="35"/>
  <c r="H35" i="36"/>
  <c r="E43" i="35"/>
  <c r="E22" i="34"/>
  <c r="F45" i="35"/>
  <c r="H3" i="8"/>
  <c r="I17" i="33" s="1"/>
  <c r="L9" i="55"/>
  <c r="U32" i="55"/>
  <c r="AH73" i="55"/>
  <c r="E44" i="35"/>
  <c r="G43" i="35"/>
  <c r="E32" i="8"/>
  <c r="H2" i="55"/>
  <c r="AH67" i="55"/>
  <c r="F21" i="35"/>
  <c r="L2" i="55"/>
  <c r="E2" i="55"/>
  <c r="L4" i="55"/>
  <c r="G18" i="35"/>
  <c r="AH171" i="55"/>
  <c r="AH185" i="55"/>
  <c r="AH129" i="55"/>
  <c r="E4" i="55"/>
  <c r="AH146" i="55"/>
  <c r="AH131" i="55"/>
  <c r="V9" i="55"/>
  <c r="E17" i="35"/>
  <c r="AH107" i="55" s="1"/>
  <c r="AH156" i="55"/>
  <c r="E79" i="55"/>
  <c r="E69" i="55"/>
  <c r="A6" i="35"/>
  <c r="E64" i="55"/>
  <c r="E71" i="55"/>
  <c r="E59" i="55"/>
  <c r="E50" i="55"/>
  <c r="E72" i="55"/>
  <c r="E67" i="55"/>
  <c r="E61" i="55"/>
  <c r="E68" i="55"/>
  <c r="J30" i="55"/>
  <c r="J40" i="55"/>
  <c r="E70" i="55"/>
  <c r="E49" i="55"/>
  <c r="E48" i="55"/>
  <c r="K33" i="55"/>
  <c r="K40" i="55"/>
  <c r="F7" i="35"/>
  <c r="AI179" i="55" s="1"/>
  <c r="F5" i="35"/>
  <c r="L50" i="55"/>
  <c r="V40" i="55"/>
  <c r="J10" i="55"/>
  <c r="K41" i="55"/>
  <c r="K49" i="55"/>
  <c r="E76" i="55"/>
  <c r="E46" i="55"/>
  <c r="AH77" i="55"/>
  <c r="N20" i="18"/>
  <c r="AI26" i="55"/>
  <c r="J49" i="55"/>
  <c r="J41" i="55"/>
  <c r="E21" i="55"/>
  <c r="M13" i="18"/>
  <c r="H111" i="35" s="1"/>
  <c r="AI70" i="55"/>
  <c r="O17" i="18"/>
  <c r="N17" i="18"/>
  <c r="O19" i="18"/>
  <c r="N19" i="18"/>
  <c r="N18" i="18"/>
  <c r="I115" i="35" s="1"/>
  <c r="O18" i="18"/>
  <c r="J115" i="35" s="1"/>
  <c r="L41" i="55"/>
  <c r="N16" i="18"/>
  <c r="O16" i="18"/>
  <c r="T53" i="55"/>
  <c r="AH30" i="55"/>
  <c r="K44" i="55"/>
  <c r="AI23" i="55"/>
  <c r="F44" i="55"/>
  <c r="F199" i="35"/>
  <c r="AI88" i="55" s="1"/>
  <c r="E22" i="55"/>
  <c r="E13" i="55"/>
  <c r="E202" i="35"/>
  <c r="U30" i="55"/>
  <c r="N18" i="30"/>
  <c r="O18" i="30"/>
  <c r="O19" i="30"/>
  <c r="J196" i="35" s="1"/>
  <c r="N19" i="30"/>
  <c r="I196" i="35" s="1"/>
  <c r="O16" i="30"/>
  <c r="N16" i="30"/>
  <c r="O17" i="30"/>
  <c r="N17" i="30"/>
  <c r="AI29" i="55"/>
  <c r="T37" i="55"/>
  <c r="AH90" i="55"/>
  <c r="E124" i="35"/>
  <c r="AH103" i="55" s="1"/>
  <c r="E125" i="35"/>
  <c r="F126" i="35"/>
  <c r="AI124" i="55" s="1"/>
  <c r="AH51" i="55"/>
  <c r="M13" i="19"/>
  <c r="H122" i="35" s="1"/>
  <c r="H107" i="36"/>
  <c r="N20" i="21"/>
  <c r="I79" i="36"/>
  <c r="H98" i="35"/>
  <c r="F200" i="35"/>
  <c r="AI118" i="55" s="1"/>
  <c r="G14" i="36"/>
  <c r="G15" i="36"/>
  <c r="V97" i="55" s="1"/>
  <c r="H15" i="36"/>
  <c r="H14" i="36"/>
  <c r="F13" i="36"/>
  <c r="U70" i="55" s="1"/>
  <c r="G13" i="36"/>
  <c r="V71" i="55" s="1"/>
  <c r="F14" i="36"/>
  <c r="E159" i="35"/>
  <c r="F159" i="35"/>
  <c r="AI120" i="55" s="1"/>
  <c r="F4" i="4"/>
  <c r="F32" i="4" s="1"/>
  <c r="AI112" i="55"/>
  <c r="E170" i="35"/>
  <c r="AH116" i="55" s="1"/>
  <c r="G171" i="35"/>
  <c r="AI62" i="55"/>
  <c r="E168" i="35"/>
  <c r="AH62" i="55" s="1"/>
  <c r="F171" i="35"/>
  <c r="E146" i="35"/>
  <c r="F145" i="35"/>
  <c r="H135" i="35"/>
  <c r="E126" i="35"/>
  <c r="AH124" i="55" s="1"/>
  <c r="H3" i="19"/>
  <c r="I44" i="33" s="1"/>
  <c r="M44" i="33" s="1"/>
  <c r="F124" i="35"/>
  <c r="T63" i="55"/>
  <c r="O16" i="16"/>
  <c r="N16" i="16"/>
  <c r="O18" i="16"/>
  <c r="N18" i="16"/>
  <c r="O19" i="16"/>
  <c r="N19" i="16"/>
  <c r="O17" i="16"/>
  <c r="N17" i="16"/>
  <c r="E119" i="35"/>
  <c r="H4" i="25"/>
  <c r="F119" i="35"/>
  <c r="AI79" i="55" s="1"/>
  <c r="U63" i="55"/>
  <c r="F99" i="36"/>
  <c r="G99" i="36"/>
  <c r="V63" i="55" s="1"/>
  <c r="H115" i="35"/>
  <c r="G85" i="36"/>
  <c r="V90" i="55" s="1"/>
  <c r="F83" i="36"/>
  <c r="U47" i="55" s="1"/>
  <c r="F85" i="36"/>
  <c r="U97" i="55" s="1"/>
  <c r="G83" i="36"/>
  <c r="E60" i="35"/>
  <c r="H100" i="35"/>
  <c r="E101" i="35"/>
  <c r="AH110" i="55" s="1"/>
  <c r="E97" i="35"/>
  <c r="AH47" i="55" s="1"/>
  <c r="N20" i="17"/>
  <c r="F97" i="35"/>
  <c r="M24" i="17"/>
  <c r="F49" i="34" s="1"/>
  <c r="E32" i="17"/>
  <c r="E32" i="12"/>
  <c r="F24" i="33"/>
  <c r="F2" i="12"/>
  <c r="G24" i="33" s="1"/>
  <c r="M24" i="33" s="1"/>
  <c r="T33" i="55"/>
  <c r="F63" i="35"/>
  <c r="E59" i="35"/>
  <c r="G60" i="35"/>
  <c r="F59" i="35"/>
  <c r="AI76" i="55" s="1"/>
  <c r="E61" i="35"/>
  <c r="AH102" i="55" s="1"/>
  <c r="U33" i="55"/>
  <c r="F49" i="36"/>
  <c r="U56" i="55" s="1"/>
  <c r="G50" i="36"/>
  <c r="V91" i="55" s="1"/>
  <c r="H49" i="36"/>
  <c r="F50" i="36"/>
  <c r="G48" i="36"/>
  <c r="V61" i="55" s="1"/>
  <c r="T66" i="55"/>
  <c r="T40" i="55"/>
  <c r="G45" i="36"/>
  <c r="V82" i="55" s="1"/>
  <c r="H42" i="36"/>
  <c r="F44" i="36"/>
  <c r="F43" i="36"/>
  <c r="U43" i="55" s="1"/>
  <c r="G44" i="36"/>
  <c r="V77" i="55" s="1"/>
  <c r="M23" i="9"/>
  <c r="O23" i="9" s="1"/>
  <c r="H24" i="34" s="1"/>
  <c r="AH19" i="55"/>
  <c r="H2" i="1"/>
  <c r="I11" i="33" s="1"/>
  <c r="I18" i="55" s="1"/>
  <c r="F11" i="33"/>
  <c r="F18" i="55" s="1"/>
  <c r="G25" i="35"/>
  <c r="O8" i="17"/>
  <c r="K79" i="36" s="1"/>
  <c r="H4" i="16"/>
  <c r="F4" i="33"/>
  <c r="F49" i="55" s="1"/>
  <c r="H3" i="18"/>
  <c r="I40" i="33" s="1"/>
  <c r="E32" i="6"/>
  <c r="F3" i="18"/>
  <c r="G40" i="33" s="1"/>
  <c r="G44" i="55" s="1"/>
  <c r="F10" i="33"/>
  <c r="H4" i="8"/>
  <c r="F2" i="6"/>
  <c r="G9" i="33" s="1"/>
  <c r="G3" i="55" s="1"/>
  <c r="F9" i="33"/>
  <c r="F3" i="55" s="1"/>
  <c r="H3" i="6"/>
  <c r="I10" i="33" s="1"/>
  <c r="I50" i="55" s="1"/>
  <c r="F4" i="32"/>
  <c r="G4" i="33" s="1"/>
  <c r="E62" i="55"/>
  <c r="O15" i="2"/>
  <c r="J180" i="35" s="1"/>
  <c r="O24" i="31"/>
  <c r="O24" i="29"/>
  <c r="H91" i="34" s="1"/>
  <c r="N13" i="5"/>
  <c r="I14" i="35" s="1"/>
  <c r="K14" i="35" s="1"/>
  <c r="AH101" i="55"/>
  <c r="F44" i="33"/>
  <c r="T129" i="55"/>
  <c r="I33" i="36"/>
  <c r="N20" i="5"/>
  <c r="T125" i="55"/>
  <c r="H4" i="17"/>
  <c r="O25" i="5"/>
  <c r="F91" i="34"/>
  <c r="N7" i="8"/>
  <c r="J33" i="36" s="1"/>
  <c r="L33" i="36" s="1"/>
  <c r="M16" i="33"/>
  <c r="M30" i="33"/>
  <c r="G32" i="8"/>
  <c r="F3" i="5"/>
  <c r="G8" i="33" s="1"/>
  <c r="F2" i="29"/>
  <c r="G67" i="33" s="1"/>
  <c r="H2" i="29"/>
  <c r="I67" i="33" s="1"/>
  <c r="I32" i="55" s="1"/>
  <c r="F31" i="33"/>
  <c r="H3" i="5"/>
  <c r="I8" i="33" s="1"/>
  <c r="I42" i="55" s="1"/>
  <c r="F5" i="33"/>
  <c r="F15" i="55" s="1"/>
  <c r="F2" i="15"/>
  <c r="G31" i="33" s="1"/>
  <c r="G6" i="55" s="1"/>
  <c r="H2" i="15"/>
  <c r="I31" i="33" s="1"/>
  <c r="I6" i="55" s="1"/>
  <c r="H3" i="11"/>
  <c r="I23" i="33" s="1"/>
  <c r="F2" i="7"/>
  <c r="G14" i="33" s="1"/>
  <c r="E32" i="4"/>
  <c r="H4" i="28"/>
  <c r="F4" i="28"/>
  <c r="H37" i="33"/>
  <c r="E32" i="18"/>
  <c r="H2" i="9"/>
  <c r="I18" i="33" s="1"/>
  <c r="H2" i="3"/>
  <c r="I37" i="33" s="1"/>
  <c r="I9" i="55" s="1"/>
  <c r="F2" i="3"/>
  <c r="G37" i="33" s="1"/>
  <c r="G9" i="55" s="1"/>
  <c r="E32" i="9"/>
  <c r="V7" i="55"/>
  <c r="G14" i="35"/>
  <c r="M10" i="5"/>
  <c r="I16" i="36" s="1"/>
  <c r="N19" i="5"/>
  <c r="E32" i="5"/>
  <c r="F8" i="33"/>
  <c r="M17" i="4"/>
  <c r="O17" i="4" s="1"/>
  <c r="J12" i="35" s="1"/>
  <c r="O20" i="4"/>
  <c r="E7" i="34"/>
  <c r="AU54" i="55" s="1"/>
  <c r="M22" i="4"/>
  <c r="F5" i="34" s="1"/>
  <c r="H8" i="36"/>
  <c r="G8" i="35"/>
  <c r="M8" i="4"/>
  <c r="O8" i="4" s="1"/>
  <c r="K9" i="36" s="1"/>
  <c r="E6" i="34"/>
  <c r="T127" i="55"/>
  <c r="T171" i="55"/>
  <c r="T147" i="55"/>
  <c r="T111" i="55"/>
  <c r="T117" i="55"/>
  <c r="T144" i="55"/>
  <c r="T119" i="55"/>
  <c r="M6" i="31"/>
  <c r="I157" i="36" s="1"/>
  <c r="N73" i="33"/>
  <c r="M73" i="33"/>
  <c r="G184" i="35"/>
  <c r="H147" i="36"/>
  <c r="E89" i="34"/>
  <c r="O9" i="29"/>
  <c r="O14" i="29"/>
  <c r="J185" i="35" s="1"/>
  <c r="K185" i="35" s="1"/>
  <c r="M7" i="29"/>
  <c r="I150" i="36" s="1"/>
  <c r="M16" i="29"/>
  <c r="O16" i="29" s="1"/>
  <c r="N9" i="29"/>
  <c r="N15" i="29"/>
  <c r="I186" i="35" s="1"/>
  <c r="E90" i="34"/>
  <c r="G186" i="35"/>
  <c r="N19" i="29"/>
  <c r="H186" i="35"/>
  <c r="F67" i="33"/>
  <c r="O20" i="29"/>
  <c r="H151" i="36"/>
  <c r="N11" i="29"/>
  <c r="E91" i="34"/>
  <c r="H149" i="36"/>
  <c r="G38" i="29"/>
  <c r="G39" i="29" s="1"/>
  <c r="H67" i="33"/>
  <c r="M18" i="29"/>
  <c r="H189" i="35" s="1"/>
  <c r="G185" i="35"/>
  <c r="O25" i="29"/>
  <c r="G177" i="35"/>
  <c r="G173" i="35"/>
  <c r="G174" i="35"/>
  <c r="AJ54" i="55" s="1"/>
  <c r="H138" i="36"/>
  <c r="M24" i="28"/>
  <c r="N24" i="28" s="1"/>
  <c r="G85" i="34" s="1"/>
  <c r="O25" i="28"/>
  <c r="O11" i="28"/>
  <c r="M10" i="28"/>
  <c r="I141" i="36" s="1"/>
  <c r="M9" i="28"/>
  <c r="O9" i="28" s="1"/>
  <c r="K140" i="36" s="1"/>
  <c r="E32" i="28"/>
  <c r="G38" i="28"/>
  <c r="G39" i="28" s="1"/>
  <c r="M6" i="28"/>
  <c r="N6" i="28" s="1"/>
  <c r="E83" i="34"/>
  <c r="M23" i="28"/>
  <c r="O23" i="28" s="1"/>
  <c r="H84" i="34" s="1"/>
  <c r="F83" i="34"/>
  <c r="M15" i="28"/>
  <c r="H175" i="35" s="1"/>
  <c r="G176" i="35"/>
  <c r="O8" i="28"/>
  <c r="K139" i="36" s="1"/>
  <c r="L139" i="36" s="1"/>
  <c r="N15" i="2"/>
  <c r="I180" i="35" s="1"/>
  <c r="N6" i="2"/>
  <c r="J142" i="36" s="1"/>
  <c r="N9" i="2"/>
  <c r="O9" i="2"/>
  <c r="AI113" i="55"/>
  <c r="H178" i="35"/>
  <c r="N14" i="2"/>
  <c r="H179" i="35"/>
  <c r="G180" i="35"/>
  <c r="M13" i="27"/>
  <c r="H167" i="35" s="1"/>
  <c r="G168" i="35"/>
  <c r="E81" i="34"/>
  <c r="H136" i="36"/>
  <c r="M22" i="27"/>
  <c r="O22" i="27" s="1"/>
  <c r="H80" i="34" s="1"/>
  <c r="M9" i="27"/>
  <c r="O9" i="27" s="1"/>
  <c r="K135" i="36" s="1"/>
  <c r="F59" i="33"/>
  <c r="F19" i="55" s="1"/>
  <c r="H59" i="33"/>
  <c r="H31" i="55" s="1"/>
  <c r="H2" i="27"/>
  <c r="I59" i="33" s="1"/>
  <c r="M6" i="27"/>
  <c r="N6" i="27" s="1"/>
  <c r="O11" i="27"/>
  <c r="E32" i="27"/>
  <c r="M8" i="27"/>
  <c r="O8" i="27" s="1"/>
  <c r="K134" i="36" s="1"/>
  <c r="O25" i="27"/>
  <c r="G152" i="35"/>
  <c r="G148" i="35"/>
  <c r="H153" i="35"/>
  <c r="G38" i="23"/>
  <c r="G39" i="23" s="1"/>
  <c r="O19" i="23"/>
  <c r="J153" i="35" s="1"/>
  <c r="K153" i="35" s="1"/>
  <c r="G149" i="35"/>
  <c r="H118" i="36"/>
  <c r="G139" i="35"/>
  <c r="G137" i="35"/>
  <c r="N11" i="21"/>
  <c r="G136" i="35"/>
  <c r="M23" i="21"/>
  <c r="N23" i="21" s="1"/>
  <c r="G63" i="34" s="1"/>
  <c r="E64" i="34"/>
  <c r="M9" i="21"/>
  <c r="I110" i="36" s="1"/>
  <c r="H108" i="36"/>
  <c r="M22" i="21"/>
  <c r="O22" i="21" s="1"/>
  <c r="H62" i="34" s="1"/>
  <c r="M17" i="21"/>
  <c r="H140" i="35" s="1"/>
  <c r="M24" i="20"/>
  <c r="N24" i="20" s="1"/>
  <c r="M7" i="20"/>
  <c r="I103" i="36" s="1"/>
  <c r="V36" i="55"/>
  <c r="M8" i="18"/>
  <c r="N8" i="18" s="1"/>
  <c r="J89" i="36" s="1"/>
  <c r="H88" i="36"/>
  <c r="E38" i="18"/>
  <c r="E39" i="18" s="1"/>
  <c r="M19" i="3"/>
  <c r="O19" i="3" s="1"/>
  <c r="J109" i="35" s="1"/>
  <c r="M6" i="3"/>
  <c r="N6" i="3" s="1"/>
  <c r="O11" i="3"/>
  <c r="T22" i="55"/>
  <c r="M10" i="3"/>
  <c r="N10" i="3" s="1"/>
  <c r="J86" i="36" s="1"/>
  <c r="N8" i="3"/>
  <c r="J84" i="36" s="1"/>
  <c r="H84" i="36"/>
  <c r="G106" i="35"/>
  <c r="G105" i="35"/>
  <c r="M15" i="3"/>
  <c r="H108" i="35" s="1"/>
  <c r="G107" i="35"/>
  <c r="G99" i="35"/>
  <c r="G100" i="35"/>
  <c r="O17" i="17"/>
  <c r="N17" i="17"/>
  <c r="M14" i="13"/>
  <c r="M7" i="12"/>
  <c r="N7" i="12" s="1"/>
  <c r="J53" i="36" s="1"/>
  <c r="I54" i="36"/>
  <c r="G64" i="35"/>
  <c r="M17" i="12"/>
  <c r="O17" i="12" s="1"/>
  <c r="J69" i="35" s="1"/>
  <c r="M23" i="12"/>
  <c r="N23" i="12" s="1"/>
  <c r="G33" i="34" s="1"/>
  <c r="M13" i="12"/>
  <c r="O13" i="12" s="1"/>
  <c r="J65" i="35" s="1"/>
  <c r="N8" i="12"/>
  <c r="J54" i="36" s="1"/>
  <c r="L54" i="36" s="1"/>
  <c r="M24" i="12"/>
  <c r="F34" i="34" s="1"/>
  <c r="N11" i="12"/>
  <c r="M10" i="12"/>
  <c r="O10" i="12" s="1"/>
  <c r="K56" i="36" s="1"/>
  <c r="O20" i="12"/>
  <c r="H54" i="36"/>
  <c r="H52" i="36"/>
  <c r="H55" i="36"/>
  <c r="E32" i="34"/>
  <c r="AU2" i="55" s="1"/>
  <c r="G68" i="35"/>
  <c r="G62" i="35"/>
  <c r="M9" i="11"/>
  <c r="E30" i="34"/>
  <c r="N23" i="11"/>
  <c r="G30" i="34" s="1"/>
  <c r="O23" i="11"/>
  <c r="H30" i="34" s="1"/>
  <c r="N15" i="11"/>
  <c r="I62" i="35" s="1"/>
  <c r="O10" i="11"/>
  <c r="K51" i="36" s="1"/>
  <c r="L51" i="36" s="1"/>
  <c r="I51" i="36"/>
  <c r="H51" i="36"/>
  <c r="F23" i="33"/>
  <c r="H23" i="33"/>
  <c r="N19" i="10"/>
  <c r="G52" i="35"/>
  <c r="AJ8" i="55" s="1"/>
  <c r="E38" i="10"/>
  <c r="E39" i="10" s="1"/>
  <c r="F38" i="10"/>
  <c r="F39" i="10" s="1"/>
  <c r="K21" i="33"/>
  <c r="K46" i="55" s="1"/>
  <c r="N14" i="9"/>
  <c r="I47" i="35" s="1"/>
  <c r="M22" i="9"/>
  <c r="O22" i="9" s="1"/>
  <c r="H23" i="34" s="1"/>
  <c r="M16" i="9"/>
  <c r="H49" i="35" s="1"/>
  <c r="H40" i="36"/>
  <c r="M7" i="9"/>
  <c r="O7" i="9" s="1"/>
  <c r="K38" i="36" s="1"/>
  <c r="G46" i="35"/>
  <c r="O14" i="9"/>
  <c r="J47" i="35" s="1"/>
  <c r="N19" i="9"/>
  <c r="M6" i="9"/>
  <c r="N6" i="9" s="1"/>
  <c r="J37" i="36" s="1"/>
  <c r="G47" i="35"/>
  <c r="N11" i="9"/>
  <c r="G48" i="35"/>
  <c r="M18" i="9"/>
  <c r="O18" i="9" s="1"/>
  <c r="H48" i="35"/>
  <c r="N25" i="9"/>
  <c r="F38" i="9"/>
  <c r="F39" i="9" s="1"/>
  <c r="E38" i="9"/>
  <c r="E39" i="9" s="1"/>
  <c r="E20" i="34"/>
  <c r="N11" i="8"/>
  <c r="H45" i="35"/>
  <c r="M16" i="8"/>
  <c r="H44" i="35" s="1"/>
  <c r="H33" i="36"/>
  <c r="G38" i="8"/>
  <c r="G39" i="8" s="1"/>
  <c r="M10" i="8"/>
  <c r="I36" i="36" s="1"/>
  <c r="M7" i="7"/>
  <c r="I28" i="36" s="1"/>
  <c r="F14" i="33"/>
  <c r="F14" i="55" s="1"/>
  <c r="N23" i="1"/>
  <c r="H24" i="36"/>
  <c r="M7" i="1"/>
  <c r="N7" i="1" s="1"/>
  <c r="J23" i="36" s="1"/>
  <c r="H25" i="36"/>
  <c r="O19" i="1"/>
  <c r="J33" i="35" s="1"/>
  <c r="H26" i="36"/>
  <c r="M23" i="6"/>
  <c r="O23" i="6" s="1"/>
  <c r="H12" i="34" s="1"/>
  <c r="H19" i="36"/>
  <c r="E13" i="34"/>
  <c r="I18" i="36"/>
  <c r="N24" i="6"/>
  <c r="G13" i="34" s="1"/>
  <c r="I13" i="34" s="1"/>
  <c r="G24" i="35"/>
  <c r="N24" i="5"/>
  <c r="G10" i="34" s="1"/>
  <c r="G17" i="35"/>
  <c r="M16" i="5"/>
  <c r="O16" i="5" s="1"/>
  <c r="M18" i="5"/>
  <c r="N18" i="5" s="1"/>
  <c r="I19" i="35" s="1"/>
  <c r="H15" i="35"/>
  <c r="M15" i="5"/>
  <c r="O15" i="5" s="1"/>
  <c r="J16" i="35" s="1"/>
  <c r="M22" i="5"/>
  <c r="O22" i="5" s="1"/>
  <c r="H8" i="34" s="1"/>
  <c r="G15" i="35"/>
  <c r="E10" i="34"/>
  <c r="M8" i="5"/>
  <c r="O8" i="5" s="1"/>
  <c r="O24" i="5"/>
  <c r="H10" i="34" s="1"/>
  <c r="N11" i="5"/>
  <c r="N6" i="33"/>
  <c r="G32" i="4"/>
  <c r="M16" i="4"/>
  <c r="H11" i="35" s="1"/>
  <c r="H7" i="36"/>
  <c r="M9" i="4"/>
  <c r="N9" i="4" s="1"/>
  <c r="J10" i="36" s="1"/>
  <c r="M18" i="4"/>
  <c r="N18" i="4" s="1"/>
  <c r="I13" i="35" s="1"/>
  <c r="G10" i="35"/>
  <c r="O25" i="4"/>
  <c r="O19" i="4"/>
  <c r="G9" i="35"/>
  <c r="H2" i="4"/>
  <c r="I5" i="33" s="1"/>
  <c r="I15" i="55" s="1"/>
  <c r="G7" i="35"/>
  <c r="AJ132" i="55" s="1"/>
  <c r="H4" i="36"/>
  <c r="T137" i="55"/>
  <c r="T103" i="55"/>
  <c r="L62" i="55"/>
  <c r="T155" i="55"/>
  <c r="L78" i="55"/>
  <c r="T122" i="55"/>
  <c r="L52" i="55"/>
  <c r="T106" i="55"/>
  <c r="T143" i="55"/>
  <c r="L55" i="55"/>
  <c r="L72" i="55"/>
  <c r="AI185" i="55"/>
  <c r="AI183" i="55"/>
  <c r="AI181" i="55"/>
  <c r="L64" i="55"/>
  <c r="AI158" i="55"/>
  <c r="AI177" i="55"/>
  <c r="V141" i="55"/>
  <c r="V107" i="55"/>
  <c r="T105" i="55"/>
  <c r="T163" i="55"/>
  <c r="T131" i="55"/>
  <c r="L79" i="55"/>
  <c r="T133" i="55"/>
  <c r="T152" i="55"/>
  <c r="T112" i="55"/>
  <c r="L69" i="55"/>
  <c r="T109" i="55"/>
  <c r="AI169" i="55"/>
  <c r="L76" i="55"/>
  <c r="AI149" i="55"/>
  <c r="AI159" i="55"/>
  <c r="AI175" i="55"/>
  <c r="AI154" i="55"/>
  <c r="F4" i="34"/>
  <c r="AI151" i="55"/>
  <c r="AI143" i="55"/>
  <c r="AI140" i="55"/>
  <c r="AI141" i="55"/>
  <c r="AI133" i="55"/>
  <c r="AI162" i="55"/>
  <c r="AI164" i="55"/>
  <c r="AI165" i="55"/>
  <c r="N24" i="32"/>
  <c r="G4" i="34" s="1"/>
  <c r="K25" i="47"/>
  <c r="J22" i="47"/>
  <c r="K10" i="47"/>
  <c r="J10" i="47"/>
  <c r="K6" i="47"/>
  <c r="K15" i="47"/>
  <c r="J23" i="47"/>
  <c r="J16" i="47"/>
  <c r="J26" i="47"/>
  <c r="J8" i="47"/>
  <c r="G3" i="35"/>
  <c r="L9" i="47"/>
  <c r="J13" i="47"/>
  <c r="K12" i="47"/>
  <c r="L14" i="47"/>
  <c r="AI148" i="55"/>
  <c r="L8" i="47"/>
  <c r="L16" i="47"/>
  <c r="L17" i="47"/>
  <c r="L15" i="47"/>
  <c r="J7" i="47"/>
  <c r="J11" i="47"/>
  <c r="L13" i="47"/>
  <c r="L23" i="47"/>
  <c r="J24" i="47"/>
  <c r="K11" i="47"/>
  <c r="K8" i="47"/>
  <c r="L11" i="47"/>
  <c r="J14" i="47"/>
  <c r="K19" i="47"/>
  <c r="K14" i="47"/>
  <c r="L6" i="47"/>
  <c r="K7" i="47"/>
  <c r="L18" i="47"/>
  <c r="K16" i="47"/>
  <c r="T158" i="55"/>
  <c r="K9" i="47"/>
  <c r="J15" i="47"/>
  <c r="AI146" i="55"/>
  <c r="T130" i="55"/>
  <c r="L10" i="47"/>
  <c r="K13" i="47"/>
  <c r="L24" i="47"/>
  <c r="T104" i="55"/>
  <c r="T114" i="55"/>
  <c r="T157" i="55"/>
  <c r="L7" i="47"/>
  <c r="K27" i="47"/>
  <c r="T128" i="55"/>
  <c r="J12" i="47"/>
  <c r="AI166" i="55"/>
  <c r="T124" i="55"/>
  <c r="O8" i="32"/>
  <c r="K4" i="36" s="1"/>
  <c r="N8" i="32"/>
  <c r="J4" i="36" s="1"/>
  <c r="L21" i="47"/>
  <c r="L12" i="47"/>
  <c r="J6" i="47"/>
  <c r="J9" i="47"/>
  <c r="AI139" i="55"/>
  <c r="T164" i="55"/>
  <c r="M13" i="32"/>
  <c r="H2" i="35" s="1"/>
  <c r="I3" i="36"/>
  <c r="N10" i="32"/>
  <c r="J6" i="36" s="1"/>
  <c r="AO10" i="47"/>
  <c r="AN7" i="47"/>
  <c r="AO8" i="47"/>
  <c r="Y9" i="47"/>
  <c r="AL7" i="47"/>
  <c r="Z9" i="47"/>
  <c r="Y7" i="47"/>
  <c r="AN9" i="47"/>
  <c r="AL8" i="47"/>
  <c r="AO7" i="47"/>
  <c r="A12" i="34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38" i="34" s="1"/>
  <c r="A39" i="34" s="1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50" i="34" s="1"/>
  <c r="A51" i="34" s="1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2" i="34" s="1"/>
  <c r="A63" i="34" s="1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74" i="34" s="1"/>
  <c r="A75" i="34" s="1"/>
  <c r="A76" i="34" s="1"/>
  <c r="A77" i="34" s="1"/>
  <c r="A78" i="34" s="1"/>
  <c r="A79" i="34" s="1"/>
  <c r="A80" i="34" s="1"/>
  <c r="A81" i="34" s="1"/>
  <c r="A82" i="34" s="1"/>
  <c r="A83" i="34" s="1"/>
  <c r="A84" i="34" s="1"/>
  <c r="A85" i="34" s="1"/>
  <c r="A86" i="34" s="1"/>
  <c r="A87" i="34" s="1"/>
  <c r="A88" i="34" s="1"/>
  <c r="A89" i="34" s="1"/>
  <c r="A90" i="34" s="1"/>
  <c r="A91" i="34" s="1"/>
  <c r="A92" i="34" s="1"/>
  <c r="A93" i="34" s="1"/>
  <c r="A94" i="34" s="1"/>
  <c r="A95" i="34" s="1"/>
  <c r="A96" i="34" s="1"/>
  <c r="A97" i="34" s="1"/>
  <c r="Y100" i="47" s="1"/>
  <c r="AL11" i="47"/>
  <c r="Z12" i="47"/>
  <c r="X11" i="47"/>
  <c r="AN11" i="47"/>
  <c r="H5" i="36"/>
  <c r="H6" i="36"/>
  <c r="X8" i="47"/>
  <c r="O10" i="32"/>
  <c r="K6" i="36" s="1"/>
  <c r="Y10" i="47"/>
  <c r="G6" i="35"/>
  <c r="G85" i="35"/>
  <c r="O16" i="15"/>
  <c r="N16" i="15"/>
  <c r="N15" i="15"/>
  <c r="O15" i="15"/>
  <c r="N17" i="15"/>
  <c r="O17" i="15"/>
  <c r="J20" i="47"/>
  <c r="L19" i="47"/>
  <c r="K21" i="47"/>
  <c r="J18" i="47"/>
  <c r="K22" i="47"/>
  <c r="K18" i="47"/>
  <c r="J21" i="47"/>
  <c r="J19" i="47"/>
  <c r="L27" i="47"/>
  <c r="L26" i="47"/>
  <c r="G29" i="35"/>
  <c r="K17" i="47"/>
  <c r="L22" i="47"/>
  <c r="J27" i="47"/>
  <c r="L20" i="47"/>
  <c r="AH45" i="55"/>
  <c r="K20" i="47"/>
  <c r="K26" i="47"/>
  <c r="L25" i="47"/>
  <c r="J17" i="47"/>
  <c r="G30" i="35"/>
  <c r="K23" i="47"/>
  <c r="J25" i="47"/>
  <c r="K24" i="47"/>
  <c r="N9" i="1"/>
  <c r="J25" i="36" s="1"/>
  <c r="O9" i="1"/>
  <c r="K25" i="36" s="1"/>
  <c r="N8" i="1"/>
  <c r="J24" i="36" s="1"/>
  <c r="O8" i="1"/>
  <c r="K24" i="36" s="1"/>
  <c r="G138" i="35"/>
  <c r="O16" i="21"/>
  <c r="N16" i="21"/>
  <c r="AH58" i="55"/>
  <c r="M24" i="3"/>
  <c r="O24" i="3" s="1"/>
  <c r="N18" i="3"/>
  <c r="O18" i="3"/>
  <c r="N13" i="3"/>
  <c r="O13" i="3"/>
  <c r="N16" i="3"/>
  <c r="O16" i="3"/>
  <c r="N17" i="3"/>
  <c r="O17" i="3"/>
  <c r="O8" i="3"/>
  <c r="K84" i="36" s="1"/>
  <c r="N20" i="3"/>
  <c r="F13" i="34"/>
  <c r="O7" i="6"/>
  <c r="K18" i="36" s="1"/>
  <c r="L18" i="36" s="1"/>
  <c r="O25" i="6"/>
  <c r="N9" i="6"/>
  <c r="J20" i="36" s="1"/>
  <c r="L20" i="36" s="1"/>
  <c r="H20" i="36"/>
  <c r="H18" i="36"/>
  <c r="G20" i="35"/>
  <c r="N16" i="6"/>
  <c r="I23" i="35" s="1"/>
  <c r="O16" i="6"/>
  <c r="J23" i="35" s="1"/>
  <c r="N18" i="6"/>
  <c r="I25" i="35" s="1"/>
  <c r="O18" i="6"/>
  <c r="J25" i="35" s="1"/>
  <c r="O17" i="6"/>
  <c r="J24" i="35" s="1"/>
  <c r="N17" i="6"/>
  <c r="I24" i="35" s="1"/>
  <c r="N15" i="6"/>
  <c r="I22" i="35" s="1"/>
  <c r="O15" i="6"/>
  <c r="J22" i="35" s="1"/>
  <c r="I20" i="36"/>
  <c r="F38" i="6"/>
  <c r="F39" i="6" s="1"/>
  <c r="N10" i="6"/>
  <c r="J21" i="36" s="1"/>
  <c r="L21" i="36" s="1"/>
  <c r="E38" i="4"/>
  <c r="E39" i="4" s="1"/>
  <c r="H25" i="35"/>
  <c r="F38" i="26"/>
  <c r="F39" i="26" s="1"/>
  <c r="N20" i="11"/>
  <c r="N25" i="21"/>
  <c r="M6" i="1"/>
  <c r="O6" i="1" s="1"/>
  <c r="K22" i="36" s="1"/>
  <c r="O20" i="1"/>
  <c r="M14" i="1"/>
  <c r="O14" i="1" s="1"/>
  <c r="J28" i="35" s="1"/>
  <c r="O10" i="1"/>
  <c r="K26" i="36" s="1"/>
  <c r="O16" i="1"/>
  <c r="J30" i="35" s="1"/>
  <c r="N16" i="1"/>
  <c r="I30" i="35" s="1"/>
  <c r="N18" i="1"/>
  <c r="I32" i="35" s="1"/>
  <c r="O18" i="1"/>
  <c r="J32" i="35" s="1"/>
  <c r="N15" i="1"/>
  <c r="O15" i="1"/>
  <c r="N10" i="1"/>
  <c r="J26" i="36" s="1"/>
  <c r="N17" i="1"/>
  <c r="I31" i="35" s="1"/>
  <c r="O17" i="1"/>
  <c r="J31" i="35" s="1"/>
  <c r="E48" i="34"/>
  <c r="O13" i="17"/>
  <c r="N13" i="17"/>
  <c r="O6" i="2"/>
  <c r="K142" i="36" s="1"/>
  <c r="Z2" i="55" s="1"/>
  <c r="N17" i="2"/>
  <c r="O17" i="2"/>
  <c r="N18" i="2"/>
  <c r="O18" i="2"/>
  <c r="F88" i="34"/>
  <c r="N16" i="2"/>
  <c r="O16" i="2"/>
  <c r="N9" i="17"/>
  <c r="J80" i="36" s="1"/>
  <c r="G97" i="35"/>
  <c r="H80" i="36"/>
  <c r="G101" i="35"/>
  <c r="N14" i="17"/>
  <c r="O14" i="17"/>
  <c r="N15" i="17"/>
  <c r="O15" i="17"/>
  <c r="N18" i="17"/>
  <c r="I102" i="35" s="1"/>
  <c r="O18" i="17"/>
  <c r="J102" i="35" s="1"/>
  <c r="O9" i="17"/>
  <c r="K80" i="36" s="1"/>
  <c r="N16" i="17"/>
  <c r="O16" i="17"/>
  <c r="G98" i="35"/>
  <c r="AH32" i="55"/>
  <c r="N13" i="16"/>
  <c r="O13" i="16"/>
  <c r="N15" i="16"/>
  <c r="O15" i="16"/>
  <c r="O24" i="25"/>
  <c r="N24" i="25"/>
  <c r="N23" i="25"/>
  <c r="O23" i="25"/>
  <c r="G61" i="35"/>
  <c r="M16" i="11"/>
  <c r="H61" i="35" s="1"/>
  <c r="H62" i="35"/>
  <c r="O19" i="11"/>
  <c r="M6" i="11"/>
  <c r="O6" i="11" s="1"/>
  <c r="K47" i="36" s="1"/>
  <c r="N25" i="11"/>
  <c r="M24" i="11"/>
  <c r="N24" i="11" s="1"/>
  <c r="G31" i="34" s="1"/>
  <c r="J45" i="55"/>
  <c r="AI90" i="55"/>
  <c r="H119" i="36"/>
  <c r="T62" i="55"/>
  <c r="V85" i="55"/>
  <c r="N18" i="23"/>
  <c r="I152" i="35" s="1"/>
  <c r="O18" i="23"/>
  <c r="J152" i="35" s="1"/>
  <c r="N15" i="23"/>
  <c r="I149" i="35" s="1"/>
  <c r="O15" i="23"/>
  <c r="J149" i="35" s="1"/>
  <c r="N17" i="23"/>
  <c r="I151" i="35" s="1"/>
  <c r="O17" i="23"/>
  <c r="J151" i="35" s="1"/>
  <c r="N14" i="23"/>
  <c r="I148" i="35" s="1"/>
  <c r="O14" i="23"/>
  <c r="J148" i="35" s="1"/>
  <c r="N16" i="23"/>
  <c r="I150" i="35" s="1"/>
  <c r="O16" i="23"/>
  <c r="J150" i="35" s="1"/>
  <c r="T141" i="55"/>
  <c r="T110" i="55"/>
  <c r="T126" i="55"/>
  <c r="T150" i="55"/>
  <c r="T139" i="55"/>
  <c r="L70" i="55"/>
  <c r="K62" i="55"/>
  <c r="L80" i="55"/>
  <c r="T132" i="55"/>
  <c r="L67" i="55"/>
  <c r="L75" i="55"/>
  <c r="AI176" i="55"/>
  <c r="O7" i="32"/>
  <c r="K3" i="36" s="1"/>
  <c r="L3" i="36" s="1"/>
  <c r="T149" i="55"/>
  <c r="T153" i="55"/>
  <c r="T154" i="55"/>
  <c r="E4" i="34"/>
  <c r="T165" i="55"/>
  <c r="T136" i="55"/>
  <c r="N6" i="32"/>
  <c r="J2" i="36" s="1"/>
  <c r="AI142" i="55"/>
  <c r="AI153" i="55"/>
  <c r="AI155" i="55"/>
  <c r="T101" i="55"/>
  <c r="AI144" i="55"/>
  <c r="AI168" i="55"/>
  <c r="T107" i="55"/>
  <c r="L71" i="55"/>
  <c r="AI173" i="55"/>
  <c r="K80" i="55"/>
  <c r="T121" i="55"/>
  <c r="AI161" i="55"/>
  <c r="AI138" i="55"/>
  <c r="T138" i="55"/>
  <c r="AI182" i="55"/>
  <c r="L60" i="55"/>
  <c r="T161" i="55"/>
  <c r="AI167" i="55"/>
  <c r="AI152" i="55"/>
  <c r="T148" i="55"/>
  <c r="L68" i="55"/>
  <c r="T113" i="55"/>
  <c r="AI160" i="55"/>
  <c r="AI132" i="55"/>
  <c r="T167" i="55"/>
  <c r="L54" i="55"/>
  <c r="AI178" i="55"/>
  <c r="L61" i="55"/>
  <c r="T168" i="55"/>
  <c r="AI136" i="55"/>
  <c r="AI135" i="55"/>
  <c r="T146" i="55"/>
  <c r="K69" i="55"/>
  <c r="K70" i="55"/>
  <c r="T151" i="55"/>
  <c r="AI137" i="55"/>
  <c r="AI163" i="55"/>
  <c r="T108" i="55"/>
  <c r="K61" i="55"/>
  <c r="AI180" i="55"/>
  <c r="F38" i="32"/>
  <c r="F39" i="32" s="1"/>
  <c r="T169" i="55"/>
  <c r="T123" i="55"/>
  <c r="AI170" i="55"/>
  <c r="AI134" i="55"/>
  <c r="T102" i="55"/>
  <c r="K76" i="55"/>
  <c r="F3" i="34"/>
  <c r="T116" i="55"/>
  <c r="T160" i="55"/>
  <c r="AI157" i="55"/>
  <c r="AI156" i="55"/>
  <c r="T118" i="55"/>
  <c r="L53" i="55"/>
  <c r="AI174" i="55"/>
  <c r="AI147" i="55"/>
  <c r="T120" i="55"/>
  <c r="L56" i="55"/>
  <c r="T145" i="55"/>
  <c r="T115" i="55"/>
  <c r="T162" i="55"/>
  <c r="T135" i="55"/>
  <c r="T159" i="55"/>
  <c r="AI145" i="55"/>
  <c r="AI171" i="55"/>
  <c r="T140" i="55"/>
  <c r="L65" i="55"/>
  <c r="AI150" i="55"/>
  <c r="T166" i="55"/>
  <c r="AI184" i="55"/>
  <c r="N17" i="32"/>
  <c r="O17" i="32"/>
  <c r="N15" i="32"/>
  <c r="I4" i="35" s="1"/>
  <c r="O15" i="32"/>
  <c r="J4" i="35" s="1"/>
  <c r="L58" i="55"/>
  <c r="AI186" i="55"/>
  <c r="N18" i="32"/>
  <c r="O18" i="32"/>
  <c r="T170" i="55"/>
  <c r="L63" i="55"/>
  <c r="G4" i="35"/>
  <c r="L77" i="55"/>
  <c r="AI172" i="55"/>
  <c r="N14" i="32"/>
  <c r="I3" i="35" s="1"/>
  <c r="O14" i="32"/>
  <c r="J3" i="35" s="1"/>
  <c r="N17" i="7"/>
  <c r="O17" i="7"/>
  <c r="N16" i="7"/>
  <c r="O16" i="7"/>
  <c r="H2" i="7"/>
  <c r="I14" i="33" s="1"/>
  <c r="H185" i="35"/>
  <c r="M17" i="29"/>
  <c r="O20" i="28"/>
  <c r="I139" i="36"/>
  <c r="O22" i="28"/>
  <c r="H83" i="34" s="1"/>
  <c r="H139" i="36"/>
  <c r="N19" i="28"/>
  <c r="H133" i="36"/>
  <c r="G169" i="35"/>
  <c r="M58" i="33"/>
  <c r="E38" i="26"/>
  <c r="E39" i="26" s="1"/>
  <c r="G151" i="35"/>
  <c r="G150" i="35"/>
  <c r="E32" i="23"/>
  <c r="H120" i="36"/>
  <c r="E68" i="34"/>
  <c r="F47" i="33"/>
  <c r="M10" i="21"/>
  <c r="I111" i="36" s="1"/>
  <c r="H2" i="21"/>
  <c r="I47" i="33" s="1"/>
  <c r="I30" i="55" s="1"/>
  <c r="H47" i="33"/>
  <c r="E32" i="21"/>
  <c r="E61" i="34"/>
  <c r="M17" i="20"/>
  <c r="N17" i="20" s="1"/>
  <c r="I133" i="35" s="1"/>
  <c r="O23" i="20"/>
  <c r="N23" i="20"/>
  <c r="F2" i="18"/>
  <c r="G39" i="33" s="1"/>
  <c r="F39" i="33"/>
  <c r="H39" i="33"/>
  <c r="G38" i="18"/>
  <c r="G39" i="18" s="1"/>
  <c r="F38" i="18"/>
  <c r="F39" i="18" s="1"/>
  <c r="E50" i="34"/>
  <c r="AU45" i="55" s="1"/>
  <c r="H83" i="36"/>
  <c r="G104" i="35"/>
  <c r="N14" i="3"/>
  <c r="G103" i="35"/>
  <c r="O14" i="3"/>
  <c r="H81" i="36"/>
  <c r="G102" i="35"/>
  <c r="I78" i="36"/>
  <c r="H78" i="36"/>
  <c r="O25" i="17"/>
  <c r="F38" i="16"/>
  <c r="F39" i="16" s="1"/>
  <c r="N30" i="33"/>
  <c r="O19" i="12"/>
  <c r="G66" i="35"/>
  <c r="G67" i="35"/>
  <c r="M7" i="11"/>
  <c r="E29" i="34"/>
  <c r="AI122" i="55"/>
  <c r="O11" i="11"/>
  <c r="N18" i="11"/>
  <c r="G58" i="35"/>
  <c r="H58" i="35"/>
  <c r="N13" i="11"/>
  <c r="I58" i="35" s="1"/>
  <c r="G56" i="35"/>
  <c r="G54" i="35"/>
  <c r="G55" i="35"/>
  <c r="H2" i="10"/>
  <c r="I20" i="33" s="1"/>
  <c r="E32" i="10"/>
  <c r="H18" i="33"/>
  <c r="H14" i="55" s="1"/>
  <c r="F2" i="9"/>
  <c r="G18" i="33" s="1"/>
  <c r="N15" i="9"/>
  <c r="I48" i="35" s="1"/>
  <c r="K48" i="35" s="1"/>
  <c r="G38" i="9"/>
  <c r="G39" i="9" s="1"/>
  <c r="M17" i="9"/>
  <c r="O17" i="9" s="1"/>
  <c r="H41" i="36"/>
  <c r="N19" i="33"/>
  <c r="F18" i="47" s="1"/>
  <c r="N15" i="8"/>
  <c r="I45" i="35" s="1"/>
  <c r="G45" i="35"/>
  <c r="F38" i="7"/>
  <c r="F39" i="7" s="1"/>
  <c r="E38" i="7"/>
  <c r="E39" i="7" s="1"/>
  <c r="E14" i="34"/>
  <c r="G27" i="35"/>
  <c r="H29" i="35"/>
  <c r="G32" i="35"/>
  <c r="F15" i="34"/>
  <c r="E15" i="34"/>
  <c r="N24" i="1"/>
  <c r="N19" i="1"/>
  <c r="I33" i="35" s="1"/>
  <c r="H30" i="35"/>
  <c r="H22" i="35"/>
  <c r="G38" i="4"/>
  <c r="G39" i="4" s="1"/>
  <c r="M6" i="33"/>
  <c r="H11" i="36"/>
  <c r="O11" i="4"/>
  <c r="H3" i="36"/>
  <c r="W40" i="55" s="1"/>
  <c r="N19" i="32"/>
  <c r="V109" i="55"/>
  <c r="V104" i="55"/>
  <c r="N3" i="33"/>
  <c r="F4" i="47" s="1"/>
  <c r="E38" i="32"/>
  <c r="E39" i="32" s="1"/>
  <c r="O6" i="32"/>
  <c r="K2" i="36" s="1"/>
  <c r="V157" i="55"/>
  <c r="V150" i="55"/>
  <c r="K56" i="55"/>
  <c r="K54" i="55"/>
  <c r="T97" i="55"/>
  <c r="V145" i="55"/>
  <c r="V167" i="55"/>
  <c r="V148" i="55"/>
  <c r="V119" i="55"/>
  <c r="G38" i="32"/>
  <c r="G39" i="32" s="1"/>
  <c r="V117" i="55"/>
  <c r="L66" i="55"/>
  <c r="T156" i="55"/>
  <c r="V105" i="55"/>
  <c r="V134" i="55"/>
  <c r="V125" i="55"/>
  <c r="V113" i="55"/>
  <c r="V111" i="55"/>
  <c r="V156" i="55"/>
  <c r="V131" i="55"/>
  <c r="E2" i="34"/>
  <c r="AU4" i="55" s="1"/>
  <c r="V155" i="55"/>
  <c r="V153" i="55"/>
  <c r="V168" i="55"/>
  <c r="V143" i="55"/>
  <c r="V136" i="55"/>
  <c r="V133" i="55"/>
  <c r="H2" i="36"/>
  <c r="V84" i="55"/>
  <c r="V169" i="55"/>
  <c r="K67" i="55"/>
  <c r="T92" i="55"/>
  <c r="K72" i="55"/>
  <c r="K57" i="55"/>
  <c r="V170" i="55"/>
  <c r="N58" i="33"/>
  <c r="K52" i="55"/>
  <c r="E32" i="11"/>
  <c r="E69" i="34"/>
  <c r="G22" i="35"/>
  <c r="K66" i="55"/>
  <c r="F61" i="33"/>
  <c r="H4" i="27"/>
  <c r="I61" i="33" s="1"/>
  <c r="H61" i="33"/>
  <c r="F4" i="27"/>
  <c r="G61" i="33" s="1"/>
  <c r="N9" i="18"/>
  <c r="J90" i="36" s="1"/>
  <c r="L90" i="36" s="1"/>
  <c r="T31" i="55"/>
  <c r="E3" i="34"/>
  <c r="V164" i="55"/>
  <c r="H90" i="36"/>
  <c r="H102" i="36"/>
  <c r="V152" i="55"/>
  <c r="AO9" i="47"/>
  <c r="M8" i="21"/>
  <c r="N8" i="21" s="1"/>
  <c r="J109" i="36" s="1"/>
  <c r="G33" i="35"/>
  <c r="T87" i="55"/>
  <c r="Y8" i="47"/>
  <c r="G38" i="17"/>
  <c r="G39" i="17" s="1"/>
  <c r="T46" i="55"/>
  <c r="X7" i="47"/>
  <c r="K74" i="55"/>
  <c r="E82" i="34"/>
  <c r="O7" i="17"/>
  <c r="K78" i="36" s="1"/>
  <c r="M6" i="6"/>
  <c r="N6" i="6" s="1"/>
  <c r="J17" i="36" s="1"/>
  <c r="N11" i="32"/>
  <c r="E70" i="34"/>
  <c r="T17" i="55"/>
  <c r="G31" i="35"/>
  <c r="O13" i="1"/>
  <c r="J27" i="35" s="1"/>
  <c r="T56" i="55"/>
  <c r="O16" i="12"/>
  <c r="J66" i="35" s="1"/>
  <c r="J22" i="55"/>
  <c r="H142" i="36"/>
  <c r="W2" i="55" s="1"/>
  <c r="N14" i="18"/>
  <c r="I110" i="35" s="1"/>
  <c r="F2" i="10"/>
  <c r="G20" i="33" s="1"/>
  <c r="N19" i="27"/>
  <c r="G110" i="35"/>
  <c r="N16" i="33"/>
  <c r="G112" i="35"/>
  <c r="O14" i="18"/>
  <c r="J110" i="35" s="1"/>
  <c r="N11" i="23"/>
  <c r="L73" i="55"/>
  <c r="N11" i="17"/>
  <c r="E38" i="16"/>
  <c r="E39" i="16" s="1"/>
  <c r="K55" i="55"/>
  <c r="M3" i="33"/>
  <c r="K58" i="55"/>
  <c r="K59" i="55"/>
  <c r="K65" i="55"/>
  <c r="K71" i="55"/>
  <c r="K64" i="55"/>
  <c r="N14" i="5"/>
  <c r="I15" i="35" s="1"/>
  <c r="K15" i="35" s="1"/>
  <c r="O23" i="3"/>
  <c r="G147" i="35"/>
  <c r="O24" i="9"/>
  <c r="H25" i="34" s="1"/>
  <c r="G196" i="35"/>
  <c r="H39" i="36"/>
  <c r="E25" i="34"/>
  <c r="T134" i="55"/>
  <c r="T100" i="55"/>
  <c r="G38" i="12"/>
  <c r="G39" i="12" s="1"/>
  <c r="V100" i="55"/>
  <c r="K75" i="55"/>
  <c r="V108" i="55"/>
  <c r="G129" i="35"/>
  <c r="G38" i="3"/>
  <c r="G39" i="3" s="1"/>
  <c r="V135" i="55"/>
  <c r="K73" i="55"/>
  <c r="V122" i="55"/>
  <c r="J29" i="55"/>
  <c r="M8" i="11"/>
  <c r="N14" i="20"/>
  <c r="I130" i="35" s="1"/>
  <c r="F38" i="14"/>
  <c r="F39" i="14" s="1"/>
  <c r="O14" i="20"/>
  <c r="J130" i="35" s="1"/>
  <c r="L57" i="55"/>
  <c r="O25" i="12"/>
  <c r="I90" i="36"/>
  <c r="L74" i="55"/>
  <c r="F45" i="33"/>
  <c r="F25" i="55" s="1"/>
  <c r="H45" i="33"/>
  <c r="K48" i="55"/>
  <c r="M19" i="33"/>
  <c r="E32" i="20"/>
  <c r="N24" i="9"/>
  <c r="G25" i="34" s="1"/>
  <c r="O25" i="3"/>
  <c r="O22" i="32"/>
  <c r="H2" i="34" s="1"/>
  <c r="N25" i="23"/>
  <c r="O25" i="1"/>
  <c r="N23" i="32"/>
  <c r="G3" i="34" s="1"/>
  <c r="I3" i="34" s="1"/>
  <c r="H147" i="35"/>
  <c r="N19" i="21"/>
  <c r="N19" i="17"/>
  <c r="O20" i="32"/>
  <c r="O13" i="20"/>
  <c r="J129" i="35" s="1"/>
  <c r="H23" i="35"/>
  <c r="N8" i="9"/>
  <c r="J39" i="36" s="1"/>
  <c r="O7" i="18"/>
  <c r="K88" i="36" s="1"/>
  <c r="L88" i="36" s="1"/>
  <c r="I39" i="36"/>
  <c r="I88" i="36"/>
  <c r="N6" i="23"/>
  <c r="V162" i="55"/>
  <c r="V149" i="55"/>
  <c r="V101" i="55"/>
  <c r="V115" i="55"/>
  <c r="V120" i="55"/>
  <c r="V114" i="55"/>
  <c r="V92" i="55"/>
  <c r="V142" i="55"/>
  <c r="V161" i="55"/>
  <c r="V130" i="55"/>
  <c r="V159" i="55"/>
  <c r="V163" i="55"/>
  <c r="V118" i="55"/>
  <c r="V95" i="55"/>
  <c r="V126" i="55"/>
  <c r="V129" i="55"/>
  <c r="V147" i="55"/>
  <c r="V165" i="55"/>
  <c r="V139" i="55"/>
  <c r="V140" i="55"/>
  <c r="V112" i="55"/>
  <c r="V99" i="55"/>
  <c r="V160" i="55"/>
  <c r="V138" i="55"/>
  <c r="V137" i="55"/>
  <c r="V121" i="55"/>
  <c r="V128" i="55"/>
  <c r="V106" i="55"/>
  <c r="V93" i="55"/>
  <c r="V144" i="55"/>
  <c r="V146" i="55"/>
  <c r="V166" i="55"/>
  <c r="V151" i="55"/>
  <c r="V171" i="55"/>
  <c r="V116" i="55"/>
  <c r="V18" i="55"/>
  <c r="F38" i="25"/>
  <c r="F39" i="25" s="1"/>
  <c r="L59" i="55"/>
  <c r="F38" i="4"/>
  <c r="F39" i="4" s="1"/>
  <c r="U31" i="55"/>
  <c r="K30" i="55"/>
  <c r="K22" i="55"/>
  <c r="K53" i="55"/>
  <c r="K77" i="55"/>
  <c r="N28" i="33"/>
  <c r="K78" i="55"/>
  <c r="K68" i="55"/>
  <c r="G32" i="6"/>
  <c r="F22" i="33"/>
  <c r="M35" i="33"/>
  <c r="M18" i="27"/>
  <c r="H172" i="35" s="1"/>
  <c r="M14" i="27"/>
  <c r="N14" i="27" s="1"/>
  <c r="O19" i="15"/>
  <c r="L12" i="33"/>
  <c r="L44" i="55" s="1"/>
  <c r="L13" i="33"/>
  <c r="K79" i="55"/>
  <c r="V158" i="55"/>
  <c r="K63" i="55"/>
  <c r="N11" i="20"/>
  <c r="H12" i="36"/>
  <c r="F2" i="23"/>
  <c r="G52" i="33" s="1"/>
  <c r="H22" i="33"/>
  <c r="N20" i="9"/>
  <c r="M22" i="6"/>
  <c r="E11" i="34"/>
  <c r="E38" i="6"/>
  <c r="E39" i="6" s="1"/>
  <c r="O25" i="18"/>
  <c r="G38" i="27"/>
  <c r="G39" i="27" s="1"/>
  <c r="G38" i="21"/>
  <c r="G39" i="21" s="1"/>
  <c r="O6" i="5"/>
  <c r="K12" i="36" s="1"/>
  <c r="L12" i="36" s="1"/>
  <c r="H85" i="36"/>
  <c r="V154" i="55"/>
  <c r="F52" i="33"/>
  <c r="V132" i="55"/>
  <c r="H52" i="33"/>
  <c r="H151" i="35"/>
  <c r="E52" i="34"/>
  <c r="N13" i="20"/>
  <c r="I129" i="35" s="1"/>
  <c r="H2" i="5"/>
  <c r="I7" i="33" s="1"/>
  <c r="I5" i="55" s="1"/>
  <c r="F7" i="33"/>
  <c r="F4" i="55" s="1"/>
  <c r="F2" i="5"/>
  <c r="G7" i="33" s="1"/>
  <c r="G4" i="55" s="1"/>
  <c r="H7" i="33"/>
  <c r="O11" i="18"/>
  <c r="O15" i="18"/>
  <c r="J112" i="35" s="1"/>
  <c r="M22" i="20"/>
  <c r="O25" i="32"/>
  <c r="I21" i="36"/>
  <c r="H21" i="36"/>
  <c r="E26" i="34"/>
  <c r="AU10" i="55" s="1"/>
  <c r="O15" i="20"/>
  <c r="J131" i="35" s="1"/>
  <c r="G23" i="35"/>
  <c r="E38" i="5"/>
  <c r="E39" i="5" s="1"/>
  <c r="V103" i="55"/>
  <c r="G153" i="35"/>
  <c r="I12" i="36"/>
  <c r="G178" i="35"/>
  <c r="V124" i="55"/>
  <c r="N15" i="10"/>
  <c r="I54" i="35" s="1"/>
  <c r="K54" i="35" s="1"/>
  <c r="G38" i="5"/>
  <c r="G39" i="5" s="1"/>
  <c r="N35" i="33"/>
  <c r="G38" i="6"/>
  <c r="G39" i="6" s="1"/>
  <c r="N20" i="20"/>
  <c r="K60" i="55"/>
  <c r="V98" i="55"/>
  <c r="N22" i="32"/>
  <c r="G2" i="34" s="1"/>
  <c r="AW5" i="55" s="1"/>
  <c r="T94" i="55"/>
  <c r="F2" i="11"/>
  <c r="X12" i="47"/>
  <c r="F38" i="27"/>
  <c r="F39" i="27" s="1"/>
  <c r="N23" i="23"/>
  <c r="N23" i="10"/>
  <c r="G27" i="34" s="1"/>
  <c r="I27" i="34" s="1"/>
  <c r="O23" i="23"/>
  <c r="N24" i="27"/>
  <c r="G82" i="34" s="1"/>
  <c r="O24" i="27"/>
  <c r="H82" i="34" s="1"/>
  <c r="F82" i="34"/>
  <c r="H63" i="35"/>
  <c r="O17" i="11"/>
  <c r="J63" i="35" s="1"/>
  <c r="AO12" i="47"/>
  <c r="Y11" i="47"/>
  <c r="N15" i="20"/>
  <c r="I131" i="35" s="1"/>
  <c r="I104" i="36"/>
  <c r="G38" i="11"/>
  <c r="G39" i="11" s="1"/>
  <c r="H5" i="35"/>
  <c r="M17" i="27"/>
  <c r="G170" i="35"/>
  <c r="AO11" i="47"/>
  <c r="AN10" i="47"/>
  <c r="Y14" i="47"/>
  <c r="H104" i="36"/>
  <c r="N20" i="27"/>
  <c r="G5" i="35"/>
  <c r="AJ82" i="55" s="1"/>
  <c r="E38" i="14"/>
  <c r="E39" i="14" s="1"/>
  <c r="F3" i="3"/>
  <c r="G38" i="33" s="1"/>
  <c r="F38" i="33"/>
  <c r="H3" i="3"/>
  <c r="I38" i="33" s="1"/>
  <c r="H38" i="33"/>
  <c r="H106" i="36"/>
  <c r="N10" i="20"/>
  <c r="J106" i="36" s="1"/>
  <c r="M14" i="11"/>
  <c r="G59" i="35"/>
  <c r="AH115" i="55"/>
  <c r="H2" i="20"/>
  <c r="I45" i="33" s="1"/>
  <c r="H117" i="36"/>
  <c r="M22" i="1"/>
  <c r="F14" i="34" s="1"/>
  <c r="E16" i="34"/>
  <c r="N16" i="12"/>
  <c r="I66" i="35" s="1"/>
  <c r="G130" i="35"/>
  <c r="O11" i="6"/>
  <c r="N11" i="6"/>
  <c r="M23" i="18"/>
  <c r="O23" i="18" s="1"/>
  <c r="H54" i="34" s="1"/>
  <c r="M60" i="33"/>
  <c r="X14" i="47"/>
  <c r="Z10" i="47"/>
  <c r="N11" i="2"/>
  <c r="AL9" i="47"/>
  <c r="G63" i="35"/>
  <c r="V102" i="55"/>
  <c r="G131" i="35"/>
  <c r="N13" i="23"/>
  <c r="I147" i="35" s="1"/>
  <c r="K147" i="35" s="1"/>
  <c r="T98" i="55"/>
  <c r="N13" i="2"/>
  <c r="AL10" i="47"/>
  <c r="E32" i="3"/>
  <c r="V127" i="55"/>
  <c r="T142" i="55"/>
  <c r="N60" i="33"/>
  <c r="T93" i="55"/>
  <c r="V123" i="55"/>
  <c r="T96" i="55"/>
  <c r="N15" i="18"/>
  <c r="I112" i="35" s="1"/>
  <c r="O6" i="23"/>
  <c r="AL13" i="47"/>
  <c r="AN8" i="47"/>
  <c r="M57" i="33"/>
  <c r="O20" i="6"/>
  <c r="O11" i="1"/>
  <c r="N11" i="1"/>
  <c r="O16" i="20"/>
  <c r="J132" i="35" s="1"/>
  <c r="H132" i="35"/>
  <c r="N16" i="20"/>
  <c r="I132" i="35" s="1"/>
  <c r="I121" i="36"/>
  <c r="O10" i="23"/>
  <c r="K121" i="36" s="1"/>
  <c r="N10" i="23"/>
  <c r="E38" i="25"/>
  <c r="E39" i="25" s="1"/>
  <c r="G38" i="1"/>
  <c r="G39" i="1" s="1"/>
  <c r="N57" i="33"/>
  <c r="I146" i="36"/>
  <c r="N34" i="33"/>
  <c r="N13" i="1"/>
  <c r="I27" i="35" s="1"/>
  <c r="O8" i="20"/>
  <c r="K104" i="36" s="1"/>
  <c r="M9" i="20"/>
  <c r="E38" i="27"/>
  <c r="E39" i="27" s="1"/>
  <c r="G132" i="35"/>
  <c r="T20" i="55"/>
  <c r="G38" i="20"/>
  <c r="G39" i="20" s="1"/>
  <c r="E27" i="34"/>
  <c r="G134" i="35"/>
  <c r="M18" i="20"/>
  <c r="O20" i="23"/>
  <c r="N20" i="23"/>
  <c r="F27" i="34"/>
  <c r="H121" i="36"/>
  <c r="G179" i="35"/>
  <c r="M34" i="33"/>
  <c r="O10" i="20"/>
  <c r="K106" i="36" s="1"/>
  <c r="N19" i="20"/>
  <c r="N25" i="20"/>
  <c r="O25" i="20"/>
  <c r="H12" i="33"/>
  <c r="H44" i="55" s="1"/>
  <c r="N10" i="2"/>
  <c r="J146" i="36" s="1"/>
  <c r="L146" i="36" s="1"/>
  <c r="H54" i="35"/>
  <c r="H46" i="36"/>
  <c r="N25" i="2"/>
  <c r="F38" i="12"/>
  <c r="F39" i="12" s="1"/>
  <c r="M8" i="2"/>
  <c r="N8" i="2" s="1"/>
  <c r="J48" i="55"/>
  <c r="AI18" i="55"/>
  <c r="E88" i="34"/>
  <c r="N24" i="2"/>
  <c r="G88" i="34" s="1"/>
  <c r="I88" i="34" s="1"/>
  <c r="F38" i="23"/>
  <c r="F39" i="23" s="1"/>
  <c r="H126" i="36"/>
  <c r="M14" i="10"/>
  <c r="N14" i="10" s="1"/>
  <c r="I53" i="35" s="1"/>
  <c r="H146" i="36"/>
  <c r="H144" i="36"/>
  <c r="E28" i="34"/>
  <c r="H43" i="36"/>
  <c r="M13" i="24"/>
  <c r="G154" i="35"/>
  <c r="G182" i="35"/>
  <c r="H44" i="36"/>
  <c r="O20" i="10"/>
  <c r="N20" i="10"/>
  <c r="T75" i="55"/>
  <c r="I25" i="36"/>
  <c r="T44" i="55"/>
  <c r="O10" i="10"/>
  <c r="K46" i="36" s="1"/>
  <c r="T57" i="55"/>
  <c r="T49" i="55"/>
  <c r="T38" i="55"/>
  <c r="H45" i="36"/>
  <c r="E38" i="12"/>
  <c r="E39" i="12" s="1"/>
  <c r="M7" i="10"/>
  <c r="I42" i="36" s="1"/>
  <c r="K64" i="33"/>
  <c r="K12" i="55" s="1"/>
  <c r="E38" i="2"/>
  <c r="E39" i="2" s="1"/>
  <c r="F38" i="2"/>
  <c r="F39" i="2" s="1"/>
  <c r="L64" i="33"/>
  <c r="T86" i="55"/>
  <c r="AI28" i="55"/>
  <c r="T83" i="55"/>
  <c r="T67" i="55"/>
  <c r="N24" i="10"/>
  <c r="G28" i="34" s="1"/>
  <c r="I28" i="34" s="1"/>
  <c r="N10" i="10"/>
  <c r="J46" i="36" s="1"/>
  <c r="O8" i="10"/>
  <c r="F38" i="5"/>
  <c r="F39" i="5" s="1"/>
  <c r="G183" i="35"/>
  <c r="H71" i="36"/>
  <c r="I12" i="33"/>
  <c r="I44" i="55" s="1"/>
  <c r="I13" i="33"/>
  <c r="N8" i="10"/>
  <c r="G13" i="33"/>
  <c r="O25" i="10"/>
  <c r="N25" i="10"/>
  <c r="F32" i="20"/>
  <c r="F28" i="34"/>
  <c r="AI101" i="55"/>
  <c r="AI86" i="55"/>
  <c r="AI27" i="55"/>
  <c r="AH88" i="55"/>
  <c r="AI89" i="55"/>
  <c r="AI61" i="55"/>
  <c r="AI54" i="55"/>
  <c r="AI66" i="55"/>
  <c r="AI63" i="55"/>
  <c r="AI130" i="55"/>
  <c r="AI45" i="55"/>
  <c r="AI95" i="55"/>
  <c r="AI94" i="55"/>
  <c r="AI20" i="55"/>
  <c r="AI58" i="55"/>
  <c r="AI38" i="55"/>
  <c r="AI40" i="55"/>
  <c r="AI11" i="55"/>
  <c r="AI10" i="55"/>
  <c r="AI46" i="55"/>
  <c r="E38" i="15"/>
  <c r="E39" i="15" s="1"/>
  <c r="E38" i="23"/>
  <c r="E39" i="23" s="1"/>
  <c r="AH27" i="55"/>
  <c r="AH18" i="55"/>
  <c r="AH35" i="55"/>
  <c r="AH37" i="55"/>
  <c r="AH38" i="55"/>
  <c r="AH40" i="55"/>
  <c r="AH10" i="55"/>
  <c r="I71" i="36"/>
  <c r="U46" i="55"/>
  <c r="F38" i="17"/>
  <c r="F39" i="17" s="1"/>
  <c r="U67" i="55"/>
  <c r="V38" i="55"/>
  <c r="F38" i="19"/>
  <c r="F39" i="19" s="1"/>
  <c r="V8" i="55"/>
  <c r="F38" i="15"/>
  <c r="F39" i="15" s="1"/>
  <c r="V24" i="55"/>
  <c r="V32" i="55"/>
  <c r="V3" i="55"/>
  <c r="E38" i="17"/>
  <c r="E39" i="17" s="1"/>
  <c r="E38" i="19"/>
  <c r="E39" i="19" s="1"/>
  <c r="E38" i="1"/>
  <c r="E39" i="1" s="1"/>
  <c r="F38" i="24"/>
  <c r="F39" i="24" s="1"/>
  <c r="E38" i="24"/>
  <c r="E39" i="24" s="1"/>
  <c r="I48" i="55"/>
  <c r="O22" i="23"/>
  <c r="H68" i="34" s="1"/>
  <c r="N22" i="23"/>
  <c r="G68" i="34" s="1"/>
  <c r="F68" i="34"/>
  <c r="O6" i="20"/>
  <c r="K102" i="36" s="1"/>
  <c r="I102" i="36"/>
  <c r="N6" i="20"/>
  <c r="J102" i="36" s="1"/>
  <c r="F89" i="34"/>
  <c r="O22" i="29"/>
  <c r="H89" i="34" s="1"/>
  <c r="N22" i="29"/>
  <c r="G89" i="34" s="1"/>
  <c r="O15" i="12"/>
  <c r="J67" i="35" s="1"/>
  <c r="N15" i="12"/>
  <c r="I67" i="35" s="1"/>
  <c r="H67" i="35"/>
  <c r="N16" i="32"/>
  <c r="O16" i="32"/>
  <c r="H7" i="35"/>
  <c r="O10" i="15"/>
  <c r="K71" i="36" s="1"/>
  <c r="L71" i="36" s="1"/>
  <c r="O8" i="8"/>
  <c r="K34" i="36" s="1"/>
  <c r="I34" i="36"/>
  <c r="N8" i="8"/>
  <c r="J34" i="36" s="1"/>
  <c r="O13" i="4"/>
  <c r="J8" i="35" s="1"/>
  <c r="N13" i="4"/>
  <c r="I8" i="35" s="1"/>
  <c r="H8" i="35"/>
  <c r="H101" i="35"/>
  <c r="N13" i="8"/>
  <c r="I41" i="35" s="1"/>
  <c r="H41" i="35"/>
  <c r="AK4" i="55" s="1"/>
  <c r="O13" i="8"/>
  <c r="J41" i="35" s="1"/>
  <c r="N14" i="8"/>
  <c r="I42" i="35" s="1"/>
  <c r="O14" i="8"/>
  <c r="J42" i="35" s="1"/>
  <c r="H42" i="35"/>
  <c r="O14" i="6"/>
  <c r="H20" i="35"/>
  <c r="N14" i="6"/>
  <c r="I20" i="35" s="1"/>
  <c r="O23" i="4"/>
  <c r="H6" i="34" s="1"/>
  <c r="N23" i="4"/>
  <c r="G6" i="34" s="1"/>
  <c r="F6" i="34"/>
  <c r="N22" i="11"/>
  <c r="G29" i="34" s="1"/>
  <c r="F29" i="34"/>
  <c r="O22" i="11"/>
  <c r="H29" i="34" s="1"/>
  <c r="H113" i="35"/>
  <c r="H114" i="35"/>
  <c r="O7" i="5"/>
  <c r="I15" i="36"/>
  <c r="G38" i="19"/>
  <c r="G39" i="19" s="1"/>
  <c r="F50" i="34"/>
  <c r="O22" i="3"/>
  <c r="H50" i="34" s="1"/>
  <c r="N22" i="3"/>
  <c r="G50" i="34" s="1"/>
  <c r="O9" i="3"/>
  <c r="I83" i="36"/>
  <c r="N9" i="3"/>
  <c r="N10" i="24"/>
  <c r="J126" i="36" s="1"/>
  <c r="O10" i="24"/>
  <c r="K126" i="36" s="1"/>
  <c r="N22" i="18"/>
  <c r="G53" i="34" s="1"/>
  <c r="F53" i="34"/>
  <c r="O22" i="18"/>
  <c r="H53" i="34" s="1"/>
  <c r="H196" i="35"/>
  <c r="N15" i="4"/>
  <c r="I10" i="35" s="1"/>
  <c r="O15" i="4"/>
  <c r="J10" i="35" s="1"/>
  <c r="H10" i="35"/>
  <c r="O7" i="3"/>
  <c r="N7" i="3"/>
  <c r="I85" i="36"/>
  <c r="I11" i="36"/>
  <c r="O10" i="4"/>
  <c r="K11" i="36" s="1"/>
  <c r="N10" i="4"/>
  <c r="J11" i="36" s="1"/>
  <c r="M17" i="10"/>
  <c r="H56" i="35" s="1"/>
  <c r="G57" i="35"/>
  <c r="I147" i="36"/>
  <c r="O6" i="29"/>
  <c r="K147" i="36" s="1"/>
  <c r="N6" i="29"/>
  <c r="J147" i="36" s="1"/>
  <c r="G11" i="33"/>
  <c r="F32" i="1"/>
  <c r="I151" i="36"/>
  <c r="O10" i="29"/>
  <c r="K151" i="36" s="1"/>
  <c r="N10" i="29"/>
  <c r="J151" i="36" s="1"/>
  <c r="H11" i="33"/>
  <c r="H18" i="55" s="1"/>
  <c r="G32" i="1"/>
  <c r="G38" i="31"/>
  <c r="G39" i="31" s="1"/>
  <c r="H107" i="35"/>
  <c r="O16" i="28"/>
  <c r="J176" i="35" s="1"/>
  <c r="H176" i="35"/>
  <c r="N16" i="28"/>
  <c r="I176" i="35" s="1"/>
  <c r="H106" i="35"/>
  <c r="O8" i="29"/>
  <c r="N8" i="29"/>
  <c r="H184" i="35"/>
  <c r="N13" i="29"/>
  <c r="I184" i="35" s="1"/>
  <c r="O13" i="29"/>
  <c r="J184" i="35" s="1"/>
  <c r="I4" i="36"/>
  <c r="H4" i="35"/>
  <c r="N24" i="21"/>
  <c r="G64" i="34" s="1"/>
  <c r="O24" i="21"/>
  <c r="H64" i="34" s="1"/>
  <c r="F64" i="34"/>
  <c r="H97" i="36"/>
  <c r="M6" i="19"/>
  <c r="I97" i="36" s="1"/>
  <c r="G38" i="10"/>
  <c r="G39" i="10" s="1"/>
  <c r="I8" i="36"/>
  <c r="O7" i="4"/>
  <c r="K8" i="36" s="1"/>
  <c r="N7" i="4"/>
  <c r="J8" i="36" s="1"/>
  <c r="M17" i="19"/>
  <c r="G124" i="35"/>
  <c r="O11" i="10"/>
  <c r="N11" i="10"/>
  <c r="F90" i="34"/>
  <c r="O23" i="29"/>
  <c r="H90" i="34" s="1"/>
  <c r="N23" i="29"/>
  <c r="G90" i="34" s="1"/>
  <c r="F7" i="34"/>
  <c r="AV65" i="55" s="1"/>
  <c r="O24" i="4"/>
  <c r="H7" i="34" s="1"/>
  <c r="AX100" i="55" s="1"/>
  <c r="N24" i="4"/>
  <c r="G7" i="34" s="1"/>
  <c r="AW53" i="55" s="1"/>
  <c r="H3" i="55"/>
  <c r="F74" i="55"/>
  <c r="I41" i="55"/>
  <c r="I68" i="55"/>
  <c r="I73" i="55"/>
  <c r="I78" i="55"/>
  <c r="I66" i="55"/>
  <c r="I67" i="55"/>
  <c r="I62" i="55"/>
  <c r="I54" i="55"/>
  <c r="I56" i="55"/>
  <c r="I80" i="55"/>
  <c r="I72" i="55"/>
  <c r="I77" i="55"/>
  <c r="I69" i="55"/>
  <c r="I76" i="55"/>
  <c r="I64" i="55"/>
  <c r="I52" i="55"/>
  <c r="I60" i="55"/>
  <c r="I71" i="55"/>
  <c r="I53" i="55"/>
  <c r="I74" i="55"/>
  <c r="I79" i="55"/>
  <c r="I59" i="55"/>
  <c r="I70" i="55"/>
  <c r="I63" i="55"/>
  <c r="I75" i="55"/>
  <c r="I61" i="55"/>
  <c r="I55" i="55"/>
  <c r="I57" i="55"/>
  <c r="I58" i="55"/>
  <c r="I65" i="55"/>
  <c r="I25" i="55"/>
  <c r="I19" i="36"/>
  <c r="O8" i="6"/>
  <c r="K19" i="36" s="1"/>
  <c r="AO32" i="47"/>
  <c r="X35" i="47"/>
  <c r="X34" i="47"/>
  <c r="Y30" i="47"/>
  <c r="Y20" i="47"/>
  <c r="AN34" i="47"/>
  <c r="AO20" i="47"/>
  <c r="Z36" i="47"/>
  <c r="AO17" i="47"/>
  <c r="AN14" i="47"/>
  <c r="Y34" i="47"/>
  <c r="X21" i="47"/>
  <c r="AN31" i="47"/>
  <c r="Y19" i="47"/>
  <c r="Z11" i="47"/>
  <c r="AO22" i="47"/>
  <c r="AI36" i="55"/>
  <c r="AI35" i="55"/>
  <c r="V12" i="55"/>
  <c r="V44" i="55"/>
  <c r="W28" i="55"/>
  <c r="F38" i="11"/>
  <c r="F39" i="11" s="1"/>
  <c r="E87" i="34"/>
  <c r="M23" i="2"/>
  <c r="M24" i="30"/>
  <c r="E94" i="34"/>
  <c r="M8" i="30"/>
  <c r="H154" i="36"/>
  <c r="M24" i="16"/>
  <c r="E45" i="34"/>
  <c r="M22" i="16"/>
  <c r="E44" i="34"/>
  <c r="E45" i="55"/>
  <c r="M13" i="14"/>
  <c r="G77" i="35"/>
  <c r="M8" i="14"/>
  <c r="H64" i="36"/>
  <c r="M7" i="14"/>
  <c r="H63" i="36"/>
  <c r="E56" i="34"/>
  <c r="M22" i="19"/>
  <c r="O17" i="5"/>
  <c r="N17" i="5"/>
  <c r="I40" i="36"/>
  <c r="O9" i="9"/>
  <c r="N9" i="9"/>
  <c r="H53" i="33"/>
  <c r="M8" i="15"/>
  <c r="H69" i="36"/>
  <c r="M22" i="15"/>
  <c r="E43" i="34"/>
  <c r="U16" i="55"/>
  <c r="M6" i="13"/>
  <c r="H57" i="36"/>
  <c r="G38" i="13"/>
  <c r="G39" i="13" s="1"/>
  <c r="H3" i="13"/>
  <c r="I27" i="33" s="1"/>
  <c r="E32" i="13"/>
  <c r="F3" i="13"/>
  <c r="F27" i="33"/>
  <c r="M24" i="19"/>
  <c r="E58" i="34"/>
  <c r="H74" i="33"/>
  <c r="F4" i="31"/>
  <c r="G74" i="33" s="1"/>
  <c r="H4" i="31"/>
  <c r="I74" i="33" s="1"/>
  <c r="F74" i="33"/>
  <c r="O14" i="21"/>
  <c r="N14" i="21"/>
  <c r="I137" i="35" s="1"/>
  <c r="H137" i="35"/>
  <c r="M8" i="24"/>
  <c r="H125" i="36"/>
  <c r="W83" i="55" s="1"/>
  <c r="M16" i="24"/>
  <c r="G157" i="35"/>
  <c r="I133" i="36"/>
  <c r="O7" i="27"/>
  <c r="K133" i="36" s="1"/>
  <c r="N7" i="27"/>
  <c r="J133" i="36" s="1"/>
  <c r="M18" i="22"/>
  <c r="G145" i="35"/>
  <c r="M17" i="22"/>
  <c r="G146" i="35"/>
  <c r="M8" i="22"/>
  <c r="H113" i="36"/>
  <c r="T26" i="55"/>
  <c r="O16" i="27"/>
  <c r="H169" i="35"/>
  <c r="N16" i="27"/>
  <c r="F82" i="36"/>
  <c r="U34" i="55" s="1"/>
  <c r="E38" i="3"/>
  <c r="E39" i="3" s="1"/>
  <c r="M14" i="26"/>
  <c r="G162" i="35"/>
  <c r="N25" i="26"/>
  <c r="O25" i="26"/>
  <c r="G32" i="26"/>
  <c r="F4" i="26"/>
  <c r="F32" i="26" s="1"/>
  <c r="H4" i="26"/>
  <c r="E32" i="26"/>
  <c r="E38" i="11"/>
  <c r="E39" i="11" s="1"/>
  <c r="H160" i="36"/>
  <c r="M9" i="31"/>
  <c r="M10" i="31"/>
  <c r="H161" i="36"/>
  <c r="V51" i="55"/>
  <c r="V46" i="55"/>
  <c r="O20" i="25"/>
  <c r="N20" i="25"/>
  <c r="M13" i="25"/>
  <c r="G116" i="35"/>
  <c r="E76" i="34"/>
  <c r="G59" i="33"/>
  <c r="G195" i="35"/>
  <c r="M22" i="30"/>
  <c r="E92" i="34"/>
  <c r="T18" i="55"/>
  <c r="H2" i="16"/>
  <c r="I33" i="33" s="1"/>
  <c r="F2" i="16"/>
  <c r="E32" i="16"/>
  <c r="F33" i="33"/>
  <c r="N25" i="16"/>
  <c r="O25" i="16"/>
  <c r="G181" i="35"/>
  <c r="M18" i="14"/>
  <c r="G82" i="35"/>
  <c r="M19" i="14"/>
  <c r="G83" i="35"/>
  <c r="M22" i="14"/>
  <c r="E38" i="34"/>
  <c r="F48" i="34"/>
  <c r="O23" i="17"/>
  <c r="H48" i="34" s="1"/>
  <c r="N23" i="17"/>
  <c r="G48" i="34" s="1"/>
  <c r="G86" i="35"/>
  <c r="M18" i="15"/>
  <c r="G89" i="35"/>
  <c r="H99" i="35"/>
  <c r="N18" i="21"/>
  <c r="O18" i="21"/>
  <c r="H138" i="35"/>
  <c r="T58" i="55"/>
  <c r="E51" i="55"/>
  <c r="U7" i="55"/>
  <c r="N25" i="13"/>
  <c r="O25" i="13"/>
  <c r="M9" i="19"/>
  <c r="H99" i="36"/>
  <c r="M7" i="24"/>
  <c r="H124" i="36"/>
  <c r="M15" i="24"/>
  <c r="G159" i="35"/>
  <c r="M9" i="22"/>
  <c r="H115" i="36"/>
  <c r="M13" i="22"/>
  <c r="G141" i="35"/>
  <c r="E32" i="22"/>
  <c r="F2" i="22"/>
  <c r="H2" i="22"/>
  <c r="I49" i="33" s="1"/>
  <c r="F49" i="33"/>
  <c r="I5" i="36"/>
  <c r="O9" i="32"/>
  <c r="K5" i="36" s="1"/>
  <c r="N9" i="32"/>
  <c r="J5" i="36" s="1"/>
  <c r="N9" i="23"/>
  <c r="O9" i="23"/>
  <c r="I119" i="36"/>
  <c r="E47" i="55"/>
  <c r="M10" i="26"/>
  <c r="H131" i="36"/>
  <c r="M17" i="26"/>
  <c r="G166" i="35"/>
  <c r="H149" i="35"/>
  <c r="F41" i="55"/>
  <c r="N14" i="15"/>
  <c r="I85" i="35" s="1"/>
  <c r="H85" i="35"/>
  <c r="O14" i="15"/>
  <c r="J85" i="35" s="1"/>
  <c r="M17" i="31"/>
  <c r="G201" i="35"/>
  <c r="M8" i="25"/>
  <c r="H94" i="36"/>
  <c r="M22" i="25"/>
  <c r="E74" i="34"/>
  <c r="N14" i="28"/>
  <c r="I174" i="35" s="1"/>
  <c r="H174" i="35"/>
  <c r="O14" i="28"/>
  <c r="J174" i="35" s="1"/>
  <c r="N11" i="30"/>
  <c r="O11" i="30"/>
  <c r="M13" i="30"/>
  <c r="G190" i="35"/>
  <c r="G95" i="35"/>
  <c r="M7" i="16"/>
  <c r="H73" i="36"/>
  <c r="M7" i="2"/>
  <c r="H143" i="36"/>
  <c r="G38" i="2"/>
  <c r="G39" i="2" s="1"/>
  <c r="F32" i="34"/>
  <c r="O22" i="12"/>
  <c r="H32" i="34" s="1"/>
  <c r="N22" i="12"/>
  <c r="G32" i="34" s="1"/>
  <c r="F32" i="21"/>
  <c r="G48" i="33"/>
  <c r="N25" i="14"/>
  <c r="O25" i="14"/>
  <c r="M24" i="14"/>
  <c r="E40" i="34"/>
  <c r="M15" i="14"/>
  <c r="G79" i="35"/>
  <c r="N15" i="27"/>
  <c r="O15" i="27"/>
  <c r="H97" i="35"/>
  <c r="M24" i="15"/>
  <c r="E42" i="34"/>
  <c r="F4" i="15"/>
  <c r="G32" i="15"/>
  <c r="E32" i="15"/>
  <c r="H4" i="15"/>
  <c r="U58" i="55"/>
  <c r="O13" i="21"/>
  <c r="N13" i="21"/>
  <c r="H136" i="35"/>
  <c r="F3" i="22"/>
  <c r="G50" i="33" s="1"/>
  <c r="H3" i="22"/>
  <c r="I50" i="33" s="1"/>
  <c r="I51" i="55" s="1"/>
  <c r="H50" i="33"/>
  <c r="H46" i="55" s="1"/>
  <c r="F50" i="33"/>
  <c r="F51" i="55" s="1"/>
  <c r="G32" i="28"/>
  <c r="H63" i="33"/>
  <c r="M10" i="13"/>
  <c r="H61" i="36"/>
  <c r="M19" i="19"/>
  <c r="G127" i="35"/>
  <c r="M16" i="19"/>
  <c r="G125" i="35"/>
  <c r="G25" i="33"/>
  <c r="O8" i="23"/>
  <c r="N8" i="23"/>
  <c r="I120" i="36"/>
  <c r="M17" i="24"/>
  <c r="G158" i="35"/>
  <c r="M6" i="24"/>
  <c r="H122" i="36"/>
  <c r="G38" i="24"/>
  <c r="G39" i="24" s="1"/>
  <c r="H3" i="24"/>
  <c r="I55" i="33" s="1"/>
  <c r="I38" i="55" s="1"/>
  <c r="F3" i="24"/>
  <c r="E32" i="24"/>
  <c r="F55" i="33"/>
  <c r="F38" i="55" s="1"/>
  <c r="M15" i="22"/>
  <c r="G143" i="35"/>
  <c r="N11" i="22"/>
  <c r="O11" i="22"/>
  <c r="H71" i="33"/>
  <c r="H4" i="30"/>
  <c r="I71" i="33" s="1"/>
  <c r="F4" i="30"/>
  <c r="G71" i="33" s="1"/>
  <c r="F71" i="33"/>
  <c r="M15" i="26"/>
  <c r="G165" i="35"/>
  <c r="M16" i="26"/>
  <c r="G164" i="35"/>
  <c r="O13" i="9"/>
  <c r="J46" i="35" s="1"/>
  <c r="N13" i="9"/>
  <c r="I46" i="35" s="1"/>
  <c r="H46" i="35"/>
  <c r="O25" i="31"/>
  <c r="N25" i="31"/>
  <c r="M22" i="31"/>
  <c r="E95" i="34"/>
  <c r="H2" i="31"/>
  <c r="I72" i="33" s="1"/>
  <c r="E32" i="31"/>
  <c r="F2" i="31"/>
  <c r="F72" i="33"/>
  <c r="M14" i="25"/>
  <c r="G117" i="35"/>
  <c r="M15" i="25"/>
  <c r="G120" i="35"/>
  <c r="F38" i="1"/>
  <c r="F39" i="1" s="1"/>
  <c r="M6" i="30"/>
  <c r="H152" i="36"/>
  <c r="G38" i="30"/>
  <c r="G39" i="30" s="1"/>
  <c r="M23" i="30"/>
  <c r="E93" i="34"/>
  <c r="U18" i="55"/>
  <c r="M10" i="16"/>
  <c r="H76" i="36"/>
  <c r="G91" i="35"/>
  <c r="M22" i="2"/>
  <c r="E86" i="34"/>
  <c r="AU7" i="55" s="1"/>
  <c r="H48" i="33"/>
  <c r="H39" i="55" s="1"/>
  <c r="E38" i="13"/>
  <c r="E39" i="13" s="1"/>
  <c r="K26" i="33"/>
  <c r="K11" i="55" s="1"/>
  <c r="M23" i="14"/>
  <c r="E39" i="34"/>
  <c r="O20" i="14"/>
  <c r="N20" i="14"/>
  <c r="N23" i="5"/>
  <c r="G9" i="34" s="1"/>
  <c r="F9" i="34"/>
  <c r="O23" i="5"/>
  <c r="H9" i="34" s="1"/>
  <c r="AH20" i="55"/>
  <c r="F4" i="24"/>
  <c r="G56" i="33" s="1"/>
  <c r="H56" i="33"/>
  <c r="H4" i="24"/>
  <c r="I56" i="33" s="1"/>
  <c r="F56" i="33"/>
  <c r="N68" i="33"/>
  <c r="J32" i="55"/>
  <c r="M23" i="15"/>
  <c r="E41" i="34"/>
  <c r="G87" i="35"/>
  <c r="H64" i="35"/>
  <c r="N14" i="12"/>
  <c r="I64" i="35" s="1"/>
  <c r="O14" i="12"/>
  <c r="J64" i="35" s="1"/>
  <c r="O10" i="9"/>
  <c r="K41" i="36" s="1"/>
  <c r="N10" i="9"/>
  <c r="J41" i="36" s="1"/>
  <c r="I41" i="36"/>
  <c r="O24" i="23"/>
  <c r="N24" i="23"/>
  <c r="F69" i="34"/>
  <c r="M9" i="13"/>
  <c r="H60" i="36"/>
  <c r="M8" i="13"/>
  <c r="H59" i="36"/>
  <c r="M15" i="19"/>
  <c r="G126" i="35"/>
  <c r="M7" i="19"/>
  <c r="H98" i="36"/>
  <c r="G32" i="12"/>
  <c r="H25" i="33"/>
  <c r="M22" i="24"/>
  <c r="E71" i="34"/>
  <c r="M24" i="24"/>
  <c r="E73" i="34"/>
  <c r="M23" i="22"/>
  <c r="E67" i="34"/>
  <c r="O19" i="22"/>
  <c r="N19" i="22"/>
  <c r="H3" i="30"/>
  <c r="I70" i="33" s="1"/>
  <c r="H70" i="33"/>
  <c r="F3" i="30"/>
  <c r="G70" i="33" s="1"/>
  <c r="F70" i="33"/>
  <c r="F43" i="55" s="1"/>
  <c r="O14" i="4"/>
  <c r="J9" i="35" s="1"/>
  <c r="N14" i="4"/>
  <c r="I9" i="35" s="1"/>
  <c r="H9" i="35"/>
  <c r="M6" i="26"/>
  <c r="H127" i="36"/>
  <c r="G38" i="26"/>
  <c r="G39" i="26" s="1"/>
  <c r="M22" i="26"/>
  <c r="E77" i="34"/>
  <c r="AU12" i="55" s="1"/>
  <c r="M13" i="31"/>
  <c r="G197" i="35"/>
  <c r="M18" i="31"/>
  <c r="G200" i="35"/>
  <c r="M8" i="31"/>
  <c r="H159" i="36"/>
  <c r="J35" i="55"/>
  <c r="E32" i="25"/>
  <c r="H2" i="25"/>
  <c r="I41" i="33" s="1"/>
  <c r="F2" i="25"/>
  <c r="F41" i="33"/>
  <c r="M18" i="25"/>
  <c r="G121" i="35"/>
  <c r="J21" i="55"/>
  <c r="AI47" i="55"/>
  <c r="AI49" i="55"/>
  <c r="O7" i="21"/>
  <c r="K108" i="36" s="1"/>
  <c r="N7" i="21"/>
  <c r="J108" i="36" s="1"/>
  <c r="I108" i="36"/>
  <c r="G193" i="35"/>
  <c r="O20" i="30"/>
  <c r="N20" i="30"/>
  <c r="M14" i="30"/>
  <c r="G191" i="35"/>
  <c r="E8" i="55"/>
  <c r="O20" i="16"/>
  <c r="N20" i="16"/>
  <c r="G92" i="35"/>
  <c r="O20" i="2"/>
  <c r="N20" i="2"/>
  <c r="M10" i="14"/>
  <c r="H66" i="36"/>
  <c r="M14" i="14"/>
  <c r="G78" i="35"/>
  <c r="O23" i="27"/>
  <c r="H81" i="34" s="1"/>
  <c r="N23" i="27"/>
  <c r="G81" i="34" s="1"/>
  <c r="F81" i="34"/>
  <c r="O6" i="21"/>
  <c r="N6" i="21"/>
  <c r="I107" i="36"/>
  <c r="H173" i="35"/>
  <c r="O13" i="28"/>
  <c r="J173" i="35" s="1"/>
  <c r="N13" i="28"/>
  <c r="I173" i="35" s="1"/>
  <c r="M68" i="33"/>
  <c r="M9" i="15"/>
  <c r="H70" i="36"/>
  <c r="G88" i="35"/>
  <c r="M22" i="13"/>
  <c r="E35" i="34"/>
  <c r="M15" i="13"/>
  <c r="G72" i="35"/>
  <c r="M14" i="19"/>
  <c r="G123" i="35"/>
  <c r="O20" i="19"/>
  <c r="N20" i="19"/>
  <c r="T21" i="55"/>
  <c r="F32" i="17"/>
  <c r="G36" i="33"/>
  <c r="N11" i="24"/>
  <c r="O11" i="24"/>
  <c r="N25" i="24"/>
  <c r="O25" i="24"/>
  <c r="M10" i="22"/>
  <c r="H116" i="36"/>
  <c r="N25" i="22"/>
  <c r="O25" i="22"/>
  <c r="M7" i="26"/>
  <c r="H128" i="36"/>
  <c r="M18" i="26"/>
  <c r="G163" i="35"/>
  <c r="N10" i="17"/>
  <c r="J81" i="36" s="1"/>
  <c r="I81" i="36"/>
  <c r="O10" i="17"/>
  <c r="K81" i="36" s="1"/>
  <c r="O20" i="31"/>
  <c r="N20" i="31"/>
  <c r="M7" i="31"/>
  <c r="H158" i="36"/>
  <c r="M10" i="25"/>
  <c r="H96" i="36"/>
  <c r="O11" i="25"/>
  <c r="N11" i="25"/>
  <c r="T95" i="55"/>
  <c r="T50" i="55"/>
  <c r="F38" i="28"/>
  <c r="F39" i="28" s="1"/>
  <c r="L62" i="33"/>
  <c r="H2" i="30"/>
  <c r="I69" i="33" s="1"/>
  <c r="I28" i="55" s="1"/>
  <c r="E32" i="30"/>
  <c r="F2" i="30"/>
  <c r="F69" i="33"/>
  <c r="M10" i="30"/>
  <c r="H156" i="36"/>
  <c r="G194" i="35"/>
  <c r="M8" i="16"/>
  <c r="H74" i="36"/>
  <c r="G94" i="35"/>
  <c r="M9" i="16"/>
  <c r="H75" i="36"/>
  <c r="E32" i="2"/>
  <c r="H3" i="2"/>
  <c r="I65" i="33" s="1"/>
  <c r="F3" i="2"/>
  <c r="F65" i="33"/>
  <c r="F45" i="55" s="1"/>
  <c r="N9" i="5"/>
  <c r="O9" i="5"/>
  <c r="F38" i="13"/>
  <c r="F39" i="13" s="1"/>
  <c r="L26" i="33"/>
  <c r="O11" i="14"/>
  <c r="N11" i="14"/>
  <c r="M6" i="14"/>
  <c r="G38" i="14"/>
  <c r="G39" i="14" s="1"/>
  <c r="H62" i="36"/>
  <c r="E38" i="22"/>
  <c r="E39" i="22" s="1"/>
  <c r="K50" i="33"/>
  <c r="K51" i="55" s="1"/>
  <c r="T80" i="55"/>
  <c r="O25" i="15"/>
  <c r="N25" i="15"/>
  <c r="M6" i="15"/>
  <c r="H67" i="36"/>
  <c r="G38" i="15"/>
  <c r="G39" i="15" s="1"/>
  <c r="AH13" i="55"/>
  <c r="O6" i="12"/>
  <c r="K52" i="36" s="1"/>
  <c r="N6" i="12"/>
  <c r="J52" i="36" s="1"/>
  <c r="I52" i="36"/>
  <c r="O22" i="8"/>
  <c r="H20" i="34" s="1"/>
  <c r="N22" i="8"/>
  <c r="G20" i="34" s="1"/>
  <c r="F20" i="34"/>
  <c r="M24" i="13"/>
  <c r="E37" i="34"/>
  <c r="O17" i="28"/>
  <c r="J177" i="35" s="1"/>
  <c r="N17" i="28"/>
  <c r="I177" i="35" s="1"/>
  <c r="H177" i="35"/>
  <c r="M18" i="13"/>
  <c r="G75" i="35"/>
  <c r="M13" i="13"/>
  <c r="G70" i="35"/>
  <c r="O25" i="19"/>
  <c r="N25" i="19"/>
  <c r="N11" i="19"/>
  <c r="O11" i="19"/>
  <c r="M14" i="24"/>
  <c r="G155" i="35"/>
  <c r="M23" i="24"/>
  <c r="E72" i="34"/>
  <c r="N20" i="22"/>
  <c r="O20" i="22"/>
  <c r="M7" i="22"/>
  <c r="H114" i="36"/>
  <c r="O7" i="28"/>
  <c r="K138" i="36" s="1"/>
  <c r="N7" i="28"/>
  <c r="J138" i="36" s="1"/>
  <c r="I138" i="36"/>
  <c r="F47" i="34"/>
  <c r="N22" i="17"/>
  <c r="G47" i="34" s="1"/>
  <c r="O22" i="17"/>
  <c r="H47" i="34" s="1"/>
  <c r="F38" i="3"/>
  <c r="F39" i="3" s="1"/>
  <c r="H4" i="22"/>
  <c r="I51" i="33" s="1"/>
  <c r="H51" i="33"/>
  <c r="F4" i="22"/>
  <c r="G51" i="33" s="1"/>
  <c r="F51" i="33"/>
  <c r="N11" i="26"/>
  <c r="O11" i="26"/>
  <c r="M8" i="26"/>
  <c r="H129" i="36"/>
  <c r="N9" i="8"/>
  <c r="J35" i="36" s="1"/>
  <c r="O9" i="8"/>
  <c r="K35" i="36" s="1"/>
  <c r="I35" i="36"/>
  <c r="G198" i="35"/>
  <c r="M14" i="31"/>
  <c r="M15" i="31"/>
  <c r="G202" i="35"/>
  <c r="M19" i="31"/>
  <c r="G203" i="35"/>
  <c r="F38" i="29"/>
  <c r="F39" i="29" s="1"/>
  <c r="L67" i="33"/>
  <c r="L35" i="55" s="1"/>
  <c r="E29" i="55"/>
  <c r="M16" i="25"/>
  <c r="G118" i="35"/>
  <c r="E75" i="34"/>
  <c r="O18" i="12"/>
  <c r="J68" i="35" s="1"/>
  <c r="N18" i="12"/>
  <c r="I68" i="35" s="1"/>
  <c r="H68" i="35"/>
  <c r="AH28" i="55"/>
  <c r="E38" i="28"/>
  <c r="E39" i="28" s="1"/>
  <c r="K62" i="33"/>
  <c r="M9" i="30"/>
  <c r="H155" i="36"/>
  <c r="N25" i="30"/>
  <c r="O25" i="30"/>
  <c r="M6" i="16"/>
  <c r="G38" i="16"/>
  <c r="G39" i="16" s="1"/>
  <c r="H72" i="36"/>
  <c r="N11" i="16"/>
  <c r="O11" i="16"/>
  <c r="G96" i="35"/>
  <c r="M7" i="13"/>
  <c r="H58" i="36"/>
  <c r="H43" i="35"/>
  <c r="M16" i="13"/>
  <c r="G73" i="35"/>
  <c r="M9" i="14"/>
  <c r="H65" i="36"/>
  <c r="M16" i="14"/>
  <c r="G80" i="35"/>
  <c r="L50" i="33"/>
  <c r="L46" i="55" s="1"/>
  <c r="F38" i="22"/>
  <c r="F39" i="22" s="1"/>
  <c r="J15" i="55"/>
  <c r="N54" i="33"/>
  <c r="E38" i="21"/>
  <c r="E39" i="21" s="1"/>
  <c r="E135" i="35"/>
  <c r="AH52" i="55" s="1"/>
  <c r="O19" i="2"/>
  <c r="N19" i="2"/>
  <c r="O11" i="15"/>
  <c r="N11" i="15"/>
  <c r="M7" i="15"/>
  <c r="H68" i="36"/>
  <c r="T16" i="55"/>
  <c r="N20" i="13"/>
  <c r="O20" i="13"/>
  <c r="M19" i="13"/>
  <c r="G76" i="35"/>
  <c r="M18" i="19"/>
  <c r="G128" i="35"/>
  <c r="F2" i="19"/>
  <c r="E32" i="19"/>
  <c r="H2" i="19"/>
  <c r="I43" i="33" s="1"/>
  <c r="I20" i="55" s="1"/>
  <c r="F43" i="33"/>
  <c r="U21" i="55"/>
  <c r="N9" i="12"/>
  <c r="J55" i="36" s="1"/>
  <c r="I55" i="36"/>
  <c r="O9" i="12"/>
  <c r="K55" i="36" s="1"/>
  <c r="M18" i="24"/>
  <c r="G156" i="35"/>
  <c r="M19" i="24"/>
  <c r="G160" i="35"/>
  <c r="M16" i="22"/>
  <c r="G144" i="35"/>
  <c r="G38" i="22"/>
  <c r="G39" i="22" s="1"/>
  <c r="M6" i="22"/>
  <c r="H112" i="36"/>
  <c r="F42" i="55"/>
  <c r="T3" i="55"/>
  <c r="M23" i="26"/>
  <c r="E78" i="34"/>
  <c r="O20" i="26"/>
  <c r="N20" i="26"/>
  <c r="O19" i="26"/>
  <c r="N19" i="26"/>
  <c r="H4" i="33"/>
  <c r="H49" i="55" s="1"/>
  <c r="E40" i="55"/>
  <c r="E97" i="34"/>
  <c r="M16" i="31"/>
  <c r="G199" i="35"/>
  <c r="E38" i="29"/>
  <c r="E39" i="29" s="1"/>
  <c r="K67" i="33"/>
  <c r="K32" i="55" s="1"/>
  <c r="M7" i="25"/>
  <c r="H93" i="36"/>
  <c r="M9" i="25"/>
  <c r="H95" i="36"/>
  <c r="G38" i="25"/>
  <c r="G39" i="25" s="1"/>
  <c r="M6" i="25"/>
  <c r="H92" i="36"/>
  <c r="M7" i="30"/>
  <c r="H153" i="36"/>
  <c r="M15" i="30"/>
  <c r="G192" i="35"/>
  <c r="G93" i="35"/>
  <c r="M14" i="16"/>
  <c r="G90" i="35"/>
  <c r="M23" i="16"/>
  <c r="E46" i="34"/>
  <c r="M8" i="19"/>
  <c r="H100" i="36"/>
  <c r="H148" i="35"/>
  <c r="E27" i="55"/>
  <c r="M17" i="14"/>
  <c r="G81" i="35"/>
  <c r="E32" i="14"/>
  <c r="H2" i="14"/>
  <c r="I29" i="33" s="1"/>
  <c r="F2" i="14"/>
  <c r="F29" i="33"/>
  <c r="F7" i="55" s="1"/>
  <c r="N24" i="8"/>
  <c r="G22" i="34" s="1"/>
  <c r="O24" i="8"/>
  <c r="H22" i="34" s="1"/>
  <c r="F22" i="34"/>
  <c r="K15" i="55"/>
  <c r="M54" i="33"/>
  <c r="E36" i="34"/>
  <c r="AU27" i="55" s="1"/>
  <c r="M23" i="13"/>
  <c r="A7" i="35"/>
  <c r="F38" i="21"/>
  <c r="F39" i="21" s="1"/>
  <c r="F135" i="35"/>
  <c r="AI50" i="55" s="1"/>
  <c r="G53" i="33"/>
  <c r="I136" i="36"/>
  <c r="O10" i="27"/>
  <c r="K136" i="36" s="1"/>
  <c r="N10" i="27"/>
  <c r="J136" i="36" s="1"/>
  <c r="M13" i="15"/>
  <c r="G84" i="35"/>
  <c r="O20" i="15"/>
  <c r="N20" i="15"/>
  <c r="N6" i="4"/>
  <c r="O6" i="4"/>
  <c r="I7" i="36"/>
  <c r="F32" i="28"/>
  <c r="G63" i="33"/>
  <c r="T7" i="55"/>
  <c r="O11" i="13"/>
  <c r="N11" i="13"/>
  <c r="M17" i="13"/>
  <c r="G74" i="35"/>
  <c r="H101" i="36"/>
  <c r="M10" i="19"/>
  <c r="M23" i="19"/>
  <c r="E57" i="34"/>
  <c r="G32" i="17"/>
  <c r="H36" i="33"/>
  <c r="M9" i="24"/>
  <c r="H123" i="36"/>
  <c r="N20" i="24"/>
  <c r="O20" i="24"/>
  <c r="M24" i="22"/>
  <c r="E66" i="34"/>
  <c r="M22" i="22"/>
  <c r="E65" i="34"/>
  <c r="M14" i="22"/>
  <c r="G142" i="35"/>
  <c r="H8" i="33"/>
  <c r="H42" i="55" s="1"/>
  <c r="M24" i="26"/>
  <c r="E79" i="34"/>
  <c r="M9" i="26"/>
  <c r="H130" i="36"/>
  <c r="M13" i="26"/>
  <c r="G161" i="35"/>
  <c r="K19" i="55"/>
  <c r="F3" i="25"/>
  <c r="G42" i="33" s="1"/>
  <c r="G35" i="55" s="1"/>
  <c r="H3" i="25"/>
  <c r="I42" i="33" s="1"/>
  <c r="H42" i="33"/>
  <c r="H40" i="55" s="1"/>
  <c r="F42" i="33"/>
  <c r="F40" i="55" s="1"/>
  <c r="N11" i="31"/>
  <c r="O11" i="31"/>
  <c r="M23" i="31"/>
  <c r="E96" i="34"/>
  <c r="AH36" i="55"/>
  <c r="O25" i="25"/>
  <c r="N25" i="25"/>
  <c r="O19" i="25"/>
  <c r="N19" i="25"/>
  <c r="M17" i="25"/>
  <c r="G119" i="35"/>
  <c r="W19" i="55"/>
  <c r="E30" i="47"/>
  <c r="D24" i="47"/>
  <c r="C9" i="47"/>
  <c r="C7" i="47"/>
  <c r="E6" i="47"/>
  <c r="C81" i="47"/>
  <c r="C58" i="47"/>
  <c r="C78" i="47"/>
  <c r="E50" i="47"/>
  <c r="E63" i="47"/>
  <c r="C71" i="47"/>
  <c r="C56" i="47"/>
  <c r="E74" i="47"/>
  <c r="F84" i="47"/>
  <c r="D85" i="47"/>
  <c r="E66" i="47"/>
  <c r="C44" i="47"/>
  <c r="E94" i="47"/>
  <c r="D43" i="47"/>
  <c r="D46" i="47"/>
  <c r="C45" i="47"/>
  <c r="D8" i="47"/>
  <c r="E68" i="47"/>
  <c r="C51" i="47"/>
  <c r="F73" i="47"/>
  <c r="D50" i="47"/>
  <c r="E69" i="47"/>
  <c r="C61" i="47"/>
  <c r="E51" i="47"/>
  <c r="F98" i="47"/>
  <c r="F94" i="47"/>
  <c r="C54" i="47"/>
  <c r="E101" i="47"/>
  <c r="D90" i="47"/>
  <c r="D48" i="47"/>
  <c r="E93" i="47"/>
  <c r="F96" i="47"/>
  <c r="C47" i="47"/>
  <c r="C74" i="47"/>
  <c r="D93" i="47"/>
  <c r="F81" i="47"/>
  <c r="C86" i="47"/>
  <c r="C72" i="47"/>
  <c r="E77" i="47"/>
  <c r="D79" i="47"/>
  <c r="C22" i="47"/>
  <c r="D42" i="47"/>
  <c r="E76" i="47"/>
  <c r="E20" i="47"/>
  <c r="F74" i="47"/>
  <c r="E29" i="47"/>
  <c r="E65" i="47"/>
  <c r="D38" i="47"/>
  <c r="E36" i="47"/>
  <c r="C32" i="47"/>
  <c r="E42" i="47"/>
  <c r="E21" i="47"/>
  <c r="D22" i="47"/>
  <c r="D12" i="47"/>
  <c r="C12" i="47"/>
  <c r="E34" i="47"/>
  <c r="D21" i="47"/>
  <c r="E8" i="47"/>
  <c r="C8" i="47"/>
  <c r="E58" i="47"/>
  <c r="E53" i="47"/>
  <c r="D47" i="47"/>
  <c r="E43" i="47"/>
  <c r="D27" i="47"/>
  <c r="E78" i="47"/>
  <c r="E49" i="47"/>
  <c r="E99" i="47"/>
  <c r="F93" i="47"/>
  <c r="C53" i="47"/>
  <c r="C83" i="47"/>
  <c r="D80" i="47"/>
  <c r="E90" i="47"/>
  <c r="F67" i="47"/>
  <c r="C25" i="47"/>
  <c r="D34" i="47"/>
  <c r="D40" i="47"/>
  <c r="E13" i="47"/>
  <c r="C63" i="47"/>
  <c r="C89" i="47"/>
  <c r="D98" i="47"/>
  <c r="C55" i="47"/>
  <c r="C67" i="47"/>
  <c r="D102" i="47"/>
  <c r="D99" i="47"/>
  <c r="D96" i="47"/>
  <c r="D101" i="47"/>
  <c r="C90" i="47"/>
  <c r="E67" i="47"/>
  <c r="C97" i="47"/>
  <c r="F83" i="47"/>
  <c r="D68" i="47"/>
  <c r="D84" i="47"/>
  <c r="C48" i="47"/>
  <c r="D88" i="47"/>
  <c r="E48" i="47"/>
  <c r="E61" i="47"/>
  <c r="C52" i="47"/>
  <c r="E60" i="47"/>
  <c r="E97" i="47"/>
  <c r="D67" i="47"/>
  <c r="D60" i="47"/>
  <c r="E52" i="47"/>
  <c r="E82" i="47"/>
  <c r="C34" i="47"/>
  <c r="E102" i="47"/>
  <c r="C28" i="47"/>
  <c r="C37" i="47"/>
  <c r="C36" i="47"/>
  <c r="C23" i="47"/>
  <c r="D69" i="47"/>
  <c r="E26" i="47"/>
  <c r="D28" i="47"/>
  <c r="C33" i="47"/>
  <c r="D31" i="47"/>
  <c r="C20" i="47"/>
  <c r="C27" i="47"/>
  <c r="E12" i="47"/>
  <c r="E14" i="47"/>
  <c r="D17" i="47"/>
  <c r="E32" i="47"/>
  <c r="E16" i="47"/>
  <c r="C43" i="47"/>
  <c r="D15" i="47"/>
  <c r="C70" i="47"/>
  <c r="E96" i="47"/>
  <c r="D70" i="47"/>
  <c r="E17" i="47"/>
  <c r="D82" i="47"/>
  <c r="C77" i="47"/>
  <c r="E79" i="47"/>
  <c r="F86" i="47"/>
  <c r="E59" i="47"/>
  <c r="D49" i="47"/>
  <c r="D87" i="47"/>
  <c r="D86" i="47"/>
  <c r="D54" i="47"/>
  <c r="E89" i="47"/>
  <c r="E92" i="47"/>
  <c r="C59" i="47"/>
  <c r="E86" i="47"/>
  <c r="C69" i="47"/>
  <c r="E57" i="47"/>
  <c r="E85" i="47"/>
  <c r="E64" i="47"/>
  <c r="F88" i="47"/>
  <c r="D76" i="47"/>
  <c r="C64" i="47"/>
  <c r="D77" i="47"/>
  <c r="F97" i="47"/>
  <c r="D74" i="47"/>
  <c r="D78" i="47"/>
  <c r="E40" i="47"/>
  <c r="F70" i="47"/>
  <c r="E27" i="47"/>
  <c r="C40" i="47"/>
  <c r="D37" i="47"/>
  <c r="E22" i="47"/>
  <c r="D36" i="47"/>
  <c r="C31" i="47"/>
  <c r="C35" i="47"/>
  <c r="C16" i="47"/>
  <c r="D20" i="47"/>
  <c r="D13" i="47"/>
  <c r="D9" i="47"/>
  <c r="E46" i="47"/>
  <c r="C15" i="47"/>
  <c r="D29" i="47"/>
  <c r="E15" i="47"/>
  <c r="D14" i="47"/>
  <c r="C68" i="47"/>
  <c r="D53" i="47"/>
  <c r="F82" i="47"/>
  <c r="E39" i="47"/>
  <c r="C93" i="47"/>
  <c r="E9" i="47"/>
  <c r="L36" i="55"/>
  <c r="L37" i="55"/>
  <c r="E84" i="47"/>
  <c r="E80" i="47"/>
  <c r="C102" i="47"/>
  <c r="C98" i="47"/>
  <c r="C73" i="47"/>
  <c r="D91" i="47"/>
  <c r="C95" i="47"/>
  <c r="D75" i="47"/>
  <c r="D61" i="47"/>
  <c r="D55" i="47"/>
  <c r="D100" i="47"/>
  <c r="D64" i="47"/>
  <c r="E100" i="47"/>
  <c r="F87" i="47"/>
  <c r="C82" i="47"/>
  <c r="C65" i="47"/>
  <c r="E55" i="47"/>
  <c r="F100" i="47"/>
  <c r="E73" i="47"/>
  <c r="F102" i="47"/>
  <c r="E81" i="47"/>
  <c r="C75" i="47"/>
  <c r="C79" i="47"/>
  <c r="D45" i="47"/>
  <c r="E35" i="47"/>
  <c r="D35" i="47"/>
  <c r="D33" i="47"/>
  <c r="E37" i="47"/>
  <c r="C21" i="47"/>
  <c r="E45" i="47"/>
  <c r="D18" i="47"/>
  <c r="D41" i="47"/>
  <c r="D16" i="47"/>
  <c r="E24" i="47"/>
  <c r="C13" i="47"/>
  <c r="E83" i="47"/>
  <c r="F71" i="47"/>
  <c r="E70" i="47"/>
  <c r="E44" i="47"/>
  <c r="E88" i="47"/>
  <c r="E47" i="47"/>
  <c r="F79" i="47"/>
  <c r="D89" i="47"/>
  <c r="E54" i="47"/>
  <c r="E71" i="47"/>
  <c r="C100" i="47"/>
  <c r="F72" i="47"/>
  <c r="C96" i="47"/>
  <c r="E98" i="47"/>
  <c r="D62" i="47"/>
  <c r="D73" i="47"/>
  <c r="D81" i="47"/>
  <c r="C91" i="47"/>
  <c r="C99" i="47"/>
  <c r="F89" i="47"/>
  <c r="E95" i="47"/>
  <c r="F90" i="47"/>
  <c r="C76" i="47"/>
  <c r="D94" i="47"/>
  <c r="E72" i="47"/>
  <c r="C39" i="47"/>
  <c r="D71" i="47"/>
  <c r="C84" i="47"/>
  <c r="F80" i="47"/>
  <c r="E87" i="47"/>
  <c r="E23" i="47"/>
  <c r="E33" i="47"/>
  <c r="C38" i="47"/>
  <c r="E38" i="47"/>
  <c r="D44" i="47"/>
  <c r="F16" i="55"/>
  <c r="C24" i="47"/>
  <c r="C30" i="47"/>
  <c r="C41" i="47"/>
  <c r="C29" i="47"/>
  <c r="C17" i="47"/>
  <c r="E11" i="47"/>
  <c r="C18" i="47"/>
  <c r="E7" i="47"/>
  <c r="E10" i="47"/>
  <c r="D23" i="47"/>
  <c r="C19" i="47"/>
  <c r="C14" i="47"/>
  <c r="F101" i="47"/>
  <c r="C42" i="47"/>
  <c r="C46" i="47"/>
  <c r="F77" i="47"/>
  <c r="L11" i="55"/>
  <c r="C49" i="47"/>
  <c r="D63" i="47"/>
  <c r="C62" i="47"/>
  <c r="C85" i="47"/>
  <c r="D95" i="47"/>
  <c r="D56" i="47"/>
  <c r="D92" i="47"/>
  <c r="E75" i="47"/>
  <c r="F68" i="47"/>
  <c r="F69" i="47"/>
  <c r="C94" i="47"/>
  <c r="D72" i="47"/>
  <c r="D59" i="47"/>
  <c r="E91" i="47"/>
  <c r="C92" i="47"/>
  <c r="D97" i="47"/>
  <c r="F75" i="47"/>
  <c r="C80" i="47"/>
  <c r="F99" i="47"/>
  <c r="C87" i="47"/>
  <c r="D66" i="47"/>
  <c r="E56" i="47"/>
  <c r="C50" i="47"/>
  <c r="F92" i="47"/>
  <c r="C101" i="47"/>
  <c r="C57" i="47"/>
  <c r="D30" i="47"/>
  <c r="C66" i="47"/>
  <c r="D25" i="47"/>
  <c r="D39" i="47"/>
  <c r="E25" i="47"/>
  <c r="E41" i="47"/>
  <c r="D32" i="47"/>
  <c r="E28" i="47"/>
  <c r="C26" i="47"/>
  <c r="D7" i="47"/>
  <c r="E19" i="47"/>
  <c r="D11" i="47"/>
  <c r="D19" i="47"/>
  <c r="E18" i="47"/>
  <c r="K20" i="55"/>
  <c r="L55" i="34"/>
  <c r="I55" i="34"/>
  <c r="N9" i="10"/>
  <c r="I45" i="36"/>
  <c r="O9" i="10"/>
  <c r="O16" i="10"/>
  <c r="N16" i="10"/>
  <c r="F26" i="34"/>
  <c r="O22" i="10"/>
  <c r="H26" i="34" s="1"/>
  <c r="N22" i="10"/>
  <c r="G26" i="34" s="1"/>
  <c r="N18" i="10"/>
  <c r="O18" i="10"/>
  <c r="H55" i="35"/>
  <c r="G32" i="10"/>
  <c r="H20" i="33"/>
  <c r="N6" i="10"/>
  <c r="O6" i="10"/>
  <c r="I44" i="36"/>
  <c r="N13" i="10"/>
  <c r="I52" i="35" s="1"/>
  <c r="O13" i="10"/>
  <c r="J52" i="35" s="1"/>
  <c r="H52" i="35"/>
  <c r="N20" i="7"/>
  <c r="O20" i="7"/>
  <c r="M13" i="7"/>
  <c r="G34" i="35"/>
  <c r="M6" i="7"/>
  <c r="G38" i="7"/>
  <c r="G39" i="7" s="1"/>
  <c r="H27" i="36"/>
  <c r="M19" i="7"/>
  <c r="G40" i="35"/>
  <c r="G37" i="35"/>
  <c r="M18" i="7"/>
  <c r="G39" i="35"/>
  <c r="M8" i="7"/>
  <c r="H29" i="36"/>
  <c r="M23" i="7"/>
  <c r="E18" i="34"/>
  <c r="E19" i="34"/>
  <c r="M24" i="7"/>
  <c r="M15" i="7"/>
  <c r="G36" i="35"/>
  <c r="N11" i="7"/>
  <c r="O11" i="7"/>
  <c r="G38" i="35"/>
  <c r="H30" i="36"/>
  <c r="M9" i="7"/>
  <c r="H3" i="7"/>
  <c r="I15" i="33" s="1"/>
  <c r="E32" i="7"/>
  <c r="F3" i="7"/>
  <c r="F15" i="33"/>
  <c r="E17" i="34"/>
  <c r="M22" i="7"/>
  <c r="M10" i="7"/>
  <c r="H31" i="36"/>
  <c r="M14" i="7"/>
  <c r="G35" i="35"/>
  <c r="O25" i="7"/>
  <c r="N25" i="7"/>
  <c r="K34" i="55"/>
  <c r="H6" i="35"/>
  <c r="J28" i="55"/>
  <c r="F38" i="30"/>
  <c r="F39" i="30" s="1"/>
  <c r="L69" i="33"/>
  <c r="L28" i="55" s="1"/>
  <c r="K69" i="33"/>
  <c r="K47" i="55" s="1"/>
  <c r="E38" i="30"/>
  <c r="E39" i="30" s="1"/>
  <c r="E38" i="31"/>
  <c r="E39" i="31" s="1"/>
  <c r="F38" i="31"/>
  <c r="F39" i="31" s="1"/>
  <c r="L72" i="33"/>
  <c r="J23" i="55"/>
  <c r="W31" i="55"/>
  <c r="O7" i="23"/>
  <c r="N7" i="23"/>
  <c r="I118" i="36"/>
  <c r="H38" i="23"/>
  <c r="K46" i="33"/>
  <c r="E38" i="20"/>
  <c r="E39" i="20" s="1"/>
  <c r="L46" i="33"/>
  <c r="L45" i="55" s="1"/>
  <c r="F38" i="20"/>
  <c r="F39" i="20" s="1"/>
  <c r="N32" i="33"/>
  <c r="M32" i="33"/>
  <c r="A42" i="36"/>
  <c r="T78" i="55"/>
  <c r="G35" i="36"/>
  <c r="V67" i="55" s="1"/>
  <c r="F38" i="8"/>
  <c r="F39" i="8" s="1"/>
  <c r="U78" i="55"/>
  <c r="E38" i="8"/>
  <c r="E39" i="8" s="1"/>
  <c r="V22" i="55"/>
  <c r="AH105" i="55" l="1"/>
  <c r="AH80" i="55"/>
  <c r="AI82" i="55"/>
  <c r="J20" i="35"/>
  <c r="O91" i="36"/>
  <c r="AJ84" i="55"/>
  <c r="F33" i="55"/>
  <c r="I33" i="55"/>
  <c r="AI48" i="55"/>
  <c r="U37" i="55"/>
  <c r="U38" i="55"/>
  <c r="U39" i="55"/>
  <c r="I114" i="35"/>
  <c r="N114" i="35" s="1"/>
  <c r="AH11" i="55"/>
  <c r="W33" i="55"/>
  <c r="W73" i="55"/>
  <c r="U61" i="55"/>
  <c r="AH94" i="55"/>
  <c r="AH74" i="55"/>
  <c r="AI65" i="55"/>
  <c r="AH65" i="55"/>
  <c r="AH100" i="55"/>
  <c r="AJ5" i="55"/>
  <c r="AI43" i="55"/>
  <c r="Z40" i="47"/>
  <c r="U81" i="55"/>
  <c r="V81" i="55"/>
  <c r="AH118" i="55"/>
  <c r="W147" i="55"/>
  <c r="H105" i="35"/>
  <c r="I103" i="35"/>
  <c r="U86" i="55"/>
  <c r="J107" i="35"/>
  <c r="I106" i="35"/>
  <c r="AI98" i="55"/>
  <c r="AJ86" i="55"/>
  <c r="V53" i="55"/>
  <c r="U53" i="55"/>
  <c r="W30" i="55"/>
  <c r="AH97" i="55"/>
  <c r="AH78" i="55"/>
  <c r="AH113" i="55"/>
  <c r="AH83" i="55"/>
  <c r="AI105" i="55"/>
  <c r="AH86" i="55"/>
  <c r="AH66" i="55"/>
  <c r="AH82" i="55"/>
  <c r="L21" i="55"/>
  <c r="AI57" i="55"/>
  <c r="AJ63" i="55"/>
  <c r="U52" i="55"/>
  <c r="V52" i="55"/>
  <c r="AH95" i="55"/>
  <c r="AH91" i="55"/>
  <c r="AI121" i="55"/>
  <c r="AI85" i="55"/>
  <c r="J62" i="35"/>
  <c r="K62" i="35" s="1"/>
  <c r="AI81" i="55"/>
  <c r="U82" i="55"/>
  <c r="AH81" i="55"/>
  <c r="AI102" i="55"/>
  <c r="U84" i="55"/>
  <c r="U93" i="55"/>
  <c r="J114" i="35"/>
  <c r="AJ2" i="55"/>
  <c r="AJ29" i="55"/>
  <c r="J103" i="35"/>
  <c r="K103" i="35" s="1"/>
  <c r="M103" i="35" s="1"/>
  <c r="I107" i="35"/>
  <c r="J106" i="35"/>
  <c r="H36" i="55"/>
  <c r="G36" i="55"/>
  <c r="AH85" i="55"/>
  <c r="AH119" i="55"/>
  <c r="AI59" i="55"/>
  <c r="F22" i="55"/>
  <c r="I113" i="35"/>
  <c r="J113" i="35"/>
  <c r="AJ16" i="55"/>
  <c r="W67" i="55"/>
  <c r="I77" i="36"/>
  <c r="O6" i="17"/>
  <c r="K77" i="36" s="1"/>
  <c r="W10" i="55"/>
  <c r="AU18" i="55"/>
  <c r="W12" i="55"/>
  <c r="K7" i="55"/>
  <c r="L7" i="55"/>
  <c r="W42" i="55"/>
  <c r="J45" i="36"/>
  <c r="AK2" i="55"/>
  <c r="K45" i="35"/>
  <c r="M45" i="35" s="1"/>
  <c r="AH79" i="55"/>
  <c r="K26" i="35"/>
  <c r="L26" i="35" s="1"/>
  <c r="K14" i="36"/>
  <c r="I14" i="36"/>
  <c r="J17" i="35"/>
  <c r="L14" i="35"/>
  <c r="W29" i="55"/>
  <c r="AU38" i="55"/>
  <c r="AH69" i="55"/>
  <c r="U54" i="55"/>
  <c r="U48" i="55"/>
  <c r="AH72" i="55"/>
  <c r="AH92" i="55"/>
  <c r="AI92" i="55"/>
  <c r="AI72" i="55"/>
  <c r="U72" i="55"/>
  <c r="V48" i="55"/>
  <c r="AH89" i="55"/>
  <c r="I46" i="55"/>
  <c r="W48" i="55"/>
  <c r="W79" i="55"/>
  <c r="U60" i="55"/>
  <c r="AJ52" i="55"/>
  <c r="N17" i="4"/>
  <c r="I12" i="35" s="1"/>
  <c r="X31" i="47"/>
  <c r="Y13" i="47"/>
  <c r="AO13" i="47"/>
  <c r="AN43" i="47"/>
  <c r="X13" i="47"/>
  <c r="Z43" i="47"/>
  <c r="AN15" i="47"/>
  <c r="AO14" i="47"/>
  <c r="Z20" i="47"/>
  <c r="AN16" i="47"/>
  <c r="Z27" i="47"/>
  <c r="C30" i="55"/>
  <c r="AL22" i="47"/>
  <c r="AN13" i="47"/>
  <c r="Y31" i="47"/>
  <c r="AL14" i="47"/>
  <c r="AL15" i="47"/>
  <c r="AN12" i="47"/>
  <c r="Z31" i="47"/>
  <c r="AL30" i="47"/>
  <c r="AN21" i="47"/>
  <c r="AL21" i="47"/>
  <c r="Y12" i="47"/>
  <c r="AN18" i="47"/>
  <c r="Y26" i="47"/>
  <c r="AO39" i="47"/>
  <c r="Z45" i="47"/>
  <c r="AL20" i="47"/>
  <c r="X29" i="47"/>
  <c r="X20" i="47"/>
  <c r="Z15" i="47"/>
  <c r="Y21" i="47"/>
  <c r="Y15" i="47"/>
  <c r="Z26" i="47"/>
  <c r="AL12" i="47"/>
  <c r="Z14" i="47"/>
  <c r="AN29" i="47"/>
  <c r="AO15" i="47"/>
  <c r="AU79" i="55"/>
  <c r="D34" i="55"/>
  <c r="X25" i="47"/>
  <c r="C34" i="55"/>
  <c r="X28" i="47"/>
  <c r="AJ38" i="55"/>
  <c r="AU43" i="55"/>
  <c r="V79" i="55"/>
  <c r="AU21" i="55"/>
  <c r="W86" i="55"/>
  <c r="V94" i="55"/>
  <c r="N6" i="8"/>
  <c r="J32" i="36" s="1"/>
  <c r="J21" i="34"/>
  <c r="O6" i="8"/>
  <c r="K32" i="36" s="1"/>
  <c r="L21" i="34"/>
  <c r="K21" i="34"/>
  <c r="O7" i="7"/>
  <c r="K28" i="36" s="1"/>
  <c r="W89" i="55"/>
  <c r="AL75" i="55"/>
  <c r="F52" i="34"/>
  <c r="W25" i="55"/>
  <c r="N40" i="33"/>
  <c r="F38" i="47" s="1"/>
  <c r="AJ120" i="55"/>
  <c r="H51" i="55"/>
  <c r="N26" i="35"/>
  <c r="V80" i="55"/>
  <c r="V57" i="55"/>
  <c r="V54" i="55"/>
  <c r="V59" i="55"/>
  <c r="AH168" i="55"/>
  <c r="AH123" i="55"/>
  <c r="AH96" i="55"/>
  <c r="AH148" i="55"/>
  <c r="AH173" i="55"/>
  <c r="AH153" i="55"/>
  <c r="AH177" i="55"/>
  <c r="AH159" i="55"/>
  <c r="AH181" i="55"/>
  <c r="AH134" i="55"/>
  <c r="AH135" i="55"/>
  <c r="AH142" i="55"/>
  <c r="AH68" i="55"/>
  <c r="AH160" i="55"/>
  <c r="F32" i="12"/>
  <c r="U75" i="55"/>
  <c r="AH126" i="55"/>
  <c r="AH174" i="55"/>
  <c r="AH158" i="55"/>
  <c r="AH137" i="55"/>
  <c r="F64" i="55"/>
  <c r="AH163" i="55"/>
  <c r="AH180" i="55"/>
  <c r="N22" i="4"/>
  <c r="G5" i="34" s="1"/>
  <c r="H17" i="35"/>
  <c r="AK119" i="55"/>
  <c r="N14" i="35"/>
  <c r="AI68" i="55"/>
  <c r="AI123" i="55"/>
  <c r="AI96" i="55"/>
  <c r="AI74" i="55"/>
  <c r="AI73" i="55"/>
  <c r="AI87" i="55"/>
  <c r="AI12" i="55"/>
  <c r="U80" i="55"/>
  <c r="U74" i="55"/>
  <c r="U59" i="55"/>
  <c r="L39" i="55"/>
  <c r="L10" i="55"/>
  <c r="K45" i="55"/>
  <c r="K39" i="55"/>
  <c r="K13" i="55"/>
  <c r="K25" i="55"/>
  <c r="K10" i="55"/>
  <c r="I43" i="55"/>
  <c r="H43" i="55"/>
  <c r="N24" i="33"/>
  <c r="F23" i="47" s="1"/>
  <c r="N44" i="33"/>
  <c r="M40" i="33"/>
  <c r="G23" i="55"/>
  <c r="I8" i="55"/>
  <c r="N66" i="33"/>
  <c r="G17" i="33"/>
  <c r="F32" i="8"/>
  <c r="I16" i="55"/>
  <c r="F28" i="55"/>
  <c r="F24" i="55"/>
  <c r="I14" i="55"/>
  <c r="I26" i="55"/>
  <c r="I24" i="55"/>
  <c r="I12" i="55"/>
  <c r="G14" i="55"/>
  <c r="F12" i="55"/>
  <c r="F6" i="55"/>
  <c r="D30" i="55"/>
  <c r="I55" i="35"/>
  <c r="W43" i="55"/>
  <c r="W24" i="55"/>
  <c r="AJ56" i="55"/>
  <c r="W34" i="55"/>
  <c r="L24" i="55"/>
  <c r="H187" i="35"/>
  <c r="N16" i="29"/>
  <c r="AJ93" i="55"/>
  <c r="I148" i="36"/>
  <c r="L13" i="55"/>
  <c r="L25" i="55"/>
  <c r="AJ110" i="55"/>
  <c r="K180" i="35"/>
  <c r="L180" i="35" s="1"/>
  <c r="J145" i="36"/>
  <c r="W38" i="55"/>
  <c r="F31" i="55"/>
  <c r="I19" i="55"/>
  <c r="I31" i="55"/>
  <c r="G19" i="55"/>
  <c r="G31" i="55"/>
  <c r="AJ73" i="55"/>
  <c r="AJ108" i="55"/>
  <c r="W5" i="55"/>
  <c r="K119" i="36"/>
  <c r="Z74" i="55" s="1"/>
  <c r="W74" i="55"/>
  <c r="X74" i="55"/>
  <c r="H69" i="34"/>
  <c r="AJ27" i="55"/>
  <c r="G69" i="34"/>
  <c r="U79" i="55"/>
  <c r="W18" i="55"/>
  <c r="J137" i="35"/>
  <c r="N137" i="35" s="1"/>
  <c r="I136" i="35"/>
  <c r="I138" i="35"/>
  <c r="Y92" i="55"/>
  <c r="H139" i="35"/>
  <c r="AK52" i="55" s="1"/>
  <c r="J136" i="35"/>
  <c r="X50" i="55"/>
  <c r="J138" i="35"/>
  <c r="W50" i="55"/>
  <c r="W15" i="55"/>
  <c r="AM4" i="55"/>
  <c r="AJ124" i="55"/>
  <c r="W27" i="55"/>
  <c r="N6" i="18"/>
  <c r="J87" i="36" s="1"/>
  <c r="O6" i="18"/>
  <c r="K87" i="36" s="1"/>
  <c r="U22" i="55"/>
  <c r="U90" i="55"/>
  <c r="V49" i="55"/>
  <c r="H52" i="34"/>
  <c r="W49" i="55"/>
  <c r="AJ112" i="55"/>
  <c r="W20" i="55"/>
  <c r="AH120" i="55"/>
  <c r="AJ53" i="55"/>
  <c r="AK123" i="55"/>
  <c r="W66" i="55"/>
  <c r="AJ123" i="55"/>
  <c r="AJ28" i="55"/>
  <c r="AJ31" i="55"/>
  <c r="W3" i="55"/>
  <c r="W11" i="55"/>
  <c r="AJ61" i="55"/>
  <c r="W70" i="55"/>
  <c r="AU3" i="55"/>
  <c r="V86" i="55"/>
  <c r="AH76" i="55"/>
  <c r="W56" i="55"/>
  <c r="I63" i="35"/>
  <c r="K63" i="35" s="1"/>
  <c r="H32" i="55"/>
  <c r="F32" i="55"/>
  <c r="U40" i="55"/>
  <c r="U94" i="55"/>
  <c r="F23" i="34"/>
  <c r="AV10" i="55" s="1"/>
  <c r="J50" i="35"/>
  <c r="AX10" i="55"/>
  <c r="F24" i="34"/>
  <c r="N23" i="9"/>
  <c r="G24" i="34" s="1"/>
  <c r="I24" i="34" s="1"/>
  <c r="AJ72" i="55"/>
  <c r="L43" i="55"/>
  <c r="G2" i="55"/>
  <c r="AK60" i="55"/>
  <c r="AH128" i="55"/>
  <c r="AH178" i="55"/>
  <c r="AH157" i="55"/>
  <c r="AH132" i="55"/>
  <c r="AH161" i="55"/>
  <c r="AH138" i="55"/>
  <c r="AH150" i="55"/>
  <c r="AH175" i="55"/>
  <c r="AH140" i="55"/>
  <c r="AH133" i="55"/>
  <c r="AH184" i="55"/>
  <c r="AH151" i="55"/>
  <c r="AH139" i="55"/>
  <c r="AH172" i="55"/>
  <c r="AH145" i="55"/>
  <c r="AH176" i="55"/>
  <c r="AH166" i="55"/>
  <c r="AH162" i="55"/>
  <c r="AH136" i="55"/>
  <c r="AH183" i="55"/>
  <c r="AH154" i="55"/>
  <c r="AH152" i="55"/>
  <c r="AH165" i="55"/>
  <c r="AH144" i="55"/>
  <c r="AH179" i="55"/>
  <c r="AH147" i="55"/>
  <c r="AH164" i="55"/>
  <c r="AH149" i="55"/>
  <c r="AH182" i="55"/>
  <c r="U69" i="55"/>
  <c r="V69" i="55"/>
  <c r="V75" i="55"/>
  <c r="V96" i="55"/>
  <c r="N33" i="36"/>
  <c r="N16" i="8"/>
  <c r="I44" i="35" s="1"/>
  <c r="I43" i="35"/>
  <c r="AM6" i="55"/>
  <c r="W41" i="55"/>
  <c r="AJ40" i="55"/>
  <c r="AK40" i="55"/>
  <c r="G18" i="55"/>
  <c r="AX2" i="55"/>
  <c r="J149" i="36"/>
  <c r="K149" i="36"/>
  <c r="AJ99" i="55"/>
  <c r="F23" i="55"/>
  <c r="AI103" i="55"/>
  <c r="AU19" i="55"/>
  <c r="L91" i="34"/>
  <c r="H188" i="35"/>
  <c r="I23" i="55"/>
  <c r="H23" i="55"/>
  <c r="K23" i="55"/>
  <c r="F84" i="34"/>
  <c r="N23" i="28"/>
  <c r="G84" i="34" s="1"/>
  <c r="I84" i="34" s="1"/>
  <c r="O10" i="28"/>
  <c r="K141" i="36" s="1"/>
  <c r="W91" i="55"/>
  <c r="I140" i="36"/>
  <c r="N10" i="28"/>
  <c r="J141" i="36" s="1"/>
  <c r="AU32" i="55"/>
  <c r="AI13" i="55"/>
  <c r="I178" i="35"/>
  <c r="N178" i="35" s="1"/>
  <c r="L12" i="55"/>
  <c r="J144" i="36"/>
  <c r="W61" i="55"/>
  <c r="W69" i="55"/>
  <c r="I144" i="36"/>
  <c r="I179" i="35"/>
  <c r="N179" i="35" s="1"/>
  <c r="AJ9" i="55"/>
  <c r="AJ49" i="55"/>
  <c r="W6" i="55"/>
  <c r="W72" i="55"/>
  <c r="W4" i="55"/>
  <c r="W58" i="55"/>
  <c r="AU30" i="55"/>
  <c r="W87" i="55"/>
  <c r="J119" i="36"/>
  <c r="H70" i="34"/>
  <c r="G70" i="34"/>
  <c r="K120" i="36"/>
  <c r="W81" i="55"/>
  <c r="K117" i="36"/>
  <c r="J121" i="36"/>
  <c r="O121" i="36" s="1"/>
  <c r="J120" i="36"/>
  <c r="J117" i="36"/>
  <c r="F30" i="55"/>
  <c r="W45" i="55"/>
  <c r="I27" i="55"/>
  <c r="AJ102" i="55"/>
  <c r="W82" i="55"/>
  <c r="AJ15" i="55"/>
  <c r="AU22" i="55"/>
  <c r="AU23" i="55"/>
  <c r="F27" i="55"/>
  <c r="Z71" i="47"/>
  <c r="AH60" i="55"/>
  <c r="AI60" i="55"/>
  <c r="J135" i="35"/>
  <c r="I135" i="35"/>
  <c r="AJ117" i="55"/>
  <c r="AJ92" i="55"/>
  <c r="AJ80" i="55"/>
  <c r="AJ60" i="55"/>
  <c r="AK92" i="55"/>
  <c r="G61" i="34"/>
  <c r="X16" i="55"/>
  <c r="AJ34" i="55"/>
  <c r="W16" i="55"/>
  <c r="G60" i="34"/>
  <c r="F61" i="34"/>
  <c r="AJ4" i="55"/>
  <c r="AK8" i="55"/>
  <c r="N13" i="18"/>
  <c r="I111" i="35" s="1"/>
  <c r="AL8" i="55" s="1"/>
  <c r="O13" i="18"/>
  <c r="J111" i="35" s="1"/>
  <c r="X58" i="47"/>
  <c r="Z52" i="47"/>
  <c r="J104" i="35"/>
  <c r="AN51" i="47"/>
  <c r="AO60" i="47"/>
  <c r="AL67" i="47"/>
  <c r="AO71" i="47"/>
  <c r="AN66" i="47"/>
  <c r="Y70" i="47"/>
  <c r="AL77" i="47"/>
  <c r="AN96" i="47"/>
  <c r="AO95" i="47"/>
  <c r="X65" i="47"/>
  <c r="AO49" i="47"/>
  <c r="AN82" i="47"/>
  <c r="Z85" i="47"/>
  <c r="Y99" i="47"/>
  <c r="AL74" i="47"/>
  <c r="X54" i="47"/>
  <c r="X46" i="47"/>
  <c r="Z64" i="47"/>
  <c r="Y64" i="47"/>
  <c r="AN58" i="47"/>
  <c r="AL64" i="47"/>
  <c r="H51" i="34"/>
  <c r="AL83" i="47"/>
  <c r="AN63" i="47"/>
  <c r="Z84" i="47"/>
  <c r="I104" i="35"/>
  <c r="V47" i="55"/>
  <c r="U28" i="55"/>
  <c r="H35" i="55"/>
  <c r="I40" i="55"/>
  <c r="I35" i="55"/>
  <c r="F35" i="55"/>
  <c r="AI106" i="55"/>
  <c r="AJ55" i="55"/>
  <c r="W21" i="55"/>
  <c r="AJ42" i="55"/>
  <c r="AH43" i="55"/>
  <c r="AJ95" i="55"/>
  <c r="O79" i="36"/>
  <c r="AX3" i="55"/>
  <c r="AJ118" i="55"/>
  <c r="W71" i="55"/>
  <c r="AJ44" i="55"/>
  <c r="AJ64" i="55"/>
  <c r="W54" i="55"/>
  <c r="I17" i="55"/>
  <c r="F17" i="55"/>
  <c r="AH33" i="55"/>
  <c r="AH44" i="55"/>
  <c r="X67" i="47"/>
  <c r="Y55" i="47"/>
  <c r="AO46" i="47"/>
  <c r="F8" i="55"/>
  <c r="Z95" i="47"/>
  <c r="AN47" i="47"/>
  <c r="AO48" i="47"/>
  <c r="X85" i="47"/>
  <c r="X50" i="47"/>
  <c r="X90" i="47"/>
  <c r="Y47" i="47"/>
  <c r="AO63" i="47"/>
  <c r="AO82" i="47"/>
  <c r="X82" i="47"/>
  <c r="AP97" i="47"/>
  <c r="Z44" i="47"/>
  <c r="AL68" i="47"/>
  <c r="AA97" i="47"/>
  <c r="H71" i="35"/>
  <c r="AJ59" i="55"/>
  <c r="AH63" i="55"/>
  <c r="AH59" i="55"/>
  <c r="AU24" i="55"/>
  <c r="O14" i="13"/>
  <c r="AU17" i="55"/>
  <c r="N14" i="13"/>
  <c r="J55" i="35"/>
  <c r="W77" i="55"/>
  <c r="U51" i="55"/>
  <c r="U49" i="55"/>
  <c r="AJ121" i="55"/>
  <c r="U77" i="55"/>
  <c r="G16" i="55"/>
  <c r="I7" i="55"/>
  <c r="K45" i="36"/>
  <c r="AK3" i="55"/>
  <c r="W26" i="55"/>
  <c r="AU11" i="55"/>
  <c r="AJ3" i="55"/>
  <c r="W90" i="55"/>
  <c r="W68" i="55"/>
  <c r="J51" i="35"/>
  <c r="O16" i="8"/>
  <c r="J44" i="35" s="1"/>
  <c r="J43" i="35"/>
  <c r="X24" i="47"/>
  <c r="X15" i="47"/>
  <c r="AL33" i="47"/>
  <c r="AN37" i="47"/>
  <c r="AN25" i="47"/>
  <c r="G15" i="34"/>
  <c r="I15" i="34" s="1"/>
  <c r="J15" i="34" s="1"/>
  <c r="AU26" i="55"/>
  <c r="W65" i="55"/>
  <c r="F2" i="55"/>
  <c r="I21" i="35"/>
  <c r="J21" i="35"/>
  <c r="H5" i="55"/>
  <c r="H4" i="55"/>
  <c r="AH106" i="55"/>
  <c r="AH98" i="55"/>
  <c r="J18" i="35"/>
  <c r="O10" i="5"/>
  <c r="K16" i="36" s="1"/>
  <c r="N10" i="5"/>
  <c r="J16" i="36" s="1"/>
  <c r="V70" i="55"/>
  <c r="I4" i="55"/>
  <c r="F70" i="55"/>
  <c r="F62" i="55"/>
  <c r="F78" i="55"/>
  <c r="F59" i="55"/>
  <c r="F55" i="55"/>
  <c r="F71" i="55"/>
  <c r="F48" i="55"/>
  <c r="F66" i="55"/>
  <c r="F67" i="55"/>
  <c r="F54" i="55"/>
  <c r="F65" i="55"/>
  <c r="F56" i="55"/>
  <c r="F57" i="55"/>
  <c r="F61" i="55"/>
  <c r="F73" i="55"/>
  <c r="F75" i="55"/>
  <c r="F46" i="55"/>
  <c r="F79" i="55"/>
  <c r="F68" i="55"/>
  <c r="F60" i="55"/>
  <c r="F72" i="55"/>
  <c r="F76" i="55"/>
  <c r="F52" i="55"/>
  <c r="F80" i="55"/>
  <c r="AJ20" i="55"/>
  <c r="O13" i="19"/>
  <c r="J122" i="35" s="1"/>
  <c r="AM3" i="55" s="1"/>
  <c r="N13" i="19"/>
  <c r="I122" i="35" s="1"/>
  <c r="AL3" i="55" s="1"/>
  <c r="AJ116" i="55"/>
  <c r="J5" i="35"/>
  <c r="I5" i="35"/>
  <c r="J7" i="35"/>
  <c r="G49" i="55"/>
  <c r="G50" i="55"/>
  <c r="G46" i="55"/>
  <c r="G51" i="55"/>
  <c r="F50" i="55"/>
  <c r="H50" i="55"/>
  <c r="F77" i="55"/>
  <c r="F58" i="55"/>
  <c r="F63" i="55"/>
  <c r="F69" i="55"/>
  <c r="I7" i="35"/>
  <c r="F53" i="55"/>
  <c r="W53" i="55"/>
  <c r="AJ70" i="55"/>
  <c r="K115" i="35"/>
  <c r="M115" i="35" s="1"/>
  <c r="N115" i="35"/>
  <c r="G21" i="55"/>
  <c r="F20" i="55"/>
  <c r="F21" i="55"/>
  <c r="AA102" i="47"/>
  <c r="AO84" i="47"/>
  <c r="N19" i="3"/>
  <c r="I109" i="35" s="1"/>
  <c r="K109" i="35" s="1"/>
  <c r="H109" i="35"/>
  <c r="J85" i="36"/>
  <c r="AJ131" i="55"/>
  <c r="AJ130" i="55"/>
  <c r="AJ126" i="55"/>
  <c r="AJ127" i="55"/>
  <c r="AJ179" i="55"/>
  <c r="AX5" i="55"/>
  <c r="AJ181" i="55"/>
  <c r="AU31" i="55"/>
  <c r="AU5" i="55"/>
  <c r="N13" i="27"/>
  <c r="I167" i="35" s="1"/>
  <c r="I132" i="36"/>
  <c r="I135" i="36"/>
  <c r="N9" i="27"/>
  <c r="J135" i="36" s="1"/>
  <c r="L135" i="36" s="1"/>
  <c r="W36" i="55"/>
  <c r="O13" i="27"/>
  <c r="J167" i="35" s="1"/>
  <c r="AJ87" i="55"/>
  <c r="N18" i="36"/>
  <c r="AJ96" i="55"/>
  <c r="AJ119" i="55"/>
  <c r="AJ67" i="55"/>
  <c r="W55" i="55"/>
  <c r="AJ57" i="55"/>
  <c r="I22" i="55"/>
  <c r="I13" i="55"/>
  <c r="AJ30" i="55"/>
  <c r="F13" i="55"/>
  <c r="AJ25" i="55"/>
  <c r="AJ65" i="55"/>
  <c r="AJ17" i="55"/>
  <c r="AU20" i="55"/>
  <c r="K196" i="35"/>
  <c r="L196" i="35" s="1"/>
  <c r="AI107" i="55"/>
  <c r="AI51" i="55"/>
  <c r="AK68" i="55"/>
  <c r="O24" i="17"/>
  <c r="H49" i="34" s="1"/>
  <c r="I97" i="35"/>
  <c r="AJ32" i="55"/>
  <c r="H38" i="17"/>
  <c r="H39" i="17" s="1"/>
  <c r="N24" i="17"/>
  <c r="G49" i="34" s="1"/>
  <c r="L79" i="36"/>
  <c r="M79" i="36" s="1"/>
  <c r="J97" i="35"/>
  <c r="J101" i="35"/>
  <c r="J98" i="35"/>
  <c r="I98" i="35"/>
  <c r="N6" i="31"/>
  <c r="J157" i="36" s="1"/>
  <c r="AJ134" i="55"/>
  <c r="AJ137" i="55"/>
  <c r="AJ155" i="55"/>
  <c r="AJ147" i="55"/>
  <c r="AJ152" i="55"/>
  <c r="AJ156" i="55"/>
  <c r="AJ186" i="55"/>
  <c r="AJ157" i="55"/>
  <c r="AJ136" i="55"/>
  <c r="AJ144" i="55"/>
  <c r="AJ146" i="55"/>
  <c r="AJ160" i="55"/>
  <c r="AJ178" i="55"/>
  <c r="AJ141" i="55"/>
  <c r="AJ151" i="55"/>
  <c r="AJ173" i="55"/>
  <c r="AJ135" i="55"/>
  <c r="AJ172" i="55"/>
  <c r="AJ149" i="55"/>
  <c r="AJ161" i="55"/>
  <c r="AJ133" i="55"/>
  <c r="AJ176" i="55"/>
  <c r="AJ185" i="55"/>
  <c r="AJ164" i="55"/>
  <c r="AJ162" i="55"/>
  <c r="AJ174" i="55"/>
  <c r="AJ169" i="55"/>
  <c r="AJ168" i="55"/>
  <c r="AJ138" i="55"/>
  <c r="AJ182" i="55"/>
  <c r="N13" i="12"/>
  <c r="I65" i="35" s="1"/>
  <c r="AL6" i="55" s="1"/>
  <c r="H65" i="35"/>
  <c r="AK6" i="55" s="1"/>
  <c r="U71" i="55"/>
  <c r="K13" i="36"/>
  <c r="K15" i="36"/>
  <c r="J15" i="36"/>
  <c r="K186" i="35"/>
  <c r="M186" i="35" s="1"/>
  <c r="I91" i="34"/>
  <c r="K91" i="34" s="1"/>
  <c r="J169" i="35"/>
  <c r="I169" i="35"/>
  <c r="H168" i="35"/>
  <c r="I168" i="35"/>
  <c r="W85" i="55"/>
  <c r="AJ79" i="55"/>
  <c r="K85" i="36"/>
  <c r="Z97" i="55" s="1"/>
  <c r="W80" i="55"/>
  <c r="J83" i="36"/>
  <c r="K83" i="36"/>
  <c r="AJ91" i="55"/>
  <c r="J99" i="35"/>
  <c r="AM60" i="55" s="1"/>
  <c r="I99" i="35"/>
  <c r="AJ68" i="55"/>
  <c r="AI32" i="55"/>
  <c r="AI91" i="55"/>
  <c r="I100" i="35"/>
  <c r="J100" i="35"/>
  <c r="I56" i="36"/>
  <c r="AJ75" i="55"/>
  <c r="N10" i="12"/>
  <c r="J56" i="36" s="1"/>
  <c r="L56" i="36" s="1"/>
  <c r="AJ122" i="55"/>
  <c r="AH54" i="55"/>
  <c r="H60" i="35"/>
  <c r="AK91" i="55" s="1"/>
  <c r="I50" i="36"/>
  <c r="X86" i="55" s="1"/>
  <c r="I49" i="36"/>
  <c r="U91" i="55"/>
  <c r="O9" i="11"/>
  <c r="N9" i="11"/>
  <c r="I43" i="36"/>
  <c r="K44" i="36"/>
  <c r="Z94" i="55" s="1"/>
  <c r="U66" i="55"/>
  <c r="AJ21" i="55"/>
  <c r="O16" i="9"/>
  <c r="J49" i="35" s="1"/>
  <c r="AM117" i="55" s="1"/>
  <c r="F32" i="6"/>
  <c r="I9" i="36"/>
  <c r="H12" i="35"/>
  <c r="N12" i="35" s="1"/>
  <c r="AU85" i="55"/>
  <c r="AU49" i="55"/>
  <c r="AU62" i="55"/>
  <c r="AU58" i="55"/>
  <c r="AU69" i="55"/>
  <c r="AU97" i="55"/>
  <c r="AU71" i="55"/>
  <c r="AU70" i="55"/>
  <c r="I10" i="36"/>
  <c r="N54" i="36"/>
  <c r="N17" i="12"/>
  <c r="I69" i="35" s="1"/>
  <c r="M10" i="33"/>
  <c r="N10" i="33"/>
  <c r="F10" i="47" s="1"/>
  <c r="F32" i="29"/>
  <c r="AJ142" i="55"/>
  <c r="AJ159" i="55"/>
  <c r="AJ154" i="55"/>
  <c r="AJ170" i="55"/>
  <c r="AJ163" i="55"/>
  <c r="AJ150" i="55"/>
  <c r="M51" i="36"/>
  <c r="O7" i="12"/>
  <c r="K53" i="36" s="1"/>
  <c r="O6" i="28"/>
  <c r="I23" i="36"/>
  <c r="O7" i="1"/>
  <c r="K23" i="36" s="1"/>
  <c r="I53" i="36"/>
  <c r="N7" i="7"/>
  <c r="J28" i="36" s="1"/>
  <c r="O28" i="36" s="1"/>
  <c r="O10" i="3"/>
  <c r="K86" i="36" s="1"/>
  <c r="L86" i="36" s="1"/>
  <c r="H13" i="35"/>
  <c r="AK136" i="55" s="1"/>
  <c r="O18" i="4"/>
  <c r="J13" i="35" s="1"/>
  <c r="K13" i="35" s="1"/>
  <c r="O33" i="36"/>
  <c r="N16" i="9"/>
  <c r="I49" i="35" s="1"/>
  <c r="AL117" i="55" s="1"/>
  <c r="AU51" i="55"/>
  <c r="M23" i="33"/>
  <c r="N7" i="29"/>
  <c r="J150" i="36" s="1"/>
  <c r="N153" i="35"/>
  <c r="H38" i="8"/>
  <c r="H39" i="8" s="1"/>
  <c r="O10" i="8"/>
  <c r="K36" i="36" s="1"/>
  <c r="N22" i="27"/>
  <c r="G80" i="34" s="1"/>
  <c r="I80" i="34" s="1"/>
  <c r="F85" i="34"/>
  <c r="O24" i="28"/>
  <c r="H85" i="34" s="1"/>
  <c r="I85" i="34" s="1"/>
  <c r="O23" i="12"/>
  <c r="H33" i="34" s="1"/>
  <c r="I33" i="34" s="1"/>
  <c r="O24" i="12"/>
  <c r="H34" i="34" s="1"/>
  <c r="N24" i="12"/>
  <c r="G34" i="34" s="1"/>
  <c r="N23" i="6"/>
  <c r="G12" i="34" s="1"/>
  <c r="F80" i="34"/>
  <c r="N22" i="9"/>
  <c r="G23" i="34" s="1"/>
  <c r="O22" i="4"/>
  <c r="H5" i="34" s="1"/>
  <c r="K33" i="35"/>
  <c r="M33" i="35" s="1"/>
  <c r="H38" i="12"/>
  <c r="H39" i="12" s="1"/>
  <c r="K47" i="35"/>
  <c r="M47" i="35" s="1"/>
  <c r="O15" i="28"/>
  <c r="J175" i="35" s="1"/>
  <c r="H38" i="32"/>
  <c r="O54" i="36"/>
  <c r="N9" i="21"/>
  <c r="J110" i="36" s="1"/>
  <c r="O7" i="29"/>
  <c r="K150" i="36" s="1"/>
  <c r="N10" i="8"/>
  <c r="J36" i="36" s="1"/>
  <c r="N51" i="36"/>
  <c r="N8" i="4"/>
  <c r="J9" i="36" s="1"/>
  <c r="L9" i="36" s="1"/>
  <c r="O6" i="3"/>
  <c r="K82" i="36" s="1"/>
  <c r="I82" i="36"/>
  <c r="O6" i="9"/>
  <c r="K37" i="36" s="1"/>
  <c r="I37" i="36"/>
  <c r="X27" i="55" s="1"/>
  <c r="O6" i="31"/>
  <c r="K157" i="36" s="1"/>
  <c r="N21" i="33"/>
  <c r="M21" i="33"/>
  <c r="N23" i="33"/>
  <c r="F22" i="47" s="1"/>
  <c r="G32" i="29"/>
  <c r="M37" i="33"/>
  <c r="N37" i="33"/>
  <c r="F32" i="15"/>
  <c r="M31" i="33"/>
  <c r="N31" i="33"/>
  <c r="H5" i="33"/>
  <c r="F32" i="10"/>
  <c r="N14" i="33"/>
  <c r="F13" i="47" s="1"/>
  <c r="F32" i="9"/>
  <c r="N18" i="33"/>
  <c r="F17" i="47" s="1"/>
  <c r="M14" i="33"/>
  <c r="G32" i="9"/>
  <c r="M18" i="33"/>
  <c r="F32" i="18"/>
  <c r="H16" i="35"/>
  <c r="N8" i="5"/>
  <c r="J13" i="36" s="1"/>
  <c r="I13" i="36"/>
  <c r="L15" i="35"/>
  <c r="N16" i="5"/>
  <c r="I18" i="35" s="1"/>
  <c r="H18" i="35"/>
  <c r="O18" i="5"/>
  <c r="J19" i="35" s="1"/>
  <c r="K19" i="35" s="1"/>
  <c r="H19" i="35"/>
  <c r="AU91" i="55"/>
  <c r="AU77" i="55"/>
  <c r="AU100" i="55"/>
  <c r="AU72" i="55"/>
  <c r="AU55" i="55"/>
  <c r="AU81" i="55"/>
  <c r="AU47" i="55"/>
  <c r="AU57" i="55"/>
  <c r="AU78" i="55"/>
  <c r="AU61" i="55"/>
  <c r="AU86" i="55"/>
  <c r="AU90" i="55"/>
  <c r="AU84" i="55"/>
  <c r="AU53" i="55"/>
  <c r="AU63" i="55"/>
  <c r="AU52" i="55"/>
  <c r="AU92" i="55"/>
  <c r="AU80" i="55"/>
  <c r="AU87" i="55"/>
  <c r="AU67" i="55"/>
  <c r="AU74" i="55"/>
  <c r="AU96" i="55"/>
  <c r="AU75" i="55"/>
  <c r="AU48" i="55"/>
  <c r="AU93" i="55"/>
  <c r="AU65" i="55"/>
  <c r="O9" i="4"/>
  <c r="K10" i="36" s="1"/>
  <c r="L10" i="36" s="1"/>
  <c r="O16" i="4"/>
  <c r="J11" i="35" s="1"/>
  <c r="N16" i="4"/>
  <c r="I11" i="35" s="1"/>
  <c r="H38" i="4"/>
  <c r="H39" i="4" s="1"/>
  <c r="AX79" i="55"/>
  <c r="AJ171" i="55"/>
  <c r="AJ183" i="55"/>
  <c r="AJ177" i="55"/>
  <c r="AJ140" i="55"/>
  <c r="AJ166" i="55"/>
  <c r="AJ165" i="55"/>
  <c r="AJ180" i="55"/>
  <c r="AJ167" i="55"/>
  <c r="AJ145" i="55"/>
  <c r="AJ143" i="55"/>
  <c r="AJ184" i="55"/>
  <c r="AJ148" i="55"/>
  <c r="AJ153" i="55"/>
  <c r="AJ158" i="55"/>
  <c r="AJ175" i="55"/>
  <c r="AJ139" i="55"/>
  <c r="AU39" i="55"/>
  <c r="L185" i="35"/>
  <c r="M185" i="35"/>
  <c r="N185" i="35"/>
  <c r="N186" i="35"/>
  <c r="O18" i="29"/>
  <c r="J189" i="35" s="1"/>
  <c r="N18" i="29"/>
  <c r="I189" i="35" s="1"/>
  <c r="AJ88" i="55"/>
  <c r="H38" i="29"/>
  <c r="H39" i="29" s="1"/>
  <c r="W75" i="55"/>
  <c r="H38" i="28"/>
  <c r="H39" i="28" s="1"/>
  <c r="I137" i="36"/>
  <c r="N9" i="28"/>
  <c r="J140" i="36" s="1"/>
  <c r="L140" i="36" s="1"/>
  <c r="O139" i="36"/>
  <c r="N15" i="28"/>
  <c r="I175" i="35" s="1"/>
  <c r="L83" i="34"/>
  <c r="I83" i="34"/>
  <c r="AO91" i="47"/>
  <c r="Z88" i="47"/>
  <c r="AO99" i="47"/>
  <c r="Y89" i="47"/>
  <c r="AN86" i="47"/>
  <c r="AO78" i="47"/>
  <c r="Y90" i="47"/>
  <c r="Z93" i="47"/>
  <c r="N180" i="35"/>
  <c r="K88" i="34"/>
  <c r="N8" i="27"/>
  <c r="J134" i="36" s="1"/>
  <c r="I134" i="36"/>
  <c r="O6" i="27"/>
  <c r="K132" i="36" s="1"/>
  <c r="H171" i="35"/>
  <c r="O14" i="27"/>
  <c r="G32" i="27"/>
  <c r="F32" i="27"/>
  <c r="F53" i="47"/>
  <c r="AJ90" i="55"/>
  <c r="M153" i="35"/>
  <c r="K151" i="35"/>
  <c r="L151" i="35" s="1"/>
  <c r="N152" i="35"/>
  <c r="K150" i="35"/>
  <c r="L150" i="35" s="1"/>
  <c r="X83" i="47"/>
  <c r="AL96" i="47"/>
  <c r="AL91" i="47"/>
  <c r="AN83" i="47"/>
  <c r="AP101" i="47"/>
  <c r="AL79" i="47"/>
  <c r="X78" i="47"/>
  <c r="X76" i="47"/>
  <c r="X66" i="47"/>
  <c r="X80" i="47"/>
  <c r="Y94" i="47"/>
  <c r="AN94" i="47"/>
  <c r="AL70" i="47"/>
  <c r="Y81" i="47"/>
  <c r="Y86" i="47"/>
  <c r="AA98" i="47"/>
  <c r="AO98" i="47"/>
  <c r="Y68" i="47"/>
  <c r="AN64" i="47"/>
  <c r="AA93" i="47"/>
  <c r="Y69" i="47"/>
  <c r="Z75" i="47"/>
  <c r="K152" i="35"/>
  <c r="M152" i="35" s="1"/>
  <c r="O23" i="21"/>
  <c r="H63" i="34" s="1"/>
  <c r="I63" i="34" s="1"/>
  <c r="F63" i="34"/>
  <c r="O9" i="21"/>
  <c r="K110" i="36" s="1"/>
  <c r="O17" i="21"/>
  <c r="J140" i="35" s="1"/>
  <c r="N17" i="21"/>
  <c r="I140" i="35" s="1"/>
  <c r="O8" i="21"/>
  <c r="K109" i="36" s="1"/>
  <c r="L109" i="36" s="1"/>
  <c r="F62" i="34"/>
  <c r="N22" i="21"/>
  <c r="G62" i="34" s="1"/>
  <c r="I109" i="36"/>
  <c r="X92" i="55" s="1"/>
  <c r="H38" i="21"/>
  <c r="H39" i="21" s="1"/>
  <c r="O24" i="20"/>
  <c r="H60" i="34" s="1"/>
  <c r="F60" i="34"/>
  <c r="O7" i="20"/>
  <c r="K103" i="36" s="1"/>
  <c r="Z50" i="55" s="1"/>
  <c r="N7" i="20"/>
  <c r="J103" i="36" s="1"/>
  <c r="O17" i="20"/>
  <c r="J133" i="35" s="1"/>
  <c r="K133" i="35" s="1"/>
  <c r="H133" i="35"/>
  <c r="I89" i="36"/>
  <c r="X101" i="55" s="1"/>
  <c r="O8" i="18"/>
  <c r="K89" i="36" s="1"/>
  <c r="L89" i="36" s="1"/>
  <c r="N110" i="35"/>
  <c r="H38" i="18"/>
  <c r="H39" i="18" s="1"/>
  <c r="AJ101" i="55"/>
  <c r="I86" i="36"/>
  <c r="O15" i="3"/>
  <c r="J108" i="35" s="1"/>
  <c r="N15" i="3"/>
  <c r="I108" i="35" s="1"/>
  <c r="F51" i="34"/>
  <c r="H38" i="3"/>
  <c r="H39" i="3" s="1"/>
  <c r="L84" i="36"/>
  <c r="N84" i="36" s="1"/>
  <c r="N24" i="3"/>
  <c r="AJ36" i="55"/>
  <c r="AJ50" i="55"/>
  <c r="AO94" i="47"/>
  <c r="X89" i="47"/>
  <c r="AL46" i="47"/>
  <c r="AN52" i="47"/>
  <c r="AN39" i="47"/>
  <c r="Z41" i="47"/>
  <c r="AN72" i="47"/>
  <c r="AN84" i="47"/>
  <c r="AN92" i="47"/>
  <c r="Y97" i="47"/>
  <c r="Z49" i="47"/>
  <c r="Y40" i="47"/>
  <c r="AN57" i="47"/>
  <c r="AO36" i="47"/>
  <c r="AO90" i="47"/>
  <c r="AN54" i="47"/>
  <c r="Y41" i="47"/>
  <c r="Z96" i="47"/>
  <c r="Z81" i="47"/>
  <c r="Z35" i="47"/>
  <c r="Z59" i="47"/>
  <c r="Z48" i="47"/>
  <c r="AA100" i="47"/>
  <c r="Y92" i="47"/>
  <c r="AL73" i="47"/>
  <c r="AO80" i="47"/>
  <c r="AO102" i="47"/>
  <c r="Z94" i="47"/>
  <c r="Z87" i="47"/>
  <c r="AL82" i="47"/>
  <c r="AL66" i="47"/>
  <c r="AL87" i="47"/>
  <c r="Z62" i="47"/>
  <c r="AL94" i="47"/>
  <c r="Z72" i="47"/>
  <c r="Y63" i="47"/>
  <c r="Y101" i="47"/>
  <c r="AL92" i="47"/>
  <c r="Y79" i="47"/>
  <c r="AO50" i="47"/>
  <c r="AO59" i="47"/>
  <c r="Z56" i="47"/>
  <c r="AL81" i="47"/>
  <c r="Z65" i="47"/>
  <c r="AO76" i="47"/>
  <c r="AO96" i="47"/>
  <c r="X96" i="47"/>
  <c r="Z66" i="47"/>
  <c r="AO61" i="47"/>
  <c r="AL54" i="47"/>
  <c r="AO53" i="47"/>
  <c r="F33" i="34"/>
  <c r="H69" i="35"/>
  <c r="O51" i="36"/>
  <c r="I30" i="34"/>
  <c r="J30" i="34" s="1"/>
  <c r="L30" i="34"/>
  <c r="I47" i="36"/>
  <c r="N16" i="11"/>
  <c r="I61" i="35" s="1"/>
  <c r="O16" i="11"/>
  <c r="J61" i="35" s="1"/>
  <c r="K58" i="35"/>
  <c r="L58" i="35" s="1"/>
  <c r="O24" i="11"/>
  <c r="H31" i="34" s="1"/>
  <c r="I31" i="34" s="1"/>
  <c r="N47" i="35"/>
  <c r="N18" i="9"/>
  <c r="M48" i="35"/>
  <c r="I38" i="36"/>
  <c r="N7" i="9"/>
  <c r="J38" i="36" s="1"/>
  <c r="L38" i="36" s="1"/>
  <c r="H50" i="35"/>
  <c r="O39" i="36"/>
  <c r="N17" i="9"/>
  <c r="H51" i="35"/>
  <c r="H38" i="9"/>
  <c r="H39" i="9" s="1"/>
  <c r="AJ41" i="55"/>
  <c r="N48" i="35"/>
  <c r="L48" i="35"/>
  <c r="L39" i="36"/>
  <c r="M39" i="36" s="1"/>
  <c r="N45" i="35"/>
  <c r="X100" i="47"/>
  <c r="AO79" i="47"/>
  <c r="Y36" i="47"/>
  <c r="Z54" i="47"/>
  <c r="AO35" i="47"/>
  <c r="H28" i="35"/>
  <c r="X81" i="47"/>
  <c r="Y60" i="47"/>
  <c r="Z91" i="47"/>
  <c r="X45" i="47"/>
  <c r="Z58" i="47"/>
  <c r="AO54" i="47"/>
  <c r="AO40" i="47"/>
  <c r="AN46" i="47"/>
  <c r="AN40" i="47"/>
  <c r="AO41" i="47"/>
  <c r="AL16" i="47"/>
  <c r="Z67" i="47"/>
  <c r="AO83" i="47"/>
  <c r="AO75" i="47"/>
  <c r="AL102" i="47"/>
  <c r="Z100" i="47"/>
  <c r="AP95" i="47"/>
  <c r="X93" i="47"/>
  <c r="AN90" i="47"/>
  <c r="AL88" i="47"/>
  <c r="Z53" i="47"/>
  <c r="AN60" i="47"/>
  <c r="X36" i="47"/>
  <c r="AN17" i="47"/>
  <c r="Z33" i="47"/>
  <c r="AL55" i="47"/>
  <c r="AN33" i="47"/>
  <c r="Z18" i="47"/>
  <c r="Z55" i="47"/>
  <c r="X43" i="47"/>
  <c r="Y18" i="47"/>
  <c r="Y37" i="47"/>
  <c r="X64" i="47"/>
  <c r="Y83" i="47"/>
  <c r="AN101" i="47"/>
  <c r="AL100" i="47"/>
  <c r="X97" i="47"/>
  <c r="AO31" i="47"/>
  <c r="AL49" i="47"/>
  <c r="Z24" i="47"/>
  <c r="AN35" i="47"/>
  <c r="Z57" i="47"/>
  <c r="AO16" i="47"/>
  <c r="X62" i="47"/>
  <c r="AL76" i="47"/>
  <c r="X101" i="47"/>
  <c r="Z73" i="47"/>
  <c r="Y65" i="47"/>
  <c r="Y84" i="47"/>
  <c r="AN97" i="47"/>
  <c r="AN93" i="47"/>
  <c r="AN87" i="47"/>
  <c r="Z69" i="47"/>
  <c r="Y93" i="47"/>
  <c r="AO89" i="47"/>
  <c r="Y50" i="47"/>
  <c r="AO26" i="47"/>
  <c r="Y45" i="47"/>
  <c r="Z28" i="47"/>
  <c r="AN27" i="47"/>
  <c r="AL44" i="47"/>
  <c r="X33" i="47"/>
  <c r="X57" i="47"/>
  <c r="Y56" i="47"/>
  <c r="Y24" i="47"/>
  <c r="AO29" i="47"/>
  <c r="AO25" i="47"/>
  <c r="AL29" i="47"/>
  <c r="AO65" i="47"/>
  <c r="AA99" i="47"/>
  <c r="AO62" i="47"/>
  <c r="Z102" i="47"/>
  <c r="X102" i="47"/>
  <c r="Z16" i="47"/>
  <c r="Y53" i="47"/>
  <c r="AN49" i="47"/>
  <c r="Z34" i="47"/>
  <c r="AO33" i="47"/>
  <c r="AP93" i="47"/>
  <c r="AN70" i="47"/>
  <c r="Y67" i="47"/>
  <c r="AO87" i="47"/>
  <c r="AL65" i="47"/>
  <c r="AN71" i="47"/>
  <c r="AN79" i="47"/>
  <c r="Z82" i="47"/>
  <c r="Z99" i="47"/>
  <c r="AL99" i="47"/>
  <c r="AN89" i="47"/>
  <c r="Z90" i="47"/>
  <c r="AL84" i="47"/>
  <c r="AO44" i="47"/>
  <c r="AL26" i="47"/>
  <c r="AL19" i="47"/>
  <c r="Y29" i="47"/>
  <c r="Z25" i="47"/>
  <c r="AL18" i="47"/>
  <c r="Z42" i="47"/>
  <c r="AO58" i="47"/>
  <c r="AL56" i="47"/>
  <c r="X37" i="47"/>
  <c r="AN30" i="47"/>
  <c r="X23" i="47"/>
  <c r="AN28" i="47"/>
  <c r="Y48" i="47"/>
  <c r="AL61" i="47"/>
  <c r="AN95" i="47"/>
  <c r="X56" i="47"/>
  <c r="Z23" i="47"/>
  <c r="AL27" i="47"/>
  <c r="Y43" i="47"/>
  <c r="X41" i="47"/>
  <c r="X19" i="47"/>
  <c r="AN22" i="47"/>
  <c r="AN68" i="47"/>
  <c r="Z77" i="47"/>
  <c r="Z86" i="47"/>
  <c r="AN69" i="47"/>
  <c r="Y75" i="47"/>
  <c r="AO93" i="47"/>
  <c r="AL101" i="47"/>
  <c r="Y78" i="47"/>
  <c r="Z98" i="47"/>
  <c r="AO69" i="47"/>
  <c r="AN85" i="47"/>
  <c r="X18" i="47"/>
  <c r="AN50" i="47"/>
  <c r="AN59" i="47"/>
  <c r="Z30" i="47"/>
  <c r="AL37" i="47"/>
  <c r="AL58" i="47"/>
  <c r="AO45" i="47"/>
  <c r="AO27" i="47"/>
  <c r="AO23" i="47"/>
  <c r="Y35" i="47"/>
  <c r="AL63" i="47"/>
  <c r="Y71" i="47"/>
  <c r="AP100" i="47"/>
  <c r="AL97" i="47"/>
  <c r="AP96" i="47"/>
  <c r="AO67" i="47"/>
  <c r="AN73" i="47"/>
  <c r="Z83" i="47"/>
  <c r="AN99" i="47"/>
  <c r="Z61" i="47"/>
  <c r="Y96" i="47"/>
  <c r="AP99" i="47"/>
  <c r="AL31" i="47"/>
  <c r="AL36" i="47"/>
  <c r="Y82" i="47"/>
  <c r="X27" i="47"/>
  <c r="Y59" i="47"/>
  <c r="AN23" i="47"/>
  <c r="Y57" i="47"/>
  <c r="X47" i="47"/>
  <c r="Y23" i="47"/>
  <c r="X61" i="47"/>
  <c r="Z97" i="47"/>
  <c r="AO55" i="47"/>
  <c r="AO47" i="47"/>
  <c r="X44" i="47"/>
  <c r="AN98" i="47"/>
  <c r="X38" i="47"/>
  <c r="AL59" i="47"/>
  <c r="AL52" i="47"/>
  <c r="AN38" i="47"/>
  <c r="Y46" i="47"/>
  <c r="AL17" i="47"/>
  <c r="Y32" i="47"/>
  <c r="Y16" i="47"/>
  <c r="AL98" i="47"/>
  <c r="AO97" i="47"/>
  <c r="AA101" i="47"/>
  <c r="AL23" i="47"/>
  <c r="AL80" i="47"/>
  <c r="Y52" i="47"/>
  <c r="AO43" i="47"/>
  <c r="AO34" i="47"/>
  <c r="AL51" i="47"/>
  <c r="Z50" i="47"/>
  <c r="X26" i="47"/>
  <c r="AN74" i="47"/>
  <c r="AL69" i="47"/>
  <c r="Z76" i="47"/>
  <c r="AL42" i="47"/>
  <c r="X59" i="47"/>
  <c r="AO24" i="47"/>
  <c r="AA96" i="47"/>
  <c r="X86" i="47"/>
  <c r="Z68" i="47"/>
  <c r="Y74" i="47"/>
  <c r="Y91" i="47"/>
  <c r="AN77" i="47"/>
  <c r="AL72" i="47"/>
  <c r="AO86" i="47"/>
  <c r="Z89" i="47"/>
  <c r="AO72" i="47"/>
  <c r="AL89" i="47"/>
  <c r="AO66" i="47"/>
  <c r="AL62" i="47"/>
  <c r="Y85" i="47"/>
  <c r="AO64" i="47"/>
  <c r="AN61" i="47"/>
  <c r="AN91" i="47"/>
  <c r="AL60" i="47"/>
  <c r="X17" i="47"/>
  <c r="AN24" i="47"/>
  <c r="AL57" i="47"/>
  <c r="Y38" i="47"/>
  <c r="X32" i="47"/>
  <c r="Z29" i="47"/>
  <c r="AN56" i="47"/>
  <c r="AL53" i="47"/>
  <c r="Y17" i="47"/>
  <c r="AO19" i="47"/>
  <c r="Z39" i="47"/>
  <c r="AN41" i="47"/>
  <c r="Z101" i="47"/>
  <c r="AO85" i="47"/>
  <c r="X69" i="47"/>
  <c r="AP98" i="47"/>
  <c r="Y102" i="47"/>
  <c r="X84" i="47"/>
  <c r="AL93" i="47"/>
  <c r="X49" i="47"/>
  <c r="AL25" i="47"/>
  <c r="AL28" i="47"/>
  <c r="AL43" i="47"/>
  <c r="AO21" i="47"/>
  <c r="AN42" i="47"/>
  <c r="Y22" i="47"/>
  <c r="X74" i="47"/>
  <c r="X70" i="47"/>
  <c r="AL86" i="47"/>
  <c r="X63" i="47"/>
  <c r="X72" i="47"/>
  <c r="X88" i="47"/>
  <c r="X79" i="47"/>
  <c r="AN65" i="47"/>
  <c r="AN53" i="47"/>
  <c r="Z70" i="47"/>
  <c r="X92" i="47"/>
  <c r="AN100" i="47"/>
  <c r="Y87" i="47"/>
  <c r="Y73" i="47"/>
  <c r="AO81" i="47"/>
  <c r="Z92" i="47"/>
  <c r="X99" i="47"/>
  <c r="AO77" i="47"/>
  <c r="AO92" i="47"/>
  <c r="X77" i="47"/>
  <c r="AO73" i="47"/>
  <c r="AO100" i="47"/>
  <c r="Y66" i="47"/>
  <c r="Z74" i="47"/>
  <c r="Y61" i="47"/>
  <c r="AN81" i="47"/>
  <c r="AA95" i="47"/>
  <c r="X53" i="47"/>
  <c r="AL38" i="47"/>
  <c r="AL35" i="47"/>
  <c r="Z22" i="47"/>
  <c r="AL32" i="47"/>
  <c r="AN44" i="47"/>
  <c r="X52" i="47"/>
  <c r="AO51" i="47"/>
  <c r="Z38" i="47"/>
  <c r="Y27" i="47"/>
  <c r="AN26" i="47"/>
  <c r="Y98" i="47"/>
  <c r="AN78" i="47"/>
  <c r="Z79" i="47"/>
  <c r="Y80" i="47"/>
  <c r="Y72" i="47"/>
  <c r="X98" i="47"/>
  <c r="Z63" i="47"/>
  <c r="AN76" i="47"/>
  <c r="Y62" i="47"/>
  <c r="AN62" i="47"/>
  <c r="AO42" i="47"/>
  <c r="AP102" i="47"/>
  <c r="AO52" i="47"/>
  <c r="Y39" i="47"/>
  <c r="AL50" i="47"/>
  <c r="AL48" i="47"/>
  <c r="X22" i="47"/>
  <c r="AO18" i="47"/>
  <c r="AN48" i="47"/>
  <c r="Y51" i="47"/>
  <c r="X39" i="47"/>
  <c r="X30" i="47"/>
  <c r="Z21" i="47"/>
  <c r="AO70" i="47"/>
  <c r="Y58" i="47"/>
  <c r="X55" i="47"/>
  <c r="Y42" i="47"/>
  <c r="X71" i="47"/>
  <c r="X73" i="47"/>
  <c r="AL90" i="47"/>
  <c r="AO88" i="47"/>
  <c r="AN80" i="47"/>
  <c r="X75" i="47"/>
  <c r="X87" i="47"/>
  <c r="AL40" i="47"/>
  <c r="Z37" i="47"/>
  <c r="X42" i="47"/>
  <c r="X40" i="47"/>
  <c r="AN32" i="47"/>
  <c r="AO57" i="47"/>
  <c r="Z47" i="47"/>
  <c r="AL24" i="47"/>
  <c r="AL47" i="47"/>
  <c r="Y76" i="47"/>
  <c r="AO74" i="47"/>
  <c r="AL71" i="47"/>
  <c r="Y88" i="47"/>
  <c r="AN102" i="47"/>
  <c r="Y95" i="47"/>
  <c r="X95" i="47"/>
  <c r="AN67" i="47"/>
  <c r="AL95" i="47"/>
  <c r="AN55" i="47"/>
  <c r="Z60" i="47"/>
  <c r="Z46" i="47"/>
  <c r="Z32" i="47"/>
  <c r="AL45" i="47"/>
  <c r="Y28" i="47"/>
  <c r="AN36" i="47"/>
  <c r="X48" i="47"/>
  <c r="AO56" i="47"/>
  <c r="Y54" i="47"/>
  <c r="AO28" i="47"/>
  <c r="AN45" i="47"/>
  <c r="AL85" i="47"/>
  <c r="AN75" i="47"/>
  <c r="X94" i="47"/>
  <c r="Z80" i="47"/>
  <c r="X51" i="47"/>
  <c r="AL75" i="47"/>
  <c r="Y77" i="47"/>
  <c r="AO68" i="47"/>
  <c r="Z78" i="47"/>
  <c r="AL78" i="47"/>
  <c r="AN88" i="47"/>
  <c r="AO101" i="47"/>
  <c r="X68" i="47"/>
  <c r="X91" i="47"/>
  <c r="AL34" i="47"/>
  <c r="X60" i="47"/>
  <c r="Y33" i="47"/>
  <c r="Y25" i="47"/>
  <c r="Z51" i="47"/>
  <c r="AN19" i="47"/>
  <c r="AL39" i="47"/>
  <c r="AL41" i="47"/>
  <c r="Y49" i="47"/>
  <c r="Z19" i="47"/>
  <c r="AO37" i="47"/>
  <c r="Y44" i="47"/>
  <c r="O26" i="36"/>
  <c r="N6" i="1"/>
  <c r="J22" i="36" s="1"/>
  <c r="Y41" i="55" s="1"/>
  <c r="I22" i="36"/>
  <c r="H38" i="1"/>
  <c r="H39" i="1" s="1"/>
  <c r="L25" i="36"/>
  <c r="M25" i="36" s="1"/>
  <c r="F12" i="34"/>
  <c r="L13" i="34"/>
  <c r="AA13" i="47" s="1"/>
  <c r="K24" i="35"/>
  <c r="L24" i="35" s="1"/>
  <c r="K13" i="34"/>
  <c r="J13" i="34"/>
  <c r="M20" i="36"/>
  <c r="AK96" i="55"/>
  <c r="O18" i="36"/>
  <c r="N20" i="36"/>
  <c r="N24" i="35"/>
  <c r="N15" i="5"/>
  <c r="I16" i="35" s="1"/>
  <c r="K16" i="35" s="1"/>
  <c r="I10" i="34"/>
  <c r="J10" i="34" s="1"/>
  <c r="H38" i="5"/>
  <c r="H39" i="5" s="1"/>
  <c r="L10" i="34"/>
  <c r="M15" i="35"/>
  <c r="F8" i="34"/>
  <c r="AV3" i="55" s="1"/>
  <c r="N22" i="5"/>
  <c r="G8" i="34" s="1"/>
  <c r="N15" i="35"/>
  <c r="AW59" i="55"/>
  <c r="AX56" i="55"/>
  <c r="AW68" i="55"/>
  <c r="AX95" i="55"/>
  <c r="AX75" i="55"/>
  <c r="AX69" i="55"/>
  <c r="AX77" i="55"/>
  <c r="AX60" i="55"/>
  <c r="AX59" i="55"/>
  <c r="AX53" i="55"/>
  <c r="AX57" i="55"/>
  <c r="AW81" i="55"/>
  <c r="AW79" i="55"/>
  <c r="AX83" i="55"/>
  <c r="AX85" i="55"/>
  <c r="AW91" i="55"/>
  <c r="AX71" i="55"/>
  <c r="AX64" i="55"/>
  <c r="AX66" i="55"/>
  <c r="AX62" i="55"/>
  <c r="AX87" i="55"/>
  <c r="AX68" i="55"/>
  <c r="AX84" i="55"/>
  <c r="AW83" i="55"/>
  <c r="AX82" i="55"/>
  <c r="AX72" i="55"/>
  <c r="AX91" i="55"/>
  <c r="AX70" i="55"/>
  <c r="AX90" i="55"/>
  <c r="AX63" i="55"/>
  <c r="AX52" i="55"/>
  <c r="AW86" i="55"/>
  <c r="AW77" i="55"/>
  <c r="AX74" i="55"/>
  <c r="AX86" i="55"/>
  <c r="AX76" i="55"/>
  <c r="AV85" i="55"/>
  <c r="AV99" i="55"/>
  <c r="AV62" i="55"/>
  <c r="AW97" i="55"/>
  <c r="AW71" i="55"/>
  <c r="AX61" i="55"/>
  <c r="AX73" i="55"/>
  <c r="AW61" i="55"/>
  <c r="AW87" i="55"/>
  <c r="AX94" i="55"/>
  <c r="AX93" i="55"/>
  <c r="AW54" i="55"/>
  <c r="AW85" i="55"/>
  <c r="AW94" i="55"/>
  <c r="AW73" i="55"/>
  <c r="AW67" i="55"/>
  <c r="AW63" i="55"/>
  <c r="AW98" i="55"/>
  <c r="AW82" i="55"/>
  <c r="AW93" i="55"/>
  <c r="AW70" i="55"/>
  <c r="AW62" i="55"/>
  <c r="AW58" i="55"/>
  <c r="AW75" i="55"/>
  <c r="AW60" i="55"/>
  <c r="AW89" i="55"/>
  <c r="AW57" i="55"/>
  <c r="AW92" i="55"/>
  <c r="AW56" i="55"/>
  <c r="AW84" i="55"/>
  <c r="AX54" i="55"/>
  <c r="AX88" i="55"/>
  <c r="AX65" i="55"/>
  <c r="AX81" i="55"/>
  <c r="AX89" i="55"/>
  <c r="AX92" i="55"/>
  <c r="AX80" i="55"/>
  <c r="AV55" i="55"/>
  <c r="AV82" i="55"/>
  <c r="AX96" i="55"/>
  <c r="AX99" i="55"/>
  <c r="AX98" i="55"/>
  <c r="AV83" i="55"/>
  <c r="AW76" i="55"/>
  <c r="AW66" i="55"/>
  <c r="AW72" i="55"/>
  <c r="AW96" i="55"/>
  <c r="AX101" i="55"/>
  <c r="AV68" i="55"/>
  <c r="AV100" i="55"/>
  <c r="AV80" i="55"/>
  <c r="AV96" i="55"/>
  <c r="AV53" i="55"/>
  <c r="AV52" i="55"/>
  <c r="AV98" i="55"/>
  <c r="AV76" i="55"/>
  <c r="AV70" i="55"/>
  <c r="AV95" i="55"/>
  <c r="AV56" i="55"/>
  <c r="AV64" i="55"/>
  <c r="AV71" i="55"/>
  <c r="AV91" i="55"/>
  <c r="AV63" i="55"/>
  <c r="AV60" i="55"/>
  <c r="AV93" i="55"/>
  <c r="AV87" i="55"/>
  <c r="AV58" i="55"/>
  <c r="AV97" i="55"/>
  <c r="AV72" i="55"/>
  <c r="AV90" i="55"/>
  <c r="AV81" i="55"/>
  <c r="AV94" i="55"/>
  <c r="AV84" i="55"/>
  <c r="AV79" i="55"/>
  <c r="AV89" i="55"/>
  <c r="AV74" i="55"/>
  <c r="AV77" i="55"/>
  <c r="AV67" i="55"/>
  <c r="AV101" i="55"/>
  <c r="AV59" i="55"/>
  <c r="AV73" i="55"/>
  <c r="AV88" i="55"/>
  <c r="AV86" i="55"/>
  <c r="AV78" i="55"/>
  <c r="AV69" i="55"/>
  <c r="AV61" i="55"/>
  <c r="AV54" i="55"/>
  <c r="AV66" i="55"/>
  <c r="AW64" i="55"/>
  <c r="AW65" i="55"/>
  <c r="AV75" i="55"/>
  <c r="AW95" i="55"/>
  <c r="AW52" i="55"/>
  <c r="AW88" i="55"/>
  <c r="AW55" i="55"/>
  <c r="AX58" i="55"/>
  <c r="AV57" i="55"/>
  <c r="AW100" i="55"/>
  <c r="AV92" i="55"/>
  <c r="AW80" i="55"/>
  <c r="AW78" i="55"/>
  <c r="AW99" i="55"/>
  <c r="AW90" i="55"/>
  <c r="AW101" i="55"/>
  <c r="AW74" i="55"/>
  <c r="AX55" i="55"/>
  <c r="AX67" i="55"/>
  <c r="AW69" i="55"/>
  <c r="AX97" i="55"/>
  <c r="AX78" i="55"/>
  <c r="W134" i="55"/>
  <c r="W142" i="55"/>
  <c r="W171" i="55"/>
  <c r="W157" i="55"/>
  <c r="W117" i="55"/>
  <c r="W127" i="55"/>
  <c r="W123" i="55"/>
  <c r="L4" i="34"/>
  <c r="W132" i="55"/>
  <c r="O13" i="32"/>
  <c r="J2" i="35" s="1"/>
  <c r="N13" i="32"/>
  <c r="I2" i="35" s="1"/>
  <c r="W99" i="55"/>
  <c r="I4" i="34"/>
  <c r="K4" i="34" s="1"/>
  <c r="L6" i="36"/>
  <c r="M6" i="36" s="1"/>
  <c r="W135" i="55"/>
  <c r="W120" i="55"/>
  <c r="W145" i="55"/>
  <c r="W151" i="55"/>
  <c r="W112" i="55"/>
  <c r="W98" i="55"/>
  <c r="W141" i="55"/>
  <c r="W125" i="55"/>
  <c r="W167" i="55"/>
  <c r="W155" i="55"/>
  <c r="W126" i="55"/>
  <c r="W96" i="55"/>
  <c r="W104" i="55"/>
  <c r="W113" i="55"/>
  <c r="W139" i="55"/>
  <c r="W131" i="55"/>
  <c r="W159" i="55"/>
  <c r="W114" i="55"/>
  <c r="W168" i="55"/>
  <c r="W136" i="55"/>
  <c r="W124" i="55"/>
  <c r="W152" i="55"/>
  <c r="W161" i="55"/>
  <c r="W100" i="55"/>
  <c r="W143" i="55"/>
  <c r="W102" i="55"/>
  <c r="W170" i="55"/>
  <c r="W153" i="55"/>
  <c r="W93" i="55"/>
  <c r="W162" i="55"/>
  <c r="W106" i="55"/>
  <c r="W103" i="55"/>
  <c r="W129" i="55"/>
  <c r="W166" i="55"/>
  <c r="W108" i="55"/>
  <c r="O6" i="36"/>
  <c r="O3" i="36"/>
  <c r="M4" i="47" s="1"/>
  <c r="W163" i="55"/>
  <c r="W158" i="55"/>
  <c r="W154" i="55"/>
  <c r="W156" i="55"/>
  <c r="W164" i="55"/>
  <c r="W137" i="55"/>
  <c r="W119" i="55"/>
  <c r="W111" i="55"/>
  <c r="W148" i="55"/>
  <c r="W144" i="55"/>
  <c r="W109" i="55"/>
  <c r="W116" i="55"/>
  <c r="W115" i="55"/>
  <c r="W92" i="55"/>
  <c r="W149" i="55"/>
  <c r="W169" i="55"/>
  <c r="W165" i="55"/>
  <c r="W138" i="55"/>
  <c r="W130" i="55"/>
  <c r="W107" i="55"/>
  <c r="W97" i="55"/>
  <c r="W118" i="55"/>
  <c r="W140" i="55"/>
  <c r="W160" i="55"/>
  <c r="W95" i="55"/>
  <c r="W110" i="55"/>
  <c r="W133" i="55"/>
  <c r="W121" i="55"/>
  <c r="W101" i="55"/>
  <c r="W128" i="55"/>
  <c r="W146" i="55"/>
  <c r="W150" i="55"/>
  <c r="W94" i="55"/>
  <c r="W122" i="55"/>
  <c r="W105" i="55"/>
  <c r="X16" i="47"/>
  <c r="Z17" i="47"/>
  <c r="Z13" i="47"/>
  <c r="AN20" i="47"/>
  <c r="AO38" i="47"/>
  <c r="AO30" i="47"/>
  <c r="AJ71" i="55"/>
  <c r="N30" i="35"/>
  <c r="N14" i="1"/>
  <c r="I28" i="35" s="1"/>
  <c r="N32" i="35"/>
  <c r="K30" i="35"/>
  <c r="M30" i="35" s="1"/>
  <c r="AJ47" i="55"/>
  <c r="N10" i="21"/>
  <c r="J111" i="36" s="1"/>
  <c r="O10" i="21"/>
  <c r="K111" i="36" s="1"/>
  <c r="N47" i="33"/>
  <c r="G32" i="21"/>
  <c r="AJ58" i="55"/>
  <c r="O84" i="36"/>
  <c r="I17" i="36"/>
  <c r="K25" i="35"/>
  <c r="M25" i="35" s="1"/>
  <c r="K23" i="35"/>
  <c r="L23" i="35" s="1"/>
  <c r="K22" i="35"/>
  <c r="M22" i="35" s="1"/>
  <c r="O20" i="36"/>
  <c r="O6" i="6"/>
  <c r="K17" i="36" s="1"/>
  <c r="L17" i="36" s="1"/>
  <c r="N22" i="35"/>
  <c r="N25" i="35"/>
  <c r="H38" i="27"/>
  <c r="H39" i="27" s="1"/>
  <c r="N91" i="36"/>
  <c r="F31" i="34"/>
  <c r="O80" i="36"/>
  <c r="L26" i="36"/>
  <c r="M26" i="36" s="1"/>
  <c r="K32" i="35"/>
  <c r="N33" i="35"/>
  <c r="L80" i="36"/>
  <c r="M80" i="36" s="1"/>
  <c r="K102" i="35"/>
  <c r="M102" i="35" s="1"/>
  <c r="N102" i="35"/>
  <c r="L78" i="36"/>
  <c r="N78" i="36" s="1"/>
  <c r="O78" i="36"/>
  <c r="AJ33" i="55"/>
  <c r="AJ39" i="55"/>
  <c r="N6" i="11"/>
  <c r="J47" i="36" s="1"/>
  <c r="H38" i="11"/>
  <c r="H39" i="11" s="1"/>
  <c r="N7" i="11"/>
  <c r="O7" i="11"/>
  <c r="AJ114" i="55"/>
  <c r="AJ115" i="55"/>
  <c r="H39" i="23"/>
  <c r="N150" i="35"/>
  <c r="AU82" i="55"/>
  <c r="AU89" i="55"/>
  <c r="AU66" i="55"/>
  <c r="AU76" i="55"/>
  <c r="AU64" i="55"/>
  <c r="AU88" i="55"/>
  <c r="AU73" i="55"/>
  <c r="AU59" i="55"/>
  <c r="AU68" i="55"/>
  <c r="N3" i="35"/>
  <c r="T4" i="47" s="1"/>
  <c r="L2" i="36"/>
  <c r="N2" i="36" s="1"/>
  <c r="AU98" i="55"/>
  <c r="AU99" i="55"/>
  <c r="AU94" i="55"/>
  <c r="AU101" i="55"/>
  <c r="AU50" i="55"/>
  <c r="AU83" i="55"/>
  <c r="AU95" i="55"/>
  <c r="AU56" i="55"/>
  <c r="AU60" i="55"/>
  <c r="K3" i="35"/>
  <c r="M3" i="35" s="1"/>
  <c r="AK129" i="55"/>
  <c r="M47" i="33"/>
  <c r="N196" i="35"/>
  <c r="N17" i="29"/>
  <c r="O17" i="29"/>
  <c r="J187" i="35" s="1"/>
  <c r="N151" i="35"/>
  <c r="N45" i="33"/>
  <c r="F43" i="47" s="1"/>
  <c r="N39" i="33"/>
  <c r="F37" i="47" s="1"/>
  <c r="G32" i="18"/>
  <c r="M39" i="33"/>
  <c r="O90" i="36"/>
  <c r="I101" i="35"/>
  <c r="N58" i="35"/>
  <c r="I29" i="35"/>
  <c r="J29" i="35"/>
  <c r="N27" i="35"/>
  <c r="K31" i="35"/>
  <c r="L31" i="35" s="1"/>
  <c r="O2" i="36"/>
  <c r="M3" i="47" s="1"/>
  <c r="M61" i="33"/>
  <c r="N61" i="33"/>
  <c r="F32" i="23"/>
  <c r="O8" i="2"/>
  <c r="K145" i="36" s="1"/>
  <c r="N18" i="27"/>
  <c r="I172" i="35" s="1"/>
  <c r="K110" i="35"/>
  <c r="L110" i="35" s="1"/>
  <c r="O21" i="36"/>
  <c r="M147" i="35"/>
  <c r="M52" i="33"/>
  <c r="K112" i="35"/>
  <c r="M112" i="35" s="1"/>
  <c r="N90" i="36"/>
  <c r="L3" i="34"/>
  <c r="AA4" i="47" s="1"/>
  <c r="F32" i="5"/>
  <c r="F32" i="3"/>
  <c r="O88" i="36"/>
  <c r="N130" i="35"/>
  <c r="N8" i="11"/>
  <c r="O8" i="11"/>
  <c r="I48" i="36"/>
  <c r="N31" i="35"/>
  <c r="M88" i="36"/>
  <c r="N88" i="36"/>
  <c r="N54" i="35"/>
  <c r="L147" i="35"/>
  <c r="I145" i="36"/>
  <c r="L27" i="34"/>
  <c r="G32" i="20"/>
  <c r="N38" i="33"/>
  <c r="F36" i="47" s="1"/>
  <c r="J27" i="34"/>
  <c r="O6" i="19"/>
  <c r="K97" i="36" s="1"/>
  <c r="M54" i="35"/>
  <c r="K130" i="35"/>
  <c r="G32" i="11"/>
  <c r="L54" i="35"/>
  <c r="G32" i="23"/>
  <c r="K27" i="34"/>
  <c r="L2" i="34"/>
  <c r="J88" i="34"/>
  <c r="K131" i="35"/>
  <c r="L131" i="35" s="1"/>
  <c r="O12" i="36"/>
  <c r="N23" i="35"/>
  <c r="I2" i="34"/>
  <c r="L25" i="34"/>
  <c r="I25" i="34"/>
  <c r="O18" i="27"/>
  <c r="J172" i="35" s="1"/>
  <c r="N146" i="36"/>
  <c r="L106" i="36"/>
  <c r="N106" i="36" s="1"/>
  <c r="N12" i="36"/>
  <c r="M33" i="36"/>
  <c r="M12" i="36"/>
  <c r="I45" i="55"/>
  <c r="M38" i="33"/>
  <c r="G32" i="5"/>
  <c r="F33" i="47"/>
  <c r="N52" i="33"/>
  <c r="N131" i="35"/>
  <c r="M146" i="36"/>
  <c r="N23" i="18"/>
  <c r="G54" i="34" s="1"/>
  <c r="I54" i="34" s="1"/>
  <c r="AU15" i="55"/>
  <c r="F11" i="34"/>
  <c r="O22" i="6"/>
  <c r="H11" i="34" s="1"/>
  <c r="N22" i="6"/>
  <c r="G11" i="34" s="1"/>
  <c r="G22" i="33"/>
  <c r="F32" i="11"/>
  <c r="O22" i="20"/>
  <c r="H59" i="34" s="1"/>
  <c r="AX4" i="55" s="1"/>
  <c r="N22" i="20"/>
  <c r="G59" i="34" s="1"/>
  <c r="F59" i="34"/>
  <c r="G5" i="55"/>
  <c r="M7" i="33"/>
  <c r="F5" i="55"/>
  <c r="N7" i="33"/>
  <c r="M4" i="55" s="1"/>
  <c r="F54" i="34"/>
  <c r="N129" i="35"/>
  <c r="K129" i="35"/>
  <c r="L82" i="34"/>
  <c r="G32" i="3"/>
  <c r="N21" i="36"/>
  <c r="H38" i="6"/>
  <c r="H39" i="6" s="1"/>
  <c r="H38" i="20"/>
  <c r="H39" i="20" s="1"/>
  <c r="K27" i="35"/>
  <c r="M27" i="35" s="1"/>
  <c r="N112" i="35"/>
  <c r="AJ129" i="55"/>
  <c r="M45" i="33"/>
  <c r="I82" i="34"/>
  <c r="N66" i="35"/>
  <c r="K66" i="35"/>
  <c r="O22" i="1"/>
  <c r="F16" i="34"/>
  <c r="AV26" i="55" s="1"/>
  <c r="N22" i="1"/>
  <c r="G16" i="34" s="1"/>
  <c r="N17" i="27"/>
  <c r="I170" i="35" s="1"/>
  <c r="AL115" i="55" s="1"/>
  <c r="H170" i="35"/>
  <c r="AK115" i="55" s="1"/>
  <c r="O17" i="27"/>
  <c r="J170" i="35" s="1"/>
  <c r="AM115" i="55" s="1"/>
  <c r="N147" i="35"/>
  <c r="AJ100" i="55"/>
  <c r="O146" i="36"/>
  <c r="N14" i="11"/>
  <c r="H59" i="35"/>
  <c r="AK82" i="55" s="1"/>
  <c r="O14" i="11"/>
  <c r="AJ103" i="55"/>
  <c r="N132" i="35"/>
  <c r="O9" i="20"/>
  <c r="K105" i="36" s="1"/>
  <c r="I105" i="36"/>
  <c r="N9" i="20"/>
  <c r="J105" i="36" s="1"/>
  <c r="O106" i="36"/>
  <c r="O104" i="36"/>
  <c r="L104" i="36"/>
  <c r="K132" i="35"/>
  <c r="N18" i="20"/>
  <c r="I134" i="35" s="1"/>
  <c r="H134" i="35"/>
  <c r="O18" i="20"/>
  <c r="J134" i="35" s="1"/>
  <c r="L88" i="34"/>
  <c r="O25" i="36"/>
  <c r="N13" i="33"/>
  <c r="K28" i="34"/>
  <c r="H53" i="35"/>
  <c r="AK54" i="55" s="1"/>
  <c r="O14" i="10"/>
  <c r="J53" i="35" s="1"/>
  <c r="K53" i="35" s="1"/>
  <c r="M12" i="33"/>
  <c r="M90" i="36"/>
  <c r="M13" i="33"/>
  <c r="N7" i="10"/>
  <c r="J42" i="36" s="1"/>
  <c r="J182" i="35"/>
  <c r="H182" i="35"/>
  <c r="I182" i="35"/>
  <c r="O13" i="24"/>
  <c r="J154" i="35" s="1"/>
  <c r="H154" i="35"/>
  <c r="N13" i="24"/>
  <c r="I154" i="35" s="1"/>
  <c r="O7" i="10"/>
  <c r="K42" i="36" s="1"/>
  <c r="O46" i="36"/>
  <c r="AJ89" i="55"/>
  <c r="K24" i="55"/>
  <c r="M64" i="33"/>
  <c r="N64" i="33"/>
  <c r="L28" i="34"/>
  <c r="M18" i="36"/>
  <c r="L46" i="36"/>
  <c r="N12" i="33"/>
  <c r="J28" i="34"/>
  <c r="H183" i="35"/>
  <c r="I183" i="35"/>
  <c r="J183" i="35"/>
  <c r="K107" i="35"/>
  <c r="L107" i="35" s="1"/>
  <c r="M36" i="33"/>
  <c r="M62" i="33"/>
  <c r="L11" i="36"/>
  <c r="M11" i="36" s="1"/>
  <c r="L133" i="36"/>
  <c r="N133" i="36" s="1"/>
  <c r="O24" i="36"/>
  <c r="N42" i="35"/>
  <c r="N184" i="35"/>
  <c r="L64" i="34"/>
  <c r="I6" i="34"/>
  <c r="J6" i="34" s="1"/>
  <c r="I81" i="34"/>
  <c r="J81" i="34" s="1"/>
  <c r="L68" i="34"/>
  <c r="K8" i="35"/>
  <c r="M8" i="35" s="1"/>
  <c r="L153" i="35"/>
  <c r="N67" i="35"/>
  <c r="K12" i="35"/>
  <c r="K41" i="35"/>
  <c r="M41" i="35" s="1"/>
  <c r="AL4" i="55"/>
  <c r="K184" i="35"/>
  <c r="M184" i="35" s="1"/>
  <c r="AI52" i="55"/>
  <c r="M14" i="35"/>
  <c r="L19" i="36"/>
  <c r="M19" i="36" s="1"/>
  <c r="O19" i="36"/>
  <c r="N6" i="19"/>
  <c r="J97" i="36" s="1"/>
  <c r="O102" i="36"/>
  <c r="M21" i="36"/>
  <c r="L35" i="36"/>
  <c r="M35" i="36" s="1"/>
  <c r="M54" i="36"/>
  <c r="L32" i="55"/>
  <c r="N26" i="33"/>
  <c r="L47" i="55"/>
  <c r="M11" i="33"/>
  <c r="F47" i="55"/>
  <c r="N9" i="33"/>
  <c r="M2" i="55" s="1"/>
  <c r="N11" i="33"/>
  <c r="M9" i="33"/>
  <c r="M71" i="36"/>
  <c r="N71" i="36"/>
  <c r="O71" i="36"/>
  <c r="I48" i="34"/>
  <c r="K48" i="34" s="1"/>
  <c r="M51" i="33"/>
  <c r="L8" i="36"/>
  <c r="N8" i="36" s="1"/>
  <c r="N8" i="35"/>
  <c r="K67" i="35"/>
  <c r="O8" i="36"/>
  <c r="L6" i="34"/>
  <c r="AA7" i="47" s="1"/>
  <c r="K46" i="35"/>
  <c r="L147" i="36"/>
  <c r="N147" i="36" s="1"/>
  <c r="I89" i="34"/>
  <c r="L34" i="36"/>
  <c r="L126" i="36"/>
  <c r="K20" i="35"/>
  <c r="O34" i="36"/>
  <c r="L89" i="34"/>
  <c r="N20" i="35"/>
  <c r="L138" i="36"/>
  <c r="N138" i="36" s="1"/>
  <c r="I64" i="34"/>
  <c r="J64" i="34" s="1"/>
  <c r="O151" i="36"/>
  <c r="L102" i="36"/>
  <c r="K42" i="35"/>
  <c r="O11" i="36"/>
  <c r="O126" i="36"/>
  <c r="N41" i="35"/>
  <c r="I68" i="34"/>
  <c r="AK117" i="55"/>
  <c r="I50" i="34"/>
  <c r="K10" i="35"/>
  <c r="L10" i="35" s="1"/>
  <c r="K114" i="35"/>
  <c r="L50" i="34"/>
  <c r="L53" i="34"/>
  <c r="I53" i="34"/>
  <c r="AJ105" i="55"/>
  <c r="L7" i="34"/>
  <c r="AY75" i="55" s="1"/>
  <c r="L48" i="34"/>
  <c r="L90" i="34"/>
  <c r="O41" i="36"/>
  <c r="L41" i="36"/>
  <c r="L136" i="36"/>
  <c r="N136" i="36" s="1"/>
  <c r="L29" i="34"/>
  <c r="N8" i="33"/>
  <c r="F8" i="47" s="1"/>
  <c r="I29" i="34"/>
  <c r="W78" i="55"/>
  <c r="AJ107" i="55"/>
  <c r="J82" i="36"/>
  <c r="I7" i="34"/>
  <c r="H57" i="35"/>
  <c r="O17" i="10"/>
  <c r="J57" i="35" s="1"/>
  <c r="N17" i="10"/>
  <c r="I57" i="35" s="1"/>
  <c r="AJ69" i="55"/>
  <c r="AJ23" i="55"/>
  <c r="K176" i="35"/>
  <c r="N176" i="35"/>
  <c r="AJ13" i="55"/>
  <c r="L151" i="36"/>
  <c r="I90" i="34"/>
  <c r="N17" i="19"/>
  <c r="H124" i="35"/>
  <c r="AK103" i="55" s="1"/>
  <c r="O17" i="19"/>
  <c r="W7" i="55"/>
  <c r="W8" i="55"/>
  <c r="N46" i="35"/>
  <c r="AK184" i="55"/>
  <c r="N10" i="35"/>
  <c r="H38" i="10"/>
  <c r="H39" i="10" s="1"/>
  <c r="O108" i="36"/>
  <c r="K4" i="35"/>
  <c r="AJ74" i="55"/>
  <c r="AM75" i="55"/>
  <c r="AJ12" i="55"/>
  <c r="AJ11" i="55"/>
  <c r="N4" i="35"/>
  <c r="O4" i="36"/>
  <c r="M5" i="47" s="1"/>
  <c r="AK75" i="55"/>
  <c r="O147" i="36"/>
  <c r="AL92" i="55"/>
  <c r="L4" i="36"/>
  <c r="N36" i="33"/>
  <c r="F34" i="47" s="1"/>
  <c r="I47" i="55"/>
  <c r="N56" i="33"/>
  <c r="G48" i="55"/>
  <c r="M74" i="33"/>
  <c r="G64" i="55"/>
  <c r="G63" i="55"/>
  <c r="G56" i="55"/>
  <c r="G75" i="55"/>
  <c r="G79" i="55"/>
  <c r="G62" i="55"/>
  <c r="G61" i="55"/>
  <c r="G59" i="55"/>
  <c r="G80" i="55"/>
  <c r="G66" i="55"/>
  <c r="G71" i="55"/>
  <c r="G76" i="55"/>
  <c r="G60" i="55"/>
  <c r="G73" i="55"/>
  <c r="G55" i="55"/>
  <c r="G77" i="55"/>
  <c r="G68" i="55"/>
  <c r="G70" i="55"/>
  <c r="G53" i="55"/>
  <c r="G72" i="55"/>
  <c r="G65" i="55"/>
  <c r="G69" i="55"/>
  <c r="G67" i="55"/>
  <c r="G74" i="55"/>
  <c r="G54" i="55"/>
  <c r="G78" i="55"/>
  <c r="G52" i="55"/>
  <c r="G58" i="55"/>
  <c r="G57" i="55"/>
  <c r="M48" i="33"/>
  <c r="G39" i="55"/>
  <c r="H41" i="55"/>
  <c r="H63" i="55"/>
  <c r="H65" i="55"/>
  <c r="H61" i="55"/>
  <c r="H79" i="55"/>
  <c r="H71" i="55"/>
  <c r="H67" i="55"/>
  <c r="H80" i="55"/>
  <c r="H56" i="55"/>
  <c r="H58" i="55"/>
  <c r="H77" i="55"/>
  <c r="H72" i="55"/>
  <c r="H54" i="55"/>
  <c r="H69" i="55"/>
  <c r="H68" i="55"/>
  <c r="H74" i="55"/>
  <c r="H66" i="55"/>
  <c r="H70" i="55"/>
  <c r="H55" i="55"/>
  <c r="H76" i="55"/>
  <c r="H52" i="55"/>
  <c r="H64" i="55"/>
  <c r="H60" i="55"/>
  <c r="H53" i="55"/>
  <c r="H78" i="55"/>
  <c r="H62" i="55"/>
  <c r="H57" i="55"/>
  <c r="H73" i="55"/>
  <c r="H75" i="55"/>
  <c r="H59" i="55"/>
  <c r="H25" i="55"/>
  <c r="H19" i="55"/>
  <c r="F29" i="55"/>
  <c r="F37" i="55"/>
  <c r="I29" i="55"/>
  <c r="I37" i="55"/>
  <c r="K28" i="47"/>
  <c r="J28" i="47"/>
  <c r="L28" i="47"/>
  <c r="D33" i="55"/>
  <c r="C33" i="55"/>
  <c r="O35" i="36"/>
  <c r="O133" i="36"/>
  <c r="AU35" i="55"/>
  <c r="AU34" i="55"/>
  <c r="N68" i="35"/>
  <c r="N15" i="22"/>
  <c r="I143" i="35" s="1"/>
  <c r="O15" i="22"/>
  <c r="J143" i="35" s="1"/>
  <c r="H143" i="35"/>
  <c r="AK105" i="55" s="1"/>
  <c r="V78" i="55"/>
  <c r="V83" i="55"/>
  <c r="O17" i="25"/>
  <c r="N17" i="25"/>
  <c r="H119" i="35"/>
  <c r="M42" i="33"/>
  <c r="G40" i="55"/>
  <c r="H161" i="35"/>
  <c r="AK11" i="55" s="1"/>
  <c r="O13" i="26"/>
  <c r="J161" i="35" s="1"/>
  <c r="AM11" i="55" s="1"/>
  <c r="N13" i="26"/>
  <c r="I161" i="35" s="1"/>
  <c r="O22" i="22"/>
  <c r="H65" i="34" s="1"/>
  <c r="N22" i="22"/>
  <c r="G65" i="34" s="1"/>
  <c r="F65" i="34"/>
  <c r="K148" i="35"/>
  <c r="J93" i="35"/>
  <c r="I93" i="35"/>
  <c r="H93" i="35"/>
  <c r="O6" i="25"/>
  <c r="N6" i="25"/>
  <c r="I92" i="36"/>
  <c r="X20" i="55" s="1"/>
  <c r="H38" i="25"/>
  <c r="H39" i="25" s="1"/>
  <c r="M67" i="33"/>
  <c r="K35" i="55"/>
  <c r="O55" i="36"/>
  <c r="F32" i="19"/>
  <c r="G43" i="33"/>
  <c r="G20" i="55" s="1"/>
  <c r="N63" i="33"/>
  <c r="AJ104" i="55"/>
  <c r="N51" i="33"/>
  <c r="G32" i="2"/>
  <c r="H65" i="33"/>
  <c r="H45" i="55" s="1"/>
  <c r="N8" i="16"/>
  <c r="J74" i="36" s="1"/>
  <c r="O8" i="16"/>
  <c r="K74" i="36" s="1"/>
  <c r="I74" i="36"/>
  <c r="X90" i="55" s="1"/>
  <c r="O18" i="26"/>
  <c r="N18" i="26"/>
  <c r="H163" i="35"/>
  <c r="F35" i="34"/>
  <c r="N22" i="13"/>
  <c r="G35" i="34" s="1"/>
  <c r="O22" i="13"/>
  <c r="H35" i="34" s="1"/>
  <c r="AX19" i="55" s="1"/>
  <c r="N173" i="35"/>
  <c r="L81" i="34"/>
  <c r="L108" i="36"/>
  <c r="F32" i="25"/>
  <c r="G41" i="33"/>
  <c r="W88" i="55"/>
  <c r="N22" i="26"/>
  <c r="G77" i="34" s="1"/>
  <c r="O22" i="26"/>
  <c r="H77" i="34" s="1"/>
  <c r="F77" i="34"/>
  <c r="AJ113" i="55"/>
  <c r="AJ109" i="55"/>
  <c r="J87" i="35"/>
  <c r="H87" i="35"/>
  <c r="I87" i="35"/>
  <c r="L9" i="34"/>
  <c r="F86" i="34"/>
  <c r="AV6" i="55" s="1"/>
  <c r="N22" i="2"/>
  <c r="G86" i="34" s="1"/>
  <c r="O22" i="2"/>
  <c r="H86" i="34" s="1"/>
  <c r="N23" i="30"/>
  <c r="G93" i="34" s="1"/>
  <c r="F93" i="34"/>
  <c r="O23" i="30"/>
  <c r="H93" i="34" s="1"/>
  <c r="O16" i="26"/>
  <c r="J164" i="35" s="1"/>
  <c r="N16" i="26"/>
  <c r="I164" i="35" s="1"/>
  <c r="H164" i="35"/>
  <c r="G55" i="33"/>
  <c r="G38" i="55" s="1"/>
  <c r="F32" i="24"/>
  <c r="H125" i="35"/>
  <c r="N16" i="19"/>
  <c r="O16" i="19"/>
  <c r="J95" i="35"/>
  <c r="I95" i="35"/>
  <c r="H95" i="35"/>
  <c r="O8" i="25"/>
  <c r="K94" i="36" s="1"/>
  <c r="I94" i="36"/>
  <c r="N8" i="25"/>
  <c r="J94" i="36" s="1"/>
  <c r="K85" i="35"/>
  <c r="N9" i="19"/>
  <c r="I99" i="36"/>
  <c r="X56" i="55" s="1"/>
  <c r="O9" i="19"/>
  <c r="AU13" i="55"/>
  <c r="M4" i="33"/>
  <c r="F58" i="34"/>
  <c r="N24" i="19"/>
  <c r="G58" i="34" s="1"/>
  <c r="O24" i="19"/>
  <c r="H58" i="34" s="1"/>
  <c r="I57" i="36"/>
  <c r="N6" i="13"/>
  <c r="O6" i="13"/>
  <c r="H38" i="13"/>
  <c r="H39" i="13" s="1"/>
  <c r="I69" i="36"/>
  <c r="X77" i="55" s="1"/>
  <c r="N8" i="15"/>
  <c r="J69" i="36" s="1"/>
  <c r="Y95" i="55" s="1"/>
  <c r="O8" i="15"/>
  <c r="K69" i="36" s="1"/>
  <c r="Z95" i="55" s="1"/>
  <c r="AJ77" i="55"/>
  <c r="O22" i="16"/>
  <c r="H44" i="34" s="1"/>
  <c r="AX9" i="55" s="1"/>
  <c r="N22" i="16"/>
  <c r="G44" i="34" s="1"/>
  <c r="F44" i="34"/>
  <c r="W35" i="55"/>
  <c r="K9" i="35"/>
  <c r="AU33" i="55"/>
  <c r="H74" i="35"/>
  <c r="N17" i="13"/>
  <c r="I74" i="35" s="1"/>
  <c r="O17" i="13"/>
  <c r="J74" i="35" s="1"/>
  <c r="K7" i="36"/>
  <c r="W51" i="55"/>
  <c r="W46" i="55"/>
  <c r="AJ111" i="55"/>
  <c r="F78" i="34"/>
  <c r="O23" i="26"/>
  <c r="H78" i="34" s="1"/>
  <c r="N23" i="26"/>
  <c r="G78" i="34" s="1"/>
  <c r="O6" i="22"/>
  <c r="N6" i="22"/>
  <c r="H38" i="22"/>
  <c r="H39" i="22" s="1"/>
  <c r="I112" i="36"/>
  <c r="O19" i="24"/>
  <c r="J160" i="35" s="1"/>
  <c r="H160" i="35"/>
  <c r="N19" i="24"/>
  <c r="I160" i="35" s="1"/>
  <c r="L55" i="36"/>
  <c r="O16" i="14"/>
  <c r="J80" i="35" s="1"/>
  <c r="N16" i="14"/>
  <c r="I80" i="35" s="1"/>
  <c r="H80" i="35"/>
  <c r="W37" i="55"/>
  <c r="W39" i="55"/>
  <c r="O6" i="16"/>
  <c r="H38" i="16"/>
  <c r="H39" i="16" s="1"/>
  <c r="N6" i="16"/>
  <c r="I72" i="36"/>
  <c r="N59" i="33"/>
  <c r="F54" i="47" s="1"/>
  <c r="H75" i="34"/>
  <c r="G75" i="34"/>
  <c r="F75" i="34"/>
  <c r="O19" i="31"/>
  <c r="J203" i="35" s="1"/>
  <c r="N19" i="31"/>
  <c r="I203" i="35" s="1"/>
  <c r="H203" i="35"/>
  <c r="W57" i="55"/>
  <c r="AW2" i="55"/>
  <c r="I47" i="34"/>
  <c r="AJ98" i="55"/>
  <c r="I88" i="35"/>
  <c r="H88" i="35"/>
  <c r="J88" i="35"/>
  <c r="O10" i="14"/>
  <c r="K66" i="36" s="1"/>
  <c r="N10" i="14"/>
  <c r="J66" i="36" s="1"/>
  <c r="I66" i="36"/>
  <c r="J193" i="35"/>
  <c r="H193" i="35"/>
  <c r="I193" i="35"/>
  <c r="O8" i="31"/>
  <c r="K159" i="36" s="1"/>
  <c r="I159" i="36"/>
  <c r="N8" i="31"/>
  <c r="J159" i="36" s="1"/>
  <c r="Y100" i="55" s="1"/>
  <c r="G43" i="55"/>
  <c r="M70" i="33"/>
  <c r="F73" i="34"/>
  <c r="O24" i="24"/>
  <c r="H73" i="34" s="1"/>
  <c r="N24" i="24"/>
  <c r="G73" i="34" s="1"/>
  <c r="N15" i="19"/>
  <c r="H126" i="35"/>
  <c r="O15" i="19"/>
  <c r="AU42" i="55"/>
  <c r="I9" i="34"/>
  <c r="AJ14" i="55"/>
  <c r="G32" i="31"/>
  <c r="H72" i="33"/>
  <c r="H12" i="55" s="1"/>
  <c r="H55" i="33"/>
  <c r="H38" i="55" s="1"/>
  <c r="G32" i="24"/>
  <c r="N24" i="14"/>
  <c r="G40" i="34" s="1"/>
  <c r="O24" i="14"/>
  <c r="H40" i="34" s="1"/>
  <c r="F40" i="34"/>
  <c r="L32" i="34"/>
  <c r="AJ19" i="55"/>
  <c r="N4" i="33"/>
  <c r="M49" i="55" s="1"/>
  <c r="O10" i="26"/>
  <c r="K131" i="36" s="1"/>
  <c r="N10" i="26"/>
  <c r="J131" i="36" s="1"/>
  <c r="I131" i="36"/>
  <c r="G32" i="22"/>
  <c r="H49" i="33"/>
  <c r="H26" i="55" s="1"/>
  <c r="O19" i="14"/>
  <c r="J83" i="35" s="1"/>
  <c r="N19" i="14"/>
  <c r="I83" i="35" s="1"/>
  <c r="H83" i="35"/>
  <c r="N22" i="30"/>
  <c r="G92" i="34" s="1"/>
  <c r="F92" i="34"/>
  <c r="O22" i="30"/>
  <c r="H92" i="34" s="1"/>
  <c r="O8" i="22"/>
  <c r="N8" i="22"/>
  <c r="I113" i="36"/>
  <c r="AJ125" i="55"/>
  <c r="N13" i="14"/>
  <c r="I77" i="35" s="1"/>
  <c r="O13" i="14"/>
  <c r="J77" i="35" s="1"/>
  <c r="H77" i="35"/>
  <c r="AK17" i="55" s="1"/>
  <c r="I93" i="36"/>
  <c r="N7" i="25"/>
  <c r="J93" i="36" s="1"/>
  <c r="O7" i="25"/>
  <c r="K93" i="36" s="1"/>
  <c r="AH50" i="55"/>
  <c r="W44" i="55"/>
  <c r="N23" i="14"/>
  <c r="G39" i="34" s="1"/>
  <c r="AW51" i="55" s="1"/>
  <c r="O23" i="14"/>
  <c r="H39" i="34" s="1"/>
  <c r="AX51" i="55" s="1"/>
  <c r="F39" i="34"/>
  <c r="AV51" i="55" s="1"/>
  <c r="AU37" i="55"/>
  <c r="O9" i="26"/>
  <c r="K130" i="36" s="1"/>
  <c r="I130" i="36"/>
  <c r="N9" i="26"/>
  <c r="J130" i="36" s="1"/>
  <c r="N24" i="22"/>
  <c r="O24" i="22"/>
  <c r="F66" i="34"/>
  <c r="AV22" i="55" s="1"/>
  <c r="I22" i="34"/>
  <c r="AJ85" i="55"/>
  <c r="I100" i="36"/>
  <c r="O8" i="19"/>
  <c r="N8" i="19"/>
  <c r="N15" i="30"/>
  <c r="I192" i="35" s="1"/>
  <c r="AL93" i="55" s="1"/>
  <c r="H192" i="35"/>
  <c r="AK93" i="55" s="1"/>
  <c r="O15" i="30"/>
  <c r="J192" i="35" s="1"/>
  <c r="AM93" i="55" s="1"/>
  <c r="AJ24" i="55"/>
  <c r="O18" i="19"/>
  <c r="J128" i="35" s="1"/>
  <c r="N18" i="19"/>
  <c r="I128" i="35" s="1"/>
  <c r="H128" i="35"/>
  <c r="O7" i="13"/>
  <c r="K58" i="36" s="1"/>
  <c r="Z70" i="55" s="1"/>
  <c r="N7" i="13"/>
  <c r="J58" i="36" s="1"/>
  <c r="Y70" i="55" s="1"/>
  <c r="I58" i="36"/>
  <c r="X70" i="55" s="1"/>
  <c r="O8" i="26"/>
  <c r="K129" i="36" s="1"/>
  <c r="I129" i="36"/>
  <c r="N8" i="26"/>
  <c r="J129" i="36" s="1"/>
  <c r="L47" i="34"/>
  <c r="AV2" i="55"/>
  <c r="AU28" i="55"/>
  <c r="AJ18" i="55"/>
  <c r="O24" i="13"/>
  <c r="H37" i="34" s="1"/>
  <c r="N24" i="13"/>
  <c r="G37" i="34" s="1"/>
  <c r="F37" i="34"/>
  <c r="W13" i="55"/>
  <c r="I194" i="35"/>
  <c r="H194" i="35"/>
  <c r="J194" i="35"/>
  <c r="O81" i="36"/>
  <c r="I128" i="36"/>
  <c r="O7" i="26"/>
  <c r="K128" i="36" s="1"/>
  <c r="N7" i="26"/>
  <c r="J128" i="36" s="1"/>
  <c r="L20" i="34"/>
  <c r="W60" i="55"/>
  <c r="W32" i="55"/>
  <c r="AU46" i="55"/>
  <c r="O23" i="15"/>
  <c r="N23" i="15"/>
  <c r="F41" i="34"/>
  <c r="M56" i="33"/>
  <c r="H91" i="35"/>
  <c r="AK38" i="55" s="1"/>
  <c r="F32" i="31"/>
  <c r="G72" i="33"/>
  <c r="G13" i="55" s="1"/>
  <c r="O15" i="26"/>
  <c r="H165" i="35"/>
  <c r="N15" i="26"/>
  <c r="O19" i="19"/>
  <c r="J127" i="35" s="1"/>
  <c r="N19" i="19"/>
  <c r="I127" i="35" s="1"/>
  <c r="H127" i="35"/>
  <c r="O13" i="30"/>
  <c r="J190" i="35" s="1"/>
  <c r="AM29" i="55" s="1"/>
  <c r="H190" i="35"/>
  <c r="AK29" i="55" s="1"/>
  <c r="N13" i="30"/>
  <c r="I190" i="35" s="1"/>
  <c r="AL29" i="55" s="1"/>
  <c r="O17" i="31"/>
  <c r="J201" i="35" s="1"/>
  <c r="N17" i="31"/>
  <c r="I201" i="35" s="1"/>
  <c r="H201" i="35"/>
  <c r="N71" i="33"/>
  <c r="F32" i="22"/>
  <c r="G49" i="33"/>
  <c r="G32" i="16"/>
  <c r="H33" i="33"/>
  <c r="H8" i="55" s="1"/>
  <c r="AU36" i="55"/>
  <c r="H162" i="35"/>
  <c r="O14" i="26"/>
  <c r="J162" i="35" s="1"/>
  <c r="N14" i="26"/>
  <c r="I162" i="35" s="1"/>
  <c r="O16" i="24"/>
  <c r="J157" i="35" s="1"/>
  <c r="N16" i="24"/>
  <c r="I157" i="35" s="1"/>
  <c r="H157" i="35"/>
  <c r="AK108" i="55" s="1"/>
  <c r="G27" i="33"/>
  <c r="F32" i="13"/>
  <c r="F56" i="34"/>
  <c r="O22" i="19"/>
  <c r="H56" i="34" s="1"/>
  <c r="N22" i="19"/>
  <c r="G56" i="34" s="1"/>
  <c r="N24" i="16"/>
  <c r="O24" i="16"/>
  <c r="F45" i="34"/>
  <c r="N64" i="35"/>
  <c r="N23" i="19"/>
  <c r="G57" i="34" s="1"/>
  <c r="O23" i="19"/>
  <c r="H57" i="34" s="1"/>
  <c r="F57" i="34"/>
  <c r="F97" i="34"/>
  <c r="G97" i="34"/>
  <c r="H97" i="34"/>
  <c r="W59" i="55"/>
  <c r="H73" i="35"/>
  <c r="O16" i="13"/>
  <c r="J73" i="35" s="1"/>
  <c r="N16" i="13"/>
  <c r="I73" i="35" s="1"/>
  <c r="N14" i="30"/>
  <c r="I191" i="35" s="1"/>
  <c r="AL34" i="55" s="1"/>
  <c r="O14" i="30"/>
  <c r="J191" i="35" s="1"/>
  <c r="AM34" i="55" s="1"/>
  <c r="H191" i="35"/>
  <c r="AK34" i="55" s="1"/>
  <c r="O9" i="13"/>
  <c r="K60" i="36" s="1"/>
  <c r="N9" i="13"/>
  <c r="J60" i="36" s="1"/>
  <c r="I60" i="36"/>
  <c r="O7" i="14"/>
  <c r="K63" i="36" s="1"/>
  <c r="N7" i="14"/>
  <c r="J63" i="36" s="1"/>
  <c r="I63" i="36"/>
  <c r="H38" i="19"/>
  <c r="H39" i="19" s="1"/>
  <c r="J7" i="36"/>
  <c r="O136" i="36"/>
  <c r="A8" i="35"/>
  <c r="L32" i="36"/>
  <c r="O17" i="14"/>
  <c r="J81" i="35" s="1"/>
  <c r="N17" i="14"/>
  <c r="I81" i="35" s="1"/>
  <c r="H81" i="35"/>
  <c r="AK110" i="55" s="1"/>
  <c r="O9" i="25"/>
  <c r="K95" i="36" s="1"/>
  <c r="N9" i="25"/>
  <c r="J95" i="36" s="1"/>
  <c r="I95" i="36"/>
  <c r="N16" i="31"/>
  <c r="O16" i="31"/>
  <c r="H199" i="35"/>
  <c r="O18" i="24"/>
  <c r="N18" i="24"/>
  <c r="H156" i="35"/>
  <c r="O9" i="14"/>
  <c r="K65" i="36" s="1"/>
  <c r="N9" i="14"/>
  <c r="J65" i="36" s="1"/>
  <c r="I65" i="36"/>
  <c r="H118" i="35"/>
  <c r="N16" i="25"/>
  <c r="O16" i="25"/>
  <c r="N15" i="31"/>
  <c r="H202" i="35"/>
  <c r="O15" i="31"/>
  <c r="F72" i="34"/>
  <c r="N23" i="24"/>
  <c r="G72" i="34" s="1"/>
  <c r="O23" i="24"/>
  <c r="H72" i="34" s="1"/>
  <c r="O13" i="13"/>
  <c r="J70" i="35" s="1"/>
  <c r="H70" i="35"/>
  <c r="AK47" i="55" s="1"/>
  <c r="N13" i="13"/>
  <c r="I70" i="35" s="1"/>
  <c r="L81" i="36"/>
  <c r="AJ10" i="55"/>
  <c r="I70" i="36"/>
  <c r="O9" i="15"/>
  <c r="K70" i="36" s="1"/>
  <c r="N9" i="15"/>
  <c r="J70" i="36" s="1"/>
  <c r="J107" i="36"/>
  <c r="Y16" i="55" s="1"/>
  <c r="G32" i="25"/>
  <c r="H41" i="33"/>
  <c r="H33" i="55" s="1"/>
  <c r="O18" i="31"/>
  <c r="H200" i="35"/>
  <c r="N18" i="31"/>
  <c r="O6" i="26"/>
  <c r="N6" i="26"/>
  <c r="I127" i="36"/>
  <c r="X6" i="55" s="1"/>
  <c r="H38" i="26"/>
  <c r="H39" i="26" s="1"/>
  <c r="N22" i="24"/>
  <c r="G71" i="34" s="1"/>
  <c r="O22" i="24"/>
  <c r="H71" i="34" s="1"/>
  <c r="F71" i="34"/>
  <c r="N8" i="13"/>
  <c r="J59" i="36" s="1"/>
  <c r="I59" i="36"/>
  <c r="O8" i="13"/>
  <c r="K59" i="36" s="1"/>
  <c r="N6" i="30"/>
  <c r="O6" i="30"/>
  <c r="I152" i="36"/>
  <c r="H38" i="30"/>
  <c r="H39" i="30" s="1"/>
  <c r="N25" i="33"/>
  <c r="M25" i="33"/>
  <c r="W52" i="55"/>
  <c r="L24" i="36"/>
  <c r="K149" i="35"/>
  <c r="M8" i="33"/>
  <c r="G42" i="55"/>
  <c r="O18" i="14"/>
  <c r="J82" i="35" s="1"/>
  <c r="N18" i="14"/>
  <c r="I82" i="35" s="1"/>
  <c r="H82" i="35"/>
  <c r="J195" i="35"/>
  <c r="H195" i="35"/>
  <c r="I195" i="35"/>
  <c r="H76" i="34"/>
  <c r="AX50" i="55" s="1"/>
  <c r="F76" i="34"/>
  <c r="G76" i="34"/>
  <c r="AW50" i="55" s="1"/>
  <c r="O17" i="22"/>
  <c r="N17" i="22"/>
  <c r="H146" i="35"/>
  <c r="N74" i="33"/>
  <c r="G32" i="13"/>
  <c r="H27" i="33"/>
  <c r="AU40" i="55"/>
  <c r="AU41" i="55"/>
  <c r="AJ35" i="55"/>
  <c r="G32" i="19"/>
  <c r="H43" i="33"/>
  <c r="H20" i="55" s="1"/>
  <c r="N14" i="24"/>
  <c r="I155" i="35" s="1"/>
  <c r="H155" i="35"/>
  <c r="O14" i="24"/>
  <c r="J155" i="35" s="1"/>
  <c r="O13" i="31"/>
  <c r="J197" i="35" s="1"/>
  <c r="H197" i="35"/>
  <c r="N13" i="31"/>
  <c r="I197" i="35" s="1"/>
  <c r="K64" i="35"/>
  <c r="AJ62" i="55"/>
  <c r="N24" i="26"/>
  <c r="G79" i="34" s="1"/>
  <c r="O24" i="26"/>
  <c r="H79" i="34" s="1"/>
  <c r="F79" i="34"/>
  <c r="M53" i="33"/>
  <c r="N53" i="33"/>
  <c r="F36" i="34"/>
  <c r="N23" i="13"/>
  <c r="G36" i="34" s="1"/>
  <c r="O23" i="13"/>
  <c r="H36" i="34" s="1"/>
  <c r="AX27" i="55" s="1"/>
  <c r="O23" i="16"/>
  <c r="N23" i="16"/>
  <c r="F46" i="34"/>
  <c r="I153" i="36"/>
  <c r="O7" i="30"/>
  <c r="K153" i="36" s="1"/>
  <c r="N7" i="30"/>
  <c r="J153" i="36" s="1"/>
  <c r="O16" i="22"/>
  <c r="J144" i="35" s="1"/>
  <c r="N16" i="22"/>
  <c r="I144" i="35" s="1"/>
  <c r="H144" i="35"/>
  <c r="AK131" i="55" s="1"/>
  <c r="H76" i="35"/>
  <c r="O19" i="13"/>
  <c r="J76" i="35" s="1"/>
  <c r="N19" i="13"/>
  <c r="I76" i="35" s="1"/>
  <c r="L22" i="34"/>
  <c r="I96" i="35"/>
  <c r="J96" i="35"/>
  <c r="H96" i="35"/>
  <c r="O14" i="31"/>
  <c r="J198" i="35" s="1"/>
  <c r="N14" i="31"/>
  <c r="I198" i="35" s="1"/>
  <c r="H198" i="35"/>
  <c r="O138" i="36"/>
  <c r="AJ45" i="55"/>
  <c r="I20" i="34"/>
  <c r="N6" i="14"/>
  <c r="O6" i="14"/>
  <c r="H38" i="14"/>
  <c r="H39" i="14" s="1"/>
  <c r="I62" i="36"/>
  <c r="X10" i="55" s="1"/>
  <c r="O9" i="16"/>
  <c r="K75" i="36" s="1"/>
  <c r="N9" i="16"/>
  <c r="J75" i="36" s="1"/>
  <c r="I75" i="36"/>
  <c r="O10" i="30"/>
  <c r="K156" i="36" s="1"/>
  <c r="I156" i="36"/>
  <c r="N10" i="30"/>
  <c r="J156" i="36" s="1"/>
  <c r="O10" i="25"/>
  <c r="K96" i="36" s="1"/>
  <c r="I96" i="36"/>
  <c r="N10" i="25"/>
  <c r="J96" i="36" s="1"/>
  <c r="N10" i="22"/>
  <c r="J116" i="36" s="1"/>
  <c r="O10" i="22"/>
  <c r="K116" i="36" s="1"/>
  <c r="I116" i="36"/>
  <c r="N14" i="19"/>
  <c r="I123" i="35" s="1"/>
  <c r="H123" i="35"/>
  <c r="O14" i="19"/>
  <c r="J123" i="35" s="1"/>
  <c r="K107" i="36"/>
  <c r="Z16" i="55" s="1"/>
  <c r="F6" i="47"/>
  <c r="AJ46" i="55"/>
  <c r="J132" i="36"/>
  <c r="AJ26" i="55"/>
  <c r="N10" i="16"/>
  <c r="J76" i="36" s="1"/>
  <c r="O10" i="16"/>
  <c r="K76" i="36" s="1"/>
  <c r="I76" i="36"/>
  <c r="N62" i="33"/>
  <c r="H120" i="35"/>
  <c r="O15" i="25"/>
  <c r="N15" i="25"/>
  <c r="N9" i="35"/>
  <c r="AJ83" i="55"/>
  <c r="O10" i="13"/>
  <c r="K61" i="36" s="1"/>
  <c r="N10" i="13"/>
  <c r="J61" i="36" s="1"/>
  <c r="I61" i="36"/>
  <c r="O7" i="2"/>
  <c r="I143" i="36"/>
  <c r="N7" i="2"/>
  <c r="H38" i="2"/>
  <c r="H39" i="2" s="1"/>
  <c r="Y170" i="55"/>
  <c r="Y99" i="55"/>
  <c r="Y167" i="55"/>
  <c r="Y142" i="55"/>
  <c r="Y138" i="55"/>
  <c r="Y159" i="55"/>
  <c r="Y166" i="55"/>
  <c r="Y162" i="55"/>
  <c r="Y154" i="55"/>
  <c r="Y171" i="55"/>
  <c r="Y110" i="55"/>
  <c r="Y126" i="55"/>
  <c r="Y96" i="55"/>
  <c r="Y146" i="55"/>
  <c r="Y102" i="55"/>
  <c r="Y158" i="55"/>
  <c r="Y150" i="55"/>
  <c r="Y118" i="55"/>
  <c r="Y131" i="55"/>
  <c r="Y111" i="55"/>
  <c r="Y135" i="55"/>
  <c r="Y116" i="55"/>
  <c r="Y109" i="55"/>
  <c r="Y123" i="55"/>
  <c r="Y125" i="55"/>
  <c r="Y144" i="55"/>
  <c r="Y145" i="55"/>
  <c r="Y140" i="55"/>
  <c r="Y103" i="55"/>
  <c r="Y141" i="55"/>
  <c r="Y147" i="55"/>
  <c r="Y120" i="55"/>
  <c r="Y155" i="55"/>
  <c r="Y133" i="55"/>
  <c r="Y148" i="55"/>
  <c r="Y161" i="55"/>
  <c r="Y106" i="55"/>
  <c r="Y104" i="55"/>
  <c r="Y127" i="55"/>
  <c r="Y160" i="55"/>
  <c r="L5" i="36"/>
  <c r="Y137" i="55"/>
  <c r="Y143" i="55"/>
  <c r="Y107" i="55"/>
  <c r="Y151" i="55"/>
  <c r="Y136" i="55"/>
  <c r="Y139" i="55"/>
  <c r="Y101" i="55"/>
  <c r="Y165" i="55"/>
  <c r="Y114" i="55"/>
  <c r="Y121" i="55"/>
  <c r="Y153" i="55"/>
  <c r="Y112" i="55"/>
  <c r="Y105" i="55"/>
  <c r="Y130" i="55"/>
  <c r="Y134" i="55"/>
  <c r="Y124" i="55"/>
  <c r="Y149" i="55"/>
  <c r="Y132" i="55"/>
  <c r="Y113" i="55"/>
  <c r="Y164" i="55"/>
  <c r="Y117" i="55"/>
  <c r="Y169" i="55"/>
  <c r="Y152" i="55"/>
  <c r="Y129" i="55"/>
  <c r="Y163" i="55"/>
  <c r="Y122" i="55"/>
  <c r="Y115" i="55"/>
  <c r="Y119" i="55"/>
  <c r="Y128" i="55"/>
  <c r="Y157" i="55"/>
  <c r="Y108" i="55"/>
  <c r="Y156" i="55"/>
  <c r="Y168" i="55"/>
  <c r="AJ37" i="55"/>
  <c r="O15" i="24"/>
  <c r="H159" i="35"/>
  <c r="N15" i="24"/>
  <c r="N48" i="33"/>
  <c r="F32" i="16"/>
  <c r="G33" i="33"/>
  <c r="G17" i="55" s="1"/>
  <c r="M59" i="33"/>
  <c r="G25" i="55"/>
  <c r="AJ7" i="55"/>
  <c r="O10" i="31"/>
  <c r="K161" i="36" s="1"/>
  <c r="N10" i="31"/>
  <c r="J161" i="36" s="1"/>
  <c r="I161" i="36"/>
  <c r="U3" i="55"/>
  <c r="N8" i="24"/>
  <c r="O8" i="24"/>
  <c r="I125" i="36"/>
  <c r="W62" i="55"/>
  <c r="J77" i="36"/>
  <c r="N8" i="30"/>
  <c r="J154" i="36" s="1"/>
  <c r="O8" i="30"/>
  <c r="K154" i="36" s="1"/>
  <c r="I154" i="36"/>
  <c r="H75" i="35"/>
  <c r="N18" i="13"/>
  <c r="I75" i="35" s="1"/>
  <c r="O18" i="13"/>
  <c r="J75" i="35" s="1"/>
  <c r="AU29" i="55"/>
  <c r="N149" i="35"/>
  <c r="Z155" i="55"/>
  <c r="Z170" i="55"/>
  <c r="Z118" i="55"/>
  <c r="Z106" i="55"/>
  <c r="Z99" i="55"/>
  <c r="Z138" i="55"/>
  <c r="Z154" i="55"/>
  <c r="Z134" i="55"/>
  <c r="Z103" i="55"/>
  <c r="Z123" i="55"/>
  <c r="Z158" i="55"/>
  <c r="Z166" i="55"/>
  <c r="Z150" i="55"/>
  <c r="Z122" i="55"/>
  <c r="Z171" i="55"/>
  <c r="Z126" i="55"/>
  <c r="Z162" i="55"/>
  <c r="Z146" i="55"/>
  <c r="Z131" i="55"/>
  <c r="Z108" i="55"/>
  <c r="Z168" i="55"/>
  <c r="Z128" i="55"/>
  <c r="Z115" i="55"/>
  <c r="Z132" i="55"/>
  <c r="Z111" i="55"/>
  <c r="Z161" i="55"/>
  <c r="Z165" i="55"/>
  <c r="Z159" i="55"/>
  <c r="Z152" i="55"/>
  <c r="Z145" i="55"/>
  <c r="Z109" i="55"/>
  <c r="Z130" i="55"/>
  <c r="Z105" i="55"/>
  <c r="Z133" i="55"/>
  <c r="Z136" i="55"/>
  <c r="Z112" i="55"/>
  <c r="Z141" i="55"/>
  <c r="Z144" i="55"/>
  <c r="Z164" i="55"/>
  <c r="Z107" i="55"/>
  <c r="Z169" i="55"/>
  <c r="Z142" i="55"/>
  <c r="Z148" i="55"/>
  <c r="Z104" i="55"/>
  <c r="Z137" i="55"/>
  <c r="Z114" i="55"/>
  <c r="Z117" i="55"/>
  <c r="Z149" i="55"/>
  <c r="Z167" i="55"/>
  <c r="Z110" i="55"/>
  <c r="Z135" i="55"/>
  <c r="Z160" i="55"/>
  <c r="Z120" i="55"/>
  <c r="Z151" i="55"/>
  <c r="Z116" i="55"/>
  <c r="Z121" i="55"/>
  <c r="Z139" i="55"/>
  <c r="Z127" i="55"/>
  <c r="Z156" i="55"/>
  <c r="Z143" i="55"/>
  <c r="Z119" i="55"/>
  <c r="Z125" i="55"/>
  <c r="Z129" i="55"/>
  <c r="Z147" i="55"/>
  <c r="Z140" i="55"/>
  <c r="Z157" i="55"/>
  <c r="Z124" i="55"/>
  <c r="Z153" i="55"/>
  <c r="Z163" i="55"/>
  <c r="Z113" i="55"/>
  <c r="O13" i="22"/>
  <c r="J141" i="35" s="1"/>
  <c r="N13" i="22"/>
  <c r="I141" i="35" s="1"/>
  <c r="AL16" i="55" s="1"/>
  <c r="H141" i="35"/>
  <c r="W84" i="55"/>
  <c r="O18" i="15"/>
  <c r="J89" i="35" s="1"/>
  <c r="N18" i="15"/>
  <c r="I89" i="35" s="1"/>
  <c r="H89" i="35"/>
  <c r="N13" i="25"/>
  <c r="I116" i="35" s="1"/>
  <c r="O13" i="25"/>
  <c r="J116" i="35" s="1"/>
  <c r="H116" i="35"/>
  <c r="O9" i="31"/>
  <c r="K160" i="36" s="1"/>
  <c r="N9" i="31"/>
  <c r="J160" i="36" s="1"/>
  <c r="I160" i="36"/>
  <c r="N18" i="22"/>
  <c r="O18" i="22"/>
  <c r="H145" i="35"/>
  <c r="N14" i="22"/>
  <c r="I142" i="35" s="1"/>
  <c r="O14" i="22"/>
  <c r="J142" i="35" s="1"/>
  <c r="H142" i="35"/>
  <c r="N9" i="24"/>
  <c r="I123" i="36"/>
  <c r="X35" i="55" s="1"/>
  <c r="O9" i="24"/>
  <c r="I101" i="36"/>
  <c r="O10" i="19"/>
  <c r="K101" i="36" s="1"/>
  <c r="N10" i="19"/>
  <c r="J101" i="36" s="1"/>
  <c r="AJ43" i="55"/>
  <c r="F32" i="14"/>
  <c r="G29" i="33"/>
  <c r="G7" i="55" s="1"/>
  <c r="N148" i="35"/>
  <c r="N14" i="16"/>
  <c r="I90" i="35" s="1"/>
  <c r="O14" i="16"/>
  <c r="J90" i="35" s="1"/>
  <c r="H90" i="35"/>
  <c r="I68" i="36"/>
  <c r="O7" i="15"/>
  <c r="K68" i="36" s="1"/>
  <c r="N7" i="15"/>
  <c r="J68" i="36" s="1"/>
  <c r="K68" i="35"/>
  <c r="W76" i="55"/>
  <c r="N177" i="35"/>
  <c r="O52" i="36"/>
  <c r="O6" i="15"/>
  <c r="N6" i="15"/>
  <c r="I67" i="36"/>
  <c r="X44" i="55" s="1"/>
  <c r="H38" i="15"/>
  <c r="H39" i="15" s="1"/>
  <c r="I94" i="35"/>
  <c r="J94" i="35"/>
  <c r="H94" i="35"/>
  <c r="F32" i="30"/>
  <c r="G69" i="33"/>
  <c r="O7" i="31"/>
  <c r="K158" i="36" s="1"/>
  <c r="N7" i="31"/>
  <c r="J158" i="36" s="1"/>
  <c r="I158" i="36"/>
  <c r="H72" i="35"/>
  <c r="O15" i="13"/>
  <c r="N15" i="13"/>
  <c r="K173" i="35"/>
  <c r="AJ48" i="55"/>
  <c r="AJ51" i="55"/>
  <c r="O18" i="25"/>
  <c r="J121" i="35" s="1"/>
  <c r="H121" i="35"/>
  <c r="N18" i="25"/>
  <c r="I121" i="35" s="1"/>
  <c r="N67" i="33"/>
  <c r="N70" i="33"/>
  <c r="W63" i="55"/>
  <c r="M26" i="33"/>
  <c r="K21" i="55"/>
  <c r="N14" i="25"/>
  <c r="I117" i="35" s="1"/>
  <c r="O14" i="25"/>
  <c r="J117" i="35" s="1"/>
  <c r="H117" i="35"/>
  <c r="AK55" i="55" s="1"/>
  <c r="O22" i="31"/>
  <c r="H95" i="34" s="1"/>
  <c r="F95" i="34"/>
  <c r="N22" i="31"/>
  <c r="G95" i="34" s="1"/>
  <c r="M71" i="33"/>
  <c r="AJ106" i="55"/>
  <c r="M63" i="33"/>
  <c r="H48" i="55"/>
  <c r="F42" i="34"/>
  <c r="AV48" i="55" s="1"/>
  <c r="O24" i="15"/>
  <c r="N24" i="15"/>
  <c r="AJ97" i="55"/>
  <c r="O7" i="16"/>
  <c r="K73" i="36" s="1"/>
  <c r="N7" i="16"/>
  <c r="J73" i="36" s="1"/>
  <c r="I73" i="36"/>
  <c r="N174" i="35"/>
  <c r="O22" i="25"/>
  <c r="H74" i="34" s="1"/>
  <c r="F74" i="34"/>
  <c r="N22" i="25"/>
  <c r="G74" i="34" s="1"/>
  <c r="X107" i="55"/>
  <c r="X137" i="55"/>
  <c r="X128" i="55"/>
  <c r="X124" i="55"/>
  <c r="X133" i="55"/>
  <c r="X163" i="55"/>
  <c r="X105" i="55"/>
  <c r="X120" i="55"/>
  <c r="X123" i="55"/>
  <c r="X152" i="55"/>
  <c r="X169" i="55"/>
  <c r="X140" i="55"/>
  <c r="X104" i="55"/>
  <c r="X153" i="55"/>
  <c r="X132" i="55"/>
  <c r="X127" i="55"/>
  <c r="X158" i="55"/>
  <c r="X160" i="55"/>
  <c r="X167" i="55"/>
  <c r="X156" i="55"/>
  <c r="X148" i="55"/>
  <c r="X151" i="55"/>
  <c r="X142" i="55"/>
  <c r="X113" i="55"/>
  <c r="X99" i="55"/>
  <c r="X165" i="55"/>
  <c r="X143" i="55"/>
  <c r="X141" i="55"/>
  <c r="X108" i="55"/>
  <c r="X157" i="55"/>
  <c r="X145" i="55"/>
  <c r="X111" i="55"/>
  <c r="X112" i="55"/>
  <c r="X130" i="55"/>
  <c r="X159" i="55"/>
  <c r="X115" i="55"/>
  <c r="X135" i="55"/>
  <c r="X126" i="55"/>
  <c r="X109" i="55"/>
  <c r="X125" i="55"/>
  <c r="X117" i="55"/>
  <c r="X131" i="55"/>
  <c r="X168" i="55"/>
  <c r="X161" i="55"/>
  <c r="X103" i="55"/>
  <c r="X164" i="55"/>
  <c r="X136" i="55"/>
  <c r="X144" i="55"/>
  <c r="X119" i="55"/>
  <c r="X171" i="55"/>
  <c r="X146" i="55"/>
  <c r="X106" i="55"/>
  <c r="X122" i="55"/>
  <c r="X147" i="55"/>
  <c r="X118" i="55"/>
  <c r="X154" i="55"/>
  <c r="X121" i="55"/>
  <c r="X129" i="55"/>
  <c r="X149" i="55"/>
  <c r="X114" i="55"/>
  <c r="X138" i="55"/>
  <c r="X170" i="55"/>
  <c r="X116" i="55"/>
  <c r="X110" i="55"/>
  <c r="X166" i="55"/>
  <c r="X150" i="55"/>
  <c r="X162" i="55"/>
  <c r="X155" i="55"/>
  <c r="X139" i="55"/>
  <c r="X134" i="55"/>
  <c r="X97" i="55"/>
  <c r="X94" i="55"/>
  <c r="O5" i="36"/>
  <c r="O7" i="24"/>
  <c r="I124" i="36"/>
  <c r="X80" i="55" s="1"/>
  <c r="N7" i="24"/>
  <c r="N50" i="33"/>
  <c r="AU16" i="55"/>
  <c r="H181" i="35"/>
  <c r="J181" i="35"/>
  <c r="I181" i="35"/>
  <c r="H38" i="31"/>
  <c r="H39" i="31" s="1"/>
  <c r="F43" i="34"/>
  <c r="O22" i="15"/>
  <c r="N22" i="15"/>
  <c r="J40" i="36"/>
  <c r="O24" i="30"/>
  <c r="H94" i="34" s="1"/>
  <c r="F94" i="34"/>
  <c r="N24" i="30"/>
  <c r="G94" i="34" s="1"/>
  <c r="I155" i="36"/>
  <c r="O9" i="30"/>
  <c r="K155" i="36" s="1"/>
  <c r="N9" i="30"/>
  <c r="J155" i="36" s="1"/>
  <c r="AJ66" i="55"/>
  <c r="O6" i="24"/>
  <c r="N6" i="24"/>
  <c r="I122" i="36"/>
  <c r="H38" i="24"/>
  <c r="H39" i="24" s="1"/>
  <c r="AU44" i="55"/>
  <c r="O23" i="31"/>
  <c r="H96" i="34" s="1"/>
  <c r="N23" i="31"/>
  <c r="G96" i="34" s="1"/>
  <c r="F96" i="34"/>
  <c r="N13" i="15"/>
  <c r="I84" i="35" s="1"/>
  <c r="O13" i="15"/>
  <c r="J84" i="35" s="1"/>
  <c r="H84" i="35"/>
  <c r="G32" i="14"/>
  <c r="H29" i="33"/>
  <c r="H7" i="55" s="1"/>
  <c r="W9" i="55"/>
  <c r="N42" i="33"/>
  <c r="M50" i="33"/>
  <c r="L51" i="55"/>
  <c r="W14" i="55"/>
  <c r="X57" i="55"/>
  <c r="O7" i="22"/>
  <c r="N7" i="22"/>
  <c r="I114" i="36"/>
  <c r="K177" i="35"/>
  <c r="L52" i="36"/>
  <c r="G65" i="33"/>
  <c r="F32" i="2"/>
  <c r="G32" i="30"/>
  <c r="H69" i="33"/>
  <c r="H21" i="55" s="1"/>
  <c r="AU25" i="55"/>
  <c r="O14" i="14"/>
  <c r="J78" i="35" s="1"/>
  <c r="N14" i="14"/>
  <c r="I78" i="35" s="1"/>
  <c r="H78" i="35"/>
  <c r="AK48" i="55" s="1"/>
  <c r="J92" i="35"/>
  <c r="AM64" i="55" s="1"/>
  <c r="I92" i="35"/>
  <c r="AL64" i="55" s="1"/>
  <c r="H92" i="35"/>
  <c r="AK64" i="55" s="1"/>
  <c r="AJ78" i="55"/>
  <c r="AU8" i="55"/>
  <c r="N23" i="22"/>
  <c r="O23" i="22"/>
  <c r="F67" i="34"/>
  <c r="I98" i="36"/>
  <c r="N7" i="19"/>
  <c r="J98" i="36" s="1"/>
  <c r="O7" i="19"/>
  <c r="K98" i="36" s="1"/>
  <c r="AJ76" i="55"/>
  <c r="AU6" i="55"/>
  <c r="H158" i="35"/>
  <c r="O17" i="24"/>
  <c r="J158" i="35" s="1"/>
  <c r="N17" i="24"/>
  <c r="I158" i="35" s="1"/>
  <c r="AL130" i="55" s="1"/>
  <c r="AJ128" i="55"/>
  <c r="AK76" i="55"/>
  <c r="O15" i="14"/>
  <c r="J79" i="35" s="1"/>
  <c r="N15" i="14"/>
  <c r="I79" i="35" s="1"/>
  <c r="H79" i="35"/>
  <c r="I32" i="34"/>
  <c r="K174" i="35"/>
  <c r="W64" i="55"/>
  <c r="N85" i="35"/>
  <c r="O17" i="26"/>
  <c r="N17" i="26"/>
  <c r="H166" i="35"/>
  <c r="F26" i="55"/>
  <c r="N9" i="22"/>
  <c r="J115" i="36" s="1"/>
  <c r="O9" i="22"/>
  <c r="K115" i="36" s="1"/>
  <c r="I115" i="36"/>
  <c r="J86" i="35"/>
  <c r="H86" i="35"/>
  <c r="AK70" i="55" s="1"/>
  <c r="I86" i="35"/>
  <c r="AL71" i="55" s="1"/>
  <c r="O22" i="14"/>
  <c r="H38" i="34" s="1"/>
  <c r="N22" i="14"/>
  <c r="G38" i="34" s="1"/>
  <c r="F38" i="34"/>
  <c r="W17" i="55"/>
  <c r="K40" i="36"/>
  <c r="N8" i="14"/>
  <c r="J64" i="36" s="1"/>
  <c r="O8" i="14"/>
  <c r="K64" i="36" s="1"/>
  <c r="I64" i="36"/>
  <c r="AU9" i="55"/>
  <c r="F87" i="34"/>
  <c r="O23" i="2"/>
  <c r="H87" i="34" s="1"/>
  <c r="N23" i="2"/>
  <c r="G87" i="34" s="1"/>
  <c r="D80" i="55"/>
  <c r="C23" i="55"/>
  <c r="C3" i="55"/>
  <c r="C5" i="55"/>
  <c r="D10" i="55"/>
  <c r="D45" i="55"/>
  <c r="D56" i="55"/>
  <c r="C42" i="55"/>
  <c r="D44" i="55"/>
  <c r="D5" i="55"/>
  <c r="D18" i="55"/>
  <c r="C18" i="55"/>
  <c r="C59" i="55"/>
  <c r="C4" i="55"/>
  <c r="C43" i="55"/>
  <c r="D21" i="55"/>
  <c r="C63" i="55"/>
  <c r="D3" i="55"/>
  <c r="C78" i="55"/>
  <c r="C66" i="55"/>
  <c r="D2" i="55"/>
  <c r="C45" i="55"/>
  <c r="D6" i="55"/>
  <c r="C7" i="55"/>
  <c r="C36" i="55"/>
  <c r="D36" i="55"/>
  <c r="D25" i="55"/>
  <c r="D9" i="55"/>
  <c r="C11" i="55"/>
  <c r="D37" i="55"/>
  <c r="C67" i="55"/>
  <c r="C15" i="55"/>
  <c r="D31" i="55"/>
  <c r="C9" i="55"/>
  <c r="D12" i="55"/>
  <c r="C19" i="55"/>
  <c r="D74" i="55"/>
  <c r="C35" i="55"/>
  <c r="D43" i="55"/>
  <c r="C74" i="55"/>
  <c r="D41" i="55"/>
  <c r="C61" i="55"/>
  <c r="D59" i="55"/>
  <c r="C77" i="55"/>
  <c r="D63" i="55"/>
  <c r="D26" i="55"/>
  <c r="D58" i="55"/>
  <c r="C72" i="55"/>
  <c r="L23" i="55"/>
  <c r="L22" i="55"/>
  <c r="C25" i="55"/>
  <c r="D13" i="55"/>
  <c r="C12" i="55"/>
  <c r="D47" i="55"/>
  <c r="C37" i="55"/>
  <c r="D8" i="55"/>
  <c r="D42" i="55"/>
  <c r="C6" i="55"/>
  <c r="D54" i="55"/>
  <c r="C14" i="55"/>
  <c r="D35" i="55"/>
  <c r="D22" i="55"/>
  <c r="C41" i="55"/>
  <c r="C46" i="55"/>
  <c r="D71" i="55"/>
  <c r="C65" i="55"/>
  <c r="C57" i="55"/>
  <c r="C56" i="55"/>
  <c r="D78" i="55"/>
  <c r="D62" i="55"/>
  <c r="C62" i="55"/>
  <c r="D52" i="55"/>
  <c r="D65" i="55"/>
  <c r="D16" i="55"/>
  <c r="C49" i="55"/>
  <c r="D20" i="55"/>
  <c r="C51" i="55"/>
  <c r="C20" i="55"/>
  <c r="C10" i="55"/>
  <c r="C76" i="55"/>
  <c r="D28" i="55"/>
  <c r="D76" i="55"/>
  <c r="D55" i="55"/>
  <c r="D77" i="55"/>
  <c r="C73" i="55"/>
  <c r="D57" i="55"/>
  <c r="C50" i="55"/>
  <c r="C69" i="55"/>
  <c r="D23" i="55"/>
  <c r="C38" i="55"/>
  <c r="D29" i="55"/>
  <c r="D15" i="55"/>
  <c r="C13" i="55"/>
  <c r="H16" i="55"/>
  <c r="C21" i="55"/>
  <c r="C47" i="55"/>
  <c r="D7" i="55"/>
  <c r="C48" i="55"/>
  <c r="C16" i="55"/>
  <c r="C70" i="55"/>
  <c r="C60" i="55"/>
  <c r="D24" i="55"/>
  <c r="C58" i="55"/>
  <c r="C55" i="55"/>
  <c r="D66" i="55"/>
  <c r="D50" i="55"/>
  <c r="D48" i="55"/>
  <c r="D75" i="55"/>
  <c r="D49" i="55"/>
  <c r="C29" i="55"/>
  <c r="C75" i="55"/>
  <c r="C22" i="55"/>
  <c r="C27" i="55"/>
  <c r="D17" i="55"/>
  <c r="D14" i="55"/>
  <c r="D60" i="55"/>
  <c r="D69" i="55"/>
  <c r="D38" i="55"/>
  <c r="D68" i="55"/>
  <c r="C53" i="55"/>
  <c r="C32" i="55"/>
  <c r="C68" i="55"/>
  <c r="D53" i="55"/>
  <c r="D40" i="55"/>
  <c r="D11" i="55"/>
  <c r="C8" i="55"/>
  <c r="D4" i="55"/>
  <c r="D51" i="55"/>
  <c r="D27" i="55"/>
  <c r="D61" i="55"/>
  <c r="C79" i="55"/>
  <c r="D67" i="55"/>
  <c r="C17" i="55"/>
  <c r="C71" i="55"/>
  <c r="C44" i="55"/>
  <c r="D73" i="55"/>
  <c r="C52" i="55"/>
  <c r="C26" i="55"/>
  <c r="C54" i="55"/>
  <c r="C24" i="55"/>
  <c r="C64" i="55"/>
  <c r="D46" i="55"/>
  <c r="C28" i="55"/>
  <c r="D70" i="55"/>
  <c r="D32" i="55"/>
  <c r="D64" i="55"/>
  <c r="D72" i="55"/>
  <c r="C80" i="55"/>
  <c r="C39" i="55"/>
  <c r="D79" i="55"/>
  <c r="C31" i="55"/>
  <c r="C40" i="55"/>
  <c r="D39" i="55"/>
  <c r="C2" i="55"/>
  <c r="D19" i="55"/>
  <c r="X40" i="55"/>
  <c r="K55" i="34"/>
  <c r="J55" i="34"/>
  <c r="L26" i="34"/>
  <c r="N52" i="35"/>
  <c r="AK126" i="55"/>
  <c r="K52" i="35"/>
  <c r="N20" i="33"/>
  <c r="M20" i="33"/>
  <c r="J44" i="36"/>
  <c r="Y94" i="55" s="1"/>
  <c r="I26" i="34"/>
  <c r="I31" i="36"/>
  <c r="N10" i="7"/>
  <c r="J31" i="36" s="1"/>
  <c r="O10" i="7"/>
  <c r="K31" i="36" s="1"/>
  <c r="O9" i="7"/>
  <c r="K30" i="36" s="1"/>
  <c r="Z93" i="55" s="1"/>
  <c r="I30" i="36"/>
  <c r="N9" i="7"/>
  <c r="J30" i="36" s="1"/>
  <c r="Y93" i="55" s="1"/>
  <c r="N24" i="7"/>
  <c r="G19" i="34" s="1"/>
  <c r="O24" i="7"/>
  <c r="H19" i="34" s="1"/>
  <c r="F19" i="34"/>
  <c r="W22" i="55"/>
  <c r="W23" i="55"/>
  <c r="O22" i="7"/>
  <c r="H17" i="34" s="1"/>
  <c r="F17" i="34"/>
  <c r="N22" i="7"/>
  <c r="G17" i="34" s="1"/>
  <c r="AU14" i="55"/>
  <c r="O6" i="7"/>
  <c r="I27" i="36"/>
  <c r="N6" i="7"/>
  <c r="H38" i="7"/>
  <c r="H39" i="7" s="1"/>
  <c r="J38" i="35"/>
  <c r="I38" i="35"/>
  <c r="H38" i="35"/>
  <c r="N23" i="7"/>
  <c r="G18" i="34" s="1"/>
  <c r="F18" i="34"/>
  <c r="O23" i="7"/>
  <c r="H18" i="34" s="1"/>
  <c r="J37" i="35"/>
  <c r="H37" i="35"/>
  <c r="I37" i="35"/>
  <c r="AJ22" i="55"/>
  <c r="H15" i="33"/>
  <c r="G32" i="7"/>
  <c r="W47" i="55"/>
  <c r="H34" i="35"/>
  <c r="O13" i="7"/>
  <c r="J34" i="35" s="1"/>
  <c r="N13" i="7"/>
  <c r="I34" i="35" s="1"/>
  <c r="AJ81" i="55"/>
  <c r="G15" i="33"/>
  <c r="F32" i="7"/>
  <c r="I29" i="36"/>
  <c r="O8" i="7"/>
  <c r="K29" i="36" s="1"/>
  <c r="N8" i="7"/>
  <c r="J29" i="36" s="1"/>
  <c r="H40" i="35"/>
  <c r="N19" i="7"/>
  <c r="I40" i="35" s="1"/>
  <c r="O19" i="7"/>
  <c r="J40" i="35" s="1"/>
  <c r="O14" i="7"/>
  <c r="J35" i="35" s="1"/>
  <c r="N14" i="7"/>
  <c r="I35" i="35" s="1"/>
  <c r="H35" i="35"/>
  <c r="AJ94" i="55"/>
  <c r="O15" i="7"/>
  <c r="J36" i="35" s="1"/>
  <c r="H36" i="35"/>
  <c r="N15" i="7"/>
  <c r="I36" i="35" s="1"/>
  <c r="O18" i="7"/>
  <c r="J39" i="35" s="1"/>
  <c r="H39" i="35"/>
  <c r="N18" i="7"/>
  <c r="I39" i="35" s="1"/>
  <c r="I6" i="35"/>
  <c r="AL129" i="55" s="1"/>
  <c r="J3" i="34"/>
  <c r="K3" i="34"/>
  <c r="J6" i="35"/>
  <c r="AM129" i="55" s="1"/>
  <c r="N3" i="36"/>
  <c r="M3" i="36"/>
  <c r="O142" i="36"/>
  <c r="AA2" i="55" s="1"/>
  <c r="L142" i="36"/>
  <c r="Y2" i="55"/>
  <c r="K28" i="55"/>
  <c r="AP94" i="47"/>
  <c r="J137" i="36"/>
  <c r="M139" i="36"/>
  <c r="N139" i="36"/>
  <c r="J118" i="36"/>
  <c r="I38" i="23"/>
  <c r="K118" i="36"/>
  <c r="J38" i="23"/>
  <c r="M46" i="33"/>
  <c r="N46" i="33"/>
  <c r="F30" i="47"/>
  <c r="A43" i="36"/>
  <c r="L29" i="47" s="1"/>
  <c r="AP26" i="47" l="1"/>
  <c r="AL84" i="55"/>
  <c r="AL126" i="55"/>
  <c r="AM126" i="55"/>
  <c r="X8" i="55"/>
  <c r="I163" i="35"/>
  <c r="J163" i="35"/>
  <c r="AK90" i="55"/>
  <c r="AL11" i="55"/>
  <c r="AV11" i="55"/>
  <c r="AX11" i="55"/>
  <c r="AK102" i="55"/>
  <c r="AM101" i="55"/>
  <c r="M44" i="55"/>
  <c r="M42" i="55"/>
  <c r="N107" i="35"/>
  <c r="N106" i="35"/>
  <c r="N103" i="35"/>
  <c r="AM40" i="55"/>
  <c r="K106" i="35"/>
  <c r="I105" i="35"/>
  <c r="AK83" i="55"/>
  <c r="X89" i="55"/>
  <c r="AM17" i="55"/>
  <c r="AL69" i="55"/>
  <c r="AL30" i="55"/>
  <c r="AK73" i="55"/>
  <c r="K24" i="34"/>
  <c r="X31" i="55"/>
  <c r="X36" i="55"/>
  <c r="X42" i="55"/>
  <c r="M26" i="35"/>
  <c r="X72" i="55"/>
  <c r="X15" i="55"/>
  <c r="AM25" i="55"/>
  <c r="AK25" i="55"/>
  <c r="I165" i="35"/>
  <c r="J165" i="35"/>
  <c r="N165" i="35" s="1"/>
  <c r="J166" i="35"/>
  <c r="I166" i="35"/>
  <c r="X75" i="55"/>
  <c r="Y75" i="55"/>
  <c r="N62" i="35"/>
  <c r="K61" i="35"/>
  <c r="L61" i="35" s="1"/>
  <c r="M62" i="35"/>
  <c r="L62" i="35"/>
  <c r="X82" i="55"/>
  <c r="L45" i="35"/>
  <c r="N113" i="35"/>
  <c r="K113" i="35"/>
  <c r="M113" i="35" s="1"/>
  <c r="L45" i="36"/>
  <c r="M45" i="36" s="1"/>
  <c r="O32" i="36"/>
  <c r="M24" i="47" s="1"/>
  <c r="AM70" i="55"/>
  <c r="AK67" i="55"/>
  <c r="Y89" i="55"/>
  <c r="AM108" i="55"/>
  <c r="AL108" i="55"/>
  <c r="J105" i="35"/>
  <c r="AL59" i="55"/>
  <c r="X96" i="55"/>
  <c r="Z96" i="55"/>
  <c r="AM119" i="55"/>
  <c r="AV45" i="55"/>
  <c r="AL119" i="55"/>
  <c r="M36" i="55"/>
  <c r="Z102" i="55"/>
  <c r="X102" i="55"/>
  <c r="Y97" i="55"/>
  <c r="X76" i="55"/>
  <c r="AX15" i="55"/>
  <c r="AL53" i="55"/>
  <c r="AK53" i="55"/>
  <c r="Y68" i="55"/>
  <c r="X68" i="55"/>
  <c r="AW7" i="55"/>
  <c r="AM110" i="55"/>
  <c r="X88" i="55"/>
  <c r="AL110" i="55"/>
  <c r="X12" i="55"/>
  <c r="Z88" i="55"/>
  <c r="X69" i="55"/>
  <c r="AM58" i="55"/>
  <c r="AK86" i="55"/>
  <c r="AK58" i="55"/>
  <c r="AV27" i="55"/>
  <c r="AW27" i="55"/>
  <c r="AW19" i="55"/>
  <c r="AL58" i="55"/>
  <c r="AV9" i="55"/>
  <c r="Z89" i="55"/>
  <c r="L16" i="36"/>
  <c r="N16" i="36" s="1"/>
  <c r="O15" i="36"/>
  <c r="AK100" i="55"/>
  <c r="AK80" i="55"/>
  <c r="AK28" i="55"/>
  <c r="X98" i="55"/>
  <c r="Y98" i="55"/>
  <c r="AX38" i="55"/>
  <c r="AL28" i="55"/>
  <c r="Z98" i="55"/>
  <c r="AM28" i="55"/>
  <c r="G32" i="55"/>
  <c r="G30" i="55"/>
  <c r="AM92" i="55"/>
  <c r="AK72" i="55"/>
  <c r="AK121" i="55"/>
  <c r="X51" i="55"/>
  <c r="Y50" i="55"/>
  <c r="AV12" i="55"/>
  <c r="AX12" i="55"/>
  <c r="AL27" i="55"/>
  <c r="AV30" i="55"/>
  <c r="AL60" i="55"/>
  <c r="AL40" i="55"/>
  <c r="AK135" i="55"/>
  <c r="AL9" i="55"/>
  <c r="L69" i="34"/>
  <c r="I69" i="34"/>
  <c r="K136" i="35"/>
  <c r="M136" i="35" s="1"/>
  <c r="AX47" i="55"/>
  <c r="J38" i="8"/>
  <c r="J39" i="8" s="1"/>
  <c r="L24" i="34"/>
  <c r="AA23" i="47" s="1"/>
  <c r="AK145" i="55"/>
  <c r="AK160" i="55"/>
  <c r="AK143" i="55"/>
  <c r="AK178" i="55"/>
  <c r="AK158" i="55"/>
  <c r="AK139" i="55"/>
  <c r="AK174" i="55"/>
  <c r="AK148" i="55"/>
  <c r="K18" i="35"/>
  <c r="M18" i="35" s="1"/>
  <c r="AK173" i="55"/>
  <c r="K138" i="35"/>
  <c r="M138" i="35" s="1"/>
  <c r="AK172" i="55"/>
  <c r="N136" i="35"/>
  <c r="AK155" i="55"/>
  <c r="AK180" i="55"/>
  <c r="J24" i="34"/>
  <c r="AK179" i="55"/>
  <c r="AK161" i="55"/>
  <c r="O16" i="36"/>
  <c r="AK168" i="55"/>
  <c r="AK137" i="55"/>
  <c r="X26" i="55"/>
  <c r="AK157" i="55"/>
  <c r="AK138" i="55"/>
  <c r="AK150" i="55"/>
  <c r="AK153" i="55"/>
  <c r="AK141" i="55"/>
  <c r="AK156" i="55"/>
  <c r="AK140" i="55"/>
  <c r="AK134" i="55"/>
  <c r="AK169" i="55"/>
  <c r="AK171" i="55"/>
  <c r="L23" i="34"/>
  <c r="AY10" i="55" s="1"/>
  <c r="I23" i="34"/>
  <c r="J23" i="34" s="1"/>
  <c r="L84" i="34"/>
  <c r="L70" i="34"/>
  <c r="K15" i="34"/>
  <c r="AV47" i="55"/>
  <c r="L15" i="34"/>
  <c r="AW10" i="55"/>
  <c r="K137" i="35"/>
  <c r="L137" i="35" s="1"/>
  <c r="N111" i="35"/>
  <c r="AN8" i="55" s="1"/>
  <c r="K178" i="35"/>
  <c r="L178" i="35" s="1"/>
  <c r="I72" i="35"/>
  <c r="AL63" i="55" s="1"/>
  <c r="AL2" i="55"/>
  <c r="L12" i="35"/>
  <c r="N63" i="35"/>
  <c r="N7" i="35"/>
  <c r="AM123" i="55"/>
  <c r="AK133" i="55"/>
  <c r="AK182" i="55"/>
  <c r="I187" i="35"/>
  <c r="AL96" i="55" s="1"/>
  <c r="AK24" i="55"/>
  <c r="AL5" i="55"/>
  <c r="M180" i="35"/>
  <c r="Z68" i="55"/>
  <c r="O141" i="36"/>
  <c r="L121" i="36"/>
  <c r="N121" i="36" s="1"/>
  <c r="J38" i="28"/>
  <c r="J39" i="28" s="1"/>
  <c r="X73" i="55"/>
  <c r="J14" i="36"/>
  <c r="Y69" i="55" s="1"/>
  <c r="Z101" i="55"/>
  <c r="X55" i="55"/>
  <c r="Z100" i="55"/>
  <c r="X25" i="55"/>
  <c r="Z27" i="55"/>
  <c r="N17" i="33"/>
  <c r="F16" i="47" s="1"/>
  <c r="M17" i="33"/>
  <c r="G41" i="55"/>
  <c r="H30" i="55"/>
  <c r="H15" i="55"/>
  <c r="X83" i="55"/>
  <c r="AX6" i="55"/>
  <c r="K55" i="35"/>
  <c r="L55" i="35" s="1"/>
  <c r="N55" i="35"/>
  <c r="O45" i="36"/>
  <c r="X43" i="55"/>
  <c r="X100" i="55"/>
  <c r="AK87" i="55"/>
  <c r="AV38" i="55"/>
  <c r="AL56" i="55"/>
  <c r="G12" i="55"/>
  <c r="H28" i="55"/>
  <c r="H24" i="55"/>
  <c r="G28" i="55"/>
  <c r="G24" i="55"/>
  <c r="X34" i="55"/>
  <c r="M196" i="35"/>
  <c r="O149" i="36"/>
  <c r="L149" i="36"/>
  <c r="N149" i="36" s="1"/>
  <c r="AM96" i="55"/>
  <c r="L141" i="36"/>
  <c r="N141" i="36" s="1"/>
  <c r="AX7" i="55"/>
  <c r="K179" i="35"/>
  <c r="L179" i="35" s="1"/>
  <c r="Y71" i="55"/>
  <c r="X71" i="55"/>
  <c r="X65" i="55"/>
  <c r="AV7" i="55"/>
  <c r="M31" i="55"/>
  <c r="AK26" i="55"/>
  <c r="AM26" i="55"/>
  <c r="X81" i="55"/>
  <c r="J124" i="36"/>
  <c r="Y80" i="55" s="1"/>
  <c r="X85" i="55"/>
  <c r="J123" i="36"/>
  <c r="Y58" i="55" s="1"/>
  <c r="K123" i="36"/>
  <c r="Z58" i="55" s="1"/>
  <c r="AX31" i="55"/>
  <c r="AV31" i="55"/>
  <c r="AW31" i="55"/>
  <c r="I70" i="34"/>
  <c r="J70" i="34" s="1"/>
  <c r="L117" i="36"/>
  <c r="N117" i="36" s="1"/>
  <c r="Y74" i="55"/>
  <c r="L120" i="36"/>
  <c r="N120" i="36" s="1"/>
  <c r="O120" i="36"/>
  <c r="O117" i="36"/>
  <c r="L119" i="36"/>
  <c r="M119" i="36" s="1"/>
  <c r="O119" i="36"/>
  <c r="AA74" i="55" s="1"/>
  <c r="X48" i="55"/>
  <c r="G66" i="34"/>
  <c r="AW22" i="55" s="1"/>
  <c r="AX24" i="55"/>
  <c r="AV24" i="55"/>
  <c r="K114" i="36"/>
  <c r="J113" i="36"/>
  <c r="H67" i="34"/>
  <c r="AW24" i="55"/>
  <c r="X79" i="55"/>
  <c r="AK95" i="55"/>
  <c r="AM57" i="55"/>
  <c r="AV18" i="55"/>
  <c r="AK57" i="55"/>
  <c r="N135" i="35"/>
  <c r="N138" i="35"/>
  <c r="AM102" i="55"/>
  <c r="K135" i="35"/>
  <c r="M135" i="35" s="1"/>
  <c r="AM68" i="55"/>
  <c r="AV19" i="55"/>
  <c r="Z92" i="55"/>
  <c r="M39" i="55"/>
  <c r="I60" i="34"/>
  <c r="J60" i="34" s="1"/>
  <c r="AW47" i="55"/>
  <c r="K122" i="35"/>
  <c r="L122" i="35" s="1"/>
  <c r="AK124" i="55"/>
  <c r="AV32" i="55"/>
  <c r="K111" i="35"/>
  <c r="L111" i="35" s="1"/>
  <c r="M16" i="55"/>
  <c r="K104" i="35"/>
  <c r="L104" i="35" s="1"/>
  <c r="AM67" i="55"/>
  <c r="N104" i="35"/>
  <c r="AN40" i="55" s="1"/>
  <c r="AK120" i="55"/>
  <c r="AK41" i="55"/>
  <c r="G42" i="34"/>
  <c r="AW45" i="55" s="1"/>
  <c r="H42" i="34"/>
  <c r="AX46" i="55" s="1"/>
  <c r="X95" i="55"/>
  <c r="X84" i="55"/>
  <c r="AV23" i="55"/>
  <c r="AL31" i="55"/>
  <c r="X3" i="55"/>
  <c r="AK31" i="55"/>
  <c r="AK32" i="55"/>
  <c r="J72" i="35"/>
  <c r="AM61" i="55" s="1"/>
  <c r="AM47" i="55"/>
  <c r="AL47" i="55"/>
  <c r="AV25" i="55"/>
  <c r="AK61" i="55"/>
  <c r="O56" i="36"/>
  <c r="J59" i="35"/>
  <c r="AM76" i="55" s="1"/>
  <c r="M63" i="35"/>
  <c r="L63" i="35"/>
  <c r="I60" i="35"/>
  <c r="AL78" i="55" s="1"/>
  <c r="N61" i="35"/>
  <c r="AN92" i="55" s="1"/>
  <c r="I51" i="35"/>
  <c r="N51" i="35" s="1"/>
  <c r="I38" i="8"/>
  <c r="I39" i="8" s="1"/>
  <c r="L33" i="35"/>
  <c r="AV36" i="55"/>
  <c r="K7" i="35"/>
  <c r="M7" i="35" s="1"/>
  <c r="N5" i="35"/>
  <c r="K5" i="35"/>
  <c r="M5" i="35" s="1"/>
  <c r="AS27" i="55"/>
  <c r="AT27" i="55"/>
  <c r="AT7" i="55"/>
  <c r="AS7" i="55"/>
  <c r="K43" i="35"/>
  <c r="M43" i="35" s="1"/>
  <c r="N43" i="35"/>
  <c r="G46" i="34"/>
  <c r="H46" i="34"/>
  <c r="X24" i="55"/>
  <c r="N65" i="35"/>
  <c r="AN6" i="55" s="1"/>
  <c r="K65" i="35"/>
  <c r="M65" i="35" s="1"/>
  <c r="AV14" i="55"/>
  <c r="K148" i="36"/>
  <c r="Z57" i="55" s="1"/>
  <c r="J148" i="36"/>
  <c r="Y57" i="55" s="1"/>
  <c r="J91" i="34"/>
  <c r="M23" i="55"/>
  <c r="L186" i="35"/>
  <c r="I188" i="35"/>
  <c r="J188" i="35"/>
  <c r="X18" i="55"/>
  <c r="L85" i="34"/>
  <c r="K137" i="36"/>
  <c r="L137" i="36" s="1"/>
  <c r="K144" i="36"/>
  <c r="Z71" i="55" s="1"/>
  <c r="Z69" i="55"/>
  <c r="X62" i="55"/>
  <c r="AK7" i="55"/>
  <c r="K124" i="36"/>
  <c r="Z84" i="55" s="1"/>
  <c r="K125" i="36"/>
  <c r="Z83" i="55" s="1"/>
  <c r="J125" i="36"/>
  <c r="Y85" i="55" s="1"/>
  <c r="Y87" i="55"/>
  <c r="J159" i="35"/>
  <c r="I159" i="35"/>
  <c r="AM46" i="55"/>
  <c r="X58" i="55"/>
  <c r="Z87" i="55"/>
  <c r="AK46" i="55"/>
  <c r="Y81" i="55"/>
  <c r="Z81" i="55"/>
  <c r="J114" i="36"/>
  <c r="Y79" i="55" s="1"/>
  <c r="H27" i="55"/>
  <c r="K113" i="36"/>
  <c r="Z62" i="55" s="1"/>
  <c r="G67" i="34"/>
  <c r="H66" i="34"/>
  <c r="AX16" i="55" s="1"/>
  <c r="X17" i="55"/>
  <c r="AL102" i="55"/>
  <c r="I139" i="35"/>
  <c r="AL99" i="55" s="1"/>
  <c r="J139" i="35"/>
  <c r="AM52" i="55" s="1"/>
  <c r="AV16" i="55"/>
  <c r="AN4" i="55"/>
  <c r="AX13" i="55"/>
  <c r="AV13" i="55"/>
  <c r="H61" i="34"/>
  <c r="G51" i="34"/>
  <c r="I51" i="34" s="1"/>
  <c r="J51" i="34" s="1"/>
  <c r="G52" i="34"/>
  <c r="O85" i="36"/>
  <c r="AA97" i="55" s="1"/>
  <c r="N109" i="35"/>
  <c r="X28" i="55"/>
  <c r="X60" i="55"/>
  <c r="G37" i="55"/>
  <c r="G33" i="55"/>
  <c r="J118" i="35"/>
  <c r="AM104" i="55" s="1"/>
  <c r="I118" i="35"/>
  <c r="AL104" i="55" s="1"/>
  <c r="AK106" i="55"/>
  <c r="X21" i="55"/>
  <c r="AX14" i="55"/>
  <c r="J120" i="35"/>
  <c r="AM55" i="55"/>
  <c r="AV50" i="55"/>
  <c r="AL55" i="55"/>
  <c r="AM42" i="55"/>
  <c r="AM48" i="55"/>
  <c r="L49" i="34"/>
  <c r="AA45" i="47" s="1"/>
  <c r="AL42" i="55"/>
  <c r="N97" i="35"/>
  <c r="I38" i="17"/>
  <c r="I39" i="17" s="1"/>
  <c r="J38" i="17"/>
  <c r="J39" i="17" s="1"/>
  <c r="K97" i="35"/>
  <c r="M97" i="35" s="1"/>
  <c r="K98" i="35"/>
  <c r="L98" i="35" s="1"/>
  <c r="I49" i="34"/>
  <c r="J49" i="34" s="1"/>
  <c r="H45" i="34"/>
  <c r="G45" i="34"/>
  <c r="I91" i="35"/>
  <c r="AL38" i="55" s="1"/>
  <c r="J91" i="35"/>
  <c r="AM38" i="55" s="1"/>
  <c r="G43" i="34"/>
  <c r="H43" i="34"/>
  <c r="AX41" i="55" s="1"/>
  <c r="AV49" i="55"/>
  <c r="G41" i="34"/>
  <c r="AW30" i="55" s="1"/>
  <c r="H41" i="34"/>
  <c r="AX49" i="55" s="1"/>
  <c r="AL122" i="55"/>
  <c r="AK59" i="55"/>
  <c r="I71" i="35"/>
  <c r="AL43" i="55" s="1"/>
  <c r="J71" i="35"/>
  <c r="AM59" i="55" s="1"/>
  <c r="AW17" i="55"/>
  <c r="AM45" i="55"/>
  <c r="AK45" i="55"/>
  <c r="X49" i="55"/>
  <c r="J56" i="35"/>
  <c r="AM131" i="55" s="1"/>
  <c r="I56" i="35"/>
  <c r="AL131" i="55" s="1"/>
  <c r="AM53" i="55"/>
  <c r="Z77" i="55"/>
  <c r="X29" i="55"/>
  <c r="I50" i="35"/>
  <c r="K50" i="35" s="1"/>
  <c r="L50" i="35" s="1"/>
  <c r="N44" i="35"/>
  <c r="O36" i="36"/>
  <c r="K44" i="35"/>
  <c r="AW26" i="55"/>
  <c r="AS31" i="55"/>
  <c r="H16" i="34"/>
  <c r="L16" i="34" s="1"/>
  <c r="H14" i="34"/>
  <c r="AX29" i="55" s="1"/>
  <c r="AT38" i="55"/>
  <c r="G14" i="34"/>
  <c r="AW29" i="55" s="1"/>
  <c r="L23" i="36"/>
  <c r="M23" i="36" s="1"/>
  <c r="Z41" i="55"/>
  <c r="X38" i="55"/>
  <c r="X41" i="55"/>
  <c r="N21" i="35"/>
  <c r="K21" i="35"/>
  <c r="AK175" i="55"/>
  <c r="AK152" i="55"/>
  <c r="AK166" i="55"/>
  <c r="AK159" i="55"/>
  <c r="AK149" i="55"/>
  <c r="AK176" i="55"/>
  <c r="AK181" i="55"/>
  <c r="AK146" i="55"/>
  <c r="L15" i="36"/>
  <c r="AK162" i="55"/>
  <c r="AK167" i="55"/>
  <c r="AK127" i="55"/>
  <c r="AK144" i="55"/>
  <c r="AK183" i="55"/>
  <c r="AK128" i="55"/>
  <c r="AK154" i="55"/>
  <c r="AK132" i="55"/>
  <c r="AK185" i="55"/>
  <c r="AK165" i="55"/>
  <c r="AK147" i="55"/>
  <c r="AK164" i="55"/>
  <c r="I17" i="35"/>
  <c r="AL101" i="55" s="1"/>
  <c r="AK177" i="55"/>
  <c r="AK170" i="55"/>
  <c r="AK142" i="55"/>
  <c r="AK163" i="55"/>
  <c r="AK186" i="55"/>
  <c r="AK151" i="55"/>
  <c r="AL20" i="55"/>
  <c r="AK116" i="55"/>
  <c r="N122" i="35"/>
  <c r="AN3" i="55" s="1"/>
  <c r="AM2" i="55"/>
  <c r="M46" i="55"/>
  <c r="M51" i="55"/>
  <c r="M50" i="55"/>
  <c r="L115" i="35"/>
  <c r="N89" i="36"/>
  <c r="AW38" i="55"/>
  <c r="AS12" i="55"/>
  <c r="AS3" i="55"/>
  <c r="AS38" i="55"/>
  <c r="AS15" i="55"/>
  <c r="AT3" i="55"/>
  <c r="AT15" i="55"/>
  <c r="AT31" i="55"/>
  <c r="O83" i="36"/>
  <c r="L85" i="36"/>
  <c r="N85" i="36" s="1"/>
  <c r="M109" i="35"/>
  <c r="Y28" i="55"/>
  <c r="AP3" i="47"/>
  <c r="AY5" i="55"/>
  <c r="K167" i="35"/>
  <c r="M167" i="35" s="1"/>
  <c r="AL49" i="55"/>
  <c r="O135" i="36"/>
  <c r="N169" i="35"/>
  <c r="N167" i="35"/>
  <c r="AV15" i="55"/>
  <c r="K169" i="35"/>
  <c r="M169" i="35" s="1"/>
  <c r="AK114" i="55"/>
  <c r="AV8" i="55"/>
  <c r="X19" i="55"/>
  <c r="AX8" i="55"/>
  <c r="AV33" i="55"/>
  <c r="I199" i="35"/>
  <c r="AL88" i="55" s="1"/>
  <c r="AK88" i="55"/>
  <c r="AL23" i="55"/>
  <c r="AL57" i="55"/>
  <c r="H22" i="55"/>
  <c r="H13" i="55"/>
  <c r="AM30" i="55"/>
  <c r="AK30" i="55"/>
  <c r="AW34" i="55"/>
  <c r="O157" i="36"/>
  <c r="X5" i="55"/>
  <c r="AM65" i="55"/>
  <c r="AM122" i="55"/>
  <c r="AK122" i="55"/>
  <c r="AL65" i="55"/>
  <c r="AW49" i="55"/>
  <c r="AL25" i="55"/>
  <c r="AL17" i="55"/>
  <c r="AW20" i="55"/>
  <c r="AX20" i="55"/>
  <c r="Z75" i="55"/>
  <c r="AL21" i="55"/>
  <c r="AV20" i="55"/>
  <c r="AX21" i="55"/>
  <c r="AV21" i="55"/>
  <c r="AW21" i="55"/>
  <c r="AL90" i="55"/>
  <c r="X37" i="55"/>
  <c r="AM90" i="55"/>
  <c r="AL36" i="55"/>
  <c r="X30" i="55"/>
  <c r="AK79" i="55"/>
  <c r="J124" i="35"/>
  <c r="AM103" i="55" s="1"/>
  <c r="I126" i="35"/>
  <c r="AL124" i="55" s="1"/>
  <c r="I125" i="35"/>
  <c r="AL116" i="55" s="1"/>
  <c r="O23" i="36"/>
  <c r="L110" i="36"/>
  <c r="M110" i="36" s="1"/>
  <c r="AL68" i="55"/>
  <c r="K99" i="35"/>
  <c r="L99" i="35" s="1"/>
  <c r="N79" i="36"/>
  <c r="N100" i="35"/>
  <c r="K100" i="35"/>
  <c r="M100" i="35" s="1"/>
  <c r="N98" i="35"/>
  <c r="N99" i="35"/>
  <c r="AN60" i="55" s="1"/>
  <c r="I202" i="35"/>
  <c r="J199" i="35"/>
  <c r="AM88" i="55" s="1"/>
  <c r="I200" i="35"/>
  <c r="AL118" i="55" s="1"/>
  <c r="J200" i="35"/>
  <c r="AM118" i="55" s="1"/>
  <c r="J202" i="35"/>
  <c r="I38" i="32"/>
  <c r="I34" i="34"/>
  <c r="K34" i="34" s="1"/>
  <c r="L16" i="35"/>
  <c r="I156" i="35"/>
  <c r="J156" i="35"/>
  <c r="AW11" i="55"/>
  <c r="L80" i="34"/>
  <c r="AK112" i="55"/>
  <c r="AL112" i="55"/>
  <c r="I171" i="35"/>
  <c r="AL114" i="55" s="1"/>
  <c r="J171" i="35"/>
  <c r="AM80" i="55" s="1"/>
  <c r="J168" i="35"/>
  <c r="AM49" i="55" s="1"/>
  <c r="J145" i="35"/>
  <c r="I145" i="35"/>
  <c r="I146" i="35"/>
  <c r="J146" i="35"/>
  <c r="I124" i="35"/>
  <c r="AL51" i="55" s="1"/>
  <c r="J126" i="35"/>
  <c r="AM124" i="55" s="1"/>
  <c r="J125" i="35"/>
  <c r="I120" i="35"/>
  <c r="I119" i="35"/>
  <c r="AL79" i="55" s="1"/>
  <c r="J119" i="35"/>
  <c r="AM79" i="55" s="1"/>
  <c r="K100" i="36"/>
  <c r="J100" i="36"/>
  <c r="K99" i="36"/>
  <c r="J99" i="36"/>
  <c r="L83" i="36"/>
  <c r="N83" i="36" s="1"/>
  <c r="N86" i="36"/>
  <c r="N56" i="36"/>
  <c r="K69" i="35"/>
  <c r="L69" i="35" s="1"/>
  <c r="O53" i="36"/>
  <c r="L53" i="36"/>
  <c r="N53" i="36" s="1"/>
  <c r="J60" i="35"/>
  <c r="AM54" i="55" s="1"/>
  <c r="I59" i="35"/>
  <c r="AL72" i="55" s="1"/>
  <c r="K48" i="36"/>
  <c r="J48" i="36"/>
  <c r="Y59" i="55" s="1"/>
  <c r="K50" i="36"/>
  <c r="J50" i="36"/>
  <c r="Y86" i="55" s="1"/>
  <c r="J49" i="36"/>
  <c r="Y91" i="55" s="1"/>
  <c r="K49" i="36"/>
  <c r="Z72" i="55" s="1"/>
  <c r="X91" i="55"/>
  <c r="K30" i="34"/>
  <c r="O44" i="36"/>
  <c r="AA94" i="55" s="1"/>
  <c r="Y66" i="55"/>
  <c r="K43" i="36"/>
  <c r="Z42" i="55" s="1"/>
  <c r="J43" i="36"/>
  <c r="Y43" i="55" s="1"/>
  <c r="X66" i="55"/>
  <c r="J38" i="9"/>
  <c r="J39" i="9" s="1"/>
  <c r="N49" i="35"/>
  <c r="L47" i="35"/>
  <c r="AW12" i="55"/>
  <c r="K49" i="35"/>
  <c r="L49" i="35" s="1"/>
  <c r="L28" i="36"/>
  <c r="M28" i="36" s="1"/>
  <c r="N18" i="35"/>
  <c r="O9" i="36"/>
  <c r="M9" i="47" s="1"/>
  <c r="L5" i="34"/>
  <c r="AA6" i="47" s="1"/>
  <c r="L33" i="34"/>
  <c r="J38" i="5"/>
  <c r="J39" i="5" s="1"/>
  <c r="O37" i="36"/>
  <c r="M26" i="47" s="1"/>
  <c r="M16" i="35"/>
  <c r="N13" i="35"/>
  <c r="O140" i="36"/>
  <c r="L36" i="36"/>
  <c r="N36" i="36" s="1"/>
  <c r="M13" i="35"/>
  <c r="N28" i="35"/>
  <c r="L37" i="36"/>
  <c r="M37" i="36" s="1"/>
  <c r="L34" i="34"/>
  <c r="L63" i="34"/>
  <c r="K140" i="35"/>
  <c r="L140" i="35" s="1"/>
  <c r="I38" i="12"/>
  <c r="I39" i="12" s="1"/>
  <c r="O86" i="36"/>
  <c r="O13" i="36"/>
  <c r="M10" i="47" s="1"/>
  <c r="L13" i="36"/>
  <c r="M13" i="36" s="1"/>
  <c r="L60" i="34"/>
  <c r="AP55" i="47" s="1"/>
  <c r="J38" i="12"/>
  <c r="J39" i="12" s="1"/>
  <c r="I12" i="34"/>
  <c r="J12" i="34" s="1"/>
  <c r="I5" i="34"/>
  <c r="K5" i="34" s="1"/>
  <c r="AP13" i="47"/>
  <c r="L12" i="34"/>
  <c r="N140" i="35"/>
  <c r="AN119" i="55" s="1"/>
  <c r="K108" i="35"/>
  <c r="L108" i="35" s="1"/>
  <c r="I38" i="28"/>
  <c r="I39" i="28" s="1"/>
  <c r="N175" i="35"/>
  <c r="AN52" i="55" s="1"/>
  <c r="J38" i="18"/>
  <c r="J39" i="18" s="1"/>
  <c r="O150" i="36"/>
  <c r="L103" i="36"/>
  <c r="N103" i="36" s="1"/>
  <c r="L157" i="36"/>
  <c r="M157" i="36" s="1"/>
  <c r="J38" i="3"/>
  <c r="J39" i="3" s="1"/>
  <c r="O134" i="36"/>
  <c r="N39" i="36"/>
  <c r="O103" i="36"/>
  <c r="O110" i="36"/>
  <c r="L134" i="36"/>
  <c r="N134" i="36" s="1"/>
  <c r="L150" i="36"/>
  <c r="M150" i="36" s="1"/>
  <c r="N38" i="36"/>
  <c r="M89" i="36"/>
  <c r="M56" i="36"/>
  <c r="H17" i="55"/>
  <c r="F35" i="47"/>
  <c r="M5" i="33"/>
  <c r="N5" i="33"/>
  <c r="M14" i="55"/>
  <c r="N19" i="35"/>
  <c r="L19" i="35"/>
  <c r="N16" i="35"/>
  <c r="K10" i="34"/>
  <c r="I38" i="4"/>
  <c r="I39" i="4" s="1"/>
  <c r="O10" i="36"/>
  <c r="J38" i="4"/>
  <c r="J39" i="4" s="1"/>
  <c r="AY94" i="55"/>
  <c r="N11" i="35"/>
  <c r="AY55" i="55"/>
  <c r="K11" i="35"/>
  <c r="L11" i="35" s="1"/>
  <c r="AP7" i="47"/>
  <c r="AY95" i="55"/>
  <c r="AY73" i="55"/>
  <c r="AY87" i="55"/>
  <c r="AY99" i="55"/>
  <c r="AY65" i="55"/>
  <c r="AY60" i="55"/>
  <c r="AY52" i="55"/>
  <c r="AY70" i="55"/>
  <c r="AY84" i="55"/>
  <c r="AY78" i="55"/>
  <c r="AY86" i="55"/>
  <c r="AY96" i="55"/>
  <c r="AY69" i="55"/>
  <c r="AY68" i="55"/>
  <c r="AY74" i="55"/>
  <c r="AY66" i="55"/>
  <c r="AW39" i="55"/>
  <c r="N189" i="35"/>
  <c r="K189" i="35"/>
  <c r="L189" i="35" s="1"/>
  <c r="I38" i="29"/>
  <c r="I39" i="29" s="1"/>
  <c r="J38" i="29"/>
  <c r="J39" i="29" s="1"/>
  <c r="K175" i="35"/>
  <c r="M175" i="35" s="1"/>
  <c r="K83" i="34"/>
  <c r="J83" i="34"/>
  <c r="AK113" i="55"/>
  <c r="I38" i="27"/>
  <c r="I39" i="27" s="1"/>
  <c r="AK10" i="55"/>
  <c r="M151" i="35"/>
  <c r="M150" i="35"/>
  <c r="L152" i="35"/>
  <c r="J39" i="23"/>
  <c r="AS33" i="55"/>
  <c r="O109" i="36"/>
  <c r="AA92" i="55" s="1"/>
  <c r="N109" i="36"/>
  <c r="I38" i="21"/>
  <c r="I39" i="21" s="1"/>
  <c r="O111" i="36"/>
  <c r="L62" i="34"/>
  <c r="I62" i="34"/>
  <c r="L111" i="36"/>
  <c r="M111" i="36" s="1"/>
  <c r="J38" i="21"/>
  <c r="J39" i="21" s="1"/>
  <c r="N133" i="35"/>
  <c r="O89" i="36"/>
  <c r="I38" i="18"/>
  <c r="I39" i="18" s="1"/>
  <c r="L112" i="35"/>
  <c r="N108" i="35"/>
  <c r="M84" i="36"/>
  <c r="I38" i="3"/>
  <c r="I39" i="3" s="1"/>
  <c r="AV29" i="55"/>
  <c r="M78" i="36"/>
  <c r="N80" i="36"/>
  <c r="L102" i="35"/>
  <c r="AL33" i="55"/>
  <c r="AK71" i="55"/>
  <c r="AT20" i="55"/>
  <c r="AS19" i="55"/>
  <c r="AS20" i="55"/>
  <c r="AT51" i="55"/>
  <c r="N69" i="35"/>
  <c r="L31" i="34"/>
  <c r="M58" i="35"/>
  <c r="O47" i="36"/>
  <c r="AA26" i="47"/>
  <c r="M38" i="36"/>
  <c r="O38" i="36"/>
  <c r="I38" i="9"/>
  <c r="I39" i="9" s="1"/>
  <c r="AT14" i="55"/>
  <c r="AT4" i="55"/>
  <c r="AS18" i="55"/>
  <c r="AS23" i="55"/>
  <c r="AT97" i="55"/>
  <c r="AS42" i="55"/>
  <c r="AT96" i="55"/>
  <c r="AT37" i="55"/>
  <c r="AT98" i="55"/>
  <c r="AT68" i="55"/>
  <c r="AS67" i="55"/>
  <c r="AS82" i="55"/>
  <c r="AT92" i="55"/>
  <c r="AT13" i="55"/>
  <c r="AT41" i="55"/>
  <c r="AS65" i="55"/>
  <c r="AT70" i="55"/>
  <c r="AT71" i="55"/>
  <c r="AS77" i="55"/>
  <c r="AS26" i="55"/>
  <c r="AT73" i="55"/>
  <c r="AT93" i="55"/>
  <c r="AT50" i="55"/>
  <c r="AT95" i="55"/>
  <c r="AS10" i="55"/>
  <c r="AT43" i="55"/>
  <c r="AS52" i="55"/>
  <c r="AS87" i="55"/>
  <c r="AT80" i="55"/>
  <c r="AS69" i="55"/>
  <c r="AT49" i="55"/>
  <c r="AS56" i="55"/>
  <c r="AS59" i="55"/>
  <c r="AT86" i="55"/>
  <c r="AT26" i="55"/>
  <c r="AS35" i="55"/>
  <c r="AT21" i="55"/>
  <c r="AT33" i="55"/>
  <c r="AT36" i="55"/>
  <c r="AS2" i="55"/>
  <c r="AT24" i="55"/>
  <c r="AT58" i="55"/>
  <c r="AS100" i="55"/>
  <c r="AS45" i="55"/>
  <c r="AT8" i="55"/>
  <c r="AS34" i="55"/>
  <c r="AS95" i="55"/>
  <c r="AS50" i="55"/>
  <c r="AT88" i="55"/>
  <c r="AT83" i="55"/>
  <c r="AS97" i="55"/>
  <c r="AS98" i="55"/>
  <c r="AS84" i="55"/>
  <c r="AT30" i="55"/>
  <c r="AT25" i="55"/>
  <c r="AS60" i="55"/>
  <c r="AS49" i="55"/>
  <c r="AT34" i="55"/>
  <c r="AT55" i="55"/>
  <c r="AS21" i="55"/>
  <c r="AS41" i="55"/>
  <c r="AS73" i="55"/>
  <c r="AS16" i="55"/>
  <c r="AT6" i="55"/>
  <c r="AS68" i="55"/>
  <c r="AT35" i="55"/>
  <c r="AS63" i="55"/>
  <c r="AS13" i="55"/>
  <c r="AT2" i="55"/>
  <c r="AT100" i="55"/>
  <c r="AT59" i="55"/>
  <c r="AT66" i="55"/>
  <c r="AT62" i="55"/>
  <c r="AS9" i="55"/>
  <c r="AT32" i="55"/>
  <c r="AS54" i="55"/>
  <c r="AT84" i="55"/>
  <c r="AT16" i="55"/>
  <c r="AT94" i="55"/>
  <c r="AT81" i="55"/>
  <c r="AT44" i="55"/>
  <c r="AS90" i="55"/>
  <c r="AS32" i="55"/>
  <c r="AT87" i="55"/>
  <c r="AS62" i="55"/>
  <c r="AT69" i="55"/>
  <c r="AT61" i="55"/>
  <c r="AS86" i="55"/>
  <c r="AT63" i="55"/>
  <c r="AS89" i="55"/>
  <c r="AS99" i="55"/>
  <c r="AT101" i="55"/>
  <c r="AS51" i="55"/>
  <c r="AS78" i="55"/>
  <c r="AS4" i="55"/>
  <c r="AS29" i="55"/>
  <c r="AS94" i="55"/>
  <c r="AS93" i="55"/>
  <c r="AS81" i="55"/>
  <c r="AT29" i="55"/>
  <c r="AS25" i="55"/>
  <c r="AS92" i="55"/>
  <c r="AT11" i="55"/>
  <c r="AT90" i="55"/>
  <c r="AT78" i="55"/>
  <c r="AS8" i="55"/>
  <c r="AT99" i="55"/>
  <c r="AT19" i="55"/>
  <c r="AS39" i="55"/>
  <c r="AT18" i="55"/>
  <c r="AT67" i="55"/>
  <c r="AS74" i="55"/>
  <c r="AS75" i="55"/>
  <c r="AS57" i="55"/>
  <c r="AT75" i="55"/>
  <c r="AS76" i="55"/>
  <c r="AT77" i="55"/>
  <c r="AT79" i="55"/>
  <c r="AS36" i="55"/>
  <c r="AS70" i="55"/>
  <c r="AS43" i="55"/>
  <c r="AS72" i="55"/>
  <c r="AT57" i="55"/>
  <c r="AT64" i="55"/>
  <c r="AS11" i="55"/>
  <c r="AS37" i="55"/>
  <c r="AT22" i="55"/>
  <c r="AS28" i="55"/>
  <c r="AS101" i="55"/>
  <c r="AT85" i="55"/>
  <c r="AS58" i="55"/>
  <c r="AS47" i="55"/>
  <c r="AT40" i="55"/>
  <c r="AS40" i="55"/>
  <c r="AS30" i="55"/>
  <c r="AS22" i="55"/>
  <c r="AS14" i="55"/>
  <c r="AT39" i="55"/>
  <c r="AS88" i="55"/>
  <c r="AT52" i="55"/>
  <c r="AT60" i="55"/>
  <c r="AS71" i="55"/>
  <c r="AT91" i="55"/>
  <c r="AS83" i="55"/>
  <c r="AT45" i="55"/>
  <c r="AT12" i="55"/>
  <c r="AT53" i="55"/>
  <c r="AT28" i="55"/>
  <c r="AS96" i="55"/>
  <c r="AT76" i="55"/>
  <c r="AS5" i="55"/>
  <c r="AT9" i="55"/>
  <c r="AT74" i="55"/>
  <c r="AS46" i="55"/>
  <c r="AT72" i="55"/>
  <c r="AS24" i="55"/>
  <c r="AS64" i="55"/>
  <c r="AS66" i="55"/>
  <c r="AS85" i="55"/>
  <c r="AS53" i="55"/>
  <c r="AS80" i="55"/>
  <c r="AT56" i="55"/>
  <c r="AS55" i="55"/>
  <c r="AT47" i="55"/>
  <c r="AS17" i="55"/>
  <c r="AT48" i="55"/>
  <c r="AS48" i="55"/>
  <c r="AT54" i="55"/>
  <c r="AT42" i="55"/>
  <c r="AS91" i="55"/>
  <c r="AT17" i="55"/>
  <c r="AT5" i="55"/>
  <c r="AT46" i="55"/>
  <c r="AS44" i="55"/>
  <c r="AT23" i="55"/>
  <c r="AT82" i="55"/>
  <c r="AS79" i="55"/>
  <c r="AT65" i="55"/>
  <c r="AT89" i="55"/>
  <c r="AS6" i="55"/>
  <c r="AS61" i="55"/>
  <c r="AT10" i="55"/>
  <c r="O22" i="36"/>
  <c r="M15" i="47" s="1"/>
  <c r="L22" i="36"/>
  <c r="M22" i="36" s="1"/>
  <c r="N25" i="36"/>
  <c r="L30" i="35"/>
  <c r="K28" i="35"/>
  <c r="L28" i="35" s="1"/>
  <c r="M24" i="35"/>
  <c r="M17" i="36"/>
  <c r="L25" i="35"/>
  <c r="J38" i="6"/>
  <c r="J39" i="6" s="1"/>
  <c r="M23" i="35"/>
  <c r="O17" i="36"/>
  <c r="M14" i="47" s="1"/>
  <c r="N17" i="36"/>
  <c r="I38" i="5"/>
  <c r="I39" i="5" s="1"/>
  <c r="L8" i="34"/>
  <c r="AY3" i="55" s="1"/>
  <c r="I8" i="34"/>
  <c r="AW3" i="55"/>
  <c r="AY80" i="55"/>
  <c r="AY57" i="55"/>
  <c r="AY67" i="55"/>
  <c r="AY97" i="55"/>
  <c r="AY77" i="55"/>
  <c r="AY53" i="55"/>
  <c r="AY72" i="55"/>
  <c r="AY82" i="55"/>
  <c r="AY98" i="55"/>
  <c r="AY76" i="55"/>
  <c r="AY63" i="55"/>
  <c r="AY54" i="55"/>
  <c r="AY83" i="55"/>
  <c r="AY64" i="55"/>
  <c r="AY81" i="55"/>
  <c r="AY101" i="55"/>
  <c r="AY62" i="55"/>
  <c r="AY90" i="55"/>
  <c r="AY56" i="55"/>
  <c r="AY89" i="55"/>
  <c r="AY91" i="55"/>
  <c r="AY92" i="55"/>
  <c r="AY79" i="55"/>
  <c r="AY71" i="55"/>
  <c r="AY85" i="55"/>
  <c r="AY61" i="55"/>
  <c r="AY58" i="55"/>
  <c r="AY93" i="55"/>
  <c r="AY100" i="55"/>
  <c r="AY88" i="55"/>
  <c r="AY59" i="55"/>
  <c r="J38" i="32"/>
  <c r="N6" i="36"/>
  <c r="N2" i="35"/>
  <c r="AP103" i="47" s="1"/>
  <c r="K2" i="35"/>
  <c r="L2" i="35" s="1"/>
  <c r="J4" i="34"/>
  <c r="M2" i="36"/>
  <c r="AP104" i="47"/>
  <c r="AM71" i="55"/>
  <c r="L103" i="35"/>
  <c r="L22" i="35"/>
  <c r="I38" i="6"/>
  <c r="I39" i="6" s="1"/>
  <c r="N19" i="36"/>
  <c r="I38" i="1"/>
  <c r="I39" i="1" s="1"/>
  <c r="J38" i="27"/>
  <c r="J39" i="27" s="1"/>
  <c r="N26" i="36"/>
  <c r="M32" i="35"/>
  <c r="L32" i="35"/>
  <c r="O145" i="36"/>
  <c r="L145" i="36"/>
  <c r="M145" i="36" s="1"/>
  <c r="K101" i="35"/>
  <c r="M101" i="35" s="1"/>
  <c r="N101" i="35"/>
  <c r="AL39" i="55"/>
  <c r="L47" i="36"/>
  <c r="F49" i="47"/>
  <c r="I39" i="23"/>
  <c r="L3" i="35"/>
  <c r="AL123" i="55"/>
  <c r="K172" i="35"/>
  <c r="M172" i="35" s="1"/>
  <c r="M110" i="35"/>
  <c r="J38" i="11"/>
  <c r="J39" i="11" s="1"/>
  <c r="M31" i="35"/>
  <c r="N29" i="35"/>
  <c r="K29" i="35"/>
  <c r="M12" i="35"/>
  <c r="N172" i="35"/>
  <c r="AP4" i="47"/>
  <c r="I38" i="11"/>
  <c r="I39" i="11" s="1"/>
  <c r="M131" i="35"/>
  <c r="X33" i="55"/>
  <c r="Y33" i="55"/>
  <c r="M130" i="35"/>
  <c r="L130" i="35"/>
  <c r="AA3" i="47"/>
  <c r="M106" i="36"/>
  <c r="K25" i="34"/>
  <c r="J25" i="34"/>
  <c r="L54" i="34"/>
  <c r="K2" i="34"/>
  <c r="J2" i="34"/>
  <c r="M133" i="36"/>
  <c r="L105" i="36"/>
  <c r="N105" i="36" s="1"/>
  <c r="M5" i="55"/>
  <c r="F7" i="47"/>
  <c r="AV4" i="55"/>
  <c r="L59" i="34"/>
  <c r="K54" i="34"/>
  <c r="I59" i="34"/>
  <c r="AW4" i="55"/>
  <c r="M22" i="33"/>
  <c r="N22" i="33"/>
  <c r="F21" i="47" s="1"/>
  <c r="AW15" i="55"/>
  <c r="I11" i="34"/>
  <c r="N134" i="35"/>
  <c r="L11" i="34"/>
  <c r="AP11" i="47" s="1"/>
  <c r="N11" i="36"/>
  <c r="J38" i="20"/>
  <c r="J39" i="20" s="1"/>
  <c r="J54" i="34"/>
  <c r="AM10" i="55"/>
  <c r="L129" i="35"/>
  <c r="M129" i="35"/>
  <c r="F12" i="47"/>
  <c r="K170" i="35"/>
  <c r="N170" i="35"/>
  <c r="AN115" i="55" s="1"/>
  <c r="M66" i="35"/>
  <c r="L66" i="35"/>
  <c r="K82" i="34"/>
  <c r="J82" i="34"/>
  <c r="J38" i="1"/>
  <c r="J39" i="1" s="1"/>
  <c r="AL100" i="55"/>
  <c r="L27" i="35"/>
  <c r="K134" i="35"/>
  <c r="L109" i="35"/>
  <c r="K81" i="34"/>
  <c r="M132" i="35"/>
  <c r="L132" i="35"/>
  <c r="M104" i="36"/>
  <c r="N104" i="36"/>
  <c r="N53" i="35"/>
  <c r="O105" i="36"/>
  <c r="I38" i="20"/>
  <c r="I39" i="20" s="1"/>
  <c r="K64" i="34"/>
  <c r="K154" i="35"/>
  <c r="M154" i="35" s="1"/>
  <c r="K82" i="35"/>
  <c r="L82" i="35" s="1"/>
  <c r="K182" i="35"/>
  <c r="N154" i="35"/>
  <c r="M25" i="47"/>
  <c r="N182" i="35"/>
  <c r="M107" i="35"/>
  <c r="L41" i="35"/>
  <c r="Z66" i="55"/>
  <c r="O42" i="36"/>
  <c r="L42" i="36"/>
  <c r="J38" i="10"/>
  <c r="J39" i="10" s="1"/>
  <c r="K6" i="34"/>
  <c r="L82" i="36"/>
  <c r="M82" i="36" s="1"/>
  <c r="O31" i="36"/>
  <c r="I38" i="10"/>
  <c r="I39" i="10" s="1"/>
  <c r="K183" i="35"/>
  <c r="M183" i="35" s="1"/>
  <c r="AP24" i="47"/>
  <c r="AA24" i="47"/>
  <c r="O94" i="36"/>
  <c r="N183" i="35"/>
  <c r="AK9" i="55"/>
  <c r="N46" i="36"/>
  <c r="M46" i="36"/>
  <c r="O7" i="36"/>
  <c r="M7" i="47" s="1"/>
  <c r="K31" i="34"/>
  <c r="J31" i="34"/>
  <c r="AV40" i="55"/>
  <c r="F25" i="47"/>
  <c r="K73" i="35"/>
  <c r="L73" i="35" s="1"/>
  <c r="L93" i="34"/>
  <c r="AP80" i="47" s="1"/>
  <c r="N75" i="35"/>
  <c r="M10" i="35"/>
  <c r="N95" i="35"/>
  <c r="M19" i="35"/>
  <c r="L8" i="35"/>
  <c r="L58" i="34"/>
  <c r="J48" i="34"/>
  <c r="L86" i="34"/>
  <c r="N83" i="35"/>
  <c r="L184" i="35"/>
  <c r="O69" i="36"/>
  <c r="AA95" i="55" s="1"/>
  <c r="X78" i="55"/>
  <c r="O154" i="36"/>
  <c r="O74" i="36"/>
  <c r="M138" i="36"/>
  <c r="N35" i="36"/>
  <c r="M147" i="36"/>
  <c r="M136" i="36"/>
  <c r="F11" i="47"/>
  <c r="M3" i="55"/>
  <c r="F9" i="47"/>
  <c r="O60" i="36"/>
  <c r="M8" i="36"/>
  <c r="N164" i="35"/>
  <c r="L67" i="35"/>
  <c r="M67" i="35"/>
  <c r="O73" i="36"/>
  <c r="L101" i="36"/>
  <c r="N101" i="36" s="1"/>
  <c r="N127" i="35"/>
  <c r="K203" i="35"/>
  <c r="M203" i="35" s="1"/>
  <c r="L154" i="36"/>
  <c r="M154" i="36" s="1"/>
  <c r="AX44" i="55"/>
  <c r="L13" i="35"/>
  <c r="M8" i="47"/>
  <c r="K68" i="34"/>
  <c r="J68" i="34"/>
  <c r="L77" i="34"/>
  <c r="AV44" i="55"/>
  <c r="O65" i="36"/>
  <c r="M109" i="36"/>
  <c r="L115" i="36"/>
  <c r="M115" i="36" s="1"/>
  <c r="M20" i="35"/>
  <c r="L20" i="35"/>
  <c r="N57" i="35"/>
  <c r="N126" i="36"/>
  <c r="M126" i="36"/>
  <c r="L133" i="35"/>
  <c r="M133" i="35"/>
  <c r="L42" i="35"/>
  <c r="M42" i="35"/>
  <c r="I36" i="34"/>
  <c r="J36" i="34" s="1"/>
  <c r="N34" i="36"/>
  <c r="M34" i="36"/>
  <c r="I39" i="34"/>
  <c r="J39" i="34" s="1"/>
  <c r="O63" i="36"/>
  <c r="N201" i="35"/>
  <c r="J89" i="34"/>
  <c r="K89" i="34"/>
  <c r="O59" i="36"/>
  <c r="O95" i="36"/>
  <c r="K201" i="35"/>
  <c r="M201" i="35" s="1"/>
  <c r="N128" i="35"/>
  <c r="N102" i="36"/>
  <c r="M102" i="36"/>
  <c r="M46" i="35"/>
  <c r="L46" i="35"/>
  <c r="L35" i="34"/>
  <c r="L76" i="34"/>
  <c r="AY50" i="55" s="1"/>
  <c r="J53" i="34"/>
  <c r="K53" i="34"/>
  <c r="L94" i="34"/>
  <c r="AK104" i="55"/>
  <c r="K74" i="35"/>
  <c r="M74" i="35" s="1"/>
  <c r="J38" i="19"/>
  <c r="J39" i="19" s="1"/>
  <c r="O66" i="36"/>
  <c r="L66" i="36"/>
  <c r="M66" i="36" s="1"/>
  <c r="J29" i="34"/>
  <c r="K29" i="34"/>
  <c r="O76" i="36"/>
  <c r="K96" i="35"/>
  <c r="M96" i="35" s="1"/>
  <c r="N82" i="35"/>
  <c r="AV46" i="55"/>
  <c r="L76" i="36"/>
  <c r="M76" i="36" s="1"/>
  <c r="M114" i="35"/>
  <c r="L114" i="35"/>
  <c r="I38" i="19"/>
  <c r="I39" i="19" s="1"/>
  <c r="X63" i="55"/>
  <c r="M86" i="36"/>
  <c r="X9" i="55"/>
  <c r="AX40" i="55"/>
  <c r="N93" i="35"/>
  <c r="M53" i="35"/>
  <c r="L53" i="35"/>
  <c r="X46" i="55"/>
  <c r="J50" i="34"/>
  <c r="K50" i="34"/>
  <c r="O107" i="36"/>
  <c r="AA16" i="55" s="1"/>
  <c r="L65" i="36"/>
  <c r="M65" i="36" s="1"/>
  <c r="L73" i="34"/>
  <c r="N41" i="36"/>
  <c r="M41" i="36"/>
  <c r="X14" i="55"/>
  <c r="AP29" i="47"/>
  <c r="AA29" i="47"/>
  <c r="L57" i="34"/>
  <c r="L65" i="34"/>
  <c r="O61" i="36"/>
  <c r="L155" i="36"/>
  <c r="N155" i="36" s="1"/>
  <c r="M6" i="47"/>
  <c r="J90" i="34"/>
  <c r="K90" i="34"/>
  <c r="AK13" i="55"/>
  <c r="AK62" i="55"/>
  <c r="AK56" i="55"/>
  <c r="AK66" i="55"/>
  <c r="AK63" i="55"/>
  <c r="AM62" i="55"/>
  <c r="AM56" i="55"/>
  <c r="N116" i="35"/>
  <c r="N192" i="35"/>
  <c r="AN93" i="55" s="1"/>
  <c r="AK49" i="55"/>
  <c r="K83" i="35"/>
  <c r="M83" i="35" s="1"/>
  <c r="K160" i="35"/>
  <c r="M160" i="35" s="1"/>
  <c r="M151" i="36"/>
  <c r="N151" i="36"/>
  <c r="L40" i="36"/>
  <c r="M40" i="36" s="1"/>
  <c r="AP28" i="47"/>
  <c r="AA28" i="47"/>
  <c r="X47" i="55"/>
  <c r="X13" i="55"/>
  <c r="X11" i="55"/>
  <c r="AM19" i="55"/>
  <c r="AM111" i="55"/>
  <c r="N157" i="35"/>
  <c r="AK42" i="55"/>
  <c r="N194" i="35"/>
  <c r="AK118" i="55"/>
  <c r="Z46" i="55"/>
  <c r="AK35" i="55"/>
  <c r="AK33" i="55"/>
  <c r="AM35" i="55"/>
  <c r="AM33" i="55"/>
  <c r="AM27" i="55"/>
  <c r="O82" i="36"/>
  <c r="N73" i="35"/>
  <c r="AK97" i="55"/>
  <c r="AK27" i="55"/>
  <c r="N94" i="35"/>
  <c r="AK65" i="55"/>
  <c r="AK23" i="55"/>
  <c r="AK78" i="55"/>
  <c r="I37" i="34"/>
  <c r="K37" i="34" s="1"/>
  <c r="O131" i="36"/>
  <c r="I78" i="34"/>
  <c r="K78" i="34" s="1"/>
  <c r="AK14" i="55"/>
  <c r="AK39" i="55"/>
  <c r="L75" i="34"/>
  <c r="L4" i="35"/>
  <c r="M4" i="35"/>
  <c r="AX39" i="55"/>
  <c r="AK51" i="55"/>
  <c r="AK50" i="55"/>
  <c r="L73" i="36"/>
  <c r="N73" i="36" s="1"/>
  <c r="L116" i="36"/>
  <c r="M116" i="36" s="1"/>
  <c r="AM14" i="55"/>
  <c r="AM39" i="55"/>
  <c r="L93" i="36"/>
  <c r="N93" i="36" s="1"/>
  <c r="I75" i="34"/>
  <c r="K75" i="34" s="1"/>
  <c r="L78" i="34"/>
  <c r="AA71" i="47" s="1"/>
  <c r="K93" i="35"/>
  <c r="L93" i="35" s="1"/>
  <c r="K84" i="34"/>
  <c r="J84" i="34"/>
  <c r="K57" i="35"/>
  <c r="AM127" i="55"/>
  <c r="AM160" i="55"/>
  <c r="AM186" i="55"/>
  <c r="AM154" i="55"/>
  <c r="AM159" i="55"/>
  <c r="AM169" i="55"/>
  <c r="AM171" i="55"/>
  <c r="AM163" i="55"/>
  <c r="AM140" i="55"/>
  <c r="AM158" i="55"/>
  <c r="AM185" i="55"/>
  <c r="AM166" i="55"/>
  <c r="AM175" i="55"/>
  <c r="AM139" i="55"/>
  <c r="AM136" i="55"/>
  <c r="AM147" i="55"/>
  <c r="AM156" i="55"/>
  <c r="AM133" i="55"/>
  <c r="AM179" i="55"/>
  <c r="AM148" i="55"/>
  <c r="AM173" i="55"/>
  <c r="AM162" i="55"/>
  <c r="AM174" i="55"/>
  <c r="AM181" i="55"/>
  <c r="AM132" i="55"/>
  <c r="AM141" i="55"/>
  <c r="AM170" i="55"/>
  <c r="AM178" i="55"/>
  <c r="AM176" i="55"/>
  <c r="AM138" i="55"/>
  <c r="AM165" i="55"/>
  <c r="AM144" i="55"/>
  <c r="AM151" i="55"/>
  <c r="AM182" i="55"/>
  <c r="AM149" i="55"/>
  <c r="AM157" i="55"/>
  <c r="AM161" i="55"/>
  <c r="AM177" i="55"/>
  <c r="AM172" i="55"/>
  <c r="AM137" i="55"/>
  <c r="AM150" i="55"/>
  <c r="AM145" i="55"/>
  <c r="AM183" i="55"/>
  <c r="AM167" i="55"/>
  <c r="AM146" i="55"/>
  <c r="AM143" i="55"/>
  <c r="AM142" i="55"/>
  <c r="AM135" i="55"/>
  <c r="AM180" i="55"/>
  <c r="AM184" i="55"/>
  <c r="AM155" i="55"/>
  <c r="AM134" i="55"/>
  <c r="AM164" i="55"/>
  <c r="AM152" i="55"/>
  <c r="AM168" i="55"/>
  <c r="AM153" i="55"/>
  <c r="I38" i="31"/>
  <c r="I39" i="31" s="1"/>
  <c r="I93" i="34"/>
  <c r="K93" i="34" s="1"/>
  <c r="AP5" i="47"/>
  <c r="AA5" i="47"/>
  <c r="L36" i="34"/>
  <c r="AK77" i="55"/>
  <c r="AK5" i="55"/>
  <c r="AM77" i="55"/>
  <c r="AM5" i="55"/>
  <c r="L106" i="35"/>
  <c r="M106" i="35"/>
  <c r="AM9" i="55"/>
  <c r="N121" i="35"/>
  <c r="L96" i="36"/>
  <c r="M96" i="36" s="1"/>
  <c r="K195" i="35"/>
  <c r="M195" i="35" s="1"/>
  <c r="L129" i="36"/>
  <c r="M129" i="36" s="1"/>
  <c r="O130" i="36"/>
  <c r="AP27" i="47"/>
  <c r="AA27" i="47"/>
  <c r="X64" i="55"/>
  <c r="J7" i="34"/>
  <c r="K7" i="34"/>
  <c r="L39" i="34"/>
  <c r="AY51" i="55" s="1"/>
  <c r="AN75" i="55"/>
  <c r="AV42" i="55"/>
  <c r="AV43" i="55"/>
  <c r="O129" i="36"/>
  <c r="L40" i="34"/>
  <c r="AV39" i="55"/>
  <c r="AL150" i="55"/>
  <c r="AL143" i="55"/>
  <c r="AL163" i="55"/>
  <c r="AL137" i="55"/>
  <c r="AL158" i="55"/>
  <c r="AL161" i="55"/>
  <c r="AL180" i="55"/>
  <c r="AL136" i="55"/>
  <c r="AL145" i="55"/>
  <c r="AL157" i="55"/>
  <c r="AL155" i="55"/>
  <c r="AL171" i="55"/>
  <c r="AL170" i="55"/>
  <c r="AL132" i="55"/>
  <c r="AL133" i="55"/>
  <c r="AL178" i="55"/>
  <c r="AL174" i="55"/>
  <c r="AL148" i="55"/>
  <c r="AL173" i="55"/>
  <c r="AL162" i="55"/>
  <c r="AL156" i="55"/>
  <c r="AL177" i="55"/>
  <c r="AL134" i="55"/>
  <c r="AL138" i="55"/>
  <c r="AL184" i="55"/>
  <c r="AL169" i="55"/>
  <c r="AL141" i="55"/>
  <c r="AL154" i="55"/>
  <c r="AL147" i="55"/>
  <c r="AL153" i="55"/>
  <c r="AL181" i="55"/>
  <c r="AL142" i="55"/>
  <c r="AL146" i="55"/>
  <c r="AL176" i="55"/>
  <c r="AL135" i="55"/>
  <c r="AL166" i="55"/>
  <c r="AL186" i="55"/>
  <c r="AL183" i="55"/>
  <c r="AL149" i="55"/>
  <c r="AL160" i="55"/>
  <c r="AL182" i="55"/>
  <c r="AL172" i="55"/>
  <c r="AL144" i="55"/>
  <c r="AL179" i="55"/>
  <c r="AL159" i="55"/>
  <c r="AL140" i="55"/>
  <c r="AL185" i="55"/>
  <c r="AL167" i="55"/>
  <c r="AL165" i="55"/>
  <c r="AL152" i="55"/>
  <c r="AL164" i="55"/>
  <c r="AL139" i="55"/>
  <c r="AL151" i="55"/>
  <c r="AL175" i="55"/>
  <c r="AL168" i="55"/>
  <c r="L156" i="36"/>
  <c r="M156" i="36" s="1"/>
  <c r="Z78" i="55"/>
  <c r="AX42" i="55"/>
  <c r="AX43" i="55"/>
  <c r="T5" i="47"/>
  <c r="AP105" i="47"/>
  <c r="N193" i="35"/>
  <c r="AK99" i="55"/>
  <c r="M4" i="36"/>
  <c r="N4" i="36"/>
  <c r="J38" i="31"/>
  <c r="J39" i="31" s="1"/>
  <c r="AK18" i="55"/>
  <c r="AK20" i="55"/>
  <c r="J63" i="34"/>
  <c r="K63" i="34"/>
  <c r="AM18" i="55"/>
  <c r="AM20" i="55"/>
  <c r="AK85" i="55"/>
  <c r="AK84" i="55"/>
  <c r="N197" i="35"/>
  <c r="N74" i="35"/>
  <c r="N10" i="36"/>
  <c r="M10" i="36"/>
  <c r="AN117" i="55"/>
  <c r="AM105" i="55"/>
  <c r="O156" i="36"/>
  <c r="G47" i="55"/>
  <c r="L44" i="34"/>
  <c r="N87" i="35"/>
  <c r="X32" i="55"/>
  <c r="X4" i="55"/>
  <c r="AP20" i="47"/>
  <c r="AA20" i="47"/>
  <c r="AK107" i="55"/>
  <c r="I79" i="34"/>
  <c r="K79" i="34" s="1"/>
  <c r="O155" i="36"/>
  <c r="AV37" i="55"/>
  <c r="AV17" i="55"/>
  <c r="N76" i="35"/>
  <c r="AV28" i="55"/>
  <c r="N69" i="33"/>
  <c r="F62" i="47" s="1"/>
  <c r="Z47" i="55"/>
  <c r="O64" i="36"/>
  <c r="AK43" i="55"/>
  <c r="AK44" i="55"/>
  <c r="AX37" i="55"/>
  <c r="AX17" i="55"/>
  <c r="AM66" i="55"/>
  <c r="AM63" i="55"/>
  <c r="L161" i="36"/>
  <c r="N161" i="36" s="1"/>
  <c r="X52" i="55"/>
  <c r="X53" i="55"/>
  <c r="N191" i="35"/>
  <c r="AN34" i="55" s="1"/>
  <c r="AK19" i="55"/>
  <c r="O128" i="36"/>
  <c r="M176" i="35"/>
  <c r="L176" i="35"/>
  <c r="M69" i="33"/>
  <c r="M72" i="33"/>
  <c r="N49" i="33"/>
  <c r="F46" i="47" s="1"/>
  <c r="H47" i="55"/>
  <c r="N65" i="33"/>
  <c r="F59" i="47" s="1"/>
  <c r="F24" i="47"/>
  <c r="M60" i="55"/>
  <c r="M65" i="55"/>
  <c r="M68" i="55"/>
  <c r="M57" i="55"/>
  <c r="M78" i="55"/>
  <c r="M79" i="55"/>
  <c r="M61" i="55"/>
  <c r="M62" i="55"/>
  <c r="M76" i="55"/>
  <c r="M77" i="55"/>
  <c r="M74" i="55"/>
  <c r="M67" i="55"/>
  <c r="M58" i="55"/>
  <c r="M80" i="55"/>
  <c r="M66" i="55"/>
  <c r="M56" i="55"/>
  <c r="M75" i="55"/>
  <c r="M55" i="55"/>
  <c r="M72" i="55"/>
  <c r="M73" i="55"/>
  <c r="M59" i="55"/>
  <c r="M70" i="55"/>
  <c r="M69" i="55"/>
  <c r="M52" i="55"/>
  <c r="M53" i="55"/>
  <c r="M64" i="55"/>
  <c r="M71" i="55"/>
  <c r="M54" i="55"/>
  <c r="M63" i="55"/>
  <c r="F57" i="47"/>
  <c r="F56" i="47"/>
  <c r="N43" i="33"/>
  <c r="M20" i="55" s="1"/>
  <c r="H29" i="55"/>
  <c r="H37" i="55"/>
  <c r="M19" i="55"/>
  <c r="J29" i="47"/>
  <c r="K29" i="47"/>
  <c r="R7" i="47"/>
  <c r="AN107" i="47"/>
  <c r="AO107" i="47"/>
  <c r="S7" i="47"/>
  <c r="AL107" i="47"/>
  <c r="Q7" i="47"/>
  <c r="J69" i="34"/>
  <c r="K69" i="34"/>
  <c r="K144" i="35"/>
  <c r="M144" i="35" s="1"/>
  <c r="N143" i="35"/>
  <c r="N144" i="35"/>
  <c r="Z37" i="55"/>
  <c r="AV35" i="55"/>
  <c r="AV34" i="55"/>
  <c r="AK37" i="55"/>
  <c r="AK36" i="55"/>
  <c r="AX34" i="55"/>
  <c r="AM37" i="55"/>
  <c r="AM36" i="55"/>
  <c r="K89" i="35"/>
  <c r="M89" i="35" s="1"/>
  <c r="N88" i="35"/>
  <c r="Z60" i="55"/>
  <c r="N181" i="35"/>
  <c r="K181" i="35"/>
  <c r="L181" i="35" s="1"/>
  <c r="AA89" i="47"/>
  <c r="AP89" i="47"/>
  <c r="AA44" i="47"/>
  <c r="AP44" i="47"/>
  <c r="AP62" i="47"/>
  <c r="M45" i="55"/>
  <c r="Y40" i="55"/>
  <c r="Y36" i="55"/>
  <c r="F48" i="47"/>
  <c r="L64" i="36"/>
  <c r="O115" i="36"/>
  <c r="AW35" i="55"/>
  <c r="Y76" i="55"/>
  <c r="L38" i="34"/>
  <c r="I74" i="34"/>
  <c r="K117" i="35"/>
  <c r="AL62" i="55"/>
  <c r="O98" i="36"/>
  <c r="N92" i="35"/>
  <c r="AN64" i="55" s="1"/>
  <c r="M68" i="35"/>
  <c r="L68" i="35"/>
  <c r="AL35" i="55"/>
  <c r="K90" i="35"/>
  <c r="AM8" i="55"/>
  <c r="AM7" i="55"/>
  <c r="AK69" i="55"/>
  <c r="Y27" i="55"/>
  <c r="L77" i="36"/>
  <c r="O116" i="36"/>
  <c r="N155" i="35"/>
  <c r="K76" i="35"/>
  <c r="O93" i="36"/>
  <c r="L79" i="34"/>
  <c r="AA72" i="47" s="1"/>
  <c r="M149" i="35"/>
  <c r="L149" i="35"/>
  <c r="L107" i="36"/>
  <c r="Y78" i="55"/>
  <c r="L95" i="36"/>
  <c r="L63" i="36"/>
  <c r="Y62" i="55"/>
  <c r="I97" i="34"/>
  <c r="AV41" i="55"/>
  <c r="L56" i="34"/>
  <c r="AL15" i="55"/>
  <c r="K162" i="35"/>
  <c r="M43" i="55"/>
  <c r="K127" i="35"/>
  <c r="AP19" i="47"/>
  <c r="AA19" i="47"/>
  <c r="L72" i="34"/>
  <c r="X39" i="55"/>
  <c r="O58" i="36"/>
  <c r="AA70" i="55" s="1"/>
  <c r="L130" i="36"/>
  <c r="K77" i="35"/>
  <c r="AM113" i="55"/>
  <c r="AM109" i="55"/>
  <c r="Y88" i="55"/>
  <c r="L159" i="36"/>
  <c r="I58" i="34"/>
  <c r="K164" i="35"/>
  <c r="AP9" i="47"/>
  <c r="AA9" i="47"/>
  <c r="N108" i="36"/>
  <c r="M108" i="36"/>
  <c r="AW25" i="55"/>
  <c r="I35" i="34"/>
  <c r="L74" i="36"/>
  <c r="I65" i="34"/>
  <c r="K143" i="35"/>
  <c r="F44" i="47"/>
  <c r="F45" i="47"/>
  <c r="I87" i="34"/>
  <c r="J32" i="34"/>
  <c r="K32" i="34"/>
  <c r="K78" i="35"/>
  <c r="AL48" i="55"/>
  <c r="M65" i="33"/>
  <c r="G45" i="55"/>
  <c r="I96" i="34"/>
  <c r="N86" i="35"/>
  <c r="AN71" i="55" s="1"/>
  <c r="N79" i="35"/>
  <c r="Y67" i="55"/>
  <c r="L68" i="36"/>
  <c r="O101" i="36"/>
  <c r="AL7" i="55"/>
  <c r="K116" i="35"/>
  <c r="K141" i="35"/>
  <c r="AL37" i="55"/>
  <c r="L74" i="34"/>
  <c r="L153" i="36"/>
  <c r="N117" i="35"/>
  <c r="AX35" i="55"/>
  <c r="AX36" i="55"/>
  <c r="J127" i="36"/>
  <c r="Y6" i="55" s="1"/>
  <c r="I38" i="26"/>
  <c r="I39" i="26" s="1"/>
  <c r="K191" i="35"/>
  <c r="AL46" i="55"/>
  <c r="L97" i="34"/>
  <c r="AM16" i="55"/>
  <c r="AM15" i="55"/>
  <c r="AL14" i="55"/>
  <c r="L71" i="34"/>
  <c r="L128" i="36"/>
  <c r="L58" i="36"/>
  <c r="N81" i="35"/>
  <c r="N198" i="35"/>
  <c r="N190" i="35"/>
  <c r="AN29" i="55" s="1"/>
  <c r="F55" i="47"/>
  <c r="K80" i="35"/>
  <c r="L69" i="36"/>
  <c r="Y77" i="55"/>
  <c r="K33" i="34"/>
  <c r="J33" i="34"/>
  <c r="K95" i="35"/>
  <c r="N80" i="35"/>
  <c r="M148" i="35"/>
  <c r="L148" i="35"/>
  <c r="AL105" i="55"/>
  <c r="AL106" i="55"/>
  <c r="K158" i="35"/>
  <c r="N78" i="35"/>
  <c r="Z36" i="55"/>
  <c r="Z35" i="55"/>
  <c r="M33" i="33"/>
  <c r="G8" i="55"/>
  <c r="N33" i="33"/>
  <c r="F31" i="47" s="1"/>
  <c r="J38" i="14"/>
  <c r="J39" i="14" s="1"/>
  <c r="K62" i="36"/>
  <c r="F50" i="47"/>
  <c r="L64" i="35"/>
  <c r="M64" i="35"/>
  <c r="M24" i="36"/>
  <c r="N24" i="36"/>
  <c r="K127" i="36"/>
  <c r="Z6" i="55" s="1"/>
  <c r="J38" i="26"/>
  <c r="J39" i="26" s="1"/>
  <c r="Y60" i="55"/>
  <c r="L70" i="36"/>
  <c r="M81" i="36"/>
  <c r="N81" i="36"/>
  <c r="I72" i="34"/>
  <c r="AW28" i="55"/>
  <c r="N96" i="35"/>
  <c r="O158" i="36"/>
  <c r="N29" i="33"/>
  <c r="M7" i="55" s="1"/>
  <c r="M9" i="36"/>
  <c r="N9" i="36"/>
  <c r="AK16" i="55"/>
  <c r="AK15" i="55"/>
  <c r="N162" i="35"/>
  <c r="K22" i="34"/>
  <c r="J22" i="34"/>
  <c r="L95" i="34"/>
  <c r="AW13" i="55"/>
  <c r="I92" i="34"/>
  <c r="AL113" i="55"/>
  <c r="AL109" i="55"/>
  <c r="I44" i="34"/>
  <c r="AW9" i="55"/>
  <c r="AL128" i="55"/>
  <c r="AL67" i="55"/>
  <c r="K87" i="35"/>
  <c r="M48" i="55"/>
  <c r="F58" i="47"/>
  <c r="I38" i="34"/>
  <c r="AX28" i="55"/>
  <c r="AW44" i="55"/>
  <c r="Z67" i="55"/>
  <c r="L96" i="34"/>
  <c r="N141" i="35"/>
  <c r="L87" i="34"/>
  <c r="K79" i="35"/>
  <c r="M52" i="36"/>
  <c r="N52" i="36"/>
  <c r="J122" i="36"/>
  <c r="I38" i="24"/>
  <c r="I39" i="24" s="1"/>
  <c r="Y83" i="55"/>
  <c r="Y84" i="55"/>
  <c r="AW37" i="55"/>
  <c r="I95" i="34"/>
  <c r="M35" i="55"/>
  <c r="F61" i="47"/>
  <c r="K94" i="35"/>
  <c r="X67" i="55"/>
  <c r="X59" i="55"/>
  <c r="M29" i="33"/>
  <c r="G27" i="55"/>
  <c r="L61" i="36"/>
  <c r="I38" i="14"/>
  <c r="I39" i="14" s="1"/>
  <c r="J62" i="36"/>
  <c r="Y12" i="55" s="1"/>
  <c r="K198" i="35"/>
  <c r="X54" i="55"/>
  <c r="X61" i="55"/>
  <c r="O153" i="36"/>
  <c r="AL45" i="55"/>
  <c r="K155" i="35"/>
  <c r="L59" i="36"/>
  <c r="M135" i="36"/>
  <c r="N135" i="36"/>
  <c r="L37" i="34"/>
  <c r="AY2" i="55"/>
  <c r="AK109" i="55"/>
  <c r="AK111" i="55"/>
  <c r="I73" i="34"/>
  <c r="K193" i="35"/>
  <c r="K88" i="35"/>
  <c r="I38" i="16"/>
  <c r="I39" i="16" s="1"/>
  <c r="J72" i="36"/>
  <c r="M85" i="35"/>
  <c r="L85" i="35"/>
  <c r="AW8" i="55"/>
  <c r="I77" i="34"/>
  <c r="M43" i="33"/>
  <c r="K86" i="35"/>
  <c r="L98" i="36"/>
  <c r="K122" i="36"/>
  <c r="Z26" i="55" s="1"/>
  <c r="J38" i="24"/>
  <c r="J39" i="24" s="1"/>
  <c r="K121" i="35"/>
  <c r="L173" i="35"/>
  <c r="M173" i="35"/>
  <c r="Y35" i="55"/>
  <c r="X87" i="55"/>
  <c r="O160" i="36"/>
  <c r="O75" i="36"/>
  <c r="AP21" i="47"/>
  <c r="AA21" i="47"/>
  <c r="F42" i="47"/>
  <c r="AL24" i="55"/>
  <c r="AL26" i="55"/>
  <c r="K197" i="35"/>
  <c r="K81" i="35"/>
  <c r="A9" i="35"/>
  <c r="AL108" i="47" s="1"/>
  <c r="O77" i="36"/>
  <c r="M27" i="33"/>
  <c r="N27" i="33"/>
  <c r="AL19" i="55"/>
  <c r="K190" i="35"/>
  <c r="AL111" i="55"/>
  <c r="K192" i="35"/>
  <c r="J9" i="34"/>
  <c r="K9" i="34"/>
  <c r="I38" i="22"/>
  <c r="I39" i="22" s="1"/>
  <c r="J112" i="36"/>
  <c r="Y18" i="55" s="1"/>
  <c r="K57" i="36"/>
  <c r="J38" i="13"/>
  <c r="J39" i="13" s="1"/>
  <c r="O159" i="36"/>
  <c r="N163" i="35"/>
  <c r="K163" i="35"/>
  <c r="N203" i="35"/>
  <c r="J92" i="36"/>
  <c r="Y64" i="55" s="1"/>
  <c r="I38" i="25"/>
  <c r="I39" i="25" s="1"/>
  <c r="AL12" i="55"/>
  <c r="K161" i="35"/>
  <c r="AA43" i="47"/>
  <c r="AP43" i="47"/>
  <c r="L174" i="35"/>
  <c r="M174" i="35"/>
  <c r="L177" i="35"/>
  <c r="M177" i="35"/>
  <c r="I94" i="34"/>
  <c r="Y34" i="55"/>
  <c r="L158" i="36"/>
  <c r="N84" i="35"/>
  <c r="L160" i="36"/>
  <c r="N89" i="35"/>
  <c r="J143" i="36"/>
  <c r="Y53" i="55" s="1"/>
  <c r="I38" i="2"/>
  <c r="I39" i="2" s="1"/>
  <c r="L75" i="36"/>
  <c r="J20" i="34"/>
  <c r="K20" i="34"/>
  <c r="K80" i="34"/>
  <c r="J80" i="34"/>
  <c r="N140" i="36"/>
  <c r="M140" i="36"/>
  <c r="X7" i="55"/>
  <c r="N142" i="35"/>
  <c r="AM23" i="55"/>
  <c r="AM24" i="55"/>
  <c r="L60" i="36"/>
  <c r="O68" i="36"/>
  <c r="I57" i="34"/>
  <c r="AK130" i="55"/>
  <c r="AK125" i="55"/>
  <c r="J85" i="34"/>
  <c r="K85" i="34"/>
  <c r="G22" i="55"/>
  <c r="N72" i="33"/>
  <c r="M13" i="55" s="1"/>
  <c r="K128" i="35"/>
  <c r="Y46" i="55"/>
  <c r="L131" i="36"/>
  <c r="J38" i="16"/>
  <c r="J39" i="16" s="1"/>
  <c r="K72" i="36"/>
  <c r="J38" i="22"/>
  <c r="J39" i="22" s="1"/>
  <c r="K112" i="36"/>
  <c r="N77" i="35"/>
  <c r="J57" i="36"/>
  <c r="I38" i="13"/>
  <c r="I39" i="13" s="1"/>
  <c r="L94" i="36"/>
  <c r="K92" i="36"/>
  <c r="Z20" i="55" s="1"/>
  <c r="J38" i="25"/>
  <c r="J39" i="25" s="1"/>
  <c r="AM13" i="55"/>
  <c r="AM12" i="55"/>
  <c r="F20" i="47"/>
  <c r="AA88" i="47"/>
  <c r="AP88" i="47"/>
  <c r="K92" i="35"/>
  <c r="M40" i="55"/>
  <c r="K84" i="35"/>
  <c r="AA99" i="55"/>
  <c r="AA140" i="55"/>
  <c r="AA113" i="55"/>
  <c r="AA117" i="55"/>
  <c r="AA166" i="55"/>
  <c r="AA164" i="55"/>
  <c r="AA147" i="55"/>
  <c r="AA130" i="55"/>
  <c r="AA104" i="55"/>
  <c r="AA121" i="55"/>
  <c r="AA119" i="55"/>
  <c r="AA143" i="55"/>
  <c r="AA127" i="55"/>
  <c r="AA108" i="55"/>
  <c r="AA146" i="55"/>
  <c r="AA124" i="55"/>
  <c r="AA145" i="55"/>
  <c r="AA144" i="55"/>
  <c r="AA160" i="55"/>
  <c r="AA137" i="55"/>
  <c r="AA136" i="55"/>
  <c r="AA105" i="55"/>
  <c r="AA158" i="55"/>
  <c r="AA159" i="55"/>
  <c r="AA142" i="55"/>
  <c r="AA134" i="55"/>
  <c r="AA107" i="55"/>
  <c r="AA138" i="55"/>
  <c r="AA148" i="55"/>
  <c r="AA161" i="55"/>
  <c r="AA129" i="55"/>
  <c r="AA128" i="55"/>
  <c r="AA157" i="55"/>
  <c r="AA154" i="55"/>
  <c r="AA126" i="55"/>
  <c r="AA118" i="55"/>
  <c r="AA123" i="55"/>
  <c r="AA153" i="55"/>
  <c r="AA112" i="55"/>
  <c r="AA150" i="55"/>
  <c r="AA149" i="55"/>
  <c r="AA141" i="55"/>
  <c r="AA165" i="55"/>
  <c r="AA114" i="55"/>
  <c r="AA139" i="55"/>
  <c r="AA125" i="55"/>
  <c r="AA151" i="55"/>
  <c r="AA103" i="55"/>
  <c r="AA116" i="55"/>
  <c r="AA152" i="55"/>
  <c r="AA156" i="55"/>
  <c r="AA171" i="55"/>
  <c r="AA162" i="55"/>
  <c r="AA110" i="55"/>
  <c r="AA135" i="55"/>
  <c r="AA122" i="55"/>
  <c r="AA109" i="55"/>
  <c r="AA111" i="55"/>
  <c r="AA133" i="55"/>
  <c r="AA163" i="55"/>
  <c r="AA168" i="55"/>
  <c r="AA167" i="55"/>
  <c r="AA132" i="55"/>
  <c r="AA106" i="55"/>
  <c r="AA102" i="55"/>
  <c r="AA155" i="55"/>
  <c r="AA120" i="55"/>
  <c r="AA115" i="55"/>
  <c r="AA131" i="55"/>
  <c r="AA170" i="55"/>
  <c r="AA169" i="55"/>
  <c r="Z33" i="55"/>
  <c r="Z34" i="55"/>
  <c r="J67" i="36"/>
  <c r="I38" i="15"/>
  <c r="I39" i="15" s="1"/>
  <c r="M5" i="36"/>
  <c r="N5" i="36"/>
  <c r="L132" i="36"/>
  <c r="O132" i="36"/>
  <c r="O161" i="36"/>
  <c r="K152" i="36"/>
  <c r="Z30" i="55" s="1"/>
  <c r="J38" i="30"/>
  <c r="J39" i="30" s="1"/>
  <c r="I71" i="34"/>
  <c r="AL18" i="55"/>
  <c r="K70" i="35"/>
  <c r="L7" i="36"/>
  <c r="AW40" i="55"/>
  <c r="AW41" i="55"/>
  <c r="I56" i="34"/>
  <c r="K157" i="35"/>
  <c r="N195" i="35"/>
  <c r="M49" i="33"/>
  <c r="G26" i="55"/>
  <c r="O70" i="36"/>
  <c r="AK101" i="55"/>
  <c r="AK98" i="55"/>
  <c r="N70" i="35"/>
  <c r="Y37" i="55"/>
  <c r="M55" i="36"/>
  <c r="N55" i="36"/>
  <c r="M9" i="35"/>
  <c r="L9" i="35"/>
  <c r="L92" i="34"/>
  <c r="M55" i="33"/>
  <c r="N55" i="33"/>
  <c r="M38" i="55" s="1"/>
  <c r="I86" i="34"/>
  <c r="AW6" i="55"/>
  <c r="M41" i="33"/>
  <c r="G29" i="55"/>
  <c r="N41" i="33"/>
  <c r="M33" i="55" s="1"/>
  <c r="N160" i="35"/>
  <c r="AK12" i="55"/>
  <c r="N161" i="35"/>
  <c r="AN11" i="55" s="1"/>
  <c r="Z29" i="55"/>
  <c r="Z28" i="55"/>
  <c r="N158" i="35"/>
  <c r="AL70" i="55"/>
  <c r="AL66" i="55"/>
  <c r="K67" i="36"/>
  <c r="Z44" i="55" s="1"/>
  <c r="J38" i="15"/>
  <c r="J39" i="15" s="1"/>
  <c r="K142" i="35"/>
  <c r="AL13" i="55"/>
  <c r="K75" i="35"/>
  <c r="K143" i="36"/>
  <c r="Z90" i="55" s="1"/>
  <c r="J38" i="2"/>
  <c r="J39" i="2" s="1"/>
  <c r="K123" i="35"/>
  <c r="AL10" i="55"/>
  <c r="O96" i="36"/>
  <c r="N90" i="35"/>
  <c r="AW36" i="55"/>
  <c r="I76" i="34"/>
  <c r="J152" i="36"/>
  <c r="Y30" i="55" s="1"/>
  <c r="I38" i="30"/>
  <c r="I39" i="30" s="1"/>
  <c r="N123" i="35"/>
  <c r="M32" i="36"/>
  <c r="N32" i="36"/>
  <c r="AM130" i="55"/>
  <c r="AL98" i="55"/>
  <c r="K194" i="35"/>
  <c r="I40" i="34"/>
  <c r="K47" i="34"/>
  <c r="J47" i="34"/>
  <c r="O40" i="36"/>
  <c r="AX25" i="55"/>
  <c r="N39" i="35"/>
  <c r="N40" i="35"/>
  <c r="N34" i="35"/>
  <c r="L19" i="34"/>
  <c r="K39" i="35"/>
  <c r="M39" i="35" s="1"/>
  <c r="N37" i="35"/>
  <c r="AM74" i="55"/>
  <c r="AK94" i="55"/>
  <c r="AK89" i="55"/>
  <c r="K40" i="35"/>
  <c r="M40" i="35" s="1"/>
  <c r="K37" i="35"/>
  <c r="L37" i="35" s="1"/>
  <c r="O30" i="36"/>
  <c r="X93" i="55"/>
  <c r="AM22" i="55"/>
  <c r="AM21" i="55"/>
  <c r="AK22" i="55"/>
  <c r="AK21" i="55"/>
  <c r="L31" i="36"/>
  <c r="M31" i="36" s="1"/>
  <c r="X45" i="55"/>
  <c r="L18" i="34"/>
  <c r="AK81" i="55"/>
  <c r="AK74" i="55"/>
  <c r="I18" i="34"/>
  <c r="J18" i="34" s="1"/>
  <c r="Z45" i="55"/>
  <c r="O118" i="36"/>
  <c r="AA67" i="55" s="1"/>
  <c r="Y73" i="55"/>
  <c r="Z73" i="55"/>
  <c r="Z19" i="55"/>
  <c r="O87" i="36"/>
  <c r="Y19" i="55"/>
  <c r="Z40" i="55"/>
  <c r="L87" i="36"/>
  <c r="J26" i="34"/>
  <c r="K26" i="34"/>
  <c r="F19" i="47"/>
  <c r="Y45" i="55"/>
  <c r="L44" i="36"/>
  <c r="AP25" i="47"/>
  <c r="AA25" i="47"/>
  <c r="L52" i="35"/>
  <c r="M52" i="35"/>
  <c r="N15" i="33"/>
  <c r="AL22" i="55"/>
  <c r="K34" i="35"/>
  <c r="N36" i="35"/>
  <c r="Y47" i="55"/>
  <c r="L29" i="36"/>
  <c r="N38" i="35"/>
  <c r="L17" i="34"/>
  <c r="AL81" i="55"/>
  <c r="K35" i="35"/>
  <c r="O29" i="36"/>
  <c r="J27" i="36"/>
  <c r="Y24" i="55" s="1"/>
  <c r="I38" i="7"/>
  <c r="I39" i="7" s="1"/>
  <c r="I19" i="34"/>
  <c r="K36" i="35"/>
  <c r="M15" i="33"/>
  <c r="X22" i="55"/>
  <c r="X23" i="55"/>
  <c r="AW14" i="55"/>
  <c r="I17" i="34"/>
  <c r="L30" i="36"/>
  <c r="N35" i="35"/>
  <c r="K27" i="36"/>
  <c r="Z24" i="55" s="1"/>
  <c r="J38" i="7"/>
  <c r="J39" i="7" s="1"/>
  <c r="K38" i="35"/>
  <c r="M16" i="47"/>
  <c r="AL127" i="55"/>
  <c r="K6" i="35"/>
  <c r="N6" i="35"/>
  <c r="N142" i="36"/>
  <c r="M142" i="36"/>
  <c r="O137" i="36"/>
  <c r="Y29" i="55"/>
  <c r="L118" i="36"/>
  <c r="L97" i="36"/>
  <c r="O97" i="36"/>
  <c r="A44" i="36"/>
  <c r="AL80" i="55" l="1"/>
  <c r="M25" i="55"/>
  <c r="AM82" i="55"/>
  <c r="AL82" i="55"/>
  <c r="M13" i="47"/>
  <c r="AM84" i="55"/>
  <c r="Y38" i="55"/>
  <c r="Z38" i="55"/>
  <c r="K166" i="35"/>
  <c r="M166" i="35" s="1"/>
  <c r="K165" i="35"/>
  <c r="M165" i="35" s="1"/>
  <c r="Y39" i="55"/>
  <c r="N45" i="36"/>
  <c r="L113" i="35"/>
  <c r="AL125" i="55"/>
  <c r="AM125" i="55"/>
  <c r="Z59" i="55"/>
  <c r="Y90" i="55"/>
  <c r="AM100" i="55"/>
  <c r="AY11" i="55"/>
  <c r="M29" i="47"/>
  <c r="AP23" i="47"/>
  <c r="M27" i="47"/>
  <c r="N105" i="35"/>
  <c r="K105" i="35"/>
  <c r="M105" i="35" s="1"/>
  <c r="AM98" i="55"/>
  <c r="M61" i="35"/>
  <c r="AL83" i="55"/>
  <c r="AL86" i="55"/>
  <c r="AM86" i="55"/>
  <c r="AM83" i="55"/>
  <c r="AN17" i="55"/>
  <c r="AX45" i="55"/>
  <c r="Z39" i="55"/>
  <c r="AA22" i="47"/>
  <c r="AP22" i="47"/>
  <c r="AX33" i="55"/>
  <c r="AW33" i="55"/>
  <c r="M41" i="55"/>
  <c r="M21" i="55"/>
  <c r="Y31" i="55"/>
  <c r="Z31" i="55"/>
  <c r="K51" i="35"/>
  <c r="M51" i="35" s="1"/>
  <c r="AL50" i="55"/>
  <c r="AM43" i="55"/>
  <c r="AW16" i="55"/>
  <c r="Y63" i="55"/>
  <c r="Z63" i="55"/>
  <c r="Y15" i="55"/>
  <c r="M18" i="55"/>
  <c r="AN25" i="55"/>
  <c r="N166" i="35"/>
  <c r="AM81" i="55"/>
  <c r="Y49" i="55"/>
  <c r="Y82" i="55"/>
  <c r="AL77" i="55"/>
  <c r="AW32" i="55"/>
  <c r="AX32" i="55"/>
  <c r="M16" i="36"/>
  <c r="AM69" i="55"/>
  <c r="AL85" i="55"/>
  <c r="L136" i="35"/>
  <c r="AA96" i="55"/>
  <c r="AM85" i="55"/>
  <c r="AW42" i="55"/>
  <c r="AL97" i="55"/>
  <c r="AM97" i="55"/>
  <c r="Z10" i="55"/>
  <c r="Y10" i="55"/>
  <c r="AA88" i="55"/>
  <c r="Z12" i="55"/>
  <c r="AN58" i="55"/>
  <c r="AN42" i="55"/>
  <c r="AY27" i="55"/>
  <c r="AL44" i="55"/>
  <c r="AM44" i="55"/>
  <c r="Y42" i="55"/>
  <c r="L18" i="35"/>
  <c r="AA89" i="55"/>
  <c r="AM94" i="55"/>
  <c r="AL94" i="55"/>
  <c r="AA98" i="55"/>
  <c r="AN28" i="55"/>
  <c r="AM89" i="55"/>
  <c r="Y54" i="55"/>
  <c r="Z54" i="55"/>
  <c r="AL89" i="55"/>
  <c r="M30" i="55"/>
  <c r="AM95" i="55"/>
  <c r="AL95" i="55"/>
  <c r="AL121" i="55"/>
  <c r="Z51" i="55"/>
  <c r="AM121" i="55"/>
  <c r="AM72" i="55"/>
  <c r="Y72" i="55"/>
  <c r="Y48" i="55"/>
  <c r="AL91" i="55"/>
  <c r="AM91" i="55"/>
  <c r="Y55" i="55"/>
  <c r="Z55" i="55"/>
  <c r="AY12" i="55"/>
  <c r="AX30" i="55"/>
  <c r="AN27" i="55"/>
  <c r="AA78" i="55"/>
  <c r="K187" i="35"/>
  <c r="M187" i="35" s="1"/>
  <c r="N187" i="35"/>
  <c r="AN96" i="55" s="1"/>
  <c r="O123" i="36"/>
  <c r="N119" i="36"/>
  <c r="M121" i="36"/>
  <c r="M120" i="36"/>
  <c r="L138" i="35"/>
  <c r="M137" i="35"/>
  <c r="AL61" i="55"/>
  <c r="K59" i="35"/>
  <c r="L59" i="35" s="1"/>
  <c r="K23" i="34"/>
  <c r="I16" i="34"/>
  <c r="J16" i="34" s="1"/>
  <c r="L42" i="34"/>
  <c r="AY48" i="55" s="1"/>
  <c r="K70" i="34"/>
  <c r="I42" i="34"/>
  <c r="K42" i="34" s="1"/>
  <c r="K60" i="34"/>
  <c r="AY47" i="55"/>
  <c r="AX48" i="55"/>
  <c r="AW48" i="55"/>
  <c r="AW18" i="55"/>
  <c r="AP45" i="47"/>
  <c r="N72" i="35"/>
  <c r="K72" i="35"/>
  <c r="M72" i="35" s="1"/>
  <c r="M178" i="35"/>
  <c r="M104" i="35"/>
  <c r="L65" i="35"/>
  <c r="L97" i="35"/>
  <c r="L7" i="35"/>
  <c r="M179" i="35"/>
  <c r="M122" i="35"/>
  <c r="M55" i="35"/>
  <c r="L5" i="35"/>
  <c r="AN53" i="55"/>
  <c r="AN67" i="55"/>
  <c r="AN57" i="55"/>
  <c r="M111" i="35"/>
  <c r="L135" i="35"/>
  <c r="M149" i="36"/>
  <c r="M141" i="36"/>
  <c r="O14" i="36"/>
  <c r="M12" i="47" s="1"/>
  <c r="L14" i="36"/>
  <c r="L123" i="36"/>
  <c r="N123" i="36" s="1"/>
  <c r="N23" i="36"/>
  <c r="Y25" i="55"/>
  <c r="Y20" i="55"/>
  <c r="Z25" i="55"/>
  <c r="AA68" i="55"/>
  <c r="M117" i="36"/>
  <c r="F5" i="47"/>
  <c r="M15" i="55"/>
  <c r="AY6" i="55"/>
  <c r="L46" i="34"/>
  <c r="AA42" i="47" s="1"/>
  <c r="I45" i="34"/>
  <c r="J45" i="34" s="1"/>
  <c r="Z43" i="55"/>
  <c r="AA100" i="55"/>
  <c r="AL87" i="55"/>
  <c r="AM87" i="55"/>
  <c r="M12" i="55"/>
  <c r="M24" i="55"/>
  <c r="Z52" i="55"/>
  <c r="Z65" i="55"/>
  <c r="Y65" i="55"/>
  <c r="L167" i="35"/>
  <c r="AM50" i="55"/>
  <c r="AN26" i="55"/>
  <c r="N159" i="35"/>
  <c r="K159" i="35"/>
  <c r="L159" i="35" s="1"/>
  <c r="L124" i="36"/>
  <c r="N124" i="36" s="1"/>
  <c r="L125" i="36"/>
  <c r="M125" i="36" s="1"/>
  <c r="O124" i="36"/>
  <c r="AA80" i="55" s="1"/>
  <c r="AY31" i="55"/>
  <c r="Z80" i="55"/>
  <c r="O125" i="36"/>
  <c r="AA83" i="55" s="1"/>
  <c r="Z85" i="55"/>
  <c r="N156" i="35"/>
  <c r="AN73" i="55" s="1"/>
  <c r="AM73" i="55"/>
  <c r="Y5" i="55"/>
  <c r="AN108" i="55"/>
  <c r="AL74" i="55"/>
  <c r="AL73" i="55"/>
  <c r="O114" i="36"/>
  <c r="I67" i="34"/>
  <c r="J67" i="34" s="1"/>
  <c r="N145" i="35"/>
  <c r="Z76" i="55"/>
  <c r="Z79" i="55"/>
  <c r="AY24" i="55"/>
  <c r="AX22" i="55"/>
  <c r="AX18" i="55"/>
  <c r="Z82" i="55"/>
  <c r="Z48" i="55"/>
  <c r="L66" i="34"/>
  <c r="AY16" i="55" s="1"/>
  <c r="L114" i="36"/>
  <c r="M114" i="36" s="1"/>
  <c r="L67" i="34"/>
  <c r="AA61" i="47" s="1"/>
  <c r="I66" i="34"/>
  <c r="J66" i="34" s="1"/>
  <c r="L113" i="36"/>
  <c r="N113" i="36" s="1"/>
  <c r="O113" i="36"/>
  <c r="AA62" i="55" s="1"/>
  <c r="AN126" i="55"/>
  <c r="N110" i="36"/>
  <c r="AY19" i="55"/>
  <c r="AM99" i="55"/>
  <c r="AA45" i="55"/>
  <c r="AL103" i="55"/>
  <c r="AA101" i="55"/>
  <c r="AW46" i="55"/>
  <c r="L51" i="34"/>
  <c r="K51" i="34"/>
  <c r="N118" i="35"/>
  <c r="AN104" i="55" s="1"/>
  <c r="AL120" i="55"/>
  <c r="AM120" i="55"/>
  <c r="K49" i="34"/>
  <c r="AN123" i="55"/>
  <c r="AN66" i="55"/>
  <c r="AL41" i="55"/>
  <c r="AM41" i="55"/>
  <c r="L43" i="34"/>
  <c r="AP39" i="47" s="1"/>
  <c r="AN70" i="55"/>
  <c r="AN31" i="55"/>
  <c r="I43" i="34"/>
  <c r="K43" i="34" s="1"/>
  <c r="AW43" i="55"/>
  <c r="AW23" i="55"/>
  <c r="I41" i="34"/>
  <c r="K41" i="34" s="1"/>
  <c r="Y3" i="55"/>
  <c r="AX23" i="55"/>
  <c r="Z3" i="55"/>
  <c r="AL32" i="55"/>
  <c r="Y11" i="55"/>
  <c r="N71" i="35"/>
  <c r="AN32" i="55" s="1"/>
  <c r="AN47" i="55"/>
  <c r="M69" i="35"/>
  <c r="AM78" i="55"/>
  <c r="N59" i="35"/>
  <c r="AN76" i="55" s="1"/>
  <c r="Y56" i="55"/>
  <c r="L48" i="36"/>
  <c r="M48" i="36" s="1"/>
  <c r="K60" i="35"/>
  <c r="L60" i="35" s="1"/>
  <c r="N60" i="35"/>
  <c r="Z56" i="55"/>
  <c r="O48" i="36"/>
  <c r="L50" i="36"/>
  <c r="M50" i="36" s="1"/>
  <c r="Z86" i="55"/>
  <c r="AL54" i="55"/>
  <c r="AL76" i="55"/>
  <c r="M32" i="55"/>
  <c r="M50" i="35"/>
  <c r="N50" i="35"/>
  <c r="M49" i="35"/>
  <c r="L43" i="35"/>
  <c r="N28" i="36"/>
  <c r="AN35" i="55"/>
  <c r="AA55" i="55"/>
  <c r="AN63" i="55"/>
  <c r="AA75" i="55"/>
  <c r="AP106" i="47"/>
  <c r="T6" i="47"/>
  <c r="I46" i="34"/>
  <c r="K46" i="34" s="1"/>
  <c r="L45" i="34"/>
  <c r="AA41" i="47" s="1"/>
  <c r="K91" i="35"/>
  <c r="L91" i="35" s="1"/>
  <c r="N91" i="35"/>
  <c r="AN38" i="55" s="1"/>
  <c r="K118" i="35"/>
  <c r="M118" i="35" s="1"/>
  <c r="N120" i="35"/>
  <c r="N202" i="35"/>
  <c r="AN98" i="55" s="1"/>
  <c r="M28" i="55"/>
  <c r="O148" i="36"/>
  <c r="AA57" i="55" s="1"/>
  <c r="L148" i="36"/>
  <c r="K188" i="35"/>
  <c r="N188" i="35"/>
  <c r="L144" i="36"/>
  <c r="O144" i="36"/>
  <c r="AA84" i="55" s="1"/>
  <c r="Z61" i="55"/>
  <c r="Y61" i="55"/>
  <c r="AN7" i="55"/>
  <c r="AN22" i="55"/>
  <c r="Y4" i="55"/>
  <c r="K156" i="35"/>
  <c r="M156" i="35" s="1"/>
  <c r="AN46" i="55"/>
  <c r="AA81" i="55"/>
  <c r="AN61" i="55"/>
  <c r="K145" i="35"/>
  <c r="M145" i="35" s="1"/>
  <c r="AY22" i="55"/>
  <c r="AL52" i="55"/>
  <c r="N139" i="35"/>
  <c r="AN99" i="55" s="1"/>
  <c r="K139" i="35"/>
  <c r="I61" i="34"/>
  <c r="L61" i="34"/>
  <c r="AP53" i="47" s="1"/>
  <c r="I52" i="34"/>
  <c r="L52" i="34"/>
  <c r="AA48" i="47" s="1"/>
  <c r="M83" i="36"/>
  <c r="AM106" i="55"/>
  <c r="K120" i="35"/>
  <c r="M120" i="35" s="1"/>
  <c r="AN55" i="55"/>
  <c r="AA60" i="55"/>
  <c r="Z21" i="55"/>
  <c r="M99" i="35"/>
  <c r="M98" i="35"/>
  <c r="AN110" i="55"/>
  <c r="AN48" i="55"/>
  <c r="L41" i="34"/>
  <c r="F28" i="47"/>
  <c r="M6" i="55"/>
  <c r="AM32" i="55"/>
  <c r="K71" i="35"/>
  <c r="AN59" i="55"/>
  <c r="K56" i="35"/>
  <c r="N56" i="35"/>
  <c r="AN131" i="55" s="1"/>
  <c r="AA77" i="55"/>
  <c r="Z49" i="55"/>
  <c r="M36" i="36"/>
  <c r="L44" i="35"/>
  <c r="M44" i="35"/>
  <c r="I14" i="34"/>
  <c r="L14" i="34"/>
  <c r="AY29" i="55" s="1"/>
  <c r="AX26" i="55"/>
  <c r="L21" i="35"/>
  <c r="M21" i="35"/>
  <c r="K17" i="35"/>
  <c r="N17" i="35"/>
  <c r="AN101" i="55" s="1"/>
  <c r="AN129" i="55"/>
  <c r="M15" i="36"/>
  <c r="N15" i="36"/>
  <c r="N124" i="35"/>
  <c r="AN103" i="55" s="1"/>
  <c r="AN2" i="55"/>
  <c r="AM128" i="55"/>
  <c r="AM116" i="55"/>
  <c r="AY38" i="55"/>
  <c r="M85" i="36"/>
  <c r="L169" i="35"/>
  <c r="AP73" i="47"/>
  <c r="AA73" i="47"/>
  <c r="AM114" i="55"/>
  <c r="AY8" i="55"/>
  <c r="N199" i="35"/>
  <c r="AN88" i="55" s="1"/>
  <c r="K199" i="35"/>
  <c r="M199" i="35" s="1"/>
  <c r="K200" i="35"/>
  <c r="M200" i="35" s="1"/>
  <c r="AL107" i="55"/>
  <c r="K202" i="35"/>
  <c r="M202" i="35" s="1"/>
  <c r="N200" i="35"/>
  <c r="AN30" i="55"/>
  <c r="AN65" i="55"/>
  <c r="AY49" i="55"/>
  <c r="AN122" i="55"/>
  <c r="Z5" i="55"/>
  <c r="AY21" i="55"/>
  <c r="AN90" i="55"/>
  <c r="N119" i="35"/>
  <c r="AN79" i="55" s="1"/>
  <c r="K124" i="35"/>
  <c r="L124" i="35" s="1"/>
  <c r="K126" i="35"/>
  <c r="L126" i="35" s="1"/>
  <c r="K125" i="35"/>
  <c r="L125" i="35" s="1"/>
  <c r="N125" i="35"/>
  <c r="N126" i="35"/>
  <c r="AN124" i="55" s="1"/>
  <c r="AM107" i="55"/>
  <c r="AM51" i="55"/>
  <c r="L100" i="35"/>
  <c r="AN68" i="55"/>
  <c r="J34" i="34"/>
  <c r="N157" i="36"/>
  <c r="N171" i="35"/>
  <c r="K171" i="35"/>
  <c r="L171" i="35" s="1"/>
  <c r="AN112" i="55"/>
  <c r="AM31" i="55"/>
  <c r="N168" i="35"/>
  <c r="AN84" i="55" s="1"/>
  <c r="K168" i="35"/>
  <c r="AM112" i="55"/>
  <c r="N146" i="35"/>
  <c r="K146" i="35"/>
  <c r="M146" i="35" s="1"/>
  <c r="M103" i="36"/>
  <c r="O100" i="36"/>
  <c r="L100" i="36"/>
  <c r="M100" i="36" s="1"/>
  <c r="K119" i="35"/>
  <c r="L119" i="35" s="1"/>
  <c r="O99" i="36"/>
  <c r="AA52" i="55" s="1"/>
  <c r="L99" i="36"/>
  <c r="N99" i="36" s="1"/>
  <c r="M53" i="36"/>
  <c r="AA30" i="47"/>
  <c r="AP31" i="47"/>
  <c r="AN54" i="55"/>
  <c r="O50" i="36"/>
  <c r="AA86" i="55" s="1"/>
  <c r="Z91" i="55"/>
  <c r="O49" i="36"/>
  <c r="AA91" i="55" s="1"/>
  <c r="L49" i="36"/>
  <c r="Y51" i="55"/>
  <c r="L43" i="36"/>
  <c r="O43" i="36"/>
  <c r="AA51" i="55" s="1"/>
  <c r="K12" i="34"/>
  <c r="M11" i="47"/>
  <c r="N13" i="36"/>
  <c r="AY7" i="55"/>
  <c r="AP6" i="47"/>
  <c r="J5" i="34"/>
  <c r="M140" i="35"/>
  <c r="M108" i="35"/>
  <c r="N37" i="36"/>
  <c r="AA55" i="47"/>
  <c r="M17" i="55"/>
  <c r="M134" i="36"/>
  <c r="AP12" i="47"/>
  <c r="AA12" i="47"/>
  <c r="AP78" i="47"/>
  <c r="N150" i="36"/>
  <c r="AA8" i="47"/>
  <c r="AP8" i="47"/>
  <c r="M11" i="35"/>
  <c r="M2" i="35"/>
  <c r="AY17" i="55"/>
  <c r="AA85" i="47"/>
  <c r="AP85" i="47"/>
  <c r="AP86" i="47"/>
  <c r="AA86" i="47"/>
  <c r="F63" i="47"/>
  <c r="M189" i="35"/>
  <c r="L175" i="35"/>
  <c r="AA77" i="47"/>
  <c r="AP77" i="47"/>
  <c r="AA75" i="47"/>
  <c r="AA78" i="47"/>
  <c r="N145" i="36"/>
  <c r="AP70" i="47"/>
  <c r="AA70" i="47"/>
  <c r="AP72" i="47"/>
  <c r="AP71" i="47"/>
  <c r="AA65" i="47"/>
  <c r="F47" i="47"/>
  <c r="AP57" i="47"/>
  <c r="N111" i="36"/>
  <c r="K62" i="34"/>
  <c r="J62" i="34"/>
  <c r="AP51" i="47"/>
  <c r="AP50" i="47"/>
  <c r="AP68" i="47"/>
  <c r="AP34" i="47"/>
  <c r="AA32" i="47"/>
  <c r="M23" i="47"/>
  <c r="N22" i="36"/>
  <c r="M17" i="47"/>
  <c r="M28" i="35"/>
  <c r="AA11" i="47"/>
  <c r="J8" i="34"/>
  <c r="K8" i="34"/>
  <c r="T3" i="47"/>
  <c r="AY39" i="55"/>
  <c r="AA83" i="47"/>
  <c r="AA84" i="47"/>
  <c r="AP84" i="47"/>
  <c r="L101" i="35"/>
  <c r="F60" i="47"/>
  <c r="AP76" i="47"/>
  <c r="AA76" i="47"/>
  <c r="M47" i="36"/>
  <c r="N47" i="36"/>
  <c r="F64" i="47"/>
  <c r="F65" i="47"/>
  <c r="L172" i="35"/>
  <c r="L29" i="35"/>
  <c r="M29" i="35"/>
  <c r="L203" i="35"/>
  <c r="M105" i="36"/>
  <c r="L165" i="35"/>
  <c r="AN10" i="55"/>
  <c r="AY15" i="55"/>
  <c r="AP10" i="47"/>
  <c r="AA10" i="47"/>
  <c r="L74" i="35"/>
  <c r="J11" i="34"/>
  <c r="K11" i="34"/>
  <c r="K59" i="34"/>
  <c r="J59" i="34"/>
  <c r="AY4" i="55"/>
  <c r="AA52" i="47"/>
  <c r="AP52" i="47"/>
  <c r="M82" i="35"/>
  <c r="L166" i="35"/>
  <c r="AP108" i="47"/>
  <c r="L170" i="35"/>
  <c r="M170" i="35"/>
  <c r="L201" i="35"/>
  <c r="M134" i="35"/>
  <c r="L134" i="35"/>
  <c r="N154" i="36"/>
  <c r="L154" i="35"/>
  <c r="M93" i="35"/>
  <c r="AA80" i="47"/>
  <c r="AA51" i="47"/>
  <c r="L182" i="35"/>
  <c r="M182" i="35"/>
  <c r="M73" i="35"/>
  <c r="N82" i="36"/>
  <c r="M42" i="36"/>
  <c r="N42" i="36"/>
  <c r="M28" i="47"/>
  <c r="L183" i="35"/>
  <c r="J93" i="34"/>
  <c r="N40" i="36"/>
  <c r="AY25" i="55"/>
  <c r="J75" i="34"/>
  <c r="J78" i="34"/>
  <c r="K39" i="34"/>
  <c r="K36" i="34"/>
  <c r="AP65" i="47"/>
  <c r="AP30" i="47"/>
  <c r="M181" i="35"/>
  <c r="AN97" i="55"/>
  <c r="L83" i="35"/>
  <c r="L96" i="35"/>
  <c r="L160" i="35"/>
  <c r="N65" i="36"/>
  <c r="M101" i="36"/>
  <c r="N96" i="36"/>
  <c r="N76" i="36"/>
  <c r="N129" i="36"/>
  <c r="N66" i="36"/>
  <c r="M161" i="36"/>
  <c r="N115" i="36"/>
  <c r="F41" i="47"/>
  <c r="N116" i="36"/>
  <c r="M73" i="36"/>
  <c r="K18" i="34"/>
  <c r="J37" i="34"/>
  <c r="L144" i="35"/>
  <c r="M155" i="36"/>
  <c r="AA57" i="47"/>
  <c r="AP32" i="47"/>
  <c r="L195" i="35"/>
  <c r="AA50" i="47"/>
  <c r="AA34" i="47"/>
  <c r="AN9" i="55"/>
  <c r="AA31" i="47"/>
  <c r="AY9" i="55"/>
  <c r="N31" i="36"/>
  <c r="AA68" i="47"/>
  <c r="M93" i="36"/>
  <c r="AN19" i="55"/>
  <c r="N156" i="36"/>
  <c r="O122" i="36"/>
  <c r="AA26" i="55" s="1"/>
  <c r="Z53" i="55"/>
  <c r="AA79" i="47"/>
  <c r="AP79" i="47"/>
  <c r="AP81" i="47"/>
  <c r="AN18" i="55"/>
  <c r="AN20" i="55"/>
  <c r="Z32" i="55"/>
  <c r="Z4" i="55"/>
  <c r="AA81" i="47"/>
  <c r="AY34" i="55"/>
  <c r="AP59" i="47"/>
  <c r="AA59" i="47"/>
  <c r="M47" i="55"/>
  <c r="M57" i="35"/>
  <c r="L57" i="35"/>
  <c r="AN111" i="55"/>
  <c r="AN149" i="55"/>
  <c r="AN177" i="55"/>
  <c r="AN183" i="55"/>
  <c r="AN139" i="55"/>
  <c r="AN179" i="55"/>
  <c r="AN166" i="55"/>
  <c r="AN143" i="55"/>
  <c r="AN180" i="55"/>
  <c r="AN137" i="55"/>
  <c r="AN140" i="55"/>
  <c r="AN156" i="55"/>
  <c r="AN157" i="55"/>
  <c r="AN154" i="55"/>
  <c r="AN163" i="55"/>
  <c r="AN176" i="55"/>
  <c r="AN181" i="55"/>
  <c r="AN178" i="55"/>
  <c r="AN152" i="55"/>
  <c r="AN138" i="55"/>
  <c r="AN158" i="55"/>
  <c r="AN136" i="55"/>
  <c r="AN150" i="55"/>
  <c r="AN155" i="55"/>
  <c r="AN148" i="55"/>
  <c r="AN171" i="55"/>
  <c r="AN186" i="55"/>
  <c r="AN169" i="55"/>
  <c r="AN162" i="55"/>
  <c r="AN182" i="55"/>
  <c r="AN133" i="55"/>
  <c r="AN135" i="55"/>
  <c r="AN144" i="55"/>
  <c r="AN172" i="55"/>
  <c r="AN167" i="55"/>
  <c r="AN173" i="55"/>
  <c r="AN164" i="55"/>
  <c r="AN145" i="55"/>
  <c r="AN165" i="55"/>
  <c r="AN146" i="55"/>
  <c r="AN142" i="55"/>
  <c r="AN147" i="55"/>
  <c r="AN159" i="55"/>
  <c r="AN175" i="55"/>
  <c r="AN168" i="55"/>
  <c r="AN151" i="55"/>
  <c r="AN185" i="55"/>
  <c r="AN153" i="55"/>
  <c r="AN184" i="55"/>
  <c r="AN170" i="55"/>
  <c r="AN134" i="55"/>
  <c r="AN161" i="55"/>
  <c r="AN174" i="55"/>
  <c r="AN141" i="55"/>
  <c r="AN132" i="55"/>
  <c r="AN160" i="55"/>
  <c r="Z14" i="55"/>
  <c r="Z15" i="55"/>
  <c r="AN130" i="55"/>
  <c r="Z13" i="55"/>
  <c r="Z11" i="55"/>
  <c r="AN33" i="55"/>
  <c r="Z7" i="55"/>
  <c r="Z8" i="55"/>
  <c r="AA18" i="47"/>
  <c r="AP16" i="47"/>
  <c r="AY20" i="55"/>
  <c r="AA16" i="47"/>
  <c r="AN62" i="55"/>
  <c r="AN56" i="55"/>
  <c r="AA49" i="47"/>
  <c r="AP49" i="47"/>
  <c r="AA35" i="47"/>
  <c r="AP75" i="47"/>
  <c r="AN5" i="55"/>
  <c r="AP15" i="47"/>
  <c r="AA15" i="47"/>
  <c r="L40" i="35"/>
  <c r="L39" i="35"/>
  <c r="AP35" i="47"/>
  <c r="O152" i="36"/>
  <c r="AA31" i="55" s="1"/>
  <c r="Y8" i="55"/>
  <c r="AA46" i="55"/>
  <c r="AP33" i="47"/>
  <c r="AA33" i="47"/>
  <c r="AN14" i="55"/>
  <c r="AN39" i="55"/>
  <c r="AA62" i="47"/>
  <c r="AA58" i="47"/>
  <c r="AP58" i="47"/>
  <c r="Z9" i="55"/>
  <c r="Z64" i="55"/>
  <c r="AA64" i="47"/>
  <c r="AP64" i="47"/>
  <c r="AN105" i="55"/>
  <c r="J79" i="34"/>
  <c r="M26" i="55"/>
  <c r="F27" i="47"/>
  <c r="F26" i="47"/>
  <c r="F52" i="47"/>
  <c r="F51" i="47"/>
  <c r="F39" i="47"/>
  <c r="M37" i="55"/>
  <c r="K30" i="47"/>
  <c r="J30" i="47"/>
  <c r="L30" i="47"/>
  <c r="T8" i="47"/>
  <c r="R8" i="47"/>
  <c r="S8" i="47"/>
  <c r="Q8" i="47"/>
  <c r="AO108" i="47"/>
  <c r="AN108" i="47"/>
  <c r="AN37" i="55"/>
  <c r="AN36" i="55"/>
  <c r="L89" i="35"/>
  <c r="O67" i="36"/>
  <c r="AA44" i="55" s="1"/>
  <c r="O143" i="36"/>
  <c r="AA50" i="55"/>
  <c r="AA7" i="55"/>
  <c r="AA41" i="55"/>
  <c r="AA29" i="55"/>
  <c r="AA28" i="55"/>
  <c r="A10" i="35"/>
  <c r="AO109" i="47" s="1"/>
  <c r="Q9" i="47"/>
  <c r="M81" i="35"/>
  <c r="L81" i="35"/>
  <c r="M58" i="36"/>
  <c r="N58" i="36"/>
  <c r="AA94" i="47"/>
  <c r="AP92" i="47"/>
  <c r="AA92" i="47"/>
  <c r="J40" i="34"/>
  <c r="K40" i="34"/>
  <c r="AN13" i="55"/>
  <c r="AN12" i="55"/>
  <c r="K71" i="34"/>
  <c r="J71" i="34"/>
  <c r="L62" i="36"/>
  <c r="Y13" i="55"/>
  <c r="O62" i="36"/>
  <c r="J96" i="34"/>
  <c r="K96" i="34"/>
  <c r="K65" i="34"/>
  <c r="J65" i="34"/>
  <c r="M76" i="35"/>
  <c r="L76" i="35"/>
  <c r="L117" i="35"/>
  <c r="M117" i="35"/>
  <c r="K86" i="34"/>
  <c r="J86" i="34"/>
  <c r="N94" i="36"/>
  <c r="M94" i="36"/>
  <c r="M128" i="35"/>
  <c r="L128" i="35"/>
  <c r="M75" i="36"/>
  <c r="N75" i="36"/>
  <c r="M158" i="36"/>
  <c r="N158" i="36"/>
  <c r="L155" i="35"/>
  <c r="M155" i="35"/>
  <c r="J95" i="34"/>
  <c r="K95" i="34"/>
  <c r="AY37" i="55"/>
  <c r="AA90" i="47"/>
  <c r="AP90" i="47"/>
  <c r="L80" i="35"/>
  <c r="M80" i="35"/>
  <c r="AA67" i="47"/>
  <c r="AP67" i="47"/>
  <c r="AY28" i="55"/>
  <c r="L162" i="35"/>
  <c r="M162" i="35"/>
  <c r="N95" i="36"/>
  <c r="M95" i="36"/>
  <c r="AN45" i="55"/>
  <c r="L90" i="35"/>
  <c r="M90" i="35"/>
  <c r="K74" i="34"/>
  <c r="J74" i="34"/>
  <c r="M75" i="35"/>
  <c r="L75" i="35"/>
  <c r="L157" i="35"/>
  <c r="M157" i="35"/>
  <c r="N132" i="36"/>
  <c r="M132" i="36"/>
  <c r="L84" i="35"/>
  <c r="M84" i="35"/>
  <c r="N131" i="36"/>
  <c r="M131" i="36"/>
  <c r="M22" i="55"/>
  <c r="F66" i="47"/>
  <c r="M60" i="36"/>
  <c r="N60" i="36"/>
  <c r="Y21" i="55"/>
  <c r="L112" i="36"/>
  <c r="N98" i="36"/>
  <c r="M98" i="36"/>
  <c r="Y14" i="55"/>
  <c r="L72" i="36"/>
  <c r="O72" i="36"/>
  <c r="M61" i="36"/>
  <c r="N61" i="36"/>
  <c r="AN16" i="55"/>
  <c r="AN15" i="55"/>
  <c r="M70" i="36"/>
  <c r="N70" i="36"/>
  <c r="M158" i="35"/>
  <c r="L158" i="35"/>
  <c r="N128" i="36"/>
  <c r="M128" i="36"/>
  <c r="L191" i="35"/>
  <c r="M191" i="35"/>
  <c r="N74" i="36"/>
  <c r="M74" i="36"/>
  <c r="M164" i="35"/>
  <c r="L164" i="35"/>
  <c r="Y7" i="55"/>
  <c r="L152" i="36"/>
  <c r="J57" i="34"/>
  <c r="K57" i="34"/>
  <c r="L123" i="35"/>
  <c r="M123" i="35"/>
  <c r="Y17" i="55"/>
  <c r="L57" i="36"/>
  <c r="O57" i="36"/>
  <c r="M121" i="35"/>
  <c r="L121" i="35"/>
  <c r="L79" i="35"/>
  <c r="M79" i="35"/>
  <c r="K92" i="34"/>
  <c r="J92" i="34"/>
  <c r="L95" i="35"/>
  <c r="M95" i="35"/>
  <c r="AA66" i="47"/>
  <c r="AP66" i="47"/>
  <c r="AP69" i="47"/>
  <c r="AA69" i="47"/>
  <c r="M68" i="36"/>
  <c r="N68" i="36"/>
  <c r="K35" i="34"/>
  <c r="J35" i="34"/>
  <c r="AY40" i="55"/>
  <c r="AP54" i="47"/>
  <c r="AA54" i="47"/>
  <c r="N64" i="36"/>
  <c r="M64" i="36"/>
  <c r="L161" i="35"/>
  <c r="M161" i="35"/>
  <c r="AA34" i="55"/>
  <c r="AA27" i="55"/>
  <c r="F14" i="47"/>
  <c r="F15" i="47"/>
  <c r="K76" i="34"/>
  <c r="J76" i="34"/>
  <c r="M142" i="35"/>
  <c r="L142" i="35"/>
  <c r="K56" i="34"/>
  <c r="J56" i="34"/>
  <c r="Y52" i="55"/>
  <c r="L143" i="36"/>
  <c r="M29" i="55"/>
  <c r="F40" i="47"/>
  <c r="AY13" i="55"/>
  <c r="AA87" i="47"/>
  <c r="AP87" i="47"/>
  <c r="L92" i="36"/>
  <c r="Y9" i="55"/>
  <c r="O92" i="36"/>
  <c r="AA20" i="55" s="1"/>
  <c r="M190" i="35"/>
  <c r="L190" i="35"/>
  <c r="L88" i="35"/>
  <c r="M88" i="35"/>
  <c r="L94" i="35"/>
  <c r="M94" i="35"/>
  <c r="AP83" i="47"/>
  <c r="AA82" i="47"/>
  <c r="AP82" i="47"/>
  <c r="N153" i="36"/>
  <c r="M153" i="36"/>
  <c r="K87" i="34"/>
  <c r="J87" i="34"/>
  <c r="M77" i="35"/>
  <c r="L77" i="35"/>
  <c r="AA74" i="47"/>
  <c r="AP74" i="47"/>
  <c r="N77" i="36"/>
  <c r="M77" i="36"/>
  <c r="M193" i="35"/>
  <c r="L193" i="35"/>
  <c r="AA36" i="47"/>
  <c r="AP36" i="47"/>
  <c r="K44" i="34"/>
  <c r="J44" i="34"/>
  <c r="L141" i="35"/>
  <c r="M141" i="35"/>
  <c r="J58" i="34"/>
  <c r="K58" i="34"/>
  <c r="M130" i="36"/>
  <c r="N130" i="36"/>
  <c r="M127" i="35"/>
  <c r="L127" i="35"/>
  <c r="J97" i="34"/>
  <c r="K97" i="34"/>
  <c r="AY44" i="55"/>
  <c r="M70" i="35"/>
  <c r="L70" i="35"/>
  <c r="N160" i="36"/>
  <c r="M160" i="36"/>
  <c r="M163" i="35"/>
  <c r="L163" i="35"/>
  <c r="Z18" i="55"/>
  <c r="Z17" i="55"/>
  <c r="L192" i="35"/>
  <c r="M192" i="35"/>
  <c r="L197" i="35"/>
  <c r="M197" i="35"/>
  <c r="L86" i="35"/>
  <c r="M86" i="35"/>
  <c r="K77" i="34"/>
  <c r="J77" i="34"/>
  <c r="K73" i="34"/>
  <c r="J73" i="34"/>
  <c r="AP63" i="47"/>
  <c r="AA63" i="47"/>
  <c r="AY35" i="55"/>
  <c r="AA91" i="47"/>
  <c r="AP91" i="47"/>
  <c r="J38" i="34"/>
  <c r="K38" i="34"/>
  <c r="O112" i="36"/>
  <c r="M8" i="55"/>
  <c r="F32" i="47"/>
  <c r="L127" i="36"/>
  <c r="Y32" i="55"/>
  <c r="O127" i="36"/>
  <c r="AA6" i="55" s="1"/>
  <c r="L116" i="35"/>
  <c r="M116" i="35"/>
  <c r="M78" i="35"/>
  <c r="L78" i="35"/>
  <c r="N159" i="36"/>
  <c r="M159" i="36"/>
  <c r="AN23" i="55"/>
  <c r="AN24" i="55"/>
  <c r="AA36" i="55"/>
  <c r="AA35" i="55"/>
  <c r="M194" i="35"/>
  <c r="L194" i="35"/>
  <c r="AP40" i="47"/>
  <c r="AA40" i="47"/>
  <c r="AN113" i="55"/>
  <c r="AN109" i="55"/>
  <c r="M7" i="36"/>
  <c r="N7" i="36"/>
  <c r="L67" i="36"/>
  <c r="Y44" i="55"/>
  <c r="L92" i="35"/>
  <c r="M92" i="35"/>
  <c r="J94" i="34"/>
  <c r="K94" i="34"/>
  <c r="M59" i="36"/>
  <c r="N59" i="36"/>
  <c r="M198" i="35"/>
  <c r="L198" i="35"/>
  <c r="Y26" i="55"/>
  <c r="L122" i="36"/>
  <c r="M87" i="35"/>
  <c r="L87" i="35"/>
  <c r="M27" i="55"/>
  <c r="F29" i="47"/>
  <c r="J72" i="34"/>
  <c r="K72" i="34"/>
  <c r="N69" i="36"/>
  <c r="M69" i="36"/>
  <c r="M143" i="35"/>
  <c r="L143" i="35"/>
  <c r="AA37" i="55"/>
  <c r="N63" i="36"/>
  <c r="M63" i="36"/>
  <c r="N107" i="36"/>
  <c r="M107" i="36"/>
  <c r="O27" i="36"/>
  <c r="AA24" i="55" s="1"/>
  <c r="AP18" i="47"/>
  <c r="M37" i="35"/>
  <c r="AN21" i="55"/>
  <c r="AA93" i="55"/>
  <c r="M22" i="47"/>
  <c r="AN74" i="55"/>
  <c r="AA73" i="55"/>
  <c r="AA19" i="55"/>
  <c r="AA40" i="55"/>
  <c r="N87" i="36"/>
  <c r="M87" i="36"/>
  <c r="N44" i="36"/>
  <c r="M44" i="36"/>
  <c r="M38" i="35"/>
  <c r="L38" i="35"/>
  <c r="M35" i="35"/>
  <c r="L35" i="35"/>
  <c r="N29" i="36"/>
  <c r="M29" i="36"/>
  <c r="Z22" i="55"/>
  <c r="Z23" i="55"/>
  <c r="L36" i="35"/>
  <c r="M36" i="35"/>
  <c r="AA17" i="47"/>
  <c r="AP17" i="47"/>
  <c r="AY14" i="55"/>
  <c r="M34" i="35"/>
  <c r="L34" i="35"/>
  <c r="M30" i="36"/>
  <c r="N30" i="36"/>
  <c r="J17" i="34"/>
  <c r="K17" i="34"/>
  <c r="J19" i="34"/>
  <c r="K19" i="34"/>
  <c r="Y22" i="55"/>
  <c r="Y23" i="55"/>
  <c r="L27" i="36"/>
  <c r="M20" i="47"/>
  <c r="AA47" i="55"/>
  <c r="AP107" i="47"/>
  <c r="AN127" i="55"/>
  <c r="T7" i="47"/>
  <c r="L6" i="35"/>
  <c r="M6" i="35"/>
  <c r="M137" i="36"/>
  <c r="N137" i="36"/>
  <c r="N118" i="36"/>
  <c r="M118" i="36"/>
  <c r="N97" i="36"/>
  <c r="M97" i="36"/>
  <c r="A45" i="36"/>
  <c r="AN82" i="55" l="1"/>
  <c r="AA38" i="55"/>
  <c r="AA53" i="55"/>
  <c r="AA59" i="55"/>
  <c r="AA90" i="55"/>
  <c r="AA53" i="47"/>
  <c r="AN102" i="55"/>
  <c r="M30" i="47"/>
  <c r="AN118" i="55"/>
  <c r="AY36" i="55"/>
  <c r="L105" i="35"/>
  <c r="AY32" i="55"/>
  <c r="AA46" i="47"/>
  <c r="AP46" i="47"/>
  <c r="AY43" i="55"/>
  <c r="K67" i="34"/>
  <c r="AA60" i="47"/>
  <c r="AN78" i="55"/>
  <c r="AN83" i="55"/>
  <c r="AY45" i="55"/>
  <c r="AN77" i="55"/>
  <c r="AY41" i="55"/>
  <c r="AA39" i="55"/>
  <c r="AN100" i="55"/>
  <c r="AN125" i="55"/>
  <c r="L51" i="35"/>
  <c r="AY33" i="55"/>
  <c r="AN86" i="55"/>
  <c r="AN43" i="55"/>
  <c r="AA63" i="55"/>
  <c r="AN95" i="55"/>
  <c r="AA82" i="55"/>
  <c r="AN81" i="55"/>
  <c r="L187" i="35"/>
  <c r="AA87" i="55"/>
  <c r="AA10" i="55"/>
  <c r="K16" i="34"/>
  <c r="AN85" i="55"/>
  <c r="AY42" i="55"/>
  <c r="AA22" i="55"/>
  <c r="AA12" i="55"/>
  <c r="AN44" i="55"/>
  <c r="AN41" i="55"/>
  <c r="AA42" i="55"/>
  <c r="AA23" i="55"/>
  <c r="J42" i="34"/>
  <c r="AN94" i="55"/>
  <c r="AN49" i="55"/>
  <c r="AN69" i="55"/>
  <c r="AA54" i="55"/>
  <c r="AN89" i="55"/>
  <c r="AA58" i="55"/>
  <c r="AN121" i="55"/>
  <c r="AA72" i="55"/>
  <c r="M59" i="35"/>
  <c r="AA48" i="55"/>
  <c r="AN91" i="55"/>
  <c r="AN72" i="55"/>
  <c r="J43" i="34"/>
  <c r="AY30" i="55"/>
  <c r="M123" i="36"/>
  <c r="AA38" i="47"/>
  <c r="AA69" i="55"/>
  <c r="L72" i="35"/>
  <c r="AP38" i="47"/>
  <c r="AP42" i="47"/>
  <c r="AP47" i="47"/>
  <c r="K45" i="34"/>
  <c r="AY46" i="55"/>
  <c r="M159" i="35"/>
  <c r="L118" i="35"/>
  <c r="AA85" i="55"/>
  <c r="M14" i="36"/>
  <c r="N14" i="36"/>
  <c r="M124" i="36"/>
  <c r="N125" i="36"/>
  <c r="N48" i="36"/>
  <c r="AN87" i="55"/>
  <c r="AA65" i="55"/>
  <c r="AA71" i="55"/>
  <c r="AN50" i="55"/>
  <c r="L156" i="35"/>
  <c r="N114" i="36"/>
  <c r="AA76" i="55"/>
  <c r="AA79" i="55"/>
  <c r="K66" i="34"/>
  <c r="M113" i="36"/>
  <c r="AP61" i="47"/>
  <c r="L145" i="35"/>
  <c r="AP60" i="47"/>
  <c r="AY18" i="55"/>
  <c r="M124" i="35"/>
  <c r="M126" i="35"/>
  <c r="AA47" i="47"/>
  <c r="AP48" i="47"/>
  <c r="AN120" i="55"/>
  <c r="J46" i="34"/>
  <c r="J41" i="34"/>
  <c r="AA39" i="47"/>
  <c r="AP37" i="47"/>
  <c r="AA37" i="47"/>
  <c r="AA3" i="55"/>
  <c r="AY23" i="55"/>
  <c r="M60" i="35"/>
  <c r="AA56" i="55"/>
  <c r="N50" i="36"/>
  <c r="AA43" i="55"/>
  <c r="AA25" i="55"/>
  <c r="M91" i="35"/>
  <c r="AP41" i="47"/>
  <c r="L120" i="35"/>
  <c r="L202" i="35"/>
  <c r="N148" i="36"/>
  <c r="M148" i="36"/>
  <c r="L188" i="35"/>
  <c r="M188" i="35"/>
  <c r="N144" i="36"/>
  <c r="M144" i="36"/>
  <c r="AA61" i="55"/>
  <c r="L146" i="35"/>
  <c r="M139" i="35"/>
  <c r="L139" i="35"/>
  <c r="AA56" i="47"/>
  <c r="AP56" i="47"/>
  <c r="J61" i="34"/>
  <c r="K61" i="34"/>
  <c r="J52" i="34"/>
  <c r="K52" i="34"/>
  <c r="AN106" i="55"/>
  <c r="AA21" i="55"/>
  <c r="M71" i="35"/>
  <c r="L71" i="35"/>
  <c r="AA8" i="55"/>
  <c r="M56" i="35"/>
  <c r="L56" i="35"/>
  <c r="AA49" i="55"/>
  <c r="AP14" i="47"/>
  <c r="AA14" i="47"/>
  <c r="J14" i="34"/>
  <c r="K14" i="34"/>
  <c r="AY26" i="55"/>
  <c r="L17" i="35"/>
  <c r="M17" i="35"/>
  <c r="AN128" i="55"/>
  <c r="AN116" i="55"/>
  <c r="M125" i="35"/>
  <c r="M171" i="35"/>
  <c r="AN80" i="55"/>
  <c r="AN114" i="55"/>
  <c r="L199" i="35"/>
  <c r="L200" i="35"/>
  <c r="AN107" i="55"/>
  <c r="AA5" i="55"/>
  <c r="AA30" i="55"/>
  <c r="N100" i="36"/>
  <c r="AN51" i="55"/>
  <c r="M168" i="35"/>
  <c r="L168" i="35"/>
  <c r="M99" i="36"/>
  <c r="M119" i="35"/>
  <c r="AA33" i="55"/>
  <c r="M49" i="36"/>
  <c r="N49" i="36"/>
  <c r="AA66" i="55"/>
  <c r="M43" i="36"/>
  <c r="N43" i="36"/>
  <c r="M21" i="47"/>
  <c r="AP109" i="47"/>
  <c r="M18" i="47"/>
  <c r="AA9" i="55"/>
  <c r="AA64" i="55"/>
  <c r="AA14" i="55"/>
  <c r="AA15" i="55"/>
  <c r="AA32" i="55"/>
  <c r="AA4" i="55"/>
  <c r="AA13" i="55"/>
  <c r="AA11" i="55"/>
  <c r="AL109" i="47"/>
  <c r="R9" i="47"/>
  <c r="S9" i="47"/>
  <c r="T9" i="47"/>
  <c r="AN109" i="47"/>
  <c r="M127" i="36"/>
  <c r="N127" i="36"/>
  <c r="M57" i="36"/>
  <c r="N57" i="36"/>
  <c r="M19" i="47"/>
  <c r="M92" i="36"/>
  <c r="N92" i="36"/>
  <c r="N143" i="36"/>
  <c r="M143" i="36"/>
  <c r="N152" i="36"/>
  <c r="M152" i="36"/>
  <c r="M72" i="36"/>
  <c r="N72" i="36"/>
  <c r="N122" i="36"/>
  <c r="M122" i="36"/>
  <c r="M67" i="36"/>
  <c r="N67" i="36"/>
  <c r="AA18" i="55"/>
  <c r="AA17" i="55"/>
  <c r="M112" i="36"/>
  <c r="N112" i="36"/>
  <c r="M62" i="36"/>
  <c r="N62" i="36"/>
  <c r="A11" i="35"/>
  <c r="AP110" i="47" s="1"/>
  <c r="N27" i="36"/>
  <c r="M27" i="36"/>
  <c r="A46" i="36"/>
  <c r="V45" i="47" l="1"/>
  <c r="AJ96" i="47"/>
  <c r="V43" i="47"/>
  <c r="V26" i="47"/>
  <c r="V31" i="47"/>
  <c r="V61" i="47"/>
  <c r="V101" i="47"/>
  <c r="V13" i="47"/>
  <c r="V96" i="47"/>
  <c r="V55" i="47"/>
  <c r="V67" i="47"/>
  <c r="V100" i="47"/>
  <c r="V70" i="47"/>
  <c r="V99" i="47"/>
  <c r="AJ101" i="47"/>
  <c r="V12" i="47"/>
  <c r="V14" i="47"/>
  <c r="V36" i="47"/>
  <c r="V90" i="47"/>
  <c r="V87" i="47"/>
  <c r="AJ102" i="47"/>
  <c r="AJ95" i="47"/>
  <c r="V25" i="47"/>
  <c r="V54" i="47"/>
  <c r="V69" i="47"/>
  <c r="AJ98" i="47"/>
  <c r="V71" i="47"/>
  <c r="AJ99" i="47"/>
  <c r="V10" i="47"/>
  <c r="V15" i="47"/>
  <c r="V72" i="47"/>
  <c r="V30" i="47"/>
  <c r="V97" i="47"/>
  <c r="V19" i="47"/>
  <c r="V23" i="47"/>
  <c r="V84" i="47"/>
  <c r="V33" i="47"/>
  <c r="V60" i="47"/>
  <c r="V11" i="47"/>
  <c r="V66" i="47"/>
  <c r="V78" i="47"/>
  <c r="V34" i="47"/>
  <c r="V9" i="47"/>
  <c r="V73" i="47"/>
  <c r="V28" i="47"/>
  <c r="V65" i="47"/>
  <c r="V77" i="47"/>
  <c r="V37" i="47"/>
  <c r="V86" i="47"/>
  <c r="V48" i="47"/>
  <c r="V3" i="47"/>
  <c r="V91" i="47"/>
  <c r="V85" i="47"/>
  <c r="V102" i="47"/>
  <c r="V44" i="47"/>
  <c r="V82" i="47"/>
  <c r="V38" i="47"/>
  <c r="V92" i="47"/>
  <c r="V57" i="47"/>
  <c r="V5" i="47"/>
  <c r="V16" i="47"/>
  <c r="V17" i="47"/>
  <c r="V79" i="47"/>
  <c r="V98" i="47"/>
  <c r="AJ100" i="47"/>
  <c r="V22" i="47"/>
  <c r="V53" i="47"/>
  <c r="AJ97" i="47"/>
  <c r="V64" i="47"/>
  <c r="V95" i="47"/>
  <c r="V76" i="47"/>
  <c r="V68" i="47"/>
  <c r="V21" i="47"/>
  <c r="V49" i="47"/>
  <c r="V20" i="47"/>
  <c r="V74" i="47"/>
  <c r="V75" i="47"/>
  <c r="V6" i="47"/>
  <c r="V40" i="47"/>
  <c r="V94" i="47"/>
  <c r="V46" i="47"/>
  <c r="V50" i="47"/>
  <c r="V88" i="47"/>
  <c r="V80" i="47"/>
  <c r="V52" i="47"/>
  <c r="V18" i="47"/>
  <c r="V24" i="47"/>
  <c r="V35" i="47"/>
  <c r="V89" i="47"/>
  <c r="V47" i="47"/>
  <c r="V51" i="47"/>
  <c r="V63" i="47"/>
  <c r="V42" i="47"/>
  <c r="V29" i="47"/>
  <c r="V8" i="47"/>
  <c r="V32" i="47"/>
  <c r="V58" i="47"/>
  <c r="V83" i="47"/>
  <c r="V62" i="47"/>
  <c r="V7" i="47"/>
  <c r="V41" i="47"/>
  <c r="V81" i="47"/>
  <c r="V27" i="47"/>
  <c r="V4" i="47"/>
  <c r="V39" i="47"/>
  <c r="V93" i="47"/>
  <c r="V56" i="47"/>
  <c r="V59" i="47"/>
  <c r="Q10" i="47"/>
  <c r="AL110" i="47"/>
  <c r="T10" i="47"/>
  <c r="S10" i="47"/>
  <c r="AO110" i="47"/>
  <c r="AN110" i="47"/>
  <c r="A12" i="35"/>
  <c r="A47" i="36"/>
  <c r="K31" i="47" s="1"/>
  <c r="X5" i="44" l="1"/>
  <c r="AY71" i="54"/>
  <c r="AY5" i="54"/>
  <c r="W5" i="48"/>
  <c r="AI255" i="48" s="1"/>
  <c r="W5" i="44"/>
  <c r="AR5" i="54"/>
  <c r="AV5" i="54" s="1"/>
  <c r="Y5" i="44"/>
  <c r="X5" i="48"/>
  <c r="Y5" i="48"/>
  <c r="BH205" i="48" s="1"/>
  <c r="Z5" i="48"/>
  <c r="AL255" i="48" s="1"/>
  <c r="Z5" i="44"/>
  <c r="AR6" i="54"/>
  <c r="AX6" i="54" s="1"/>
  <c r="Y38" i="48"/>
  <c r="AK288" i="48" s="1"/>
  <c r="X50" i="48"/>
  <c r="Y6" i="48"/>
  <c r="BH206" i="48" s="1"/>
  <c r="X71" i="48"/>
  <c r="W50" i="48"/>
  <c r="AI300" i="48" s="1"/>
  <c r="AR41" i="54"/>
  <c r="AS41" i="54" s="1"/>
  <c r="Y50" i="44"/>
  <c r="Y50" i="48"/>
  <c r="AK300" i="48" s="1"/>
  <c r="Z15" i="48"/>
  <c r="BI215" i="48" s="1"/>
  <c r="Y74" i="44"/>
  <c r="AR15" i="54"/>
  <c r="AS15" i="54" s="1"/>
  <c r="Z74" i="48"/>
  <c r="BI274" i="48" s="1"/>
  <c r="Y6" i="44"/>
  <c r="AR76" i="54"/>
  <c r="AU76" i="54" s="1"/>
  <c r="X74" i="48"/>
  <c r="Y38" i="44"/>
  <c r="AR86" i="54"/>
  <c r="AV86" i="54" s="1"/>
  <c r="Y35" i="48"/>
  <c r="AK285" i="48" s="1"/>
  <c r="Z6" i="44"/>
  <c r="AY6" i="54"/>
  <c r="W6" i="48"/>
  <c r="AI256" i="48" s="1"/>
  <c r="W74" i="44"/>
  <c r="Z74" i="44"/>
  <c r="W4" i="48"/>
  <c r="BF204" i="48" s="1"/>
  <c r="AR40" i="54"/>
  <c r="AW40" i="54" s="1"/>
  <c r="Y4" i="44"/>
  <c r="AY9" i="54"/>
  <c r="AR31" i="54"/>
  <c r="AW31" i="54" s="1"/>
  <c r="AY68" i="54"/>
  <c r="W15" i="44"/>
  <c r="W74" i="48"/>
  <c r="BF274" i="48" s="1"/>
  <c r="AY74" i="54"/>
  <c r="AR71" i="54"/>
  <c r="AX71" i="54" s="1"/>
  <c r="X86" i="48"/>
  <c r="AY36" i="54"/>
  <c r="AR50" i="54"/>
  <c r="AS50" i="54" s="1"/>
  <c r="W77" i="44"/>
  <c r="X74" i="44"/>
  <c r="Y40" i="44"/>
  <c r="AR38" i="54"/>
  <c r="AS38" i="54" s="1"/>
  <c r="Z40" i="48"/>
  <c r="AL290" i="48" s="1"/>
  <c r="X48" i="48"/>
  <c r="Y74" i="48"/>
  <c r="BH274" i="48" s="1"/>
  <c r="AY38" i="54"/>
  <c r="W36" i="48"/>
  <c r="AI286" i="48" s="1"/>
  <c r="W50" i="44"/>
  <c r="X4" i="44"/>
  <c r="AR57" i="54"/>
  <c r="AU57" i="54" s="1"/>
  <c r="X71" i="44"/>
  <c r="Y15" i="44"/>
  <c r="X6" i="44"/>
  <c r="Z40" i="44"/>
  <c r="X15" i="48"/>
  <c r="Z71" i="48"/>
  <c r="BI271" i="48" s="1"/>
  <c r="Y77" i="48"/>
  <c r="BH277" i="48" s="1"/>
  <c r="Y15" i="48"/>
  <c r="BH215" i="48" s="1"/>
  <c r="X9" i="48"/>
  <c r="AR74" i="54"/>
  <c r="AX74" i="54" s="1"/>
  <c r="X40" i="44"/>
  <c r="Y71" i="48"/>
  <c r="BH271" i="48" s="1"/>
  <c r="W40" i="48"/>
  <c r="AI290" i="48" s="1"/>
  <c r="Z6" i="48"/>
  <c r="AL256" i="48" s="1"/>
  <c r="Y81" i="48"/>
  <c r="BH281" i="48" s="1"/>
  <c r="AY4" i="54"/>
  <c r="Y81" i="44"/>
  <c r="W38" i="44"/>
  <c r="X91" i="48"/>
  <c r="Z63" i="48"/>
  <c r="BI263" i="48" s="1"/>
  <c r="W67" i="44"/>
  <c r="Z79" i="48"/>
  <c r="BI279" i="48" s="1"/>
  <c r="Y48" i="44"/>
  <c r="W39" i="44"/>
  <c r="Z100" i="48"/>
  <c r="Y10" i="44"/>
  <c r="W41" i="44"/>
  <c r="Y64" i="48"/>
  <c r="BH264" i="48" s="1"/>
  <c r="Z64" i="48"/>
  <c r="BI264" i="48" s="1"/>
  <c r="W36" i="44"/>
  <c r="Y71" i="44"/>
  <c r="X6" i="48"/>
  <c r="AY50" i="54"/>
  <c r="AY10" i="54"/>
  <c r="Y67" i="44"/>
  <c r="X68" i="44"/>
  <c r="AR27" i="54"/>
  <c r="AW27" i="54" s="1"/>
  <c r="Z10" i="44"/>
  <c r="X81" i="48"/>
  <c r="X36" i="44"/>
  <c r="AR9" i="54"/>
  <c r="AU9" i="54" s="1"/>
  <c r="X50" i="44"/>
  <c r="X57" i="48"/>
  <c r="Z50" i="48"/>
  <c r="BI250" i="48" s="1"/>
  <c r="X40" i="48"/>
  <c r="W62" i="48"/>
  <c r="BF262" i="48" s="1"/>
  <c r="W71" i="48"/>
  <c r="BF271" i="48" s="1"/>
  <c r="AR45" i="54"/>
  <c r="AT45" i="54" s="1"/>
  <c r="AR48" i="54"/>
  <c r="AX48" i="54" s="1"/>
  <c r="Z38" i="48"/>
  <c r="BI238" i="48" s="1"/>
  <c r="AR36" i="54"/>
  <c r="AW36" i="54" s="1"/>
  <c r="Z100" i="44"/>
  <c r="W31" i="44"/>
  <c r="W49" i="44"/>
  <c r="W89" i="44"/>
  <c r="X31" i="44"/>
  <c r="W6" i="44"/>
  <c r="X48" i="44"/>
  <c r="Y64" i="44"/>
  <c r="W40" i="44"/>
  <c r="W35" i="44"/>
  <c r="Y7" i="48"/>
  <c r="AK257" i="48" s="1"/>
  <c r="Z50" i="44"/>
  <c r="Z67" i="48"/>
  <c r="BI267" i="48" s="1"/>
  <c r="X57" i="44"/>
  <c r="Z71" i="44"/>
  <c r="X7" i="44"/>
  <c r="W4" i="44"/>
  <c r="AR49" i="54"/>
  <c r="AW49" i="54" s="1"/>
  <c r="AR62" i="54"/>
  <c r="AS62" i="54" s="1"/>
  <c r="AR93" i="54"/>
  <c r="AX93" i="54" s="1"/>
  <c r="X88" i="48"/>
  <c r="W75" i="44"/>
  <c r="Z101" i="48"/>
  <c r="W39" i="48"/>
  <c r="BF239" i="48" s="1"/>
  <c r="AR69" i="54"/>
  <c r="AV69" i="54" s="1"/>
  <c r="AR17" i="54"/>
  <c r="AV17" i="54" s="1"/>
  <c r="W45" i="48"/>
  <c r="BF245" i="48" s="1"/>
  <c r="Y28" i="48"/>
  <c r="AK278" i="48" s="1"/>
  <c r="X88" i="44"/>
  <c r="Y89" i="44"/>
  <c r="Z98" i="48"/>
  <c r="W26" i="44"/>
  <c r="Y75" i="48"/>
  <c r="BH275" i="48" s="1"/>
  <c r="X96" i="44"/>
  <c r="AR87" i="54"/>
  <c r="AT87" i="54" s="1"/>
  <c r="Y32" i="48"/>
  <c r="AK282" i="48" s="1"/>
  <c r="Y45" i="48"/>
  <c r="BH245" i="48" s="1"/>
  <c r="Y95" i="48"/>
  <c r="Y70" i="48"/>
  <c r="BH270" i="48" s="1"/>
  <c r="Z76" i="44"/>
  <c r="Z83" i="44"/>
  <c r="W54" i="48"/>
  <c r="BF254" i="48" s="1"/>
  <c r="Z69" i="44"/>
  <c r="AY62" i="54"/>
  <c r="W86" i="44"/>
  <c r="AR32" i="54"/>
  <c r="AX32" i="54" s="1"/>
  <c r="AR22" i="54"/>
  <c r="AW22" i="54" s="1"/>
  <c r="Y4" i="48"/>
  <c r="AK254" i="48" s="1"/>
  <c r="Z23" i="48"/>
  <c r="BI223" i="48" s="1"/>
  <c r="Y77" i="44"/>
  <c r="W45" i="44"/>
  <c r="W37" i="44"/>
  <c r="AR7" i="54"/>
  <c r="AX7" i="54" s="1"/>
  <c r="Y62" i="44"/>
  <c r="Z26" i="44"/>
  <c r="Y91" i="44"/>
  <c r="Z4" i="48"/>
  <c r="AL254" i="48" s="1"/>
  <c r="Z37" i="44"/>
  <c r="X2" i="48"/>
  <c r="X31" i="48"/>
  <c r="Z62" i="44"/>
  <c r="X81" i="44"/>
  <c r="Z85" i="44"/>
  <c r="X96" i="48"/>
  <c r="W28" i="48"/>
  <c r="BF228" i="48" s="1"/>
  <c r="W34" i="44"/>
  <c r="Z54" i="48"/>
  <c r="Z82" i="44"/>
  <c r="Y14" i="48"/>
  <c r="AK264" i="48" s="1"/>
  <c r="Y53" i="44"/>
  <c r="X83" i="44"/>
  <c r="W88" i="44"/>
  <c r="AR37" i="54"/>
  <c r="AV37" i="54" s="1"/>
  <c r="Z3" i="44"/>
  <c r="W43" i="48"/>
  <c r="BF243" i="48" s="1"/>
  <c r="Z33" i="44"/>
  <c r="AY84" i="54"/>
  <c r="X63" i="48"/>
  <c r="AR58" i="54"/>
  <c r="AX58" i="54" s="1"/>
  <c r="X11" i="44"/>
  <c r="Z43" i="44"/>
  <c r="AR29" i="54"/>
  <c r="AX29" i="54" s="1"/>
  <c r="AR25" i="54"/>
  <c r="AX25" i="54" s="1"/>
  <c r="Z85" i="48"/>
  <c r="Z33" i="48"/>
  <c r="AL283" i="48" s="1"/>
  <c r="Y55" i="48"/>
  <c r="BH255" i="48" s="1"/>
  <c r="AR100" i="54"/>
  <c r="AX100" i="54" s="1"/>
  <c r="Y100" i="48"/>
  <c r="AR33" i="54"/>
  <c r="AS33" i="54" s="1"/>
  <c r="W52" i="48"/>
  <c r="BF252" i="48" s="1"/>
  <c r="X32" i="44"/>
  <c r="Y37" i="48"/>
  <c r="BH237" i="48" s="1"/>
  <c r="X44" i="48"/>
  <c r="W69" i="48"/>
  <c r="BF269" i="48" s="1"/>
  <c r="Z12" i="44"/>
  <c r="W64" i="44"/>
  <c r="Y49" i="48"/>
  <c r="BH249" i="48" s="1"/>
  <c r="Z60" i="48"/>
  <c r="BI260" i="48" s="1"/>
  <c r="AR43" i="54"/>
  <c r="AS43" i="54" s="1"/>
  <c r="Z48" i="44"/>
  <c r="W44" i="44"/>
  <c r="Z7" i="48"/>
  <c r="AL257" i="48" s="1"/>
  <c r="AR34" i="54"/>
  <c r="AU34" i="54" s="1"/>
  <c r="W41" i="48"/>
  <c r="BF241" i="48" s="1"/>
  <c r="Z93" i="44"/>
  <c r="Z36" i="44"/>
  <c r="W87" i="48"/>
  <c r="Z86" i="44"/>
  <c r="W92" i="48"/>
  <c r="Y101" i="48"/>
  <c r="W72" i="48"/>
  <c r="BF272" i="48" s="1"/>
  <c r="Z68" i="48"/>
  <c r="BI268" i="48" s="1"/>
  <c r="X86" i="44"/>
  <c r="Y40" i="48"/>
  <c r="AK290" i="48" s="1"/>
  <c r="Z16" i="48"/>
  <c r="BI216" i="48" s="1"/>
  <c r="AY35" i="54"/>
  <c r="AY23" i="54"/>
  <c r="AR85" i="54"/>
  <c r="AW85" i="54" s="1"/>
  <c r="Z28" i="48"/>
  <c r="BI228" i="48" s="1"/>
  <c r="X54" i="44"/>
  <c r="X16" i="48"/>
  <c r="Z2" i="48"/>
  <c r="BI202" i="48" s="1"/>
  <c r="Y37" i="44"/>
  <c r="W24" i="48"/>
  <c r="AI274" i="48" s="1"/>
  <c r="X21" i="48"/>
  <c r="X98" i="44"/>
  <c r="Z30" i="48"/>
  <c r="AL280" i="48" s="1"/>
  <c r="Z89" i="48"/>
  <c r="W32" i="48"/>
  <c r="BF232" i="48" s="1"/>
  <c r="Z98" i="44"/>
  <c r="Z57" i="48"/>
  <c r="BI257" i="48" s="1"/>
  <c r="Z77" i="48"/>
  <c r="BI277" i="48" s="1"/>
  <c r="Z75" i="48"/>
  <c r="BI275" i="48" s="1"/>
  <c r="Y83" i="48"/>
  <c r="Z41" i="48"/>
  <c r="AL291" i="48" s="1"/>
  <c r="Z29" i="48"/>
  <c r="AL279" i="48" s="1"/>
  <c r="X99" i="44"/>
  <c r="X62" i="48"/>
  <c r="AR46" i="54"/>
  <c r="AS46" i="54" s="1"/>
  <c r="Y36" i="44"/>
  <c r="W66" i="44"/>
  <c r="W3" i="44"/>
  <c r="Z92" i="48"/>
  <c r="W10" i="44"/>
  <c r="AR77" i="54"/>
  <c r="AV77" i="54" s="1"/>
  <c r="Y97" i="48"/>
  <c r="Z86" i="48"/>
  <c r="W8" i="48"/>
  <c r="BF208" i="48" s="1"/>
  <c r="Y88" i="48"/>
  <c r="X38" i="44"/>
  <c r="X101" i="44"/>
  <c r="W46" i="48"/>
  <c r="BF246" i="48" s="1"/>
  <c r="X47" i="48"/>
  <c r="W78" i="44"/>
  <c r="Z91" i="44"/>
  <c r="Z15" i="44"/>
  <c r="AR56" i="54"/>
  <c r="AX56" i="54" s="1"/>
  <c r="AR14" i="54"/>
  <c r="AV14" i="54" s="1"/>
  <c r="AR53" i="54"/>
  <c r="AV53" i="54" s="1"/>
  <c r="Y33" i="44"/>
  <c r="AR95" i="54"/>
  <c r="AV95" i="54" s="1"/>
  <c r="W56" i="44"/>
  <c r="X89" i="44"/>
  <c r="W93" i="44"/>
  <c r="W101" i="48"/>
  <c r="Z54" i="44"/>
  <c r="Y58" i="48"/>
  <c r="BH258" i="48" s="1"/>
  <c r="W90" i="44"/>
  <c r="X28" i="48"/>
  <c r="X87" i="44"/>
  <c r="W63" i="44"/>
  <c r="W90" i="48"/>
  <c r="Z39" i="48"/>
  <c r="AL289" i="48" s="1"/>
  <c r="W77" i="48"/>
  <c r="BF277" i="48" s="1"/>
  <c r="X17" i="48"/>
  <c r="Y44" i="48"/>
  <c r="BH244" i="48" s="1"/>
  <c r="W9" i="44"/>
  <c r="Z83" i="48"/>
  <c r="Y67" i="48"/>
  <c r="BH267" i="48" s="1"/>
  <c r="W59" i="44"/>
  <c r="AR99" i="54"/>
  <c r="AV99" i="54" s="1"/>
  <c r="W69" i="44"/>
  <c r="Z11" i="44"/>
  <c r="W16" i="44"/>
  <c r="Y86" i="48"/>
  <c r="Y9" i="44"/>
  <c r="W13" i="48"/>
  <c r="BF213" i="48" s="1"/>
  <c r="Y49" i="44"/>
  <c r="Y66" i="44"/>
  <c r="Y41" i="44"/>
  <c r="Z51" i="48"/>
  <c r="AL301" i="48" s="1"/>
  <c r="Y21" i="48"/>
  <c r="BH221" i="48" s="1"/>
  <c r="AY67" i="54"/>
  <c r="Z80" i="44"/>
  <c r="W14" i="48"/>
  <c r="BF214" i="48" s="1"/>
  <c r="Y13" i="48"/>
  <c r="BH213" i="48" s="1"/>
  <c r="W32" i="44"/>
  <c r="W79" i="44"/>
  <c r="AY92" i="54"/>
  <c r="W58" i="44"/>
  <c r="W58" i="48"/>
  <c r="BF258" i="48" s="1"/>
  <c r="Y3" i="48"/>
  <c r="AK253" i="48" s="1"/>
  <c r="W82" i="44"/>
  <c r="Z97" i="44"/>
  <c r="X45" i="48"/>
  <c r="X7" i="48"/>
  <c r="X35" i="48"/>
  <c r="W86" i="48"/>
  <c r="W91" i="44"/>
  <c r="Y39" i="48"/>
  <c r="AK289" i="48" s="1"/>
  <c r="Z96" i="44"/>
  <c r="X13" i="48"/>
  <c r="W30" i="44"/>
  <c r="W7" i="48"/>
  <c r="AI257" i="48" s="1"/>
  <c r="X33" i="44"/>
  <c r="Z29" i="44"/>
  <c r="X35" i="44"/>
  <c r="Z53" i="44"/>
  <c r="Y80" i="44"/>
  <c r="W55" i="44"/>
  <c r="Y23" i="44"/>
  <c r="X12" i="48"/>
  <c r="Z11" i="48"/>
  <c r="BI211" i="48" s="1"/>
  <c r="Y35" i="44"/>
  <c r="Z76" i="48"/>
  <c r="BI276" i="48" s="1"/>
  <c r="Z44" i="48"/>
  <c r="AL294" i="48" s="1"/>
  <c r="Z31" i="44"/>
  <c r="X14" i="48"/>
  <c r="Z77" i="44"/>
  <c r="Z58" i="48"/>
  <c r="BI258" i="48" s="1"/>
  <c r="W81" i="48"/>
  <c r="BF281" i="48" s="1"/>
  <c r="AY7" i="54"/>
  <c r="X30" i="48"/>
  <c r="X73" i="48"/>
  <c r="Z25" i="48"/>
  <c r="AL275" i="48" s="1"/>
  <c r="AR20" i="54"/>
  <c r="AS20" i="54" s="1"/>
  <c r="Z21" i="48"/>
  <c r="AL271" i="48" s="1"/>
  <c r="Y79" i="44"/>
  <c r="Z78" i="48"/>
  <c r="BI278" i="48" s="1"/>
  <c r="X65" i="48"/>
  <c r="X21" i="44"/>
  <c r="Y91" i="48"/>
  <c r="Z99" i="44"/>
  <c r="W92" i="44"/>
  <c r="Z95" i="44"/>
  <c r="X76" i="48"/>
  <c r="Y9" i="48"/>
  <c r="AK259" i="48" s="1"/>
  <c r="AR96" i="54"/>
  <c r="AW96" i="54" s="1"/>
  <c r="W51" i="44"/>
  <c r="W68" i="48"/>
  <c r="BF268" i="48" s="1"/>
  <c r="Z23" i="44"/>
  <c r="W49" i="48"/>
  <c r="AI299" i="48" s="1"/>
  <c r="Z65" i="48"/>
  <c r="BI265" i="48" s="1"/>
  <c r="X70" i="44"/>
  <c r="AR94" i="54"/>
  <c r="AX94" i="54" s="1"/>
  <c r="Y86" i="44"/>
  <c r="AR64" i="54"/>
  <c r="AW64" i="54" s="1"/>
  <c r="W97" i="44"/>
  <c r="Y31" i="44"/>
  <c r="AR47" i="54"/>
  <c r="AW47" i="54" s="1"/>
  <c r="Y43" i="44"/>
  <c r="X9" i="44"/>
  <c r="Y12" i="44"/>
  <c r="Z81" i="44"/>
  <c r="X49" i="48"/>
  <c r="Z14" i="48"/>
  <c r="AL264" i="48" s="1"/>
  <c r="X47" i="44"/>
  <c r="X41" i="48"/>
  <c r="Z97" i="48"/>
  <c r="Y68" i="44"/>
  <c r="W23" i="44"/>
  <c r="AY51" i="54"/>
  <c r="AR70" i="54"/>
  <c r="AV70" i="54" s="1"/>
  <c r="Y84" i="48"/>
  <c r="W37" i="48"/>
  <c r="AI287" i="48" s="1"/>
  <c r="W79" i="48"/>
  <c r="BF279" i="48" s="1"/>
  <c r="W59" i="48"/>
  <c r="BF259" i="48" s="1"/>
  <c r="Z27" i="44"/>
  <c r="Z27" i="48"/>
  <c r="BI227" i="48" s="1"/>
  <c r="W7" i="44"/>
  <c r="W93" i="48"/>
  <c r="Z81" i="48"/>
  <c r="BI281" i="48" s="1"/>
  <c r="Z35" i="44"/>
  <c r="W51" i="48"/>
  <c r="AI301" i="48" s="1"/>
  <c r="X66" i="44"/>
  <c r="AR39" i="54"/>
  <c r="AV39" i="54" s="1"/>
  <c r="X44" i="44"/>
  <c r="W20" i="44"/>
  <c r="X42" i="44"/>
  <c r="X77" i="48"/>
  <c r="X76" i="44"/>
  <c r="X99" i="48"/>
  <c r="Y56" i="44"/>
  <c r="Y25" i="48"/>
  <c r="AK275" i="48" s="1"/>
  <c r="AR4" i="54"/>
  <c r="AV4" i="54" s="1"/>
  <c r="Z8" i="48"/>
  <c r="AL258" i="48" s="1"/>
  <c r="W3" i="48"/>
  <c r="BF203" i="48" s="1"/>
  <c r="Z47" i="48"/>
  <c r="AL297" i="48" s="1"/>
  <c r="X23" i="48"/>
  <c r="W68" i="44"/>
  <c r="Y73" i="48"/>
  <c r="BH273" i="48" s="1"/>
  <c r="Z20" i="44"/>
  <c r="X19" i="44"/>
  <c r="Z59" i="48"/>
  <c r="BI259" i="48" s="1"/>
  <c r="X79" i="44"/>
  <c r="Y44" i="44"/>
  <c r="AY49" i="54"/>
  <c r="Y54" i="44"/>
  <c r="W66" i="48"/>
  <c r="BF266" i="48" s="1"/>
  <c r="Y33" i="48"/>
  <c r="BH233" i="48" s="1"/>
  <c r="W65" i="48"/>
  <c r="BF265" i="48" s="1"/>
  <c r="W55" i="48"/>
  <c r="BF255" i="48" s="1"/>
  <c r="X94" i="48"/>
  <c r="AR88" i="54"/>
  <c r="AT88" i="54" s="1"/>
  <c r="Y90" i="44"/>
  <c r="X75" i="48"/>
  <c r="Z42" i="44"/>
  <c r="AR101" i="54"/>
  <c r="AV101" i="54" s="1"/>
  <c r="Y69" i="44"/>
  <c r="X38" i="48"/>
  <c r="Y57" i="44"/>
  <c r="W25" i="44"/>
  <c r="Z46" i="48"/>
  <c r="BI246" i="48" s="1"/>
  <c r="W72" i="44"/>
  <c r="AR59" i="54"/>
  <c r="AW59" i="54" s="1"/>
  <c r="Y97" i="44"/>
  <c r="Z64" i="44"/>
  <c r="Z82" i="48"/>
  <c r="W48" i="48"/>
  <c r="BF248" i="48" s="1"/>
  <c r="W38" i="48"/>
  <c r="BF238" i="48" s="1"/>
  <c r="X64" i="48"/>
  <c r="AR67" i="54"/>
  <c r="AW67" i="54" s="1"/>
  <c r="Z9" i="48"/>
  <c r="AL259" i="48" s="1"/>
  <c r="AR21" i="54"/>
  <c r="AV21" i="54" s="1"/>
  <c r="Z4" i="44"/>
  <c r="Z45" i="44"/>
  <c r="Y29" i="48"/>
  <c r="AK279" i="48" s="1"/>
  <c r="W71" i="44"/>
  <c r="X55" i="48"/>
  <c r="X10" i="44"/>
  <c r="AY86" i="54"/>
  <c r="X60" i="44"/>
  <c r="Y95" i="44"/>
  <c r="X84" i="44"/>
  <c r="X58" i="44"/>
  <c r="Y88" i="44"/>
  <c r="AR97" i="54"/>
  <c r="AS97" i="54" s="1"/>
  <c r="AR28" i="54"/>
  <c r="AV28" i="54" s="1"/>
  <c r="Z96" i="48"/>
  <c r="Y34" i="44"/>
  <c r="W20" i="48"/>
  <c r="BF220" i="48" s="1"/>
  <c r="AR75" i="54"/>
  <c r="AX75" i="54" s="1"/>
  <c r="Y62" i="48"/>
  <c r="BH262" i="48" s="1"/>
  <c r="AR81" i="54"/>
  <c r="AT81" i="54" s="1"/>
  <c r="X4" i="48"/>
  <c r="W35" i="48"/>
  <c r="AI285" i="48" s="1"/>
  <c r="W81" i="44"/>
  <c r="Y22" i="44"/>
  <c r="W85" i="44"/>
  <c r="X98" i="48"/>
  <c r="Y68" i="48"/>
  <c r="BH268" i="48" s="1"/>
  <c r="W24" i="44"/>
  <c r="W8" i="44"/>
  <c r="AR83" i="54"/>
  <c r="AV83" i="54" s="1"/>
  <c r="Z75" i="44"/>
  <c r="X15" i="44"/>
  <c r="Z95" i="48"/>
  <c r="Z30" i="44"/>
  <c r="Y66" i="48"/>
  <c r="BH266" i="48" s="1"/>
  <c r="Z61" i="48"/>
  <c r="BI261" i="48" s="1"/>
  <c r="Z49" i="44"/>
  <c r="X42" i="48"/>
  <c r="W10" i="48"/>
  <c r="BF210" i="48" s="1"/>
  <c r="AY73" i="54"/>
  <c r="AR30" i="54"/>
  <c r="AW30" i="54" s="1"/>
  <c r="Y46" i="48"/>
  <c r="AK296" i="48" s="1"/>
  <c r="X2" i="44"/>
  <c r="Y82" i="48"/>
  <c r="X13" i="44"/>
  <c r="Z3" i="48"/>
  <c r="X54" i="48"/>
  <c r="Y29" i="44"/>
  <c r="W76" i="48"/>
  <c r="BF276" i="48" s="1"/>
  <c r="AR35" i="54"/>
  <c r="AV35" i="54" s="1"/>
  <c r="Z80" i="48"/>
  <c r="BI280" i="48" s="1"/>
  <c r="Y16" i="44"/>
  <c r="X12" i="44"/>
  <c r="Z36" i="48"/>
  <c r="BI236" i="48" s="1"/>
  <c r="X77" i="44"/>
  <c r="W85" i="48"/>
  <c r="AR10" i="54"/>
  <c r="AU10" i="54" s="1"/>
  <c r="AR72" i="54"/>
  <c r="AV72" i="54" s="1"/>
  <c r="Z7" i="44"/>
  <c r="X3" i="44"/>
  <c r="Y36" i="48"/>
  <c r="AK286" i="48" s="1"/>
  <c r="X52" i="44"/>
  <c r="W48" i="44"/>
  <c r="W97" i="48"/>
  <c r="Z10" i="48"/>
  <c r="AL260" i="48" s="1"/>
  <c r="X22" i="48"/>
  <c r="Y20" i="44"/>
  <c r="X60" i="48"/>
  <c r="AR66" i="54"/>
  <c r="AT66" i="54" s="1"/>
  <c r="Y31" i="48"/>
  <c r="BH231" i="48" s="1"/>
  <c r="Z59" i="44"/>
  <c r="Y19" i="48"/>
  <c r="AK269" i="48" s="1"/>
  <c r="Z26" i="48"/>
  <c r="AL276" i="48" s="1"/>
  <c r="X28" i="44"/>
  <c r="Z35" i="48"/>
  <c r="AL285" i="48" s="1"/>
  <c r="Y7" i="44"/>
  <c r="X36" i="48"/>
  <c r="W83" i="44"/>
  <c r="Y58" i="44"/>
  <c r="Z65" i="44"/>
  <c r="AY15" i="54"/>
  <c r="Z56" i="44"/>
  <c r="Y47" i="48"/>
  <c r="AK297" i="48" s="1"/>
  <c r="X16" i="44"/>
  <c r="W101" i="44"/>
  <c r="W42" i="44"/>
  <c r="AR73" i="54"/>
  <c r="AU73" i="54" s="1"/>
  <c r="W12" i="48"/>
  <c r="AI262" i="48" s="1"/>
  <c r="X84" i="48"/>
  <c r="W2" i="48"/>
  <c r="BF202" i="48" s="1"/>
  <c r="Y93" i="48"/>
  <c r="X75" i="44"/>
  <c r="W95" i="48"/>
  <c r="Y30" i="48"/>
  <c r="AK280" i="48" s="1"/>
  <c r="Z37" i="48"/>
  <c r="AL287" i="48" s="1"/>
  <c r="Z90" i="48"/>
  <c r="W84" i="48"/>
  <c r="X58" i="48"/>
  <c r="AR54" i="54"/>
  <c r="AW54" i="54" s="1"/>
  <c r="X85" i="48"/>
  <c r="Y87" i="48"/>
  <c r="AR78" i="54"/>
  <c r="AS78" i="54" s="1"/>
  <c r="AR51" i="54"/>
  <c r="AX51" i="54" s="1"/>
  <c r="X65" i="44"/>
  <c r="W64" i="48"/>
  <c r="BF264" i="48" s="1"/>
  <c r="X25" i="48"/>
  <c r="Y12" i="48"/>
  <c r="AK262" i="48" s="1"/>
  <c r="Z43" i="48"/>
  <c r="BI243" i="48" s="1"/>
  <c r="AY55" i="54"/>
  <c r="AY16" i="54"/>
  <c r="AY29" i="54"/>
  <c r="AY60" i="54"/>
  <c r="AY8" i="54"/>
  <c r="AY80" i="54"/>
  <c r="AY91" i="54"/>
  <c r="Y42" i="44"/>
  <c r="X34" i="48"/>
  <c r="Y18" i="48"/>
  <c r="BH218" i="48" s="1"/>
  <c r="Y92" i="48"/>
  <c r="W26" i="48"/>
  <c r="BF226" i="48" s="1"/>
  <c r="AY70" i="54"/>
  <c r="AY61" i="54"/>
  <c r="AY12" i="54"/>
  <c r="AY28" i="54"/>
  <c r="AY83" i="54"/>
  <c r="AR42" i="54"/>
  <c r="AW42" i="54" s="1"/>
  <c r="Z19" i="44"/>
  <c r="AY69" i="54"/>
  <c r="AY94" i="54"/>
  <c r="AY59" i="54"/>
  <c r="W98" i="44"/>
  <c r="Y19" i="44"/>
  <c r="W89" i="48"/>
  <c r="Z66" i="44"/>
  <c r="AY44" i="54"/>
  <c r="AY14" i="54"/>
  <c r="Z72" i="48"/>
  <c r="BI272" i="48" s="1"/>
  <c r="Y72" i="44"/>
  <c r="X78" i="48"/>
  <c r="X27" i="44"/>
  <c r="Y8" i="48"/>
  <c r="AK258" i="48" s="1"/>
  <c r="X18" i="48"/>
  <c r="X10" i="48"/>
  <c r="Y85" i="44"/>
  <c r="AY100" i="54"/>
  <c r="AY75" i="54"/>
  <c r="AY90" i="54"/>
  <c r="AY11" i="54"/>
  <c r="X46" i="48"/>
  <c r="AR11" i="54"/>
  <c r="AV11" i="54" s="1"/>
  <c r="W70" i="48"/>
  <c r="BF270" i="48" s="1"/>
  <c r="W99" i="48"/>
  <c r="W91" i="48"/>
  <c r="X79" i="48"/>
  <c r="AR65" i="54"/>
  <c r="AU65" i="54" s="1"/>
  <c r="AR23" i="54"/>
  <c r="AW23" i="54" s="1"/>
  <c r="Y2" i="44"/>
  <c r="AR26" i="54"/>
  <c r="AV26" i="54" s="1"/>
  <c r="W80" i="44"/>
  <c r="AR12" i="54"/>
  <c r="AS12" i="54" s="1"/>
  <c r="Z39" i="44"/>
  <c r="W87" i="44"/>
  <c r="Z9" i="44"/>
  <c r="Y17" i="44"/>
  <c r="W30" i="48"/>
  <c r="BF230" i="48" s="1"/>
  <c r="W82" i="48"/>
  <c r="Y85" i="48"/>
  <c r="Z13" i="44"/>
  <c r="Z67" i="44"/>
  <c r="Y98" i="44"/>
  <c r="X101" i="48"/>
  <c r="Y87" i="44"/>
  <c r="Y63" i="44"/>
  <c r="AY43" i="54"/>
  <c r="AY42" i="54"/>
  <c r="AY57" i="54"/>
  <c r="AY82" i="54"/>
  <c r="W17" i="48"/>
  <c r="AI267" i="48" s="1"/>
  <c r="AY27" i="54"/>
  <c r="AY58" i="54"/>
  <c r="Y26" i="48"/>
  <c r="BH226" i="48" s="1"/>
  <c r="Z32" i="44"/>
  <c r="Z25" i="44"/>
  <c r="AY39" i="54"/>
  <c r="AY101" i="54"/>
  <c r="AY89" i="54"/>
  <c r="AY34" i="54"/>
  <c r="Y39" i="44"/>
  <c r="Z84" i="48"/>
  <c r="AY85" i="54"/>
  <c r="AY56" i="54"/>
  <c r="Z55" i="48"/>
  <c r="BI255" i="48" s="1"/>
  <c r="AR55" i="54"/>
  <c r="AS55" i="54" s="1"/>
  <c r="Y90" i="48"/>
  <c r="Y52" i="48"/>
  <c r="BH252" i="48" s="1"/>
  <c r="W11" i="44"/>
  <c r="W80" i="48"/>
  <c r="BF280" i="48" s="1"/>
  <c r="W94" i="48"/>
  <c r="W19" i="48"/>
  <c r="BF219" i="48" s="1"/>
  <c r="Y101" i="44"/>
  <c r="X53" i="44"/>
  <c r="X95" i="44"/>
  <c r="X68" i="48"/>
  <c r="X100" i="48"/>
  <c r="X29" i="44"/>
  <c r="X20" i="48"/>
  <c r="Y27" i="48"/>
  <c r="BH227" i="48" s="1"/>
  <c r="Y60" i="48"/>
  <c r="BH260" i="48" s="1"/>
  <c r="W11" i="48"/>
  <c r="AI261" i="48" s="1"/>
  <c r="Z49" i="48"/>
  <c r="BI249" i="48" s="1"/>
  <c r="AY37" i="54"/>
  <c r="AY99" i="54"/>
  <c r="Y52" i="44"/>
  <c r="W12" i="44"/>
  <c r="Y56" i="48"/>
  <c r="BH256" i="48" s="1"/>
  <c r="Z87" i="44"/>
  <c r="X93" i="44"/>
  <c r="Z14" i="44"/>
  <c r="Y34" i="48"/>
  <c r="BH234" i="48" s="1"/>
  <c r="W95" i="44"/>
  <c r="W57" i="48"/>
  <c r="BF257" i="48" s="1"/>
  <c r="Y92" i="44"/>
  <c r="Y10" i="48"/>
  <c r="AK260" i="48" s="1"/>
  <c r="Y78" i="44"/>
  <c r="Z12" i="48"/>
  <c r="AL262" i="48" s="1"/>
  <c r="X94" i="44"/>
  <c r="Z93" i="48"/>
  <c r="X8" i="48"/>
  <c r="X72" i="44"/>
  <c r="W53" i="44"/>
  <c r="W23" i="48"/>
  <c r="AI273" i="48" s="1"/>
  <c r="AY79" i="54"/>
  <c r="AY97" i="54"/>
  <c r="X90" i="44"/>
  <c r="Z22" i="48"/>
  <c r="BI222" i="48" s="1"/>
  <c r="X27" i="48"/>
  <c r="X24" i="44"/>
  <c r="W78" i="48"/>
  <c r="BF278" i="48" s="1"/>
  <c r="Y89" i="48"/>
  <c r="X34" i="44"/>
  <c r="W28" i="44"/>
  <c r="X69" i="44"/>
  <c r="W47" i="48"/>
  <c r="AI297" i="48" s="1"/>
  <c r="Y65" i="48"/>
  <c r="BH265" i="48" s="1"/>
  <c r="Y84" i="44"/>
  <c r="X80" i="48"/>
  <c r="W96" i="48"/>
  <c r="Z66" i="48"/>
  <c r="BI266" i="48" s="1"/>
  <c r="AR68" i="54"/>
  <c r="AV68" i="54" s="1"/>
  <c r="Y24" i="44"/>
  <c r="W34" i="48"/>
  <c r="BF234" i="48" s="1"/>
  <c r="W99" i="44"/>
  <c r="Z56" i="48"/>
  <c r="BI256" i="48" s="1"/>
  <c r="Y54" i="48"/>
  <c r="BH254" i="48" s="1"/>
  <c r="X56" i="48"/>
  <c r="W60" i="48"/>
  <c r="BF260" i="48" s="1"/>
  <c r="AY46" i="54"/>
  <c r="AY20" i="54"/>
  <c r="AY66" i="54"/>
  <c r="AY26" i="54"/>
  <c r="X70" i="48"/>
  <c r="W88" i="48"/>
  <c r="Y51" i="44"/>
  <c r="AR60" i="54"/>
  <c r="AV60" i="54" s="1"/>
  <c r="X49" i="44"/>
  <c r="W60" i="44"/>
  <c r="Z72" i="44"/>
  <c r="X91" i="44"/>
  <c r="Y32" i="44"/>
  <c r="Y73" i="44"/>
  <c r="Z17" i="48"/>
  <c r="BI217" i="48" s="1"/>
  <c r="Y11" i="44"/>
  <c r="X53" i="48"/>
  <c r="X8" i="44"/>
  <c r="X26" i="44"/>
  <c r="Z18" i="44"/>
  <c r="AR16" i="54"/>
  <c r="AW16" i="54" s="1"/>
  <c r="Z73" i="48"/>
  <c r="BI273" i="48" s="1"/>
  <c r="AY45" i="54"/>
  <c r="AY81" i="54"/>
  <c r="AY33" i="54"/>
  <c r="AY2" i="54"/>
  <c r="X23" i="44"/>
  <c r="W22" i="44"/>
  <c r="W47" i="44"/>
  <c r="Y98" i="48"/>
  <c r="Y51" i="48"/>
  <c r="AK301" i="48" s="1"/>
  <c r="W54" i="44"/>
  <c r="Y28" i="44"/>
  <c r="W43" i="44"/>
  <c r="X59" i="48"/>
  <c r="X67" i="48"/>
  <c r="Y48" i="48"/>
  <c r="BH248" i="48" s="1"/>
  <c r="AR63" i="54"/>
  <c r="AW63" i="54" s="1"/>
  <c r="X11" i="48"/>
  <c r="Z47" i="44"/>
  <c r="X82" i="44"/>
  <c r="Y57" i="48"/>
  <c r="BH257" i="48" s="1"/>
  <c r="X51" i="44"/>
  <c r="W9" i="48"/>
  <c r="AI259" i="48" s="1"/>
  <c r="Y8" i="44"/>
  <c r="W21" i="48"/>
  <c r="AI271" i="48" s="1"/>
  <c r="Z87" i="48"/>
  <c r="W61" i="48"/>
  <c r="BF261" i="48" s="1"/>
  <c r="Y65" i="44"/>
  <c r="AY54" i="54"/>
  <c r="AY78" i="54"/>
  <c r="AY3" i="54"/>
  <c r="AY96" i="54"/>
  <c r="AR92" i="54"/>
  <c r="AX92" i="54" s="1"/>
  <c r="W44" i="48"/>
  <c r="AI294" i="48" s="1"/>
  <c r="X43" i="48"/>
  <c r="Z52" i="44"/>
  <c r="W14" i="44"/>
  <c r="W27" i="44"/>
  <c r="X92" i="48"/>
  <c r="Z24" i="48"/>
  <c r="AL274" i="48" s="1"/>
  <c r="AR90" i="54"/>
  <c r="AW90" i="54" s="1"/>
  <c r="Z42" i="48"/>
  <c r="W100" i="48"/>
  <c r="AR24" i="54"/>
  <c r="AV24" i="54" s="1"/>
  <c r="W75" i="48"/>
  <c r="BF275" i="48" s="1"/>
  <c r="Z44" i="44"/>
  <c r="Y21" i="44"/>
  <c r="X22" i="44"/>
  <c r="X62" i="44"/>
  <c r="X55" i="44"/>
  <c r="Z31" i="48"/>
  <c r="AL281" i="48" s="1"/>
  <c r="X3" i="48"/>
  <c r="Z16" i="44"/>
  <c r="Y24" i="48"/>
  <c r="AK274" i="48" s="1"/>
  <c r="X52" i="48"/>
  <c r="W65" i="44"/>
  <c r="X19" i="48"/>
  <c r="W62" i="44"/>
  <c r="X37" i="44"/>
  <c r="AR89" i="54"/>
  <c r="AU89" i="54" s="1"/>
  <c r="X41" i="44"/>
  <c r="W46" i="44"/>
  <c r="Y17" i="48"/>
  <c r="AK267" i="48" s="1"/>
  <c r="W67" i="48"/>
  <c r="BF267" i="48" s="1"/>
  <c r="X18" i="44"/>
  <c r="Z38" i="44"/>
  <c r="Z18" i="48"/>
  <c r="AY52" i="54"/>
  <c r="AY19" i="54"/>
  <c r="AY65" i="54"/>
  <c r="AY72" i="54"/>
  <c r="Z21" i="44"/>
  <c r="Z88" i="44"/>
  <c r="Z61" i="44"/>
  <c r="Y27" i="44"/>
  <c r="Z34" i="44"/>
  <c r="Y76" i="48"/>
  <c r="BH276" i="48" s="1"/>
  <c r="Z69" i="48"/>
  <c r="BI269" i="48" s="1"/>
  <c r="Z90" i="44"/>
  <c r="Y93" i="44"/>
  <c r="Y75" i="44"/>
  <c r="Z28" i="44"/>
  <c r="W57" i="44"/>
  <c r="AR98" i="54"/>
  <c r="AV98" i="54" s="1"/>
  <c r="Y94" i="44"/>
  <c r="X83" i="48"/>
  <c r="Z68" i="44"/>
  <c r="W42" i="48"/>
  <c r="BF242" i="48" s="1"/>
  <c r="Y18" i="44"/>
  <c r="W53" i="48"/>
  <c r="BF253" i="48" s="1"/>
  <c r="W15" i="48"/>
  <c r="BF215" i="48" s="1"/>
  <c r="AY41" i="54"/>
  <c r="AY22" i="54"/>
  <c r="AY32" i="54"/>
  <c r="AY48" i="54"/>
  <c r="Z91" i="48"/>
  <c r="W84" i="44"/>
  <c r="W19" i="44"/>
  <c r="W73" i="44"/>
  <c r="W70" i="44"/>
  <c r="AR44" i="54"/>
  <c r="AX44" i="54" s="1"/>
  <c r="Y47" i="44"/>
  <c r="Y55" i="44"/>
  <c r="X66" i="48"/>
  <c r="W96" i="44"/>
  <c r="X33" i="48"/>
  <c r="Y69" i="48"/>
  <c r="BH269" i="48" s="1"/>
  <c r="Z94" i="48"/>
  <c r="X45" i="44"/>
  <c r="Z19" i="48"/>
  <c r="BI219" i="48" s="1"/>
  <c r="Z57" i="44"/>
  <c r="Z53" i="48"/>
  <c r="BI253" i="48" s="1"/>
  <c r="Y45" i="44"/>
  <c r="Y60" i="44"/>
  <c r="Z34" i="48"/>
  <c r="AL284" i="48" s="1"/>
  <c r="X37" i="48"/>
  <c r="Y13" i="44"/>
  <c r="Y78" i="48"/>
  <c r="BH278" i="48" s="1"/>
  <c r="Y99" i="48"/>
  <c r="X20" i="44"/>
  <c r="X63" i="44"/>
  <c r="W73" i="48"/>
  <c r="BF273" i="48" s="1"/>
  <c r="Y16" i="48"/>
  <c r="BH216" i="48" s="1"/>
  <c r="Z48" i="48"/>
  <c r="BI248" i="48" s="1"/>
  <c r="W31" i="48"/>
  <c r="AI281" i="48" s="1"/>
  <c r="Z60" i="44"/>
  <c r="X56" i="44"/>
  <c r="Y72" i="48"/>
  <c r="BH272" i="48" s="1"/>
  <c r="W83" i="48"/>
  <c r="AY21" i="54"/>
  <c r="AY31" i="54"/>
  <c r="AY24" i="54"/>
  <c r="Z70" i="48"/>
  <c r="BI270" i="48" s="1"/>
  <c r="W13" i="44"/>
  <c r="Y46" i="44"/>
  <c r="AR8" i="54"/>
  <c r="AX8" i="54" s="1"/>
  <c r="Y43" i="48"/>
  <c r="AK293" i="48" s="1"/>
  <c r="W94" i="44"/>
  <c r="Z22" i="44"/>
  <c r="X73" i="44"/>
  <c r="X14" i="44"/>
  <c r="Y96" i="44"/>
  <c r="X32" i="48"/>
  <c r="Z2" i="44"/>
  <c r="Y23" i="48"/>
  <c r="BH223" i="48" s="1"/>
  <c r="W61" i="44"/>
  <c r="X24" i="48"/>
  <c r="Z84" i="44"/>
  <c r="Z55" i="44"/>
  <c r="X90" i="48"/>
  <c r="Y99" i="44"/>
  <c r="Y59" i="44"/>
  <c r="W25" i="48"/>
  <c r="AI275" i="48" s="1"/>
  <c r="X26" i="48"/>
  <c r="X59" i="44"/>
  <c r="X25" i="44"/>
  <c r="Y53" i="48"/>
  <c r="BH253" i="48" s="1"/>
  <c r="W16" i="48"/>
  <c r="AI266" i="48" s="1"/>
  <c r="X39" i="48"/>
  <c r="AR2" i="54"/>
  <c r="AW2" i="54" s="1"/>
  <c r="X72" i="48"/>
  <c r="AY40" i="54"/>
  <c r="AY77" i="54"/>
  <c r="AY93" i="54"/>
  <c r="AY95" i="54"/>
  <c r="W52" i="44"/>
  <c r="Z17" i="44"/>
  <c r="W100" i="44"/>
  <c r="AR82" i="54"/>
  <c r="AW82" i="54" s="1"/>
  <c r="Z58" i="44"/>
  <c r="W2" i="44"/>
  <c r="W29" i="44"/>
  <c r="W33" i="48"/>
  <c r="AI283" i="48" s="1"/>
  <c r="W98" i="48"/>
  <c r="Y79" i="48"/>
  <c r="BH279" i="48" s="1"/>
  <c r="Z73" i="44"/>
  <c r="X39" i="44"/>
  <c r="Z63" i="44"/>
  <c r="X43" i="44"/>
  <c r="X87" i="48"/>
  <c r="X89" i="48"/>
  <c r="X64" i="44"/>
  <c r="W63" i="48"/>
  <c r="BF263" i="48" s="1"/>
  <c r="AR80" i="54"/>
  <c r="AX80" i="54" s="1"/>
  <c r="X69" i="48"/>
  <c r="W22" i="48"/>
  <c r="AI272" i="48" s="1"/>
  <c r="Y41" i="48"/>
  <c r="BH241" i="48" s="1"/>
  <c r="Y22" i="48"/>
  <c r="AK272" i="48" s="1"/>
  <c r="Y30" i="44"/>
  <c r="AR19" i="54"/>
  <c r="AW19" i="54" s="1"/>
  <c r="AR52" i="54"/>
  <c r="AW52" i="54" s="1"/>
  <c r="W21" i="44"/>
  <c r="Z32" i="48"/>
  <c r="AL282" i="48" s="1"/>
  <c r="Y70" i="44"/>
  <c r="W27" i="48"/>
  <c r="BF227" i="48" s="1"/>
  <c r="AR13" i="54"/>
  <c r="AS13" i="54" s="1"/>
  <c r="X78" i="44"/>
  <c r="Z20" i="48"/>
  <c r="BI220" i="48" s="1"/>
  <c r="X29" i="48"/>
  <c r="Z41" i="44"/>
  <c r="X67" i="44"/>
  <c r="AY18" i="54"/>
  <c r="AY63" i="54"/>
  <c r="X80" i="44"/>
  <c r="Y83" i="44"/>
  <c r="AY88" i="54"/>
  <c r="AY76" i="54"/>
  <c r="AY30" i="54"/>
  <c r="AY47" i="54"/>
  <c r="Y61" i="44"/>
  <c r="Y42" i="48"/>
  <c r="AK292" i="48" s="1"/>
  <c r="Y11" i="48"/>
  <c r="AK261" i="48" s="1"/>
  <c r="Y2" i="48"/>
  <c r="AK252" i="48" s="1"/>
  <c r="Y63" i="48"/>
  <c r="BH263" i="48" s="1"/>
  <c r="Y20" i="48"/>
  <c r="AK270" i="48" s="1"/>
  <c r="Y26" i="44"/>
  <c r="W29" i="48"/>
  <c r="BF229" i="48" s="1"/>
  <c r="X93" i="48"/>
  <c r="W56" i="48"/>
  <c r="BF256" i="48" s="1"/>
  <c r="Y14" i="44"/>
  <c r="AR3" i="54"/>
  <c r="AW3" i="54" s="1"/>
  <c r="Y3" i="44"/>
  <c r="Z13" i="48"/>
  <c r="BI213" i="48" s="1"/>
  <c r="X61" i="44"/>
  <c r="Y80" i="48"/>
  <c r="BH280" i="48" s="1"/>
  <c r="AR18" i="54"/>
  <c r="AX18" i="54" s="1"/>
  <c r="Z70" i="44"/>
  <c r="Z62" i="48"/>
  <c r="BI262" i="48" s="1"/>
  <c r="AY87" i="54"/>
  <c r="AY17" i="54"/>
  <c r="AY64" i="54"/>
  <c r="Z88" i="48"/>
  <c r="AY25" i="54"/>
  <c r="X92" i="44"/>
  <c r="Z52" i="48"/>
  <c r="BI252" i="48" s="1"/>
  <c r="AR61" i="54"/>
  <c r="AS61" i="54" s="1"/>
  <c r="W17" i="44"/>
  <c r="Y59" i="48"/>
  <c r="BH259" i="48" s="1"/>
  <c r="X97" i="44"/>
  <c r="Y94" i="48"/>
  <c r="X85" i="44"/>
  <c r="Z24" i="44"/>
  <c r="X82" i="48"/>
  <c r="W18" i="48"/>
  <c r="BF218" i="48" s="1"/>
  <c r="X51" i="48"/>
  <c r="Z99" i="48"/>
  <c r="Y61" i="48"/>
  <c r="BH261" i="48" s="1"/>
  <c r="AR79" i="54"/>
  <c r="AU79" i="54" s="1"/>
  <c r="Z78" i="44"/>
  <c r="Y76" i="44"/>
  <c r="Z79" i="44"/>
  <c r="Z89" i="44"/>
  <c r="W33" i="44"/>
  <c r="Z8" i="44"/>
  <c r="AY53" i="54"/>
  <c r="AY98" i="54"/>
  <c r="Y25" i="44"/>
  <c r="Y96" i="48"/>
  <c r="Z45" i="48"/>
  <c r="Z94" i="44"/>
  <c r="Z51" i="44"/>
  <c r="AR84" i="54"/>
  <c r="AW84" i="54" s="1"/>
  <c r="Y100" i="44"/>
  <c r="Y82" i="44"/>
  <c r="X95" i="48"/>
  <c r="W18" i="44"/>
  <c r="Z101" i="44"/>
  <c r="X46" i="44"/>
  <c r="X61" i="48"/>
  <c r="AR91" i="54"/>
  <c r="AW91" i="54" s="1"/>
  <c r="X17" i="44"/>
  <c r="W76" i="44"/>
  <c r="X100" i="44"/>
  <c r="Z46" i="44"/>
  <c r="Z92" i="44"/>
  <c r="X97" i="48"/>
  <c r="X30" i="44"/>
  <c r="AY13" i="54"/>
  <c r="L31" i="47"/>
  <c r="J31" i="47"/>
  <c r="AL111" i="47"/>
  <c r="R11" i="47"/>
  <c r="AN111" i="47"/>
  <c r="Q11" i="47"/>
  <c r="AO111" i="47"/>
  <c r="T11" i="47"/>
  <c r="AP111" i="47"/>
  <c r="A13" i="35"/>
  <c r="A48" i="36"/>
  <c r="K32" i="47" s="1"/>
  <c r="AW5" i="54" l="1"/>
  <c r="AT5" i="54"/>
  <c r="AU38" i="54"/>
  <c r="AW88" i="54"/>
  <c r="BF205" i="48"/>
  <c r="AX38" i="54"/>
  <c r="AX5" i="54"/>
  <c r="AX26" i="54"/>
  <c r="AU31" i="54"/>
  <c r="AX31" i="54"/>
  <c r="AS77" i="54"/>
  <c r="AL300" i="48"/>
  <c r="BI232" i="48"/>
  <c r="AK255" i="48"/>
  <c r="AW12" i="54"/>
  <c r="AW75" i="54"/>
  <c r="AU5" i="54"/>
  <c r="AS99" i="54"/>
  <c r="BF249" i="48"/>
  <c r="AX69" i="54"/>
  <c r="AT93" i="54"/>
  <c r="AS31" i="54"/>
  <c r="AT77" i="54"/>
  <c r="AT31" i="54"/>
  <c r="AT69" i="54"/>
  <c r="AS69" i="54"/>
  <c r="AU75" i="54"/>
  <c r="BF233" i="48"/>
  <c r="BH228" i="48"/>
  <c r="AL273" i="48"/>
  <c r="AT95" i="54"/>
  <c r="AS9" i="54"/>
  <c r="AT9" i="54"/>
  <c r="AU12" i="54"/>
  <c r="BI240" i="48"/>
  <c r="AT86" i="54"/>
  <c r="AA50" i="48"/>
  <c r="AM300" i="48" s="1"/>
  <c r="AK299" i="48"/>
  <c r="AS37" i="54"/>
  <c r="AS5" i="54"/>
  <c r="BH250" i="48"/>
  <c r="AK265" i="48"/>
  <c r="AW100" i="54"/>
  <c r="AL299" i="48"/>
  <c r="AW32" i="54"/>
  <c r="AL265" i="48"/>
  <c r="AT48" i="54"/>
  <c r="AU62" i="54"/>
  <c r="AS75" i="54"/>
  <c r="AT75" i="54"/>
  <c r="BH238" i="48"/>
  <c r="BI205" i="48"/>
  <c r="BF236" i="48"/>
  <c r="AU81" i="54"/>
  <c r="AT40" i="54"/>
  <c r="AV81" i="54"/>
  <c r="BH235" i="48"/>
  <c r="AX22" i="54"/>
  <c r="AS40" i="54"/>
  <c r="AA93" i="48"/>
  <c r="AA97" i="48"/>
  <c r="AS27" i="54"/>
  <c r="AU39" i="54"/>
  <c r="AT7" i="54"/>
  <c r="AS48" i="54"/>
  <c r="AX81" i="54"/>
  <c r="AW81" i="54"/>
  <c r="AA3" i="48"/>
  <c r="AM253" i="48" s="1"/>
  <c r="AT85" i="54"/>
  <c r="AX40" i="54"/>
  <c r="BI239" i="48"/>
  <c r="AK283" i="48"/>
  <c r="AU48" i="54"/>
  <c r="AS39" i="54"/>
  <c r="AS85" i="54"/>
  <c r="AU40" i="54"/>
  <c r="AW48" i="54"/>
  <c r="BF206" i="48"/>
  <c r="AV48" i="54"/>
  <c r="AV85" i="54"/>
  <c r="AI254" i="48"/>
  <c r="AX45" i="54"/>
  <c r="AW39" i="54"/>
  <c r="AA5" i="48"/>
  <c r="AM255" i="48" s="1"/>
  <c r="AX21" i="54"/>
  <c r="AT17" i="54"/>
  <c r="AS23" i="54"/>
  <c r="AV40" i="54"/>
  <c r="AX39" i="54"/>
  <c r="AA94" i="48"/>
  <c r="AU6" i="54"/>
  <c r="AV6" i="54"/>
  <c r="BI207" i="48"/>
  <c r="AS6" i="54"/>
  <c r="AW6" i="54"/>
  <c r="AS32" i="54"/>
  <c r="AT6" i="54"/>
  <c r="AV32" i="54"/>
  <c r="AI269" i="48"/>
  <c r="AS21" i="54"/>
  <c r="AS93" i="54"/>
  <c r="AV45" i="54"/>
  <c r="AU32" i="54"/>
  <c r="AS71" i="54"/>
  <c r="AL296" i="48"/>
  <c r="AU71" i="54"/>
  <c r="AI295" i="48"/>
  <c r="AV71" i="54"/>
  <c r="AU85" i="54"/>
  <c r="AW71" i="54"/>
  <c r="BF207" i="48"/>
  <c r="AX54" i="54"/>
  <c r="AX85" i="54"/>
  <c r="BI235" i="48"/>
  <c r="AU36" i="54"/>
  <c r="AS96" i="54"/>
  <c r="AT50" i="54"/>
  <c r="AU74" i="54"/>
  <c r="AI253" i="48"/>
  <c r="BH225" i="48"/>
  <c r="AS94" i="54"/>
  <c r="AT101" i="54"/>
  <c r="AX77" i="54"/>
  <c r="AW60" i="54"/>
  <c r="AX60" i="54"/>
  <c r="AU60" i="54"/>
  <c r="BH236" i="48"/>
  <c r="AS101" i="54"/>
  <c r="AV54" i="54"/>
  <c r="BH219" i="48"/>
  <c r="AT74" i="54"/>
  <c r="AT71" i="54"/>
  <c r="AS70" i="54"/>
  <c r="AS74" i="54"/>
  <c r="AI298" i="48"/>
  <c r="AT44" i="54"/>
  <c r="AX27" i="54"/>
  <c r="AM29" i="47"/>
  <c r="BF231" i="48"/>
  <c r="AU50" i="54"/>
  <c r="AW21" i="54"/>
  <c r="AX37" i="54"/>
  <c r="AX34" i="54"/>
  <c r="AS58" i="54"/>
  <c r="AW55" i="54"/>
  <c r="AK256" i="48"/>
  <c r="BI251" i="48"/>
  <c r="AI284" i="48"/>
  <c r="AU55" i="54"/>
  <c r="AK271" i="48"/>
  <c r="BH204" i="48"/>
  <c r="AU22" i="54"/>
  <c r="AT15" i="54"/>
  <c r="AV36" i="54"/>
  <c r="BH247" i="48"/>
  <c r="AS35" i="54"/>
  <c r="AU15" i="54"/>
  <c r="AX36" i="54"/>
  <c r="AV93" i="54"/>
  <c r="AI289" i="48"/>
  <c r="AW74" i="54"/>
  <c r="AW77" i="54"/>
  <c r="AT10" i="54"/>
  <c r="AT22" i="54"/>
  <c r="AU4" i="54"/>
  <c r="AS36" i="54"/>
  <c r="BI226" i="48"/>
  <c r="BH229" i="48"/>
  <c r="AW35" i="54"/>
  <c r="AU37" i="54"/>
  <c r="AS22" i="54"/>
  <c r="AT36" i="54"/>
  <c r="AT89" i="54"/>
  <c r="AA28" i="48"/>
  <c r="AM278" i="48" s="1"/>
  <c r="AW37" i="54"/>
  <c r="AT70" i="54"/>
  <c r="BH208" i="48"/>
  <c r="AT61" i="54"/>
  <c r="AW58" i="54"/>
  <c r="BI230" i="48"/>
  <c r="AU58" i="54"/>
  <c r="BI204" i="48"/>
  <c r="AI282" i="48"/>
  <c r="AX19" i="54"/>
  <c r="AA4" i="48"/>
  <c r="BJ204" i="48" s="1"/>
  <c r="AW70" i="54"/>
  <c r="AT58" i="54"/>
  <c r="AU70" i="54"/>
  <c r="AT34" i="54"/>
  <c r="AX70" i="54"/>
  <c r="AS19" i="54"/>
  <c r="BH212" i="48"/>
  <c r="AV10" i="54"/>
  <c r="BF216" i="48"/>
  <c r="AU3" i="54"/>
  <c r="AU44" i="54"/>
  <c r="AW101" i="54"/>
  <c r="BF247" i="48"/>
  <c r="AX50" i="54"/>
  <c r="AW25" i="54"/>
  <c r="AT65" i="54"/>
  <c r="AT54" i="54"/>
  <c r="AV50" i="54"/>
  <c r="AS65" i="54"/>
  <c r="AA74" i="48"/>
  <c r="BJ274" i="48" s="1"/>
  <c r="AW50" i="54"/>
  <c r="AT96" i="54"/>
  <c r="AS10" i="54"/>
  <c r="AL288" i="48"/>
  <c r="AT11" i="54"/>
  <c r="AT76" i="54"/>
  <c r="AS80" i="54"/>
  <c r="BI206" i="48"/>
  <c r="AS11" i="54"/>
  <c r="AS76" i="54"/>
  <c r="AT78" i="54"/>
  <c r="AX53" i="54"/>
  <c r="AX90" i="54"/>
  <c r="AK298" i="48"/>
  <c r="AS30" i="54"/>
  <c r="BH207" i="48"/>
  <c r="AW78" i="54"/>
  <c r="AS87" i="54"/>
  <c r="AU42" i="54"/>
  <c r="AK276" i="48"/>
  <c r="AV41" i="54"/>
  <c r="AV22" i="54"/>
  <c r="AX41" i="54"/>
  <c r="AT60" i="54"/>
  <c r="AT32" i="54"/>
  <c r="AI277" i="48"/>
  <c r="AU41" i="54"/>
  <c r="AW87" i="54"/>
  <c r="AS2" i="54"/>
  <c r="BF250" i="48"/>
  <c r="AK266" i="48"/>
  <c r="AV65" i="54"/>
  <c r="AW41" i="54"/>
  <c r="AS60" i="54"/>
  <c r="BI212" i="48"/>
  <c r="AS63" i="54"/>
  <c r="AS44" i="54"/>
  <c r="AI276" i="48"/>
  <c r="AS54" i="54"/>
  <c r="AK284" i="48"/>
  <c r="BF237" i="48"/>
  <c r="AU21" i="54"/>
  <c r="AT39" i="54"/>
  <c r="AS42" i="54"/>
  <c r="AT21" i="54"/>
  <c r="AA38" i="48"/>
  <c r="AM288" i="48" s="1"/>
  <c r="AU35" i="54"/>
  <c r="AX65" i="54"/>
  <c r="AS17" i="54"/>
  <c r="AT97" i="54"/>
  <c r="AS25" i="54"/>
  <c r="AL278" i="48"/>
  <c r="AX35" i="54"/>
  <c r="AV43" i="54"/>
  <c r="AL286" i="48"/>
  <c r="AT41" i="54"/>
  <c r="AV76" i="54"/>
  <c r="AX76" i="54"/>
  <c r="AU11" i="54"/>
  <c r="AW76" i="54"/>
  <c r="AI264" i="48"/>
  <c r="BF224" i="48"/>
  <c r="AA32" i="48"/>
  <c r="BJ232" i="48" s="1"/>
  <c r="AX24" i="54"/>
  <c r="BH202" i="48"/>
  <c r="AA62" i="48"/>
  <c r="BJ262" i="48" s="1"/>
  <c r="AA87" i="48"/>
  <c r="AV19" i="54"/>
  <c r="AA11" i="48"/>
  <c r="AM261" i="48" s="1"/>
  <c r="AS24" i="54"/>
  <c r="AX68" i="54"/>
  <c r="AA64" i="48"/>
  <c r="BJ264" i="48" s="1"/>
  <c r="AV89" i="54"/>
  <c r="AW66" i="54"/>
  <c r="AX89" i="54"/>
  <c r="AU66" i="54"/>
  <c r="AU61" i="54"/>
  <c r="AI292" i="48"/>
  <c r="AS68" i="54"/>
  <c r="AL269" i="48"/>
  <c r="AT55" i="54"/>
  <c r="AI296" i="48"/>
  <c r="AT84" i="54"/>
  <c r="AW65" i="54"/>
  <c r="AS89" i="54"/>
  <c r="AA70" i="48"/>
  <c r="BJ270" i="48" s="1"/>
  <c r="AK263" i="48"/>
  <c r="AT37" i="54"/>
  <c r="BH209" i="48"/>
  <c r="AI293" i="48"/>
  <c r="AV78" i="54"/>
  <c r="AX43" i="54"/>
  <c r="AS56" i="54"/>
  <c r="AX61" i="54"/>
  <c r="AX42" i="54"/>
  <c r="AW38" i="54"/>
  <c r="AM17" i="47"/>
  <c r="AV38" i="54"/>
  <c r="BI241" i="48"/>
  <c r="BI233" i="48"/>
  <c r="AU99" i="54"/>
  <c r="AX96" i="54"/>
  <c r="BF240" i="48"/>
  <c r="AS28" i="54"/>
  <c r="AT52" i="54"/>
  <c r="AS16" i="54"/>
  <c r="BI203" i="48"/>
  <c r="AT28" i="54"/>
  <c r="AT59" i="54"/>
  <c r="AU17" i="54"/>
  <c r="AW10" i="54"/>
  <c r="AX4" i="54"/>
  <c r="AS52" i="54"/>
  <c r="AT16" i="54"/>
  <c r="BH232" i="48"/>
  <c r="AS34" i="54"/>
  <c r="AI279" i="48"/>
  <c r="AW17" i="54"/>
  <c r="AX10" i="54"/>
  <c r="AW4" i="54"/>
  <c r="AK295" i="48"/>
  <c r="AT99" i="54"/>
  <c r="AT38" i="54"/>
  <c r="AS29" i="54"/>
  <c r="AA65" i="48"/>
  <c r="BJ265" i="48" s="1"/>
  <c r="AT29" i="54"/>
  <c r="AU78" i="54"/>
  <c r="AT90" i="54"/>
  <c r="AI291" i="48"/>
  <c r="BF221" i="48"/>
  <c r="BH222" i="48"/>
  <c r="AA77" i="48"/>
  <c r="BJ277" i="48" s="1"/>
  <c r="AX78" i="54"/>
  <c r="AU100" i="54"/>
  <c r="AS26" i="54"/>
  <c r="AT63" i="54"/>
  <c r="AV100" i="54"/>
  <c r="AL261" i="48"/>
  <c r="AT100" i="54"/>
  <c r="AU24" i="54"/>
  <c r="AW34" i="54"/>
  <c r="AT94" i="54"/>
  <c r="AT27" i="54"/>
  <c r="AS100" i="54"/>
  <c r="AV74" i="54"/>
  <c r="AW24" i="54"/>
  <c r="AU28" i="54"/>
  <c r="AX15" i="54"/>
  <c r="AV34" i="54"/>
  <c r="AV15" i="54"/>
  <c r="AA84" i="48"/>
  <c r="AK273" i="48"/>
  <c r="AK294" i="48"/>
  <c r="AT20" i="54"/>
  <c r="AX82" i="54"/>
  <c r="AI260" i="48"/>
  <c r="AS4" i="54"/>
  <c r="AV58" i="54"/>
  <c r="AU82" i="54"/>
  <c r="AW15" i="54"/>
  <c r="BF244" i="48"/>
  <c r="AA27" i="48"/>
  <c r="BJ227" i="48" s="1"/>
  <c r="AT8" i="54"/>
  <c r="AS84" i="54"/>
  <c r="AV61" i="54"/>
  <c r="AW72" i="54"/>
  <c r="AU68" i="54"/>
  <c r="AM89" i="47"/>
  <c r="BI214" i="48"/>
  <c r="BH217" i="48"/>
  <c r="AA54" i="48"/>
  <c r="BJ254" i="48" s="1"/>
  <c r="AA2" i="48"/>
  <c r="AS88" i="54"/>
  <c r="BF217" i="48"/>
  <c r="AT82" i="54"/>
  <c r="AT26" i="54"/>
  <c r="AV90" i="54"/>
  <c r="AM80" i="47"/>
  <c r="AA63" i="48"/>
  <c r="BJ263" i="48" s="1"/>
  <c r="AA12" i="48"/>
  <c r="BJ212" i="48" s="1"/>
  <c r="AV88" i="54"/>
  <c r="AX88" i="54"/>
  <c r="AL252" i="48"/>
  <c r="AA72" i="48"/>
  <c r="BJ272" i="48" s="1"/>
  <c r="AW61" i="54"/>
  <c r="AU26" i="54"/>
  <c r="AW89" i="54"/>
  <c r="AA14" i="48"/>
  <c r="AM264" i="48" s="1"/>
  <c r="AM21" i="47"/>
  <c r="AW26" i="54"/>
  <c r="AU59" i="54"/>
  <c r="BH211" i="48"/>
  <c r="AT3" i="54"/>
  <c r="AS3" i="54"/>
  <c r="AV3" i="54"/>
  <c r="BH214" i="48"/>
  <c r="AA98" i="48"/>
  <c r="AW46" i="54"/>
  <c r="AX57" i="54"/>
  <c r="AV62" i="54"/>
  <c r="BH240" i="48"/>
  <c r="AS95" i="54"/>
  <c r="AK287" i="48"/>
  <c r="BF225" i="48"/>
  <c r="AT24" i="54"/>
  <c r="AL266" i="48"/>
  <c r="AA101" i="48"/>
  <c r="AX46" i="54"/>
  <c r="AU47" i="54"/>
  <c r="AM72" i="47"/>
  <c r="AA31" i="48"/>
  <c r="AM281" i="48" s="1"/>
  <c r="AA40" i="48"/>
  <c r="AM290" i="48" s="1"/>
  <c r="AI263" i="48"/>
  <c r="AA90" i="48"/>
  <c r="AA16" i="48"/>
  <c r="AM266" i="48" s="1"/>
  <c r="AU46" i="54"/>
  <c r="AX47" i="54"/>
  <c r="AA73" i="48"/>
  <c r="BJ273" i="48" s="1"/>
  <c r="AV47" i="54"/>
  <c r="AA30" i="48"/>
  <c r="BJ230" i="48" s="1"/>
  <c r="AA26" i="48"/>
  <c r="AM276" i="48" s="1"/>
  <c r="AT67" i="54"/>
  <c r="AI288" i="48"/>
  <c r="AA85" i="48"/>
  <c r="AM4" i="47"/>
  <c r="AA49" i="48"/>
  <c r="BJ249" i="48" s="1"/>
  <c r="AV46" i="54"/>
  <c r="AA96" i="48"/>
  <c r="AA15" i="48"/>
  <c r="BJ215" i="48" s="1"/>
  <c r="AA39" i="48"/>
  <c r="AM289" i="48" s="1"/>
  <c r="AA79" i="48"/>
  <c r="BJ279" i="48" s="1"/>
  <c r="AS67" i="54"/>
  <c r="AK281" i="48"/>
  <c r="AM35" i="47"/>
  <c r="AA82" i="48"/>
  <c r="AU33" i="54"/>
  <c r="AU92" i="54"/>
  <c r="AA91" i="48"/>
  <c r="AA56" i="48"/>
  <c r="BJ256" i="48" s="1"/>
  <c r="AS47" i="54"/>
  <c r="AT79" i="54"/>
  <c r="AS49" i="54"/>
  <c r="AM74" i="47"/>
  <c r="AV18" i="54"/>
  <c r="AX33" i="54"/>
  <c r="AA68" i="48"/>
  <c r="BJ268" i="48" s="1"/>
  <c r="BH230" i="48"/>
  <c r="AT49" i="54"/>
  <c r="AA57" i="48"/>
  <c r="BJ257" i="48" s="1"/>
  <c r="BF211" i="48"/>
  <c r="AM48" i="47"/>
  <c r="AT57" i="54"/>
  <c r="AW18" i="54"/>
  <c r="AU98" i="54"/>
  <c r="AV27" i="54"/>
  <c r="AW57" i="54"/>
  <c r="AX62" i="54"/>
  <c r="AA95" i="48"/>
  <c r="AM32" i="47"/>
  <c r="AA23" i="48"/>
  <c r="AM273" i="48" s="1"/>
  <c r="AX98" i="54"/>
  <c r="AX49" i="54"/>
  <c r="AA29" i="48"/>
  <c r="AM279" i="48" s="1"/>
  <c r="AA81" i="48"/>
  <c r="BJ281" i="48" s="1"/>
  <c r="BH239" i="48"/>
  <c r="AA41" i="48"/>
  <c r="BJ241" i="48" s="1"/>
  <c r="AA55" i="48"/>
  <c r="BJ255" i="48" s="1"/>
  <c r="AK268" i="48"/>
  <c r="AM31" i="47"/>
  <c r="AU67" i="54"/>
  <c r="AW98" i="54"/>
  <c r="AU49" i="54"/>
  <c r="AV57" i="54"/>
  <c r="AW62" i="54"/>
  <c r="AA58" i="48"/>
  <c r="BJ258" i="48" s="1"/>
  <c r="AA6" i="48"/>
  <c r="AM256" i="48" s="1"/>
  <c r="AA71" i="48"/>
  <c r="BJ271" i="48" s="1"/>
  <c r="AA99" i="48"/>
  <c r="AA9" i="48"/>
  <c r="AM259" i="48" s="1"/>
  <c r="AA51" i="48"/>
  <c r="AM301" i="48" s="1"/>
  <c r="AS45" i="54"/>
  <c r="AS57" i="54"/>
  <c r="AX67" i="54"/>
  <c r="BF251" i="48"/>
  <c r="AM68" i="47"/>
  <c r="BF235" i="48"/>
  <c r="AV49" i="54"/>
  <c r="AA45" i="48"/>
  <c r="AM295" i="48" s="1"/>
  <c r="AA18" i="48"/>
  <c r="BJ218" i="48" s="1"/>
  <c r="AA66" i="48"/>
  <c r="BJ266" i="48" s="1"/>
  <c r="AI280" i="48"/>
  <c r="AM34" i="47"/>
  <c r="AW29" i="54"/>
  <c r="AA88" i="48"/>
  <c r="AA53" i="48"/>
  <c r="BJ253" i="48" s="1"/>
  <c r="AW97" i="54"/>
  <c r="AA35" i="48"/>
  <c r="BJ235" i="48" s="1"/>
  <c r="AA80" i="48"/>
  <c r="BJ280" i="48" s="1"/>
  <c r="AS81" i="54"/>
  <c r="AA36" i="48"/>
  <c r="AM286" i="48" s="1"/>
  <c r="AL277" i="48"/>
  <c r="AI278" i="48"/>
  <c r="AS98" i="54"/>
  <c r="AM56" i="47"/>
  <c r="AA100" i="48"/>
  <c r="AU95" i="54"/>
  <c r="BF223" i="48"/>
  <c r="AA7" i="48"/>
  <c r="AM257" i="48" s="1"/>
  <c r="BI254" i="48"/>
  <c r="AT98" i="54"/>
  <c r="AA78" i="48"/>
  <c r="BJ278" i="48" s="1"/>
  <c r="AT72" i="54"/>
  <c r="AX3" i="54"/>
  <c r="AX20" i="54"/>
  <c r="AA25" i="48"/>
  <c r="AM275" i="48" s="1"/>
  <c r="BI221" i="48"/>
  <c r="AA59" i="48"/>
  <c r="BJ259" i="48" s="1"/>
  <c r="AA13" i="48"/>
  <c r="BJ213" i="48" s="1"/>
  <c r="AA8" i="48"/>
  <c r="BJ208" i="48" s="1"/>
  <c r="AS92" i="54"/>
  <c r="BI225" i="48"/>
  <c r="AA21" i="48"/>
  <c r="AM271" i="48" s="1"/>
  <c r="AT68" i="54"/>
  <c r="AL263" i="48"/>
  <c r="BI208" i="48"/>
  <c r="AL253" i="48"/>
  <c r="AT62" i="54"/>
  <c r="AM101" i="47"/>
  <c r="AT4" i="54"/>
  <c r="AT46" i="54"/>
  <c r="AS91" i="54"/>
  <c r="AX66" i="54"/>
  <c r="AX28" i="54"/>
  <c r="AU19" i="54"/>
  <c r="AV87" i="54"/>
  <c r="AM54" i="47"/>
  <c r="AV66" i="54"/>
  <c r="AL272" i="48"/>
  <c r="AM20" i="47"/>
  <c r="AM102" i="47"/>
  <c r="BI237" i="48"/>
  <c r="AU18" i="54"/>
  <c r="AU8" i="54"/>
  <c r="AU93" i="54"/>
  <c r="AW69" i="54"/>
  <c r="AX13" i="54"/>
  <c r="AW93" i="54"/>
  <c r="AU69" i="54"/>
  <c r="AA92" i="48"/>
  <c r="AM41" i="47"/>
  <c r="AM85" i="47"/>
  <c r="AW13" i="54"/>
  <c r="AS64" i="54"/>
  <c r="AT53" i="54"/>
  <c r="AU13" i="54"/>
  <c r="AT64" i="54"/>
  <c r="AS53" i="54"/>
  <c r="AV13" i="54"/>
  <c r="BH251" i="48"/>
  <c r="AM84" i="47"/>
  <c r="AM59" i="47"/>
  <c r="AS73" i="54"/>
  <c r="AT12" i="54"/>
  <c r="AW45" i="54"/>
  <c r="AU94" i="54"/>
  <c r="AV31" i="54"/>
  <c r="AU90" i="54"/>
  <c r="AX59" i="54"/>
  <c r="AU77" i="54"/>
  <c r="AU84" i="54"/>
  <c r="BI209" i="48"/>
  <c r="AM65" i="47"/>
  <c r="AM11" i="47"/>
  <c r="BI234" i="48"/>
  <c r="AT47" i="54"/>
  <c r="AU45" i="54"/>
  <c r="AV64" i="54"/>
  <c r="AV59" i="54"/>
  <c r="AV84" i="54"/>
  <c r="AX12" i="54"/>
  <c r="AA75" i="48"/>
  <c r="BJ275" i="48" s="1"/>
  <c r="AA33" i="48"/>
  <c r="BJ233" i="48" s="1"/>
  <c r="AV9" i="54"/>
  <c r="AV12" i="54"/>
  <c r="AM26" i="47"/>
  <c r="BI231" i="48"/>
  <c r="AM55" i="47"/>
  <c r="AM46" i="47"/>
  <c r="AW86" i="54"/>
  <c r="AW9" i="54"/>
  <c r="AX9" i="54"/>
  <c r="AA61" i="48"/>
  <c r="BJ261" i="48" s="1"/>
  <c r="AA44" i="48"/>
  <c r="AM294" i="48" s="1"/>
  <c r="AA83" i="48"/>
  <c r="AS86" i="54"/>
  <c r="AM6" i="47"/>
  <c r="AM3" i="47"/>
  <c r="AU86" i="54"/>
  <c r="BF212" i="48"/>
  <c r="AM78" i="47"/>
  <c r="AS18" i="54"/>
  <c r="AX86" i="54"/>
  <c r="AA19" i="48"/>
  <c r="AM269" i="48" s="1"/>
  <c r="AA69" i="48"/>
  <c r="BJ269" i="48" s="1"/>
  <c r="AM14" i="47"/>
  <c r="AT18" i="54"/>
  <c r="BH224" i="48"/>
  <c r="AM83" i="47"/>
  <c r="AT92" i="54"/>
  <c r="AU54" i="54"/>
  <c r="AW92" i="54"/>
  <c r="AV20" i="54"/>
  <c r="AA76" i="48"/>
  <c r="BJ276" i="48" s="1"/>
  <c r="AA89" i="48"/>
  <c r="AT13" i="54"/>
  <c r="AI270" i="48"/>
  <c r="AK277" i="48"/>
  <c r="AV67" i="54"/>
  <c r="AX55" i="54"/>
  <c r="AU20" i="54"/>
  <c r="AA42" i="48"/>
  <c r="BJ242" i="48" s="1"/>
  <c r="AM75" i="47"/>
  <c r="AA86" i="48"/>
  <c r="AT19" i="54"/>
  <c r="AT42" i="54"/>
  <c r="AM27" i="47"/>
  <c r="AM38" i="47"/>
  <c r="AM77" i="47"/>
  <c r="AS72" i="54"/>
  <c r="AW28" i="54"/>
  <c r="AU87" i="54"/>
  <c r="AW43" i="54"/>
  <c r="AW20" i="54"/>
  <c r="AM47" i="47"/>
  <c r="AU27" i="54"/>
  <c r="AX87" i="54"/>
  <c r="AU43" i="54"/>
  <c r="AA52" i="48"/>
  <c r="BJ252" i="48" s="1"/>
  <c r="AM69" i="47"/>
  <c r="AA34" i="48"/>
  <c r="AM284" i="48" s="1"/>
  <c r="AX16" i="54"/>
  <c r="AU97" i="54"/>
  <c r="AT2" i="54"/>
  <c r="AM22" i="47"/>
  <c r="AM100" i="47"/>
  <c r="AM19" i="47"/>
  <c r="BF209" i="48"/>
  <c r="AX17" i="54"/>
  <c r="AU16" i="54"/>
  <c r="AU52" i="54"/>
  <c r="AV97" i="54"/>
  <c r="AV16" i="54"/>
  <c r="AV52" i="54"/>
  <c r="AX30" i="54"/>
  <c r="AX97" i="54"/>
  <c r="AS8" i="54"/>
  <c r="AT56" i="54"/>
  <c r="AM63" i="47"/>
  <c r="AT35" i="54"/>
  <c r="AS59" i="54"/>
  <c r="AX52" i="54"/>
  <c r="AV42" i="54"/>
  <c r="AX84" i="54"/>
  <c r="AU88" i="54"/>
  <c r="BH220" i="48"/>
  <c r="AS90" i="54"/>
  <c r="BH242" i="48"/>
  <c r="AA10" i="48"/>
  <c r="AM260" i="48" s="1"/>
  <c r="AM61" i="47"/>
  <c r="AM81" i="47"/>
  <c r="AT73" i="54"/>
  <c r="AL268" i="48"/>
  <c r="AT91" i="54"/>
  <c r="AV94" i="54"/>
  <c r="AX99" i="54"/>
  <c r="AV55" i="54"/>
  <c r="AV29" i="54"/>
  <c r="AV80" i="54"/>
  <c r="AU29" i="54"/>
  <c r="AW80" i="54"/>
  <c r="BI210" i="48"/>
  <c r="AA47" i="48"/>
  <c r="BJ247" i="48" s="1"/>
  <c r="AM7" i="47"/>
  <c r="AM18" i="47"/>
  <c r="AI258" i="48"/>
  <c r="AA67" i="48"/>
  <c r="BJ267" i="48" s="1"/>
  <c r="AW99" i="54"/>
  <c r="AU80" i="54"/>
  <c r="AX83" i="54"/>
  <c r="AU83" i="54"/>
  <c r="AW83" i="54"/>
  <c r="BI247" i="48"/>
  <c r="AM62" i="47"/>
  <c r="AM57" i="47"/>
  <c r="AV63" i="54"/>
  <c r="AL293" i="48"/>
  <c r="AM28" i="47"/>
  <c r="AM44" i="47"/>
  <c r="AS83" i="54"/>
  <c r="AA24" i="48"/>
  <c r="BJ224" i="48" s="1"/>
  <c r="AX63" i="54"/>
  <c r="AL298" i="48"/>
  <c r="AI265" i="48"/>
  <c r="AM52" i="47"/>
  <c r="AM9" i="47"/>
  <c r="AT83" i="54"/>
  <c r="BI224" i="48"/>
  <c r="AX73" i="54"/>
  <c r="AU63" i="54"/>
  <c r="AA60" i="48"/>
  <c r="BJ260" i="48" s="1"/>
  <c r="AA48" i="48"/>
  <c r="AM298" i="48" s="1"/>
  <c r="AM76" i="47"/>
  <c r="AM53" i="47"/>
  <c r="AM58" i="47"/>
  <c r="AV73" i="54"/>
  <c r="BI245" i="48"/>
  <c r="AM64" i="47"/>
  <c r="AM67" i="47"/>
  <c r="AM25" i="47"/>
  <c r="BH203" i="48"/>
  <c r="AA37" i="48"/>
  <c r="BJ237" i="48" s="1"/>
  <c r="AW11" i="54"/>
  <c r="AW73" i="54"/>
  <c r="AV82" i="54"/>
  <c r="AX72" i="54"/>
  <c r="AW8" i="54"/>
  <c r="AV25" i="54"/>
  <c r="AL295" i="48"/>
  <c r="AS82" i="54"/>
  <c r="BI244" i="48"/>
  <c r="AA22" i="48"/>
  <c r="AM272" i="48" s="1"/>
  <c r="AM45" i="47"/>
  <c r="AM70" i="47"/>
  <c r="AM13" i="47"/>
  <c r="AS79" i="54"/>
  <c r="AA46" i="48"/>
  <c r="AM296" i="48" s="1"/>
  <c r="AX11" i="54"/>
  <c r="AU72" i="54"/>
  <c r="AV8" i="54"/>
  <c r="AV92" i="54"/>
  <c r="AU25" i="54"/>
  <c r="AV96" i="54"/>
  <c r="AT23" i="54"/>
  <c r="AT25" i="54"/>
  <c r="AM5" i="47"/>
  <c r="AW53" i="54"/>
  <c r="AM73" i="47"/>
  <c r="BI229" i="48"/>
  <c r="AM23" i="47"/>
  <c r="AM30" i="47"/>
  <c r="AM39" i="47"/>
  <c r="AT80" i="54"/>
  <c r="AW94" i="54"/>
  <c r="AV33" i="54"/>
  <c r="AX23" i="54"/>
  <c r="AX91" i="54"/>
  <c r="AT30" i="54"/>
  <c r="AM36" i="47"/>
  <c r="AM8" i="47"/>
  <c r="AM43" i="47"/>
  <c r="AW33" i="54"/>
  <c r="AV23" i="54"/>
  <c r="AU91" i="54"/>
  <c r="AM94" i="47"/>
  <c r="AM42" i="47"/>
  <c r="AM37" i="47"/>
  <c r="AT33" i="54"/>
  <c r="AW95" i="54"/>
  <c r="AU64" i="54"/>
  <c r="AL270" i="48"/>
  <c r="AI252" i="48"/>
  <c r="AM50" i="47"/>
  <c r="AM24" i="47"/>
  <c r="AX95" i="54"/>
  <c r="AX64" i="54"/>
  <c r="AW44" i="54"/>
  <c r="AV30" i="54"/>
  <c r="AU101" i="54"/>
  <c r="AT43" i="54"/>
  <c r="AK291" i="48"/>
  <c r="AA20" i="48"/>
  <c r="AS7" i="54"/>
  <c r="AS66" i="54"/>
  <c r="AA43" i="48"/>
  <c r="AM293" i="48" s="1"/>
  <c r="AM49" i="47"/>
  <c r="AM15" i="47"/>
  <c r="AM40" i="47"/>
  <c r="BH243" i="48"/>
  <c r="AS14" i="54"/>
  <c r="AM66" i="47"/>
  <c r="AM12" i="47"/>
  <c r="AM86" i="47"/>
  <c r="BI218" i="48"/>
  <c r="BH246" i="48"/>
  <c r="AV75" i="54"/>
  <c r="AU53" i="54"/>
  <c r="AV44" i="54"/>
  <c r="AU30" i="54"/>
  <c r="AX101" i="54"/>
  <c r="AT14" i="54"/>
  <c r="AM51" i="47"/>
  <c r="AM33" i="47"/>
  <c r="AW7" i="54"/>
  <c r="AV56" i="54"/>
  <c r="AW14" i="54"/>
  <c r="AV7" i="54"/>
  <c r="AW56" i="54"/>
  <c r="AX14" i="54"/>
  <c r="AU7" i="54"/>
  <c r="AU56" i="54"/>
  <c r="AU14" i="54"/>
  <c r="AW68" i="54"/>
  <c r="AU23" i="54"/>
  <c r="AV91" i="54"/>
  <c r="AU96" i="54"/>
  <c r="AV51" i="54"/>
  <c r="AW51" i="54"/>
  <c r="AM16" i="47"/>
  <c r="AL292" i="48"/>
  <c r="AA17" i="48"/>
  <c r="AM267" i="48" s="1"/>
  <c r="BH210" i="48"/>
  <c r="BF222" i="48"/>
  <c r="AS51" i="54"/>
  <c r="AU2" i="54"/>
  <c r="AL267" i="48"/>
  <c r="AT51" i="54"/>
  <c r="AV2" i="54"/>
  <c r="AX2" i="54"/>
  <c r="BI242" i="48"/>
  <c r="AU51" i="54"/>
  <c r="AM82" i="47"/>
  <c r="AM87" i="47"/>
  <c r="AX79" i="54"/>
  <c r="AM88" i="47"/>
  <c r="AM95" i="47"/>
  <c r="AM97" i="47"/>
  <c r="AM79" i="47"/>
  <c r="AI268" i="48"/>
  <c r="AM92" i="47"/>
  <c r="AM93" i="47"/>
  <c r="AM99" i="47"/>
  <c r="AV79" i="54"/>
  <c r="AM98" i="47"/>
  <c r="AM71" i="47"/>
  <c r="AM96" i="47"/>
  <c r="AW79" i="54"/>
  <c r="AM90" i="47"/>
  <c r="AM10" i="47"/>
  <c r="AM91" i="47"/>
  <c r="AM60" i="47"/>
  <c r="J32" i="47"/>
  <c r="M32" i="47"/>
  <c r="L32" i="47"/>
  <c r="A14" i="35"/>
  <c r="Q12" i="47" s="1"/>
  <c r="A49" i="36"/>
  <c r="BJ202" i="48" l="1"/>
  <c r="BM5" i="48"/>
  <c r="BJ250" i="48"/>
  <c r="BJ203" i="48"/>
  <c r="BJ205" i="48"/>
  <c r="BJ211" i="48"/>
  <c r="BJ228" i="48"/>
  <c r="AM299" i="48"/>
  <c r="BJ226" i="48"/>
  <c r="AM254" i="48"/>
  <c r="AM263" i="48"/>
  <c r="AM291" i="48"/>
  <c r="BJ251" i="48"/>
  <c r="AM265" i="48"/>
  <c r="BJ229" i="48"/>
  <c r="BJ239" i="48"/>
  <c r="BJ238" i="48"/>
  <c r="BJ209" i="48"/>
  <c r="AM282" i="48"/>
  <c r="AM262" i="48"/>
  <c r="AM252" i="48"/>
  <c r="BJ210" i="48"/>
  <c r="AM285" i="48"/>
  <c r="BJ236" i="48"/>
  <c r="BJ206" i="48"/>
  <c r="BJ246" i="48"/>
  <c r="AM280" i="48"/>
  <c r="BJ245" i="48"/>
  <c r="BJ234" i="48"/>
  <c r="AM277" i="48"/>
  <c r="AM258" i="48"/>
  <c r="BJ207" i="48"/>
  <c r="BJ240" i="48"/>
  <c r="BJ223" i="48"/>
  <c r="BJ214" i="48"/>
  <c r="BJ231" i="48"/>
  <c r="AM292" i="48"/>
  <c r="BJ221" i="48"/>
  <c r="BJ216" i="48"/>
  <c r="BJ225" i="48"/>
  <c r="BJ217" i="48"/>
  <c r="BJ219" i="48"/>
  <c r="AM274" i="48"/>
  <c r="AM287" i="48"/>
  <c r="BJ248" i="48"/>
  <c r="AM268" i="48"/>
  <c r="AM283" i="48"/>
  <c r="BJ244" i="48"/>
  <c r="AM270" i="48"/>
  <c r="BJ220" i="48"/>
  <c r="AM297" i="48"/>
  <c r="BJ222" i="48"/>
  <c r="BJ243" i="48"/>
  <c r="M33" i="47"/>
  <c r="J33" i="47"/>
  <c r="L33" i="47"/>
  <c r="K33" i="47"/>
  <c r="R12" i="47"/>
  <c r="AP112" i="47"/>
  <c r="T12" i="47"/>
  <c r="AO112" i="47"/>
  <c r="S12" i="47"/>
  <c r="A15" i="35"/>
  <c r="T13" i="47" s="1"/>
  <c r="A50" i="36"/>
  <c r="AP113" i="47" l="1"/>
  <c r="A16" i="35"/>
  <c r="AL114" i="47" s="1"/>
  <c r="A51" i="36"/>
  <c r="AP114" i="47" l="1"/>
  <c r="T14" i="47"/>
  <c r="A17" i="35"/>
  <c r="A52" i="36"/>
  <c r="J34" i="47" s="1"/>
  <c r="M34" i="47" l="1"/>
  <c r="L34" i="47"/>
  <c r="A18" i="35"/>
  <c r="A53" i="36"/>
  <c r="J35" i="47" s="1"/>
  <c r="M35" i="47" l="1"/>
  <c r="K35" i="47"/>
  <c r="L35" i="47"/>
  <c r="A19" i="35"/>
  <c r="A54" i="36"/>
  <c r="L36" i="47" s="1"/>
  <c r="AJ94" i="47"/>
  <c r="J36" i="47" l="1"/>
  <c r="K36" i="47"/>
  <c r="M36" i="47"/>
  <c r="A20" i="35"/>
  <c r="T15" i="47" s="1"/>
  <c r="A55" i="36"/>
  <c r="AP115" i="47" l="1"/>
  <c r="A21" i="35"/>
  <c r="A56" i="36"/>
  <c r="A22" i="35" l="1"/>
  <c r="A57" i="36"/>
  <c r="M37" i="47" s="1"/>
  <c r="K37" i="47" l="1"/>
  <c r="L37" i="47"/>
  <c r="J37" i="47"/>
  <c r="A23" i="35"/>
  <c r="A58" i="36"/>
  <c r="L38" i="47" s="1"/>
  <c r="K38" i="47" l="1"/>
  <c r="J38" i="47"/>
  <c r="M38" i="47"/>
  <c r="A24" i="35"/>
  <c r="A59" i="36"/>
  <c r="L39" i="47" s="1"/>
  <c r="J39" i="47" l="1"/>
  <c r="K39" i="47"/>
  <c r="M39" i="47"/>
  <c r="A25" i="35"/>
  <c r="A60" i="36"/>
  <c r="A61" i="36" s="1"/>
  <c r="A62" i="36" s="1"/>
  <c r="A63" i="36" s="1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74" i="36" s="1"/>
  <c r="A75" i="36" s="1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86" i="36" s="1"/>
  <c r="A87" i="36" s="1"/>
  <c r="A88" i="36" s="1"/>
  <c r="A89" i="36" s="1"/>
  <c r="A90" i="36" s="1"/>
  <c r="A91" i="36" s="1"/>
  <c r="A92" i="36" s="1"/>
  <c r="A93" i="36" s="1"/>
  <c r="A94" i="36" s="1"/>
  <c r="A95" i="36" s="1"/>
  <c r="A96" i="36" s="1"/>
  <c r="A97" i="36" s="1"/>
  <c r="A98" i="36" s="1"/>
  <c r="A99" i="36" s="1"/>
  <c r="A100" i="36" s="1"/>
  <c r="A101" i="36" s="1"/>
  <c r="A102" i="36" s="1"/>
  <c r="A103" i="36" s="1"/>
  <c r="A104" i="36" s="1"/>
  <c r="A105" i="36" s="1"/>
  <c r="A106" i="36" s="1"/>
  <c r="A107" i="36" s="1"/>
  <c r="A108" i="36" s="1"/>
  <c r="A109" i="36" s="1"/>
  <c r="A110" i="36" s="1"/>
  <c r="A111" i="36" s="1"/>
  <c r="A112" i="36" s="1"/>
  <c r="A113" i="36" s="1"/>
  <c r="A114" i="36" s="1"/>
  <c r="A115" i="36" s="1"/>
  <c r="A116" i="36" s="1"/>
  <c r="A117" i="36" s="1"/>
  <c r="A118" i="36" s="1"/>
  <c r="A119" i="36" s="1"/>
  <c r="A120" i="36" s="1"/>
  <c r="A121" i="36" s="1"/>
  <c r="A122" i="36" s="1"/>
  <c r="A123" i="36" s="1"/>
  <c r="A124" i="36" s="1"/>
  <c r="A125" i="36" s="1"/>
  <c r="A126" i="36" s="1"/>
  <c r="A127" i="36" s="1"/>
  <c r="A128" i="36" s="1"/>
  <c r="A129" i="36" s="1"/>
  <c r="A130" i="36" s="1"/>
  <c r="A131" i="36" s="1"/>
  <c r="A132" i="36" s="1"/>
  <c r="A133" i="36" s="1"/>
  <c r="A134" i="36" s="1"/>
  <c r="A135" i="36" s="1"/>
  <c r="A136" i="36" s="1"/>
  <c r="A137" i="36" s="1"/>
  <c r="A138" i="36" s="1"/>
  <c r="A139" i="36" s="1"/>
  <c r="A140" i="36" s="1"/>
  <c r="A141" i="36" s="1"/>
  <c r="A142" i="36" s="1"/>
  <c r="A143" i="36" s="1"/>
  <c r="A144" i="36" s="1"/>
  <c r="A145" i="36" s="1"/>
  <c r="A146" i="36" s="1"/>
  <c r="A147" i="36" s="1"/>
  <c r="A148" i="36" s="1"/>
  <c r="A149" i="36" s="1"/>
  <c r="A150" i="36" s="1"/>
  <c r="A151" i="36" s="1"/>
  <c r="A152" i="36" s="1"/>
  <c r="A153" i="36" s="1"/>
  <c r="A154" i="36" s="1"/>
  <c r="A155" i="36" s="1"/>
  <c r="A156" i="36" s="1"/>
  <c r="A157" i="36" s="1"/>
  <c r="A158" i="36" s="1"/>
  <c r="A159" i="36" s="1"/>
  <c r="A160" i="36" s="1"/>
  <c r="A161" i="36" s="1"/>
  <c r="K40" i="47" l="1"/>
  <c r="M162" i="47"/>
  <c r="M31" i="47"/>
  <c r="K34" i="47"/>
  <c r="M40" i="47"/>
  <c r="L40" i="47"/>
  <c r="J40" i="47"/>
  <c r="A26" i="35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L41" i="47"/>
  <c r="M41" i="47"/>
  <c r="K41" i="47"/>
  <c r="J41" i="47"/>
  <c r="L47" i="47"/>
  <c r="M53" i="47"/>
  <c r="K52" i="47"/>
  <c r="J44" i="47"/>
  <c r="K58" i="47"/>
  <c r="K53" i="47"/>
  <c r="M46" i="47"/>
  <c r="L65" i="47"/>
  <c r="L48" i="47"/>
  <c r="M79" i="47"/>
  <c r="K67" i="47"/>
  <c r="J81" i="47"/>
  <c r="K73" i="47"/>
  <c r="J66" i="47"/>
  <c r="M78" i="47"/>
  <c r="M64" i="47"/>
  <c r="L145" i="47"/>
  <c r="L108" i="47"/>
  <c r="L149" i="47"/>
  <c r="J160" i="47"/>
  <c r="L78" i="47"/>
  <c r="J100" i="47"/>
  <c r="K141" i="47"/>
  <c r="M167" i="47"/>
  <c r="M152" i="47"/>
  <c r="L106" i="47"/>
  <c r="K160" i="47"/>
  <c r="J134" i="47"/>
  <c r="J143" i="47"/>
  <c r="L57" i="47"/>
  <c r="K177" i="47"/>
  <c r="K175" i="47"/>
  <c r="J104" i="47"/>
  <c r="M75" i="47"/>
  <c r="K109" i="47"/>
  <c r="L94" i="47"/>
  <c r="J148" i="47"/>
  <c r="L135" i="47"/>
  <c r="K114" i="47"/>
  <c r="L81" i="47"/>
  <c r="K162" i="47"/>
  <c r="L139" i="47"/>
  <c r="L140" i="47"/>
  <c r="L74" i="47"/>
  <c r="L169" i="47"/>
  <c r="M123" i="47"/>
  <c r="J93" i="47"/>
  <c r="L161" i="47"/>
  <c r="L59" i="47"/>
  <c r="M161" i="47"/>
  <c r="M174" i="47"/>
  <c r="K148" i="47"/>
  <c r="L98" i="47"/>
  <c r="J97" i="47"/>
  <c r="M157" i="47"/>
  <c r="L84" i="47"/>
  <c r="K116" i="47"/>
  <c r="L171" i="47"/>
  <c r="M133" i="47"/>
  <c r="J122" i="47"/>
  <c r="J119" i="47"/>
  <c r="L137" i="47"/>
  <c r="J129" i="47"/>
  <c r="M66" i="47"/>
  <c r="K102" i="47"/>
  <c r="K153" i="47"/>
  <c r="L146" i="47"/>
  <c r="L156" i="47"/>
  <c r="M143" i="47"/>
  <c r="L90" i="47"/>
  <c r="L121" i="47"/>
  <c r="K44" i="47"/>
  <c r="K84" i="47"/>
  <c r="L105" i="47"/>
  <c r="M84" i="47"/>
  <c r="M163" i="47"/>
  <c r="K123" i="47"/>
  <c r="K59" i="47"/>
  <c r="K50" i="47"/>
  <c r="J135" i="47"/>
  <c r="M147" i="47"/>
  <c r="J154" i="47"/>
  <c r="L111" i="47"/>
  <c r="L109" i="47"/>
  <c r="L119" i="47"/>
  <c r="M159" i="47"/>
  <c r="K135" i="47"/>
  <c r="M73" i="47"/>
  <c r="K168" i="47"/>
  <c r="M168" i="47"/>
  <c r="L83" i="47"/>
  <c r="J63" i="47"/>
  <c r="M57" i="47"/>
  <c r="K105" i="47"/>
  <c r="K163" i="47"/>
  <c r="K142" i="47"/>
  <c r="L102" i="47"/>
  <c r="J140" i="47"/>
  <c r="L101" i="47"/>
  <c r="K152" i="47"/>
  <c r="K136" i="47"/>
  <c r="K88" i="47"/>
  <c r="M105" i="47"/>
  <c r="K69" i="47"/>
  <c r="M175" i="47"/>
  <c r="M116" i="47"/>
  <c r="K149" i="47"/>
  <c r="J52" i="47"/>
  <c r="J172" i="47"/>
  <c r="K99" i="47"/>
  <c r="M169" i="47"/>
  <c r="K111" i="47"/>
  <c r="M86" i="47"/>
  <c r="M115" i="47"/>
  <c r="J64" i="47"/>
  <c r="L144" i="47"/>
  <c r="K122" i="47"/>
  <c r="K89" i="47"/>
  <c r="K70" i="47"/>
  <c r="J123" i="47"/>
  <c r="K158" i="47"/>
  <c r="J94" i="47"/>
  <c r="J69" i="47"/>
  <c r="K113" i="47"/>
  <c r="L107" i="47"/>
  <c r="M100" i="47"/>
  <c r="L70" i="47"/>
  <c r="K140" i="47"/>
  <c r="L99" i="47"/>
  <c r="L89" i="47"/>
  <c r="L126" i="47"/>
  <c r="J103" i="47"/>
  <c r="M98" i="47"/>
  <c r="J85" i="47"/>
  <c r="J125" i="47"/>
  <c r="M82" i="47"/>
  <c r="L69" i="47"/>
  <c r="K174" i="47"/>
  <c r="J138" i="47"/>
  <c r="J171" i="47"/>
  <c r="K80" i="47"/>
  <c r="K134" i="47"/>
  <c r="L54" i="47"/>
  <c r="J82" i="47"/>
  <c r="M172" i="47"/>
  <c r="M68" i="47"/>
  <c r="K56" i="47"/>
  <c r="J170" i="47"/>
  <c r="K143" i="47"/>
  <c r="M139" i="47"/>
  <c r="M149" i="47"/>
  <c r="M99" i="47"/>
  <c r="J128" i="47"/>
  <c r="M77" i="47"/>
  <c r="K86" i="47"/>
  <c r="K82" i="47"/>
  <c r="K72" i="47"/>
  <c r="J67" i="47"/>
  <c r="L79" i="47"/>
  <c r="M103" i="47"/>
  <c r="J177" i="47"/>
  <c r="M171" i="47"/>
  <c r="J163" i="47"/>
  <c r="K97" i="47"/>
  <c r="L103" i="47"/>
  <c r="M63" i="47"/>
  <c r="M117" i="47"/>
  <c r="L147" i="47"/>
  <c r="L153" i="47"/>
  <c r="L96" i="47"/>
  <c r="J141" i="47"/>
  <c r="J84" i="47"/>
  <c r="M150" i="47"/>
  <c r="L151" i="47"/>
  <c r="K101" i="47"/>
  <c r="M112" i="47"/>
  <c r="L136" i="47"/>
  <c r="M101" i="47"/>
  <c r="L122" i="47"/>
  <c r="J126" i="47"/>
  <c r="L152" i="47"/>
  <c r="K98" i="47"/>
  <c r="J62" i="47"/>
  <c r="M47" i="47"/>
  <c r="K79" i="47"/>
  <c r="K57" i="47"/>
  <c r="J174" i="47"/>
  <c r="J149" i="47"/>
  <c r="K92" i="47"/>
  <c r="M166" i="47"/>
  <c r="J112" i="47"/>
  <c r="K125" i="47"/>
  <c r="K77" i="47"/>
  <c r="M107" i="47"/>
  <c r="J151" i="47"/>
  <c r="L157" i="47"/>
  <c r="L97" i="47"/>
  <c r="K171" i="47"/>
  <c r="K137" i="47"/>
  <c r="K115" i="47"/>
  <c r="L133" i="47"/>
  <c r="L177" i="47"/>
  <c r="L174" i="47"/>
  <c r="J91" i="47"/>
  <c r="L167" i="47"/>
  <c r="M89" i="47"/>
  <c r="J159" i="47"/>
  <c r="J58" i="47"/>
  <c r="M49" i="47"/>
  <c r="K76" i="47"/>
  <c r="J43" i="47"/>
  <c r="L45" i="47"/>
  <c r="K120" i="47"/>
  <c r="J145" i="47"/>
  <c r="J165" i="47"/>
  <c r="K172" i="47"/>
  <c r="L120" i="47"/>
  <c r="K112" i="47"/>
  <c r="J144" i="47"/>
  <c r="J157" i="47"/>
  <c r="J113" i="47"/>
  <c r="K157" i="47"/>
  <c r="K121" i="47"/>
  <c r="M164" i="47"/>
  <c r="M94" i="47"/>
  <c r="M122" i="47"/>
  <c r="M125" i="47"/>
  <c r="M127" i="47"/>
  <c r="L110" i="47"/>
  <c r="M110" i="47"/>
  <c r="K167" i="47"/>
  <c r="L142" i="47"/>
  <c r="M144" i="47"/>
  <c r="L158" i="47"/>
  <c r="K119" i="47"/>
  <c r="K103" i="47"/>
  <c r="M87" i="47"/>
  <c r="J87" i="47"/>
  <c r="J137" i="47"/>
  <c r="J150" i="47"/>
  <c r="J90" i="47"/>
  <c r="K127" i="47"/>
  <c r="M160" i="47"/>
  <c r="J146" i="47"/>
  <c r="J166" i="47"/>
  <c r="M93" i="47"/>
  <c r="J73" i="47"/>
  <c r="J155" i="47"/>
  <c r="K151" i="47"/>
  <c r="M121" i="47"/>
  <c r="M80" i="47"/>
  <c r="L127" i="47"/>
  <c r="L125" i="47"/>
  <c r="K124" i="47"/>
  <c r="K91" i="47"/>
  <c r="J78" i="47"/>
  <c r="M92" i="47"/>
  <c r="L114" i="47"/>
  <c r="L104" i="47"/>
  <c r="M177" i="47"/>
  <c r="K128" i="47"/>
  <c r="L162" i="47"/>
  <c r="J142" i="47"/>
  <c r="K146" i="47"/>
  <c r="K161" i="47"/>
  <c r="M102" i="47"/>
  <c r="L76" i="47"/>
  <c r="L115" i="47"/>
  <c r="K81" i="47"/>
  <c r="M153" i="47"/>
  <c r="K147" i="47"/>
  <c r="J79" i="47"/>
  <c r="K107" i="47"/>
  <c r="M71" i="47"/>
  <c r="L159" i="47"/>
  <c r="K118" i="47"/>
  <c r="J164" i="47"/>
  <c r="L129" i="47"/>
  <c r="J114" i="47"/>
  <c r="K93" i="47"/>
  <c r="M165" i="47"/>
  <c r="L64" i="47"/>
  <c r="J55" i="47"/>
  <c r="L56" i="47"/>
  <c r="J61" i="47"/>
  <c r="M70" i="47"/>
  <c r="K87" i="47"/>
  <c r="M62" i="47"/>
  <c r="L55" i="47"/>
  <c r="K132" i="47"/>
  <c r="M58" i="47"/>
  <c r="M60" i="47"/>
  <c r="M91" i="47"/>
  <c r="J42" i="47"/>
  <c r="J105" i="47"/>
  <c r="K65" i="47"/>
  <c r="J110" i="47"/>
  <c r="J147" i="47"/>
  <c r="K83" i="47"/>
  <c r="M109" i="47"/>
  <c r="J60" i="47"/>
  <c r="M88" i="47"/>
  <c r="M55" i="47"/>
  <c r="K60" i="47"/>
  <c r="M176" i="47"/>
  <c r="L128" i="47"/>
  <c r="J98" i="47"/>
  <c r="L60" i="47"/>
  <c r="M141" i="47"/>
  <c r="K108" i="47"/>
  <c r="J117" i="47"/>
  <c r="J175" i="47"/>
  <c r="L175" i="47"/>
  <c r="M120" i="47"/>
  <c r="M137" i="47"/>
  <c r="K150" i="47"/>
  <c r="M65" i="47"/>
  <c r="M173" i="47"/>
  <c r="L91" i="47"/>
  <c r="K90" i="47"/>
  <c r="M108" i="47"/>
  <c r="L61" i="47"/>
  <c r="J92" i="47"/>
  <c r="L73" i="47"/>
  <c r="K54" i="47"/>
  <c r="L131" i="47"/>
  <c r="M43" i="47"/>
  <c r="J46" i="47"/>
  <c r="L86" i="47"/>
  <c r="L112" i="47"/>
  <c r="K110" i="47"/>
  <c r="L66" i="47"/>
  <c r="L42" i="47"/>
  <c r="L163" i="47"/>
  <c r="J50" i="47"/>
  <c r="L113" i="47"/>
  <c r="L176" i="47"/>
  <c r="M61" i="47"/>
  <c r="L46" i="47"/>
  <c r="J72" i="47"/>
  <c r="J152" i="47"/>
  <c r="M72" i="47"/>
  <c r="K55" i="47"/>
  <c r="L100" i="47"/>
  <c r="K176" i="47"/>
  <c r="L51" i="47"/>
  <c r="K43" i="47"/>
  <c r="J107" i="47"/>
  <c r="L58" i="47"/>
  <c r="J86" i="47"/>
  <c r="M113" i="47"/>
  <c r="J53" i="47"/>
  <c r="L172" i="47"/>
  <c r="M50" i="47"/>
  <c r="J47" i="47"/>
  <c r="K144" i="47"/>
  <c r="L118" i="47"/>
  <c r="M132" i="47"/>
  <c r="K106" i="47"/>
  <c r="M124" i="47"/>
  <c r="M51" i="47"/>
  <c r="L68" i="47"/>
  <c r="J71" i="47"/>
  <c r="M59" i="47"/>
  <c r="K45" i="47"/>
  <c r="M74" i="47"/>
  <c r="M154" i="47"/>
  <c r="L87" i="47"/>
  <c r="J57" i="47"/>
  <c r="M45" i="47"/>
  <c r="J124" i="47"/>
  <c r="M138" i="47"/>
  <c r="L92" i="47"/>
  <c r="J131" i="47"/>
  <c r="J54" i="47"/>
  <c r="M95" i="47"/>
  <c r="L77" i="47"/>
  <c r="K133" i="47"/>
  <c r="L154" i="47"/>
  <c r="M134" i="47"/>
  <c r="J96" i="47"/>
  <c r="L44" i="47"/>
  <c r="K42" i="47"/>
  <c r="J132" i="47"/>
  <c r="M131" i="47"/>
  <c r="K46" i="47"/>
  <c r="M85" i="47"/>
  <c r="J70" i="47"/>
  <c r="J88" i="47"/>
  <c r="M54" i="47"/>
  <c r="M76" i="47"/>
  <c r="M96" i="47"/>
  <c r="J106" i="47"/>
  <c r="M42" i="47"/>
  <c r="K130" i="47"/>
  <c r="J115" i="47"/>
  <c r="K173" i="47"/>
  <c r="L117" i="47"/>
  <c r="J158" i="47"/>
  <c r="M44" i="47"/>
  <c r="K48" i="47"/>
  <c r="J77" i="47"/>
  <c r="L88" i="47"/>
  <c r="K49" i="47"/>
  <c r="L160" i="47"/>
  <c r="L49" i="47"/>
  <c r="J51" i="47"/>
  <c r="J109" i="47"/>
  <c r="L72" i="47"/>
  <c r="J49" i="47"/>
  <c r="K63" i="47"/>
  <c r="L52" i="47"/>
  <c r="J65" i="47"/>
  <c r="K166" i="47"/>
  <c r="K100" i="47"/>
  <c r="L124" i="47"/>
  <c r="J56" i="47"/>
  <c r="J76" i="47"/>
  <c r="J101" i="47"/>
  <c r="J68" i="47"/>
  <c r="J59" i="47"/>
  <c r="J99" i="47"/>
  <c r="M81" i="47"/>
  <c r="J156" i="47"/>
  <c r="K66" i="47"/>
  <c r="J136" i="47"/>
  <c r="K75" i="47"/>
  <c r="J75" i="47"/>
  <c r="M130" i="47"/>
  <c r="L50" i="47"/>
  <c r="K51" i="47"/>
  <c r="K138" i="47"/>
  <c r="L62" i="47"/>
  <c r="M69" i="47"/>
  <c r="J48" i="47"/>
  <c r="L63" i="47"/>
  <c r="J120" i="47"/>
  <c r="M146" i="47"/>
  <c r="K139" i="47"/>
  <c r="M97" i="47"/>
  <c r="K61" i="47"/>
  <c r="J45" i="47"/>
  <c r="J74" i="47"/>
  <c r="L43" i="47"/>
  <c r="L53" i="47"/>
  <c r="J95" i="47"/>
  <c r="M67" i="47"/>
  <c r="M118" i="47"/>
  <c r="K165" i="47"/>
  <c r="M56" i="47"/>
  <c r="L82" i="47"/>
  <c r="M128" i="47"/>
  <c r="L164" i="47"/>
  <c r="L75" i="47"/>
  <c r="J127" i="47"/>
  <c r="M148" i="47"/>
  <c r="K68" i="47"/>
  <c r="K96" i="47"/>
  <c r="M90" i="47"/>
  <c r="K47" i="47"/>
  <c r="M170" i="47"/>
  <c r="K131" i="47"/>
  <c r="J108" i="47"/>
  <c r="J130" i="47"/>
  <c r="J176" i="47"/>
  <c r="K155" i="47"/>
  <c r="M119" i="47"/>
  <c r="K62" i="47"/>
  <c r="L166" i="47"/>
  <c r="M158" i="47"/>
  <c r="M156" i="47"/>
  <c r="K126" i="47"/>
  <c r="J121" i="47"/>
  <c r="L148" i="47"/>
  <c r="L170" i="47"/>
  <c r="M136" i="47"/>
  <c r="K170" i="47"/>
  <c r="L143" i="47"/>
  <c r="J167" i="47"/>
  <c r="M111" i="47"/>
  <c r="K64" i="47"/>
  <c r="J89" i="47"/>
  <c r="J102" i="47"/>
  <c r="L134" i="47"/>
  <c r="K104" i="47"/>
  <c r="K71" i="47"/>
  <c r="M155" i="47"/>
  <c r="M48" i="47"/>
  <c r="J111" i="47"/>
  <c r="M142" i="47"/>
  <c r="M151" i="47"/>
  <c r="L141" i="47"/>
  <c r="M126" i="47"/>
  <c r="M135" i="47"/>
  <c r="K154" i="47"/>
  <c r="K159" i="47"/>
  <c r="L123" i="47"/>
  <c r="M106" i="47"/>
  <c r="J80" i="47"/>
  <c r="L150" i="47"/>
  <c r="L95" i="47"/>
  <c r="K129" i="47"/>
  <c r="K164" i="47"/>
  <c r="M145" i="47"/>
  <c r="M52" i="47"/>
  <c r="M114" i="47"/>
  <c r="L165" i="47"/>
  <c r="L67" i="47"/>
  <c r="L116" i="47"/>
  <c r="J116" i="47"/>
  <c r="L130" i="47"/>
  <c r="J153" i="47"/>
  <c r="L173" i="47"/>
  <c r="K95" i="47"/>
  <c r="L80" i="47"/>
  <c r="M104" i="47"/>
  <c r="M83" i="47"/>
  <c r="J133" i="47"/>
  <c r="L85" i="47"/>
  <c r="K145" i="47"/>
  <c r="K169" i="47"/>
  <c r="K117" i="47"/>
  <c r="K78" i="47"/>
  <c r="K74" i="47"/>
  <c r="L93" i="47"/>
  <c r="L138" i="47"/>
  <c r="J118" i="47"/>
  <c r="J139" i="47"/>
  <c r="M140" i="47"/>
  <c r="J161" i="47"/>
  <c r="M129" i="47"/>
  <c r="J162" i="47"/>
  <c r="L155" i="47"/>
  <c r="J168" i="47"/>
  <c r="K94" i="47"/>
  <c r="L168" i="47"/>
  <c r="J83" i="47"/>
  <c r="K85" i="47"/>
  <c r="K156" i="47"/>
  <c r="J169" i="47"/>
  <c r="J173" i="47"/>
  <c r="L132" i="47"/>
  <c r="L71" i="47"/>
  <c r="S67" i="55" l="1"/>
  <c r="R25" i="55"/>
  <c r="R5" i="55"/>
  <c r="S5" i="55"/>
  <c r="S25" i="55"/>
  <c r="R13" i="55"/>
  <c r="S17" i="55"/>
  <c r="R17" i="55"/>
  <c r="S11" i="55"/>
  <c r="R11" i="55"/>
  <c r="S82" i="55"/>
  <c r="R82" i="55"/>
  <c r="R14" i="55"/>
  <c r="A72" i="35"/>
  <c r="R9" i="55"/>
  <c r="R70" i="55"/>
  <c r="S70" i="55"/>
  <c r="S9" i="55"/>
  <c r="R92" i="55"/>
  <c r="S92" i="55"/>
  <c r="R63" i="55"/>
  <c r="R22" i="55"/>
  <c r="S7" i="55"/>
  <c r="S63" i="55"/>
  <c r="R7" i="55"/>
  <c r="S22" i="55"/>
  <c r="S97" i="55"/>
  <c r="R66" i="55"/>
  <c r="S52" i="55"/>
  <c r="S61" i="55"/>
  <c r="R52" i="55"/>
  <c r="R97" i="55"/>
  <c r="S66" i="55"/>
  <c r="R61" i="55"/>
  <c r="S13" i="55"/>
  <c r="R90" i="55"/>
  <c r="S37" i="55"/>
  <c r="S30" i="55"/>
  <c r="S43" i="55"/>
  <c r="S26" i="55"/>
  <c r="S100" i="55"/>
  <c r="R71" i="55"/>
  <c r="S18" i="55"/>
  <c r="R30" i="55"/>
  <c r="R18" i="55"/>
  <c r="R37" i="55"/>
  <c r="S58" i="55"/>
  <c r="S90" i="55"/>
  <c r="R58" i="55"/>
  <c r="R51" i="55"/>
  <c r="R77" i="55"/>
  <c r="R15" i="55"/>
  <c r="S71" i="55"/>
  <c r="S77" i="55"/>
  <c r="S62" i="55"/>
  <c r="R62" i="55"/>
  <c r="S47" i="55"/>
  <c r="R23" i="55"/>
  <c r="R47" i="55"/>
  <c r="R64" i="55"/>
  <c r="S23" i="55"/>
  <c r="S64" i="55"/>
  <c r="R45" i="55"/>
  <c r="R65" i="55"/>
  <c r="S65" i="55"/>
  <c r="S51" i="55"/>
  <c r="S45" i="55"/>
  <c r="R28" i="55"/>
  <c r="S15" i="55"/>
  <c r="R32" i="55"/>
  <c r="S59" i="55"/>
  <c r="S28" i="55"/>
  <c r="R59" i="55"/>
  <c r="S32" i="55"/>
  <c r="R26" i="55"/>
  <c r="R75" i="55"/>
  <c r="S49" i="55"/>
  <c r="S57" i="55"/>
  <c r="S98" i="55"/>
  <c r="S86" i="55"/>
  <c r="R88" i="55"/>
  <c r="R78" i="55"/>
  <c r="S78" i="55"/>
  <c r="R89" i="55"/>
  <c r="S10" i="55"/>
  <c r="S41" i="55"/>
  <c r="R21" i="55"/>
  <c r="S75" i="55"/>
  <c r="R73" i="55"/>
  <c r="S39" i="55"/>
  <c r="S34" i="55"/>
  <c r="R10" i="55"/>
  <c r="S85" i="55"/>
  <c r="S48" i="55"/>
  <c r="S24" i="55"/>
  <c r="S88" i="55"/>
  <c r="R48" i="55"/>
  <c r="S110" i="55"/>
  <c r="R43" i="55"/>
  <c r="R41" i="55"/>
  <c r="S21" i="55"/>
  <c r="S94" i="55"/>
  <c r="S55" i="55"/>
  <c r="S20" i="55"/>
  <c r="S56" i="55"/>
  <c r="S19" i="55"/>
  <c r="S74" i="55"/>
  <c r="S14" i="55"/>
  <c r="S91" i="55"/>
  <c r="S8" i="55"/>
  <c r="R19" i="55"/>
  <c r="R85" i="55"/>
  <c r="R24" i="55"/>
  <c r="R56" i="55"/>
  <c r="R86" i="55"/>
  <c r="R76" i="55"/>
  <c r="S125" i="55"/>
  <c r="S3" i="55"/>
  <c r="R100" i="55"/>
  <c r="R39" i="55"/>
  <c r="R57" i="55"/>
  <c r="R34" i="55"/>
  <c r="R67" i="55"/>
  <c r="R146" i="55"/>
  <c r="R42" i="55"/>
  <c r="R3" i="55"/>
  <c r="S60" i="55"/>
  <c r="R49" i="55"/>
  <c r="R94" i="55"/>
  <c r="R55" i="55"/>
  <c r="R91" i="55"/>
  <c r="R8" i="55"/>
  <c r="S89" i="55"/>
  <c r="R20" i="55"/>
  <c r="H18" i="47"/>
  <c r="H7" i="47"/>
  <c r="H114" i="47"/>
  <c r="H32" i="47"/>
  <c r="H106" i="47"/>
  <c r="H77" i="47"/>
  <c r="H34" i="47"/>
  <c r="H4" i="47"/>
  <c r="H26" i="47"/>
  <c r="H28" i="47"/>
  <c r="H12" i="47"/>
  <c r="H66" i="47"/>
  <c r="H104" i="47"/>
  <c r="H94" i="47"/>
  <c r="H37" i="47"/>
  <c r="H135" i="47"/>
  <c r="H78" i="47"/>
  <c r="R160" i="55"/>
  <c r="R143" i="55"/>
  <c r="S106" i="55"/>
  <c r="S112" i="55"/>
  <c r="S124" i="55"/>
  <c r="R93" i="55"/>
  <c r="R122" i="55"/>
  <c r="S163" i="55"/>
  <c r="R124" i="55"/>
  <c r="R136" i="55"/>
  <c r="S152" i="55"/>
  <c r="R87" i="55"/>
  <c r="R79" i="55"/>
  <c r="R138" i="55"/>
  <c r="S121" i="55"/>
  <c r="S169" i="55"/>
  <c r="S142" i="55"/>
  <c r="R95" i="55"/>
  <c r="R53" i="55"/>
  <c r="S138" i="55"/>
  <c r="S155" i="55"/>
  <c r="S168" i="55"/>
  <c r="S46" i="55"/>
  <c r="R50" i="55"/>
  <c r="S136" i="55"/>
  <c r="R84" i="55"/>
  <c r="S126" i="55"/>
  <c r="H151" i="47"/>
  <c r="H49" i="47"/>
  <c r="H11" i="47"/>
  <c r="H119" i="47"/>
  <c r="H115" i="47"/>
  <c r="H123" i="47"/>
  <c r="H131" i="47"/>
  <c r="H51" i="47"/>
  <c r="H108" i="47"/>
  <c r="H176" i="47"/>
  <c r="H23" i="47"/>
  <c r="H165" i="47"/>
  <c r="H122" i="47"/>
  <c r="H19" i="47"/>
  <c r="H86" i="47"/>
  <c r="H150" i="47"/>
  <c r="H35" i="47"/>
  <c r="H116" i="47"/>
  <c r="H144" i="47"/>
  <c r="H5" i="47"/>
  <c r="H126" i="47"/>
  <c r="S81" i="55"/>
  <c r="R46" i="55"/>
  <c r="S149" i="55"/>
  <c r="R68" i="55"/>
  <c r="R157" i="55"/>
  <c r="R134" i="55"/>
  <c r="S36" i="55"/>
  <c r="S115" i="55"/>
  <c r="R167" i="55"/>
  <c r="S54" i="55"/>
  <c r="S130" i="55"/>
  <c r="S147" i="55"/>
  <c r="R135" i="55"/>
  <c r="S171" i="55"/>
  <c r="R148" i="55"/>
  <c r="S156" i="55"/>
  <c r="S141" i="55"/>
  <c r="R158" i="55"/>
  <c r="R108" i="55"/>
  <c r="S38" i="55"/>
  <c r="S160" i="55"/>
  <c r="R126" i="55"/>
  <c r="R154" i="55"/>
  <c r="R110" i="55"/>
  <c r="S83" i="55"/>
  <c r="H142" i="47"/>
  <c r="H15" i="47"/>
  <c r="H89" i="47"/>
  <c r="H152" i="47"/>
  <c r="H148" i="47"/>
  <c r="H118" i="47"/>
  <c r="H97" i="47"/>
  <c r="H44" i="47"/>
  <c r="H96" i="47"/>
  <c r="H95" i="47"/>
  <c r="H124" i="47"/>
  <c r="H62" i="47"/>
  <c r="H93" i="47"/>
  <c r="H103" i="47"/>
  <c r="H159" i="47"/>
  <c r="H110" i="47"/>
  <c r="H140" i="47"/>
  <c r="H13" i="47"/>
  <c r="H175" i="47"/>
  <c r="H107" i="47"/>
  <c r="S135" i="55"/>
  <c r="S154" i="55"/>
  <c r="R114" i="55"/>
  <c r="R83" i="55"/>
  <c r="R109" i="55"/>
  <c r="S102" i="55"/>
  <c r="S103" i="55"/>
  <c r="S96" i="55"/>
  <c r="R150" i="55"/>
  <c r="R123" i="55"/>
  <c r="R120" i="55"/>
  <c r="S40" i="55"/>
  <c r="R107" i="55"/>
  <c r="R35" i="55"/>
  <c r="R99" i="55"/>
  <c r="R16" i="55"/>
  <c r="S165" i="55"/>
  <c r="R119" i="55"/>
  <c r="S140" i="55"/>
  <c r="S122" i="55"/>
  <c r="S137" i="55"/>
  <c r="R98" i="55"/>
  <c r="R118" i="55"/>
  <c r="R153" i="55"/>
  <c r="S158" i="55"/>
  <c r="S161" i="55"/>
  <c r="R60" i="55"/>
  <c r="H53" i="47"/>
  <c r="H67" i="47"/>
  <c r="H81" i="47"/>
  <c r="H76" i="47"/>
  <c r="H154" i="47"/>
  <c r="H113" i="47"/>
  <c r="H43" i="47"/>
  <c r="H55" i="47"/>
  <c r="H168" i="47"/>
  <c r="H80" i="47"/>
  <c r="H147" i="47"/>
  <c r="H164" i="47"/>
  <c r="H133" i="47"/>
  <c r="H166" i="47"/>
  <c r="H73" i="47"/>
  <c r="S159" i="55"/>
  <c r="R44" i="55"/>
  <c r="S68" i="55"/>
  <c r="R127" i="55"/>
  <c r="S164" i="55"/>
  <c r="S157" i="55"/>
  <c r="R145" i="55"/>
  <c r="R4" i="55"/>
  <c r="R159" i="55"/>
  <c r="S101" i="55"/>
  <c r="R168" i="55"/>
  <c r="R105" i="55"/>
  <c r="S27" i="55"/>
  <c r="S143" i="55"/>
  <c r="S116" i="55"/>
  <c r="S72" i="55"/>
  <c r="S33" i="55"/>
  <c r="R142" i="55"/>
  <c r="R72" i="55"/>
  <c r="S6" i="55"/>
  <c r="R81" i="55"/>
  <c r="S120" i="55"/>
  <c r="S127" i="55"/>
  <c r="S132" i="55"/>
  <c r="S42" i="55"/>
  <c r="H20" i="47"/>
  <c r="H48" i="47"/>
  <c r="H111" i="47"/>
  <c r="H143" i="47"/>
  <c r="H99" i="47"/>
  <c r="H21" i="47"/>
  <c r="H146" i="47"/>
  <c r="H54" i="47"/>
  <c r="H74" i="47"/>
  <c r="H132" i="47"/>
  <c r="H72" i="47"/>
  <c r="H173" i="47"/>
  <c r="H88" i="47"/>
  <c r="S146" i="55"/>
  <c r="S76" i="55"/>
  <c r="R116" i="55"/>
  <c r="S111" i="55"/>
  <c r="S150" i="55"/>
  <c r="H70" i="47"/>
  <c r="H9" i="47"/>
  <c r="H82" i="47"/>
  <c r="H127" i="47"/>
  <c r="H163" i="47"/>
  <c r="H117" i="47"/>
  <c r="R112" i="55"/>
  <c r="S109" i="55"/>
  <c r="S139" i="55"/>
  <c r="R113" i="55"/>
  <c r="S133" i="55"/>
  <c r="R101" i="55"/>
  <c r="S123" i="55"/>
  <c r="R31" i="55"/>
  <c r="R165" i="55"/>
  <c r="S148" i="55"/>
  <c r="R151" i="55"/>
  <c r="S129" i="55"/>
  <c r="S145" i="55"/>
  <c r="S95" i="55"/>
  <c r="S87" i="55"/>
  <c r="R38" i="55"/>
  <c r="R129" i="55"/>
  <c r="R132" i="55"/>
  <c r="R152" i="55"/>
  <c r="R128" i="55"/>
  <c r="S80" i="55"/>
  <c r="S99" i="55"/>
  <c r="R162" i="55"/>
  <c r="H27" i="47"/>
  <c r="H155" i="47"/>
  <c r="H64" i="47"/>
  <c r="H156" i="47"/>
  <c r="H149" i="47"/>
  <c r="H130" i="47"/>
  <c r="H65" i="47"/>
  <c r="H141" i="47"/>
  <c r="H91" i="47"/>
  <c r="H177" i="47"/>
  <c r="H92" i="47"/>
  <c r="H84" i="47"/>
  <c r="H101" i="47"/>
  <c r="H160" i="47"/>
  <c r="H22" i="47"/>
  <c r="H3" i="47"/>
  <c r="H52" i="47"/>
  <c r="H174" i="47"/>
  <c r="S117" i="55"/>
  <c r="S114" i="55"/>
  <c r="S166" i="55"/>
  <c r="R103" i="55"/>
  <c r="R36" i="55"/>
  <c r="S131" i="55"/>
  <c r="R80" i="55"/>
  <c r="S107" i="55"/>
  <c r="S2" i="55"/>
  <c r="S119" i="55"/>
  <c r="R161" i="55"/>
  <c r="R125" i="55"/>
  <c r="R27" i="55"/>
  <c r="R121" i="55"/>
  <c r="R111" i="55"/>
  <c r="R171" i="55"/>
  <c r="S44" i="55"/>
  <c r="R117" i="55"/>
  <c r="S151" i="55"/>
  <c r="R12" i="55"/>
  <c r="R54" i="55"/>
  <c r="S73" i="55"/>
  <c r="S79" i="55"/>
  <c r="R149" i="55"/>
  <c r="S167" i="55"/>
  <c r="R131" i="55"/>
  <c r="H30" i="47"/>
  <c r="H79" i="47"/>
  <c r="H158" i="47"/>
  <c r="H75" i="47"/>
  <c r="H128" i="47"/>
  <c r="H134" i="47"/>
  <c r="H138" i="47"/>
  <c r="H59" i="47"/>
  <c r="H109" i="47"/>
  <c r="H60" i="47"/>
  <c r="H121" i="47"/>
  <c r="H98" i="47"/>
  <c r="H125" i="47"/>
  <c r="H68" i="47"/>
  <c r="H153" i="47"/>
  <c r="H112" i="47"/>
  <c r="S84" i="55"/>
  <c r="H162" i="47"/>
  <c r="H145" i="47"/>
  <c r="H171" i="47"/>
  <c r="S53" i="55"/>
  <c r="S105" i="55"/>
  <c r="R40" i="55"/>
  <c r="R166" i="55"/>
  <c r="S29" i="55"/>
  <c r="R2" i="55"/>
  <c r="R6" i="55"/>
  <c r="R155" i="55"/>
  <c r="S108" i="55"/>
  <c r="S16" i="55"/>
  <c r="R104" i="55"/>
  <c r="S170" i="55"/>
  <c r="R170" i="55"/>
  <c r="R33" i="55"/>
  <c r="R164" i="55"/>
  <c r="S128" i="55"/>
  <c r="S50" i="55"/>
  <c r="S93" i="55"/>
  <c r="R133" i="55"/>
  <c r="S144" i="55"/>
  <c r="R147" i="55"/>
  <c r="R96" i="55"/>
  <c r="R115" i="55"/>
  <c r="R102" i="55"/>
  <c r="S134" i="55"/>
  <c r="H16" i="47"/>
  <c r="H167" i="47"/>
  <c r="H170" i="47"/>
  <c r="H46" i="47"/>
  <c r="H90" i="47"/>
  <c r="H85" i="47"/>
  <c r="H137" i="47"/>
  <c r="H58" i="47"/>
  <c r="H87" i="47"/>
  <c r="H100" i="47"/>
  <c r="H63" i="47"/>
  <c r="H157" i="47"/>
  <c r="H129" i="47"/>
  <c r="H169" i="47"/>
  <c r="H83" i="47"/>
  <c r="H36" i="47"/>
  <c r="H161" i="47"/>
  <c r="S31" i="55"/>
  <c r="R74" i="55"/>
  <c r="S113" i="55"/>
  <c r="S153" i="55"/>
  <c r="S162" i="55"/>
  <c r="R140" i="55"/>
  <c r="R156" i="55"/>
  <c r="R69" i="55"/>
  <c r="R29" i="55"/>
  <c r="R137" i="55"/>
  <c r="R169" i="55"/>
  <c r="S35" i="55"/>
  <c r="R144" i="55"/>
  <c r="S12" i="55"/>
  <c r="R163" i="55"/>
  <c r="S118" i="55"/>
  <c r="R141" i="55"/>
  <c r="R139" i="55"/>
  <c r="R106" i="55"/>
  <c r="S69" i="55"/>
  <c r="R130" i="55"/>
  <c r="S104" i="55"/>
  <c r="S4" i="55"/>
  <c r="H8" i="47"/>
  <c r="H136" i="47"/>
  <c r="H29" i="47"/>
  <c r="H47" i="47"/>
  <c r="H139" i="47"/>
  <c r="H56" i="47"/>
  <c r="H69" i="47"/>
  <c r="H42" i="47"/>
  <c r="H41" i="47"/>
  <c r="H31" i="47"/>
  <c r="H6" i="47"/>
  <c r="H33" i="47"/>
  <c r="H10" i="47"/>
  <c r="H38" i="47"/>
  <c r="H40" i="47"/>
  <c r="H17" i="47"/>
  <c r="H14" i="47"/>
  <c r="H25" i="47"/>
  <c r="H39" i="47"/>
  <c r="H45" i="47"/>
  <c r="H50" i="47"/>
  <c r="H61" i="47"/>
  <c r="H120" i="47"/>
  <c r="H71" i="47"/>
  <c r="H102" i="47"/>
  <c r="H24" i="47"/>
  <c r="H172" i="47"/>
  <c r="H105" i="47"/>
  <c r="H57" i="47"/>
  <c r="Q18" i="54" l="1"/>
  <c r="AA18" i="54"/>
  <c r="AA9" i="54"/>
  <c r="AA33" i="54"/>
  <c r="AA57" i="54"/>
  <c r="AA81" i="54"/>
  <c r="AA105" i="54"/>
  <c r="AA129" i="54"/>
  <c r="AA153" i="54"/>
  <c r="AA10" i="54"/>
  <c r="AA34" i="54"/>
  <c r="AA58" i="54"/>
  <c r="AA82" i="54"/>
  <c r="AA106" i="54"/>
  <c r="AA130" i="54"/>
  <c r="AA154" i="54"/>
  <c r="AA12" i="54"/>
  <c r="AA36" i="54"/>
  <c r="AA60" i="54"/>
  <c r="AA84" i="54"/>
  <c r="AA108" i="54"/>
  <c r="AA132" i="54"/>
  <c r="AA156" i="54"/>
  <c r="AA13" i="54"/>
  <c r="AA37" i="54"/>
  <c r="AA61" i="54"/>
  <c r="AA85" i="54"/>
  <c r="AA109" i="54"/>
  <c r="AA133" i="54"/>
  <c r="AA157" i="54"/>
  <c r="AA14" i="54"/>
  <c r="AA38" i="54"/>
  <c r="AA62" i="54"/>
  <c r="AA86" i="54"/>
  <c r="AA110" i="54"/>
  <c r="AA134" i="54"/>
  <c r="AA158" i="54"/>
  <c r="AA16" i="54"/>
  <c r="AA40" i="54"/>
  <c r="AA64" i="54"/>
  <c r="AA88" i="54"/>
  <c r="AA112" i="54"/>
  <c r="AA136" i="54"/>
  <c r="AA160" i="54"/>
  <c r="AA11" i="54"/>
  <c r="AA45" i="54"/>
  <c r="AA75" i="54"/>
  <c r="AA107" i="54"/>
  <c r="AA141" i="54"/>
  <c r="AA171" i="54"/>
  <c r="AA15" i="54"/>
  <c r="AA46" i="54"/>
  <c r="AA111" i="54"/>
  <c r="AA142" i="54"/>
  <c r="AA76" i="54"/>
  <c r="AA17" i="54"/>
  <c r="AA47" i="54"/>
  <c r="AA77" i="54"/>
  <c r="AA113" i="54"/>
  <c r="AA143" i="54"/>
  <c r="AA19" i="54"/>
  <c r="AA49" i="54"/>
  <c r="AA79" i="54"/>
  <c r="AA115" i="54"/>
  <c r="AA145" i="54"/>
  <c r="AA28" i="54"/>
  <c r="AA63" i="54"/>
  <c r="AA94" i="54"/>
  <c r="AA124" i="54"/>
  <c r="AA159" i="54"/>
  <c r="AA29" i="54"/>
  <c r="AA65" i="54"/>
  <c r="AA95" i="54"/>
  <c r="AA125" i="54"/>
  <c r="AA161" i="54"/>
  <c r="AA8" i="54"/>
  <c r="AA55" i="54"/>
  <c r="AA99" i="54"/>
  <c r="AA144" i="54"/>
  <c r="AA66" i="54"/>
  <c r="AA20" i="54"/>
  <c r="AA56" i="54"/>
  <c r="AA100" i="54"/>
  <c r="AA146" i="54"/>
  <c r="AA102" i="54"/>
  <c r="AA21" i="54"/>
  <c r="AA59" i="54"/>
  <c r="AA101" i="54"/>
  <c r="AA147" i="54"/>
  <c r="AA22" i="54"/>
  <c r="AA148" i="54"/>
  <c r="AA23" i="54"/>
  <c r="AA67" i="54"/>
  <c r="AA103" i="54"/>
  <c r="AA149" i="54"/>
  <c r="AA114" i="54"/>
  <c r="AA24" i="54"/>
  <c r="AA68" i="54"/>
  <c r="AA104" i="54"/>
  <c r="AA150" i="54"/>
  <c r="AA25" i="54"/>
  <c r="AA151" i="54"/>
  <c r="AA69" i="54"/>
  <c r="AA27" i="54"/>
  <c r="AA71" i="54"/>
  <c r="AA117" i="54"/>
  <c r="AA155" i="54"/>
  <c r="AA35" i="54"/>
  <c r="AA78" i="54"/>
  <c r="AA121" i="54"/>
  <c r="AA165" i="54"/>
  <c r="AA43" i="54"/>
  <c r="AA89" i="54"/>
  <c r="AA127" i="54"/>
  <c r="AA169" i="54"/>
  <c r="AA39" i="54"/>
  <c r="AA80" i="54"/>
  <c r="AA122" i="54"/>
  <c r="AA166" i="54"/>
  <c r="AA41" i="54"/>
  <c r="AA83" i="54"/>
  <c r="AA123" i="54"/>
  <c r="AA167" i="54"/>
  <c r="AA42" i="54"/>
  <c r="AA87" i="54"/>
  <c r="AA126" i="54"/>
  <c r="AA168" i="54"/>
  <c r="AA44" i="54"/>
  <c r="AA135" i="54"/>
  <c r="AA48" i="54"/>
  <c r="AA137" i="54"/>
  <c r="AA50" i="54"/>
  <c r="AA138" i="54"/>
  <c r="AA139" i="54"/>
  <c r="AA52" i="54"/>
  <c r="AA53" i="54"/>
  <c r="AA152" i="54"/>
  <c r="AA54" i="54"/>
  <c r="AA162" i="54"/>
  <c r="AA72" i="54"/>
  <c r="AA73" i="54"/>
  <c r="AA170" i="54"/>
  <c r="AA51" i="54"/>
  <c r="AA164" i="54"/>
  <c r="AA140" i="54"/>
  <c r="AA70" i="54"/>
  <c r="AA163" i="54"/>
  <c r="AA92" i="54"/>
  <c r="AA2" i="54"/>
  <c r="AA93" i="54"/>
  <c r="AA96" i="54"/>
  <c r="AA4" i="54"/>
  <c r="AA97" i="54"/>
  <c r="AA3" i="54"/>
  <c r="AA5" i="54"/>
  <c r="AA98" i="54"/>
  <c r="AA120" i="54"/>
  <c r="AA128" i="54"/>
  <c r="AA6" i="54"/>
  <c r="AA91" i="54"/>
  <c r="AA116" i="54"/>
  <c r="AA131" i="54"/>
  <c r="AA7" i="54"/>
  <c r="AA26" i="54"/>
  <c r="AA30" i="54"/>
  <c r="AA32" i="54"/>
  <c r="AA90" i="54"/>
  <c r="AA31" i="54"/>
  <c r="AA74" i="54"/>
  <c r="AA118" i="54"/>
  <c r="AA119" i="54"/>
  <c r="A73" i="35"/>
  <c r="I60" i="48"/>
  <c r="AI100" i="48" s="1"/>
  <c r="L26" i="44"/>
  <c r="I95" i="44"/>
  <c r="J89" i="48"/>
  <c r="I61" i="44"/>
  <c r="J94" i="44"/>
  <c r="K62" i="48"/>
  <c r="AK102" i="48" s="1"/>
  <c r="Q112" i="54"/>
  <c r="J70" i="48"/>
  <c r="K20" i="44"/>
  <c r="K116" i="44"/>
  <c r="Q62" i="54"/>
  <c r="Q49" i="54"/>
  <c r="J81" i="48"/>
  <c r="K27" i="48"/>
  <c r="AK67" i="48" s="1"/>
  <c r="I158" i="48"/>
  <c r="Q89" i="54"/>
  <c r="L106" i="48"/>
  <c r="J46" i="48"/>
  <c r="K4" i="44"/>
  <c r="I90" i="48"/>
  <c r="AI130" i="48" s="1"/>
  <c r="L59" i="44"/>
  <c r="I94" i="48"/>
  <c r="AI134" i="48" s="1"/>
  <c r="K26" i="44"/>
  <c r="J69" i="44"/>
  <c r="Q87" i="54"/>
  <c r="I77" i="48"/>
  <c r="AI117" i="48" s="1"/>
  <c r="K98" i="44"/>
  <c r="J95" i="48"/>
  <c r="K113" i="48"/>
  <c r="J18" i="44"/>
  <c r="I61" i="48"/>
  <c r="AI101" i="48" s="1"/>
  <c r="L14" i="44"/>
  <c r="J106" i="48"/>
  <c r="I4" i="48"/>
  <c r="AI44" i="48" s="1"/>
  <c r="Q21" i="54"/>
  <c r="J4" i="48"/>
  <c r="I15" i="44"/>
  <c r="I69" i="44"/>
  <c r="K89" i="44"/>
  <c r="I91" i="48"/>
  <c r="AI131" i="48" s="1"/>
  <c r="L63" i="44"/>
  <c r="L116" i="44"/>
  <c r="Q69" i="54"/>
  <c r="I161" i="48"/>
  <c r="K140" i="48"/>
  <c r="Q63" i="54"/>
  <c r="J58" i="44"/>
  <c r="L60" i="44"/>
  <c r="J60" i="44"/>
  <c r="Q95" i="54"/>
  <c r="I58" i="44"/>
  <c r="L91" i="44"/>
  <c r="I91" i="44"/>
  <c r="L30" i="44"/>
  <c r="Q30" i="54"/>
  <c r="K60" i="48"/>
  <c r="AK100" i="48" s="1"/>
  <c r="Q86" i="54"/>
  <c r="I95" i="48"/>
  <c r="AI135" i="48" s="1"/>
  <c r="K94" i="44"/>
  <c r="J86" i="44"/>
  <c r="K95" i="48"/>
  <c r="AK135" i="48" s="1"/>
  <c r="L21" i="44"/>
  <c r="J82" i="48"/>
  <c r="K92" i="44"/>
  <c r="L49" i="44"/>
  <c r="I123" i="48"/>
  <c r="L7" i="44"/>
  <c r="I59" i="44"/>
  <c r="Q76" i="54"/>
  <c r="L62" i="48"/>
  <c r="L98" i="48"/>
  <c r="Q135" i="54"/>
  <c r="I60" i="44"/>
  <c r="K26" i="48"/>
  <c r="AK66" i="48" s="1"/>
  <c r="I26" i="48"/>
  <c r="AI66" i="48" s="1"/>
  <c r="I97" i="44"/>
  <c r="I81" i="44"/>
  <c r="K58" i="48"/>
  <c r="AK98" i="48" s="1"/>
  <c r="L130" i="48"/>
  <c r="L11" i="48"/>
  <c r="K4" i="48"/>
  <c r="AK44" i="48" s="1"/>
  <c r="J172" i="48"/>
  <c r="J30" i="48"/>
  <c r="L8" i="48"/>
  <c r="I4" i="44"/>
  <c r="K49" i="44"/>
  <c r="I106" i="44"/>
  <c r="I130" i="44"/>
  <c r="K106" i="44"/>
  <c r="K63" i="48"/>
  <c r="AK103" i="48" s="1"/>
  <c r="J7" i="48"/>
  <c r="L58" i="44"/>
  <c r="Q106" i="54"/>
  <c r="J108" i="44"/>
  <c r="Q7" i="54"/>
  <c r="J89" i="44"/>
  <c r="I26" i="44"/>
  <c r="L58" i="48"/>
  <c r="Q50" i="54"/>
  <c r="I76" i="48"/>
  <c r="AI116" i="48" s="1"/>
  <c r="L86" i="44"/>
  <c r="L170" i="44"/>
  <c r="K60" i="44"/>
  <c r="J95" i="44"/>
  <c r="L94" i="48"/>
  <c r="L16" i="44"/>
  <c r="K94" i="48"/>
  <c r="AK134" i="48" s="1"/>
  <c r="K76" i="44"/>
  <c r="L62" i="44"/>
  <c r="J68" i="44"/>
  <c r="J58" i="48"/>
  <c r="J49" i="44"/>
  <c r="J21" i="48"/>
  <c r="I21" i="44"/>
  <c r="L89" i="48"/>
  <c r="I58" i="48"/>
  <c r="AI98" i="48" s="1"/>
  <c r="L7" i="48"/>
  <c r="K21" i="48"/>
  <c r="AK61" i="48" s="1"/>
  <c r="J158" i="48"/>
  <c r="K61" i="48"/>
  <c r="AK101" i="48" s="1"/>
  <c r="K91" i="44"/>
  <c r="I89" i="44"/>
  <c r="K70" i="44"/>
  <c r="L70" i="48"/>
  <c r="J37" i="48"/>
  <c r="L4" i="44"/>
  <c r="L63" i="48"/>
  <c r="I94" i="44"/>
  <c r="K98" i="48"/>
  <c r="AK138" i="48" s="1"/>
  <c r="K81" i="44"/>
  <c r="J63" i="48"/>
  <c r="J26" i="44"/>
  <c r="J26" i="48"/>
  <c r="J91" i="44"/>
  <c r="I98" i="48"/>
  <c r="AI138" i="48" s="1"/>
  <c r="J60" i="48"/>
  <c r="J94" i="48"/>
  <c r="Q60" i="54"/>
  <c r="K46" i="48"/>
  <c r="AK86" i="48" s="1"/>
  <c r="L20" i="44"/>
  <c r="L81" i="44"/>
  <c r="J46" i="44"/>
  <c r="I11" i="44"/>
  <c r="I76" i="44"/>
  <c r="I7" i="48"/>
  <c r="AI47" i="48" s="1"/>
  <c r="Q61" i="54"/>
  <c r="J113" i="44"/>
  <c r="K113" i="44"/>
  <c r="J30" i="44"/>
  <c r="J106" i="44"/>
  <c r="I62" i="44"/>
  <c r="Q26" i="54"/>
  <c r="K18" i="48"/>
  <c r="AK58" i="48" s="1"/>
  <c r="L60" i="48"/>
  <c r="K62" i="44"/>
  <c r="J50" i="48"/>
  <c r="J20" i="44"/>
  <c r="I7" i="44"/>
  <c r="I18" i="48"/>
  <c r="AI58" i="48" s="1"/>
  <c r="K162" i="48"/>
  <c r="J76" i="48"/>
  <c r="I30" i="44"/>
  <c r="I42" i="48"/>
  <c r="AI82" i="48" s="1"/>
  <c r="I59" i="48"/>
  <c r="AI99" i="48" s="1"/>
  <c r="I70" i="44"/>
  <c r="Q113" i="54"/>
  <c r="L18" i="48"/>
  <c r="L26" i="48"/>
  <c r="J175" i="48"/>
  <c r="K130" i="48"/>
  <c r="L18" i="44"/>
  <c r="K59" i="44"/>
  <c r="J7" i="44"/>
  <c r="L81" i="48"/>
  <c r="J98" i="44"/>
  <c r="I30" i="48"/>
  <c r="AI70" i="48" s="1"/>
  <c r="I86" i="48"/>
  <c r="AI126" i="48" s="1"/>
  <c r="Q46" i="54"/>
  <c r="I46" i="44"/>
  <c r="J59" i="44"/>
  <c r="K11" i="48"/>
  <c r="AK51" i="48" s="1"/>
  <c r="K58" i="44"/>
  <c r="J69" i="48"/>
  <c r="I33" i="48"/>
  <c r="AI73" i="48" s="1"/>
  <c r="I63" i="48"/>
  <c r="AI103" i="48" s="1"/>
  <c r="K86" i="44"/>
  <c r="K49" i="48"/>
  <c r="AK89" i="48" s="1"/>
  <c r="L95" i="44"/>
  <c r="L106" i="44"/>
  <c r="L61" i="44"/>
  <c r="K89" i="48"/>
  <c r="AK129" i="48" s="1"/>
  <c r="J76" i="44"/>
  <c r="J62" i="48"/>
  <c r="K46" i="44"/>
  <c r="K7" i="44"/>
  <c r="L120" i="44"/>
  <c r="I154" i="44"/>
  <c r="K45" i="44"/>
  <c r="I22" i="48"/>
  <c r="AI62" i="48" s="1"/>
  <c r="J19" i="48"/>
  <c r="Q23" i="54"/>
  <c r="I166" i="48"/>
  <c r="K114" i="48"/>
  <c r="L115" i="48"/>
  <c r="I3" i="44"/>
  <c r="L32" i="48"/>
  <c r="L130" i="44"/>
  <c r="K157" i="44"/>
  <c r="J157" i="44"/>
  <c r="L122" i="44"/>
  <c r="K32" i="44"/>
  <c r="Q130" i="54"/>
  <c r="J146" i="48"/>
  <c r="I92" i="48"/>
  <c r="AI132" i="48" s="1"/>
  <c r="Q147" i="54"/>
  <c r="I35" i="48"/>
  <c r="AI75" i="48" s="1"/>
  <c r="L77" i="48"/>
  <c r="I96" i="44"/>
  <c r="L66" i="48"/>
  <c r="I133" i="48"/>
  <c r="I44" i="48"/>
  <c r="AI84" i="48" s="1"/>
  <c r="K96" i="44"/>
  <c r="K93" i="48"/>
  <c r="AK133" i="48" s="1"/>
  <c r="I158" i="44"/>
  <c r="J155" i="48"/>
  <c r="J99" i="48"/>
  <c r="K3" i="48"/>
  <c r="AK43" i="48" s="1"/>
  <c r="L41" i="44"/>
  <c r="Q162" i="54"/>
  <c r="J101" i="44"/>
  <c r="Q19" i="54"/>
  <c r="I137" i="44"/>
  <c r="I56" i="44"/>
  <c r="I41" i="44"/>
  <c r="L83" i="44"/>
  <c r="L31" i="48"/>
  <c r="Q52" i="54"/>
  <c r="L44" i="44"/>
  <c r="J170" i="48"/>
  <c r="I126" i="48"/>
  <c r="J102" i="44"/>
  <c r="J78" i="48"/>
  <c r="J87" i="44"/>
  <c r="K134" i="48"/>
  <c r="L110" i="44"/>
  <c r="K96" i="48"/>
  <c r="AK136" i="48" s="1"/>
  <c r="K97" i="48"/>
  <c r="AK137" i="48" s="1"/>
  <c r="I57" i="48"/>
  <c r="AI97" i="48" s="1"/>
  <c r="Q14" i="54"/>
  <c r="I138" i="48"/>
  <c r="I136" i="48"/>
  <c r="I98" i="44"/>
  <c r="I18" i="44"/>
  <c r="J49" i="48"/>
  <c r="J51" i="44"/>
  <c r="K123" i="48"/>
  <c r="J70" i="44"/>
  <c r="K69" i="48"/>
  <c r="AK109" i="48" s="1"/>
  <c r="Q70" i="54"/>
  <c r="J4" i="44"/>
  <c r="L89" i="44"/>
  <c r="K87" i="44"/>
  <c r="J81" i="44"/>
  <c r="J161" i="48"/>
  <c r="I84" i="48"/>
  <c r="AI124" i="48" s="1"/>
  <c r="K106" i="48"/>
  <c r="J18" i="48"/>
  <c r="L46" i="44"/>
  <c r="I133" i="44"/>
  <c r="K28" i="44"/>
  <c r="I83" i="44"/>
  <c r="J88" i="48"/>
  <c r="I92" i="44"/>
  <c r="I93" i="44"/>
  <c r="I78" i="44"/>
  <c r="K38" i="48"/>
  <c r="AK78" i="48" s="1"/>
  <c r="Q2" i="54"/>
  <c r="Q78" i="54"/>
  <c r="L116" i="48"/>
  <c r="J130" i="44"/>
  <c r="K51" i="48"/>
  <c r="AK91" i="48" s="1"/>
  <c r="Q137" i="54"/>
  <c r="L53" i="44"/>
  <c r="J164" i="44"/>
  <c r="J107" i="48"/>
  <c r="K64" i="48"/>
  <c r="AK104" i="48" s="1"/>
  <c r="K155" i="48"/>
  <c r="J34" i="44"/>
  <c r="J32" i="48"/>
  <c r="I100" i="48"/>
  <c r="AI140" i="48" s="1"/>
  <c r="I31" i="48"/>
  <c r="AI71" i="48" s="1"/>
  <c r="L72" i="44"/>
  <c r="I35" i="44"/>
  <c r="I71" i="44"/>
  <c r="Q165" i="54"/>
  <c r="Q57" i="54"/>
  <c r="K128" i="44"/>
  <c r="K176" i="48"/>
  <c r="J176" i="48"/>
  <c r="I12" i="44"/>
  <c r="K54" i="48"/>
  <c r="AK94" i="48" s="1"/>
  <c r="K43" i="44"/>
  <c r="J164" i="48"/>
  <c r="K10" i="48"/>
  <c r="AK50" i="48" s="1"/>
  <c r="L133" i="48"/>
  <c r="K55" i="48"/>
  <c r="AK95" i="48" s="1"/>
  <c r="L132" i="48"/>
  <c r="K121" i="44"/>
  <c r="K32" i="48"/>
  <c r="AK72" i="48" s="1"/>
  <c r="I20" i="48"/>
  <c r="AI60" i="48" s="1"/>
  <c r="J21" i="44"/>
  <c r="L46" i="48"/>
  <c r="J11" i="44"/>
  <c r="I124" i="48"/>
  <c r="K63" i="44"/>
  <c r="K69" i="44"/>
  <c r="I20" i="44"/>
  <c r="Q168" i="54"/>
  <c r="L76" i="48"/>
  <c r="I113" i="44"/>
  <c r="K30" i="44"/>
  <c r="K81" i="48"/>
  <c r="AK121" i="48" s="1"/>
  <c r="I11" i="48"/>
  <c r="AI51" i="48" s="1"/>
  <c r="L137" i="44"/>
  <c r="Q98" i="54"/>
  <c r="L98" i="44"/>
  <c r="J159" i="48"/>
  <c r="K95" i="44"/>
  <c r="L49" i="48"/>
  <c r="K169" i="48"/>
  <c r="I43" i="48"/>
  <c r="AI83" i="48" s="1"/>
  <c r="J74" i="48"/>
  <c r="J149" i="48"/>
  <c r="L170" i="48"/>
  <c r="Q159" i="54"/>
  <c r="K42" i="44"/>
  <c r="Q114" i="54"/>
  <c r="Q93" i="54"/>
  <c r="Q56" i="54"/>
  <c r="J97" i="44"/>
  <c r="L28" i="44"/>
  <c r="L155" i="48"/>
  <c r="J66" i="48"/>
  <c r="K9" i="48"/>
  <c r="AK49" i="48" s="1"/>
  <c r="J57" i="44"/>
  <c r="K146" i="44"/>
  <c r="K148" i="44"/>
  <c r="I100" i="44"/>
  <c r="K100" i="48"/>
  <c r="AK140" i="48" s="1"/>
  <c r="K154" i="48"/>
  <c r="Q155" i="54"/>
  <c r="L27" i="44"/>
  <c r="J17" i="44"/>
  <c r="L159" i="44"/>
  <c r="K53" i="48"/>
  <c r="AK93" i="48" s="1"/>
  <c r="L139" i="44"/>
  <c r="J5" i="44"/>
  <c r="L25" i="48"/>
  <c r="L75" i="48"/>
  <c r="L102" i="48"/>
  <c r="L32" i="44"/>
  <c r="K109" i="48"/>
  <c r="K85" i="44"/>
  <c r="L65" i="44"/>
  <c r="J114" i="44"/>
  <c r="K124" i="48"/>
  <c r="L73" i="48"/>
  <c r="L137" i="48"/>
  <c r="J107" i="44"/>
  <c r="K143" i="44"/>
  <c r="J128" i="44"/>
  <c r="I48" i="44"/>
  <c r="L28" i="48"/>
  <c r="L96" i="44"/>
  <c r="K119" i="48"/>
  <c r="L150" i="48"/>
  <c r="I152" i="44"/>
  <c r="L99" i="48"/>
  <c r="L22" i="48"/>
  <c r="K57" i="44"/>
  <c r="L143" i="44"/>
  <c r="Q5" i="54"/>
  <c r="L12" i="44"/>
  <c r="J102" i="48"/>
  <c r="J110" i="44"/>
  <c r="I75" i="48"/>
  <c r="AI115" i="48" s="1"/>
  <c r="L21" i="48"/>
  <c r="J86" i="48"/>
  <c r="L113" i="48"/>
  <c r="J61" i="44"/>
  <c r="K30" i="48"/>
  <c r="AK70" i="48" s="1"/>
  <c r="L4" i="48"/>
  <c r="K5" i="48"/>
  <c r="AK45" i="48" s="1"/>
  <c r="I113" i="48"/>
  <c r="L95" i="48"/>
  <c r="L161" i="44"/>
  <c r="L25" i="44"/>
  <c r="J56" i="44"/>
  <c r="K91" i="48"/>
  <c r="AK131" i="48" s="1"/>
  <c r="K11" i="44"/>
  <c r="K76" i="48"/>
  <c r="AK116" i="48" s="1"/>
  <c r="J20" i="48"/>
  <c r="I39" i="48"/>
  <c r="AI79" i="48" s="1"/>
  <c r="I33" i="44"/>
  <c r="K127" i="44"/>
  <c r="L73" i="44"/>
  <c r="L141" i="48"/>
  <c r="K97" i="44"/>
  <c r="K74" i="48"/>
  <c r="AK114" i="48" s="1"/>
  <c r="I141" i="48"/>
  <c r="K100" i="44"/>
  <c r="Q127" i="54"/>
  <c r="L101" i="48"/>
  <c r="K83" i="44"/>
  <c r="K150" i="44"/>
  <c r="K56" i="48"/>
  <c r="AK96" i="48" s="1"/>
  <c r="K56" i="44"/>
  <c r="K126" i="44"/>
  <c r="J38" i="44"/>
  <c r="J13" i="44"/>
  <c r="L40" i="44"/>
  <c r="J119" i="44"/>
  <c r="L152" i="44"/>
  <c r="L48" i="48"/>
  <c r="Q141" i="54"/>
  <c r="L12" i="48"/>
  <c r="K84" i="48"/>
  <c r="AK124" i="48" s="1"/>
  <c r="Q129" i="54"/>
  <c r="J168" i="44"/>
  <c r="L105" i="48"/>
  <c r="I125" i="48"/>
  <c r="J31" i="44"/>
  <c r="J79" i="44"/>
  <c r="I120" i="48"/>
  <c r="K148" i="48"/>
  <c r="K5" i="44"/>
  <c r="I75" i="44"/>
  <c r="Q71" i="54"/>
  <c r="J112" i="44"/>
  <c r="I176" i="48"/>
  <c r="K66" i="48"/>
  <c r="AK106" i="48" s="1"/>
  <c r="L165" i="44"/>
  <c r="K44" i="48"/>
  <c r="AK84" i="48" s="1"/>
  <c r="L129" i="48"/>
  <c r="I172" i="48"/>
  <c r="K131" i="48"/>
  <c r="K77" i="44"/>
  <c r="I167" i="48"/>
  <c r="L117" i="48"/>
  <c r="J168" i="48"/>
  <c r="L96" i="48"/>
  <c r="I132" i="48"/>
  <c r="K139" i="44"/>
  <c r="Q48" i="54"/>
  <c r="L87" i="48"/>
  <c r="K66" i="44"/>
  <c r="K78" i="48"/>
  <c r="AK118" i="48" s="1"/>
  <c r="I21" i="48"/>
  <c r="AI61" i="48" s="1"/>
  <c r="J91" i="48"/>
  <c r="J62" i="44"/>
  <c r="Q116" i="54"/>
  <c r="L76" i="44"/>
  <c r="Q11" i="54"/>
  <c r="J75" i="44"/>
  <c r="L121" i="48"/>
  <c r="J156" i="48"/>
  <c r="I81" i="48"/>
  <c r="AI121" i="48" s="1"/>
  <c r="K65" i="48"/>
  <c r="AK105" i="48" s="1"/>
  <c r="L92" i="48"/>
  <c r="Q125" i="54"/>
  <c r="L113" i="44"/>
  <c r="I62" i="48"/>
  <c r="AI102" i="48" s="1"/>
  <c r="K67" i="44"/>
  <c r="K64" i="44"/>
  <c r="L29" i="48"/>
  <c r="L13" i="48"/>
  <c r="I39" i="44"/>
  <c r="I16" i="44"/>
  <c r="L44" i="48"/>
  <c r="I47" i="44"/>
  <c r="K25" i="48"/>
  <c r="AK65" i="48" s="1"/>
  <c r="K115" i="44"/>
  <c r="L79" i="48"/>
  <c r="I14" i="48"/>
  <c r="AI54" i="48" s="1"/>
  <c r="I68" i="48"/>
  <c r="AI108" i="48" s="1"/>
  <c r="L103" i="48"/>
  <c r="K133" i="48"/>
  <c r="I37" i="48"/>
  <c r="AI77" i="48" s="1"/>
  <c r="L107" i="48"/>
  <c r="L174" i="48"/>
  <c r="Q68" i="54"/>
  <c r="J137" i="44"/>
  <c r="L127" i="44"/>
  <c r="J29" i="44"/>
  <c r="L5" i="48"/>
  <c r="J114" i="48"/>
  <c r="I145" i="44"/>
  <c r="I16" i="48"/>
  <c r="AI56" i="48" s="1"/>
  <c r="Q133" i="54"/>
  <c r="K141" i="44"/>
  <c r="Q118" i="54"/>
  <c r="I38" i="48"/>
  <c r="AI78" i="48" s="1"/>
  <c r="L166" i="48"/>
  <c r="I64" i="48"/>
  <c r="AI104" i="48" s="1"/>
  <c r="J131" i="44"/>
  <c r="K22" i="44"/>
  <c r="K68" i="44"/>
  <c r="J120" i="44"/>
  <c r="Q100" i="54"/>
  <c r="K156" i="44"/>
  <c r="K41" i="48"/>
  <c r="AK81" i="48" s="1"/>
  <c r="J9" i="44"/>
  <c r="L142" i="44"/>
  <c r="L34" i="48"/>
  <c r="L153" i="48"/>
  <c r="I34" i="44"/>
  <c r="K16" i="48"/>
  <c r="AK56" i="48" s="1"/>
  <c r="I165" i="44"/>
  <c r="K35" i="44"/>
  <c r="K149" i="44"/>
  <c r="J139" i="48"/>
  <c r="K20" i="48"/>
  <c r="AK60" i="48" s="1"/>
  <c r="K75" i="44"/>
  <c r="Q160" i="54"/>
  <c r="J63" i="44"/>
  <c r="L45" i="44"/>
  <c r="K18" i="44"/>
  <c r="Q24" i="54"/>
  <c r="I49" i="48"/>
  <c r="AI89" i="48" s="1"/>
  <c r="Q81" i="54"/>
  <c r="L69" i="48"/>
  <c r="K70" i="48"/>
  <c r="AK110" i="48" s="1"/>
  <c r="Q20" i="54"/>
  <c r="L70" i="44"/>
  <c r="J55" i="48"/>
  <c r="L86" i="48"/>
  <c r="I89" i="48"/>
  <c r="AI129" i="48" s="1"/>
  <c r="I46" i="48"/>
  <c r="AI86" i="48" s="1"/>
  <c r="L59" i="48"/>
  <c r="K104" i="44"/>
  <c r="J121" i="44"/>
  <c r="I149" i="44"/>
  <c r="J8" i="48"/>
  <c r="I74" i="48"/>
  <c r="AI114" i="48" s="1"/>
  <c r="I122" i="48"/>
  <c r="Q152" i="54"/>
  <c r="Q79" i="54"/>
  <c r="K131" i="44"/>
  <c r="Q122" i="54"/>
  <c r="J165" i="48"/>
  <c r="I171" i="44"/>
  <c r="J2" i="44"/>
  <c r="J85" i="48"/>
  <c r="Q143" i="54"/>
  <c r="J6" i="44"/>
  <c r="Q41" i="54"/>
  <c r="L161" i="48"/>
  <c r="K151" i="44"/>
  <c r="L112" i="48"/>
  <c r="Q92" i="54"/>
  <c r="J135" i="44"/>
  <c r="L168" i="48"/>
  <c r="K29" i="48"/>
  <c r="AK69" i="48" s="1"/>
  <c r="L42" i="48"/>
  <c r="Q36" i="54"/>
  <c r="I65" i="44"/>
  <c r="I149" i="48"/>
  <c r="J145" i="48"/>
  <c r="J24" i="44"/>
  <c r="J163" i="48"/>
  <c r="I97" i="48"/>
  <c r="AI137" i="48" s="1"/>
  <c r="L77" i="44"/>
  <c r="K114" i="44"/>
  <c r="I155" i="48"/>
  <c r="K37" i="48"/>
  <c r="AK77" i="48" s="1"/>
  <c r="Q15" i="54"/>
  <c r="J43" i="48"/>
  <c r="I96" i="48"/>
  <c r="AI136" i="48" s="1"/>
  <c r="L54" i="48"/>
  <c r="K23" i="48"/>
  <c r="AK63" i="48" s="1"/>
  <c r="K167" i="44"/>
  <c r="I88" i="48"/>
  <c r="AI128" i="48" s="1"/>
  <c r="K137" i="48"/>
  <c r="J80" i="44"/>
  <c r="I107" i="44"/>
  <c r="I164" i="44"/>
  <c r="K138" i="44"/>
  <c r="I106" i="48"/>
  <c r="K21" i="44"/>
  <c r="Q97" i="54"/>
  <c r="J98" i="48"/>
  <c r="J59" i="48"/>
  <c r="I49" i="44"/>
  <c r="Q91" i="54"/>
  <c r="J45" i="44"/>
  <c r="Q156" i="54"/>
  <c r="L126" i="44"/>
  <c r="L35" i="44"/>
  <c r="L30" i="48"/>
  <c r="K40" i="48"/>
  <c r="AK80" i="48" s="1"/>
  <c r="Q59" i="54"/>
  <c r="K59" i="48"/>
  <c r="AK99" i="48" s="1"/>
  <c r="L69" i="44"/>
  <c r="Q4" i="54"/>
  <c r="Q94" i="54"/>
  <c r="Q96" i="54"/>
  <c r="I80" i="48"/>
  <c r="AI120" i="48" s="1"/>
  <c r="J105" i="48"/>
  <c r="I160" i="44"/>
  <c r="L146" i="48"/>
  <c r="L114" i="48"/>
  <c r="L126" i="48"/>
  <c r="Q38" i="54"/>
  <c r="K159" i="44"/>
  <c r="L159" i="48"/>
  <c r="L108" i="48"/>
  <c r="L56" i="48"/>
  <c r="I143" i="44"/>
  <c r="I161" i="44"/>
  <c r="I93" i="48"/>
  <c r="AI133" i="48" s="1"/>
  <c r="J12" i="48"/>
  <c r="Q158" i="54"/>
  <c r="L85" i="48"/>
  <c r="K17" i="44"/>
  <c r="J9" i="48"/>
  <c r="Q6" i="54"/>
  <c r="I74" i="44"/>
  <c r="J104" i="44"/>
  <c r="L43" i="44"/>
  <c r="J122" i="44"/>
  <c r="I109" i="44"/>
  <c r="L163" i="44"/>
  <c r="I119" i="44"/>
  <c r="J47" i="44"/>
  <c r="K124" i="44"/>
  <c r="L33" i="48"/>
  <c r="L27" i="48"/>
  <c r="J110" i="48"/>
  <c r="I43" i="44"/>
  <c r="L66" i="44"/>
  <c r="K104" i="48"/>
  <c r="L37" i="44"/>
  <c r="K101" i="48"/>
  <c r="AK141" i="48" s="1"/>
  <c r="J27" i="48"/>
  <c r="K47" i="48"/>
  <c r="AK87" i="48" s="1"/>
  <c r="K40" i="44"/>
  <c r="I169" i="48"/>
  <c r="K159" i="48"/>
  <c r="J138" i="44"/>
  <c r="J64" i="44"/>
  <c r="Q40" i="54"/>
  <c r="I15" i="48"/>
  <c r="AI55" i="48" s="1"/>
  <c r="L122" i="48"/>
  <c r="Q85" i="54"/>
  <c r="I44" i="44"/>
  <c r="I32" i="44"/>
  <c r="Q90" i="54"/>
  <c r="Q123" i="54"/>
  <c r="J41" i="48"/>
  <c r="L23" i="44"/>
  <c r="J113" i="48"/>
  <c r="K7" i="48"/>
  <c r="AK47" i="48" s="1"/>
  <c r="J11" i="48"/>
  <c r="K61" i="44"/>
  <c r="J61" i="48"/>
  <c r="J136" i="48"/>
  <c r="I63" i="44"/>
  <c r="K92" i="48"/>
  <c r="AK132" i="48" s="1"/>
  <c r="L20" i="48"/>
  <c r="J173" i="48"/>
  <c r="I69" i="48"/>
  <c r="AI109" i="48" s="1"/>
  <c r="I70" i="48"/>
  <c r="AI110" i="48" s="1"/>
  <c r="I86" i="44"/>
  <c r="L11" i="44"/>
  <c r="K86" i="48"/>
  <c r="AK126" i="48" s="1"/>
  <c r="L156" i="48"/>
  <c r="J37" i="44"/>
  <c r="L61" i="48"/>
  <c r="L91" i="48"/>
  <c r="Q58" i="54"/>
  <c r="L94" i="44"/>
  <c r="L93" i="48"/>
  <c r="Q126" i="54"/>
  <c r="J33" i="44"/>
  <c r="L51" i="44"/>
  <c r="J138" i="48"/>
  <c r="I111" i="44"/>
  <c r="I67" i="48"/>
  <c r="AI107" i="48" s="1"/>
  <c r="L53" i="48"/>
  <c r="I41" i="48"/>
  <c r="AI81" i="48" s="1"/>
  <c r="J122" i="48"/>
  <c r="L45" i="48"/>
  <c r="M45" i="48" s="1"/>
  <c r="K48" i="48"/>
  <c r="AK88" i="48" s="1"/>
  <c r="I53" i="44"/>
  <c r="K119" i="44"/>
  <c r="Q32" i="54"/>
  <c r="K31" i="48"/>
  <c r="AK71" i="48" s="1"/>
  <c r="L128" i="48"/>
  <c r="L90" i="48"/>
  <c r="J84" i="44"/>
  <c r="Q3" i="54"/>
  <c r="J41" i="44"/>
  <c r="K165" i="44"/>
  <c r="K72" i="48"/>
  <c r="AK112" i="48" s="1"/>
  <c r="Q148" i="54"/>
  <c r="J36" i="48"/>
  <c r="J153" i="48"/>
  <c r="K38" i="44"/>
  <c r="K142" i="44"/>
  <c r="K142" i="48"/>
  <c r="I50" i="48"/>
  <c r="AI90" i="48" s="1"/>
  <c r="L80" i="48"/>
  <c r="J147" i="48"/>
  <c r="I168" i="48"/>
  <c r="J3" i="44"/>
  <c r="L162" i="48"/>
  <c r="Q161" i="54"/>
  <c r="K29" i="44"/>
  <c r="K15" i="48"/>
  <c r="AK55" i="48" s="1"/>
  <c r="K102" i="48"/>
  <c r="K145" i="44"/>
  <c r="L6" i="48"/>
  <c r="L48" i="44"/>
  <c r="K108" i="44"/>
  <c r="I143" i="48"/>
  <c r="J42" i="48"/>
  <c r="L120" i="48"/>
  <c r="Q83" i="54"/>
  <c r="J35" i="48"/>
  <c r="I140" i="48"/>
  <c r="L128" i="44"/>
  <c r="K105" i="48"/>
  <c r="K138" i="48"/>
  <c r="L90" i="44"/>
  <c r="L164" i="48"/>
  <c r="Q8" i="54"/>
  <c r="K51" i="44"/>
  <c r="I154" i="48"/>
  <c r="J169" i="48"/>
  <c r="Q128" i="54"/>
  <c r="I108" i="44"/>
  <c r="J112" i="48"/>
  <c r="K171" i="44"/>
  <c r="K14" i="44"/>
  <c r="Q101" i="54"/>
  <c r="K24" i="44"/>
  <c r="L14" i="48"/>
  <c r="L147" i="44"/>
  <c r="L131" i="44"/>
  <c r="I24" i="44"/>
  <c r="I144" i="44"/>
  <c r="Q88" i="54"/>
  <c r="J93" i="48"/>
  <c r="K168" i="44"/>
  <c r="L145" i="48"/>
  <c r="K71" i="44"/>
  <c r="I52" i="44"/>
  <c r="J29" i="48"/>
  <c r="J150" i="44"/>
  <c r="J171" i="48"/>
  <c r="L150" i="44"/>
  <c r="K6" i="44"/>
  <c r="K57" i="48"/>
  <c r="AK97" i="48" s="1"/>
  <c r="J132" i="44"/>
  <c r="K8" i="48"/>
  <c r="AK48" i="48" s="1"/>
  <c r="K154" i="44"/>
  <c r="L92" i="44"/>
  <c r="K109" i="44"/>
  <c r="K83" i="48"/>
  <c r="AK123" i="48" s="1"/>
  <c r="L57" i="44"/>
  <c r="K87" i="48"/>
  <c r="AK127" i="48" s="1"/>
  <c r="I77" i="44"/>
  <c r="K48" i="44"/>
  <c r="J111" i="48"/>
  <c r="I36" i="44"/>
  <c r="Q134" i="54"/>
  <c r="J151" i="44"/>
  <c r="I156" i="48"/>
  <c r="K2" i="44"/>
  <c r="I23" i="48"/>
  <c r="AI63" i="48" s="1"/>
  <c r="I126" i="44"/>
  <c r="K79" i="44"/>
  <c r="J53" i="44"/>
  <c r="J77" i="48"/>
  <c r="I29" i="48"/>
  <c r="AI69" i="48" s="1"/>
  <c r="I5" i="48"/>
  <c r="AI45" i="48" s="1"/>
  <c r="I64" i="44"/>
  <c r="I19" i="48"/>
  <c r="AI59" i="48" s="1"/>
  <c r="K111" i="44"/>
  <c r="J166" i="48"/>
  <c r="L135" i="44"/>
  <c r="J104" i="48"/>
  <c r="J28" i="44"/>
  <c r="I45" i="44"/>
  <c r="I107" i="48"/>
  <c r="Q65" i="54"/>
  <c r="I137" i="48"/>
  <c r="Q99" i="54"/>
  <c r="J129" i="44"/>
  <c r="J96" i="48"/>
  <c r="I99" i="44"/>
  <c r="I147" i="48"/>
  <c r="L133" i="44"/>
  <c r="I112" i="48"/>
  <c r="Q124" i="54"/>
  <c r="I165" i="48"/>
  <c r="K84" i="44"/>
  <c r="I121" i="48"/>
  <c r="Q31" i="54"/>
  <c r="L144" i="44"/>
  <c r="K99" i="44"/>
  <c r="J72" i="44"/>
  <c r="L9" i="48"/>
  <c r="K128" i="48"/>
  <c r="L82" i="44"/>
  <c r="K163" i="44"/>
  <c r="L166" i="44"/>
  <c r="L2" i="48"/>
  <c r="I117" i="48"/>
  <c r="Q75" i="54"/>
  <c r="I110" i="48"/>
  <c r="K65" i="44"/>
  <c r="I122" i="44"/>
  <c r="I112" i="44"/>
  <c r="J77" i="44"/>
  <c r="L141" i="44"/>
  <c r="J15" i="44"/>
  <c r="K140" i="44"/>
  <c r="J127" i="44"/>
  <c r="L143" i="48"/>
  <c r="I151" i="48"/>
  <c r="L15" i="48"/>
  <c r="K41" i="44"/>
  <c r="J141" i="44"/>
  <c r="I17" i="48"/>
  <c r="AI57" i="48" s="1"/>
  <c r="I142" i="44"/>
  <c r="K146" i="48"/>
  <c r="J2" i="48"/>
  <c r="K68" i="48"/>
  <c r="AK108" i="48" s="1"/>
  <c r="K103" i="48"/>
  <c r="L151" i="48"/>
  <c r="Q120" i="54"/>
  <c r="J64" i="48"/>
  <c r="L54" i="44"/>
  <c r="L100" i="44"/>
  <c r="I136" i="44"/>
  <c r="J162" i="44"/>
  <c r="J72" i="48"/>
  <c r="K158" i="44"/>
  <c r="K169" i="44"/>
  <c r="I105" i="44"/>
  <c r="J83" i="48"/>
  <c r="I128" i="44"/>
  <c r="K137" i="44"/>
  <c r="K103" i="44"/>
  <c r="L17" i="44"/>
  <c r="L172" i="48"/>
  <c r="I67" i="44"/>
  <c r="I48" i="48"/>
  <c r="AI88" i="48" s="1"/>
  <c r="K50" i="44"/>
  <c r="Q54" i="54"/>
  <c r="L118" i="48"/>
  <c r="Q80" i="54"/>
  <c r="L168" i="44"/>
  <c r="K15" i="44"/>
  <c r="Q34" i="54"/>
  <c r="L111" i="48"/>
  <c r="L84" i="48"/>
  <c r="K108" i="48"/>
  <c r="Q66" i="54"/>
  <c r="K35" i="48"/>
  <c r="AK75" i="48" s="1"/>
  <c r="L43" i="48"/>
  <c r="I110" i="44"/>
  <c r="L134" i="44"/>
  <c r="J71" i="48"/>
  <c r="L139" i="48"/>
  <c r="L167" i="44"/>
  <c r="Q132" i="54"/>
  <c r="I55" i="44"/>
  <c r="L108" i="44"/>
  <c r="I104" i="44"/>
  <c r="J125" i="48"/>
  <c r="L154" i="44"/>
  <c r="L171" i="48"/>
  <c r="K118" i="44"/>
  <c r="L42" i="44"/>
  <c r="K156" i="48"/>
  <c r="I151" i="44"/>
  <c r="K88" i="44"/>
  <c r="J117" i="48"/>
  <c r="J45" i="48"/>
  <c r="K37" i="44"/>
  <c r="Q39" i="54"/>
  <c r="K120" i="48"/>
  <c r="J87" i="48"/>
  <c r="L41" i="48"/>
  <c r="I124" i="44"/>
  <c r="J47" i="48"/>
  <c r="K125" i="44"/>
  <c r="K165" i="48"/>
  <c r="J57" i="48"/>
  <c r="K116" i="48"/>
  <c r="I163" i="44"/>
  <c r="I109" i="48"/>
  <c r="I127" i="48"/>
  <c r="L37" i="48"/>
  <c r="K110" i="44"/>
  <c r="K143" i="48"/>
  <c r="L153" i="44"/>
  <c r="K14" i="48"/>
  <c r="AK54" i="48" s="1"/>
  <c r="Q146" i="54"/>
  <c r="I79" i="44"/>
  <c r="J139" i="44"/>
  <c r="K153" i="44"/>
  <c r="J24" i="48"/>
  <c r="I79" i="48"/>
  <c r="AI119" i="48" s="1"/>
  <c r="L13" i="44"/>
  <c r="J16" i="48"/>
  <c r="L109" i="44"/>
  <c r="J126" i="48"/>
  <c r="L85" i="44"/>
  <c r="K71" i="48"/>
  <c r="AK111" i="48" s="1"/>
  <c r="K145" i="48"/>
  <c r="J83" i="44"/>
  <c r="J121" i="48"/>
  <c r="Q42" i="54"/>
  <c r="Q145" i="54"/>
  <c r="K168" i="48"/>
  <c r="K82" i="44"/>
  <c r="I83" i="48"/>
  <c r="AI123" i="48" s="1"/>
  <c r="J123" i="48"/>
  <c r="K52" i="48"/>
  <c r="AK92" i="48" s="1"/>
  <c r="K12" i="48"/>
  <c r="AK52" i="48" s="1"/>
  <c r="I170" i="44"/>
  <c r="L165" i="48"/>
  <c r="I167" i="44"/>
  <c r="L57" i="48"/>
  <c r="L160" i="48"/>
  <c r="L109" i="48"/>
  <c r="L135" i="48"/>
  <c r="K13" i="48"/>
  <c r="AK53" i="48" s="1"/>
  <c r="J152" i="44"/>
  <c r="L15" i="44"/>
  <c r="J40" i="48"/>
  <c r="I80" i="44"/>
  <c r="Q45" i="54"/>
  <c r="I108" i="48"/>
  <c r="J74" i="44"/>
  <c r="Q167" i="54"/>
  <c r="J126" i="44"/>
  <c r="Q17" i="54"/>
  <c r="J160" i="48"/>
  <c r="K132" i="44"/>
  <c r="J53" i="48"/>
  <c r="J14" i="44"/>
  <c r="I134" i="44"/>
  <c r="K73" i="44"/>
  <c r="I66" i="44"/>
  <c r="L74" i="44"/>
  <c r="I111" i="48"/>
  <c r="J146" i="44"/>
  <c r="L65" i="48"/>
  <c r="I135" i="44"/>
  <c r="J52" i="44"/>
  <c r="I119" i="48"/>
  <c r="L88" i="48"/>
  <c r="K136" i="44"/>
  <c r="K141" i="48"/>
  <c r="I103" i="48"/>
  <c r="K33" i="48"/>
  <c r="AK73" i="48" s="1"/>
  <c r="I51" i="48"/>
  <c r="AI91" i="48" s="1"/>
  <c r="L121" i="44"/>
  <c r="L102" i="44"/>
  <c r="I12" i="48"/>
  <c r="AI52" i="48" s="1"/>
  <c r="J120" i="48"/>
  <c r="J154" i="44"/>
  <c r="J174" i="48"/>
  <c r="K166" i="44"/>
  <c r="I27" i="48"/>
  <c r="AI67" i="48" s="1"/>
  <c r="J44" i="48"/>
  <c r="L55" i="44"/>
  <c r="L3" i="48"/>
  <c r="I105" i="48"/>
  <c r="L84" i="44"/>
  <c r="K55" i="44"/>
  <c r="K118" i="48"/>
  <c r="J73" i="48"/>
  <c r="J79" i="48"/>
  <c r="L97" i="44"/>
  <c r="J118" i="48"/>
  <c r="L52" i="48"/>
  <c r="K161" i="44"/>
  <c r="Q64" i="54"/>
  <c r="L167" i="48"/>
  <c r="K174" i="48"/>
  <c r="I146" i="44"/>
  <c r="K121" i="48"/>
  <c r="J115" i="48"/>
  <c r="L38" i="44"/>
  <c r="J158" i="44"/>
  <c r="L123" i="48"/>
  <c r="J143" i="48"/>
  <c r="I54" i="44"/>
  <c r="I13" i="44"/>
  <c r="J43" i="44"/>
  <c r="K172" i="48"/>
  <c r="L67" i="48"/>
  <c r="J100" i="48"/>
  <c r="I150" i="44"/>
  <c r="Q47" i="54"/>
  <c r="Q108" i="54"/>
  <c r="L148" i="44"/>
  <c r="J68" i="48"/>
  <c r="I131" i="44"/>
  <c r="K175" i="48"/>
  <c r="I82" i="48"/>
  <c r="AI122" i="48" s="1"/>
  <c r="I145" i="48"/>
  <c r="I3" i="48"/>
  <c r="AI43" i="48" s="1"/>
  <c r="L148" i="48"/>
  <c r="J167" i="48"/>
  <c r="J32" i="44"/>
  <c r="L163" i="48"/>
  <c r="J116" i="44"/>
  <c r="J143" i="44"/>
  <c r="L117" i="44"/>
  <c r="J54" i="44"/>
  <c r="I175" i="48"/>
  <c r="Q140" i="54"/>
  <c r="K54" i="44"/>
  <c r="J155" i="44"/>
  <c r="I116" i="48"/>
  <c r="Q117" i="54"/>
  <c r="I118" i="48"/>
  <c r="J135" i="48"/>
  <c r="L82" i="48"/>
  <c r="L79" i="44"/>
  <c r="Q166" i="54"/>
  <c r="L19" i="44"/>
  <c r="K144" i="48"/>
  <c r="L104" i="44"/>
  <c r="K111" i="48"/>
  <c r="L5" i="44"/>
  <c r="J84" i="48"/>
  <c r="L16" i="48"/>
  <c r="L111" i="44"/>
  <c r="I73" i="48"/>
  <c r="AI113" i="48" s="1"/>
  <c r="J141" i="48"/>
  <c r="I87" i="44"/>
  <c r="Q10" i="54"/>
  <c r="I121" i="44"/>
  <c r="I148" i="44"/>
  <c r="L123" i="44"/>
  <c r="I120" i="44"/>
  <c r="K149" i="48"/>
  <c r="K135" i="48"/>
  <c r="I71" i="48"/>
  <c r="AI111" i="48" s="1"/>
  <c r="Q107" i="54"/>
  <c r="K134" i="44"/>
  <c r="I157" i="44"/>
  <c r="I29" i="44"/>
  <c r="L36" i="44"/>
  <c r="I127" i="44"/>
  <c r="L136" i="48"/>
  <c r="L64" i="48"/>
  <c r="L162" i="44"/>
  <c r="I129" i="44"/>
  <c r="Q163" i="54"/>
  <c r="J117" i="44"/>
  <c r="J157" i="48"/>
  <c r="L136" i="44"/>
  <c r="K135" i="44"/>
  <c r="Q22" i="54"/>
  <c r="I115" i="48"/>
  <c r="J19" i="44"/>
  <c r="I24" i="48"/>
  <c r="AI64" i="48" s="1"/>
  <c r="J75" i="48"/>
  <c r="J101" i="48"/>
  <c r="J137" i="48"/>
  <c r="K152" i="48"/>
  <c r="J23" i="44"/>
  <c r="I117" i="44"/>
  <c r="K25" i="44"/>
  <c r="I104" i="48"/>
  <c r="L52" i="44"/>
  <c r="K34" i="48"/>
  <c r="AK74" i="48" s="1"/>
  <c r="J90" i="48"/>
  <c r="L100" i="48"/>
  <c r="L147" i="48"/>
  <c r="I131" i="48"/>
  <c r="I50" i="44"/>
  <c r="K72" i="44"/>
  <c r="I5" i="44"/>
  <c r="L171" i="44"/>
  <c r="I156" i="44"/>
  <c r="J3" i="48"/>
  <c r="Q119" i="54"/>
  <c r="L68" i="44"/>
  <c r="Q82" i="54"/>
  <c r="I141" i="44"/>
  <c r="J25" i="48"/>
  <c r="J78" i="44"/>
  <c r="K127" i="48"/>
  <c r="I139" i="48"/>
  <c r="K33" i="44"/>
  <c r="K120" i="44"/>
  <c r="J65" i="44"/>
  <c r="Q37" i="54"/>
  <c r="K17" i="48"/>
  <c r="AK57" i="48" s="1"/>
  <c r="L129" i="44"/>
  <c r="L88" i="44"/>
  <c r="J145" i="44"/>
  <c r="Q139" i="54"/>
  <c r="Q29" i="54"/>
  <c r="J8" i="44"/>
  <c r="L31" i="44"/>
  <c r="I36" i="48"/>
  <c r="AI76" i="48" s="1"/>
  <c r="J151" i="48"/>
  <c r="K153" i="48"/>
  <c r="L10" i="48"/>
  <c r="L127" i="48"/>
  <c r="K78" i="44"/>
  <c r="K160" i="48"/>
  <c r="K50" i="48"/>
  <c r="AK90" i="48" s="1"/>
  <c r="L6" i="44"/>
  <c r="I17" i="44"/>
  <c r="Q111" i="54"/>
  <c r="Q144" i="54"/>
  <c r="L169" i="48"/>
  <c r="K82" i="48"/>
  <c r="AK122" i="48" s="1"/>
  <c r="L9" i="44"/>
  <c r="J129" i="48"/>
  <c r="L87" i="44"/>
  <c r="I19" i="44"/>
  <c r="I171" i="48"/>
  <c r="L134" i="48"/>
  <c r="L152" i="48"/>
  <c r="Q136" i="54"/>
  <c r="K43" i="48"/>
  <c r="AK83" i="48" s="1"/>
  <c r="K110" i="48"/>
  <c r="L17" i="48"/>
  <c r="I166" i="44"/>
  <c r="J165" i="44"/>
  <c r="L119" i="44"/>
  <c r="Q16" i="54"/>
  <c r="J96" i="44"/>
  <c r="I2" i="44"/>
  <c r="J118" i="44"/>
  <c r="I159" i="44"/>
  <c r="L175" i="48"/>
  <c r="I32" i="48"/>
  <c r="AI72" i="48" s="1"/>
  <c r="K136" i="48"/>
  <c r="I142" i="48"/>
  <c r="Q74" i="54"/>
  <c r="J148" i="44"/>
  <c r="Q157" i="54"/>
  <c r="L40" i="48"/>
  <c r="J133" i="48"/>
  <c r="I157" i="48"/>
  <c r="J38" i="48"/>
  <c r="L24" i="44"/>
  <c r="J124" i="48"/>
  <c r="J147" i="44"/>
  <c r="I14" i="44"/>
  <c r="K147" i="44"/>
  <c r="I169" i="44"/>
  <c r="J80" i="48"/>
  <c r="L47" i="48"/>
  <c r="J50" i="44"/>
  <c r="I66" i="48"/>
  <c r="AI106" i="48" s="1"/>
  <c r="J130" i="48"/>
  <c r="J6" i="48"/>
  <c r="J142" i="48"/>
  <c r="J134" i="48"/>
  <c r="Q72" i="54"/>
  <c r="I25" i="48"/>
  <c r="AI65" i="48" s="1"/>
  <c r="K13" i="44"/>
  <c r="L50" i="48"/>
  <c r="L156" i="44"/>
  <c r="L39" i="44"/>
  <c r="I78" i="48"/>
  <c r="AI118" i="48" s="1"/>
  <c r="K39" i="48"/>
  <c r="AK79" i="48" s="1"/>
  <c r="I139" i="44"/>
  <c r="K79" i="48"/>
  <c r="AK119" i="48" s="1"/>
  <c r="K52" i="44"/>
  <c r="L50" i="44"/>
  <c r="K88" i="48"/>
  <c r="AK128" i="48" s="1"/>
  <c r="K77" i="48"/>
  <c r="AK117" i="48" s="1"/>
  <c r="Q67" i="54"/>
  <c r="K28" i="48"/>
  <c r="AK68" i="48" s="1"/>
  <c r="Q110" i="54"/>
  <c r="I28" i="44"/>
  <c r="L140" i="44"/>
  <c r="J140" i="48"/>
  <c r="I150" i="48"/>
  <c r="Q103" i="54"/>
  <c r="J22" i="48"/>
  <c r="K161" i="48"/>
  <c r="I129" i="48"/>
  <c r="I37" i="44"/>
  <c r="L47" i="44"/>
  <c r="K36" i="48"/>
  <c r="AK76" i="48" s="1"/>
  <c r="L51" i="48"/>
  <c r="J105" i="44"/>
  <c r="J167" i="44"/>
  <c r="J108" i="48"/>
  <c r="I164" i="48"/>
  <c r="K6" i="48"/>
  <c r="AK46" i="48" s="1"/>
  <c r="J156" i="44"/>
  <c r="I118" i="44"/>
  <c r="I54" i="48"/>
  <c r="AI94" i="48" s="1"/>
  <c r="I72" i="44"/>
  <c r="L64" i="44"/>
  <c r="J92" i="48"/>
  <c r="L138" i="44"/>
  <c r="J56" i="48"/>
  <c r="I159" i="48"/>
  <c r="J152" i="48"/>
  <c r="K80" i="48"/>
  <c r="AK120" i="48" s="1"/>
  <c r="K102" i="44"/>
  <c r="J67" i="48"/>
  <c r="J23" i="48"/>
  <c r="I53" i="48"/>
  <c r="AI93" i="48" s="1"/>
  <c r="L19" i="48"/>
  <c r="L164" i="44"/>
  <c r="J100" i="44"/>
  <c r="K173" i="48"/>
  <c r="L36" i="48"/>
  <c r="K112" i="48"/>
  <c r="L124" i="48"/>
  <c r="I102" i="44"/>
  <c r="J144" i="44"/>
  <c r="L75" i="44"/>
  <c r="J27" i="44"/>
  <c r="J85" i="44"/>
  <c r="J153" i="44"/>
  <c r="J10" i="48"/>
  <c r="I42" i="44"/>
  <c r="K151" i="48"/>
  <c r="L157" i="44"/>
  <c r="Q169" i="54"/>
  <c r="K34" i="44"/>
  <c r="L99" i="44"/>
  <c r="Q51" i="54"/>
  <c r="K101" i="44"/>
  <c r="L138" i="48"/>
  <c r="K115" i="48"/>
  <c r="J44" i="44"/>
  <c r="L149" i="48"/>
  <c r="I56" i="48"/>
  <c r="AI96" i="48" s="1"/>
  <c r="I47" i="48"/>
  <c r="AI87" i="48" s="1"/>
  <c r="K67" i="48"/>
  <c r="AK107" i="48" s="1"/>
  <c r="J127" i="48"/>
  <c r="J125" i="44"/>
  <c r="I85" i="48"/>
  <c r="AI125" i="48" s="1"/>
  <c r="I132" i="44"/>
  <c r="J162" i="48"/>
  <c r="Q43" i="54"/>
  <c r="L154" i="48"/>
  <c r="K85" i="48"/>
  <c r="AK125" i="48" s="1"/>
  <c r="I10" i="48"/>
  <c r="AI50" i="48" s="1"/>
  <c r="L125" i="48"/>
  <c r="I25" i="44"/>
  <c r="I57" i="44"/>
  <c r="Q171" i="54"/>
  <c r="J92" i="44"/>
  <c r="K44" i="44"/>
  <c r="L131" i="48"/>
  <c r="K122" i="44"/>
  <c r="Q53" i="54"/>
  <c r="I9" i="44"/>
  <c r="L39" i="48"/>
  <c r="I148" i="48"/>
  <c r="I40" i="44"/>
  <c r="J142" i="44"/>
  <c r="K107" i="48"/>
  <c r="Q33" i="54"/>
  <c r="I125" i="44"/>
  <c r="I173" i="48"/>
  <c r="J73" i="44"/>
  <c r="I103" i="44"/>
  <c r="K19" i="44"/>
  <c r="L93" i="44"/>
  <c r="Q154" i="54"/>
  <c r="Q149" i="54"/>
  <c r="L23" i="48"/>
  <c r="K22" i="48"/>
  <c r="AK62" i="48" s="1"/>
  <c r="I40" i="48"/>
  <c r="AI80" i="48" s="1"/>
  <c r="I45" i="48"/>
  <c r="AI85" i="48" s="1"/>
  <c r="Q44" i="54"/>
  <c r="L78" i="44"/>
  <c r="J109" i="48"/>
  <c r="Q142" i="54"/>
  <c r="I170" i="48"/>
  <c r="J128" i="48"/>
  <c r="I153" i="44"/>
  <c r="K19" i="48"/>
  <c r="AK59" i="48" s="1"/>
  <c r="L29" i="44"/>
  <c r="K16" i="44"/>
  <c r="L160" i="44"/>
  <c r="L8" i="44"/>
  <c r="J42" i="44"/>
  <c r="Q170" i="54"/>
  <c r="L173" i="48"/>
  <c r="I73" i="44"/>
  <c r="K36" i="44"/>
  <c r="K112" i="44"/>
  <c r="I114" i="48"/>
  <c r="Q84" i="54"/>
  <c r="L35" i="48"/>
  <c r="L78" i="48"/>
  <c r="K160" i="44"/>
  <c r="K74" i="44"/>
  <c r="J54" i="48"/>
  <c r="L24" i="48"/>
  <c r="I116" i="44"/>
  <c r="L157" i="48"/>
  <c r="M157" i="48" s="1"/>
  <c r="L110" i="48"/>
  <c r="K166" i="48"/>
  <c r="I2" i="48"/>
  <c r="AI42" i="48" s="1"/>
  <c r="I27" i="44"/>
  <c r="I144" i="48"/>
  <c r="Q27" i="54"/>
  <c r="L34" i="44"/>
  <c r="I34" i="48"/>
  <c r="AI74" i="48" s="1"/>
  <c r="J170" i="44"/>
  <c r="L104" i="48"/>
  <c r="J116" i="48"/>
  <c r="J12" i="44"/>
  <c r="L71" i="48"/>
  <c r="I160" i="48"/>
  <c r="J67" i="44"/>
  <c r="I130" i="48"/>
  <c r="I146" i="48"/>
  <c r="J16" i="44"/>
  <c r="L142" i="48"/>
  <c r="J48" i="44"/>
  <c r="K12" i="44"/>
  <c r="I65" i="48"/>
  <c r="AI105" i="48" s="1"/>
  <c r="L103" i="44"/>
  <c r="L151" i="44"/>
  <c r="I55" i="48"/>
  <c r="AI95" i="48" s="1"/>
  <c r="I9" i="48"/>
  <c r="AI49" i="48" s="1"/>
  <c r="I153" i="48"/>
  <c r="L112" i="44"/>
  <c r="I38" i="44"/>
  <c r="L105" i="44"/>
  <c r="K31" i="44"/>
  <c r="J48" i="48"/>
  <c r="L169" i="44"/>
  <c r="Q138" i="54"/>
  <c r="Q121" i="54"/>
  <c r="K126" i="48"/>
  <c r="I135" i="48"/>
  <c r="J55" i="44"/>
  <c r="J15" i="48"/>
  <c r="J123" i="44"/>
  <c r="I138" i="44"/>
  <c r="K73" i="48"/>
  <c r="AK113" i="48" s="1"/>
  <c r="Q131" i="54"/>
  <c r="Q150" i="54"/>
  <c r="I68" i="44"/>
  <c r="I88" i="44"/>
  <c r="Q151" i="54"/>
  <c r="I10" i="44"/>
  <c r="J39" i="44"/>
  <c r="J124" i="44"/>
  <c r="Q9" i="54"/>
  <c r="I140" i="44"/>
  <c r="K155" i="44"/>
  <c r="J90" i="44"/>
  <c r="Q28" i="54"/>
  <c r="L158" i="48"/>
  <c r="L72" i="48"/>
  <c r="K170" i="44"/>
  <c r="K93" i="44"/>
  <c r="J51" i="48"/>
  <c r="L114" i="44"/>
  <c r="J10" i="44"/>
  <c r="L83" i="48"/>
  <c r="J28" i="48"/>
  <c r="L146" i="44"/>
  <c r="L107" i="44"/>
  <c r="K162" i="44"/>
  <c r="J161" i="44"/>
  <c r="J33" i="48"/>
  <c r="I162" i="48"/>
  <c r="L22" i="44"/>
  <c r="J149" i="44"/>
  <c r="K107" i="44"/>
  <c r="J36" i="44"/>
  <c r="K139" i="48"/>
  <c r="J14" i="48"/>
  <c r="I134" i="48"/>
  <c r="L144" i="48"/>
  <c r="I152" i="48"/>
  <c r="K171" i="48"/>
  <c r="J111" i="44"/>
  <c r="I84" i="44"/>
  <c r="K129" i="44"/>
  <c r="J40" i="44"/>
  <c r="Q115" i="54"/>
  <c r="J103" i="44"/>
  <c r="L158" i="44"/>
  <c r="K75" i="48"/>
  <c r="AK115" i="48" s="1"/>
  <c r="K164" i="44"/>
  <c r="Q164" i="54"/>
  <c r="J17" i="48"/>
  <c r="L55" i="48"/>
  <c r="L3" i="44"/>
  <c r="L149" i="44"/>
  <c r="L10" i="44"/>
  <c r="I155" i="44"/>
  <c r="I31" i="44"/>
  <c r="I87" i="48"/>
  <c r="AI127" i="48" s="1"/>
  <c r="K147" i="48"/>
  <c r="I8" i="44"/>
  <c r="K163" i="48"/>
  <c r="K122" i="48"/>
  <c r="I90" i="44"/>
  <c r="J66" i="44"/>
  <c r="L118" i="44"/>
  <c r="K130" i="44"/>
  <c r="J71" i="44"/>
  <c r="I162" i="44"/>
  <c r="J140" i="44"/>
  <c r="L140" i="48"/>
  <c r="I85" i="44"/>
  <c r="L80" i="44"/>
  <c r="J159" i="44"/>
  <c r="I99" i="48"/>
  <c r="AI139" i="48" s="1"/>
  <c r="L56" i="44"/>
  <c r="J22" i="44"/>
  <c r="K129" i="48"/>
  <c r="I123" i="44"/>
  <c r="J154" i="48"/>
  <c r="J115" i="44"/>
  <c r="I28" i="48"/>
  <c r="AI68" i="48" s="1"/>
  <c r="I23" i="44"/>
  <c r="I8" i="48"/>
  <c r="AI48" i="48" s="1"/>
  <c r="L115" i="44"/>
  <c r="L155" i="44"/>
  <c r="K80" i="44"/>
  <c r="J99" i="44"/>
  <c r="J39" i="48"/>
  <c r="Q35" i="54"/>
  <c r="K8" i="44"/>
  <c r="K47" i="44"/>
  <c r="K123" i="44"/>
  <c r="L74" i="48"/>
  <c r="K164" i="48"/>
  <c r="K170" i="48"/>
  <c r="K10" i="44"/>
  <c r="Q13" i="54"/>
  <c r="K27" i="44"/>
  <c r="I101" i="44"/>
  <c r="Q104" i="54"/>
  <c r="I13" i="48"/>
  <c r="AI53" i="48" s="1"/>
  <c r="J35" i="44"/>
  <c r="K152" i="44"/>
  <c r="J82" i="44"/>
  <c r="J97" i="48"/>
  <c r="J52" i="48"/>
  <c r="K99" i="48"/>
  <c r="AK139" i="48" s="1"/>
  <c r="L2" i="44"/>
  <c r="I128" i="48"/>
  <c r="J93" i="44"/>
  <c r="Q12" i="54"/>
  <c r="I115" i="44"/>
  <c r="J31" i="48"/>
  <c r="J132" i="48"/>
  <c r="J171" i="44"/>
  <c r="I102" i="48"/>
  <c r="L101" i="44"/>
  <c r="K158" i="48"/>
  <c r="L67" i="44"/>
  <c r="L125" i="44"/>
  <c r="I6" i="44"/>
  <c r="I163" i="48"/>
  <c r="J88" i="44"/>
  <c r="Q105" i="54"/>
  <c r="K42" i="48"/>
  <c r="AK82" i="48" s="1"/>
  <c r="K117" i="48"/>
  <c r="K90" i="48"/>
  <c r="AK130" i="48" s="1"/>
  <c r="J133" i="44"/>
  <c r="Q77" i="54"/>
  <c r="K2" i="48"/>
  <c r="AK42" i="48" s="1"/>
  <c r="K150" i="48"/>
  <c r="K144" i="44"/>
  <c r="L33" i="44"/>
  <c r="J160" i="44"/>
  <c r="I22" i="44"/>
  <c r="L145" i="44"/>
  <c r="I168" i="44"/>
  <c r="J65" i="48"/>
  <c r="L71" i="44"/>
  <c r="L97" i="48"/>
  <c r="K9" i="44"/>
  <c r="J13" i="48"/>
  <c r="K3" i="44"/>
  <c r="L132" i="44"/>
  <c r="Q102" i="54"/>
  <c r="J25" i="44"/>
  <c r="J109" i="44"/>
  <c r="L176" i="48"/>
  <c r="K167" i="48"/>
  <c r="Q25" i="54"/>
  <c r="J131" i="48"/>
  <c r="K90" i="44"/>
  <c r="L119" i="48"/>
  <c r="I174" i="48"/>
  <c r="K157" i="48"/>
  <c r="Q55" i="54"/>
  <c r="J144" i="48"/>
  <c r="J150" i="48"/>
  <c r="L124" i="44"/>
  <c r="J34" i="48"/>
  <c r="J169" i="44"/>
  <c r="I114" i="44"/>
  <c r="Q153" i="54"/>
  <c r="J136" i="44"/>
  <c r="Q109" i="54"/>
  <c r="J5" i="48"/>
  <c r="J148" i="48"/>
  <c r="K132" i="48"/>
  <c r="K105" i="44"/>
  <c r="I82" i="44"/>
  <c r="Q73" i="54"/>
  <c r="I52" i="48"/>
  <c r="AI92" i="48" s="1"/>
  <c r="K133" i="44"/>
  <c r="I147" i="44"/>
  <c r="K23" i="44"/>
  <c r="J134" i="44"/>
  <c r="I101" i="48"/>
  <c r="AI141" i="48" s="1"/>
  <c r="L38" i="48"/>
  <c r="L68" i="48"/>
  <c r="K24" i="48"/>
  <c r="AK64" i="48" s="1"/>
  <c r="J163" i="44"/>
  <c r="K53" i="44"/>
  <c r="J119" i="48"/>
  <c r="K125" i="48"/>
  <c r="K45" i="48"/>
  <c r="AK85" i="48" s="1"/>
  <c r="I72" i="48"/>
  <c r="AI112" i="48" s="1"/>
  <c r="I6" i="48"/>
  <c r="AI46" i="48" s="1"/>
  <c r="K39" i="44"/>
  <c r="K117" i="44"/>
  <c r="I51" i="44"/>
  <c r="J166" i="44"/>
  <c r="J103" i="48"/>
  <c r="M171" i="48" l="1"/>
  <c r="M162" i="48"/>
  <c r="R18" i="54"/>
  <c r="Y18" i="54"/>
  <c r="X18" i="54"/>
  <c r="U18" i="54"/>
  <c r="W18" i="54"/>
  <c r="V18" i="54"/>
  <c r="T18" i="54"/>
  <c r="S18" i="54"/>
  <c r="Z18" i="54"/>
  <c r="M142" i="48"/>
  <c r="M47" i="48"/>
  <c r="M10" i="48"/>
  <c r="M55" i="48"/>
  <c r="M23" i="48"/>
  <c r="M53" i="48"/>
  <c r="M140" i="48"/>
  <c r="M74" i="48"/>
  <c r="M71" i="48"/>
  <c r="M123" i="48"/>
  <c r="M97" i="48"/>
  <c r="M124" i="48"/>
  <c r="M176" i="48"/>
  <c r="M125" i="48"/>
  <c r="M144" i="48"/>
  <c r="M51" i="48"/>
  <c r="M172" i="48"/>
  <c r="M35" i="48"/>
  <c r="M83" i="48"/>
  <c r="M88" i="48"/>
  <c r="M40" i="48"/>
  <c r="M36" i="48"/>
  <c r="M149" i="48"/>
  <c r="M169" i="48"/>
  <c r="M131" i="48"/>
  <c r="M173" i="48"/>
  <c r="M104" i="48"/>
  <c r="M68" i="48"/>
  <c r="M39" i="48"/>
  <c r="M127" i="48"/>
  <c r="M72" i="48"/>
  <c r="M38" i="48"/>
  <c r="M78" i="48"/>
  <c r="M158" i="48"/>
  <c r="M119" i="48"/>
  <c r="M17" i="48"/>
  <c r="M148" i="48"/>
  <c r="M145" i="48"/>
  <c r="M154" i="48"/>
  <c r="M135" i="48"/>
  <c r="M15" i="48"/>
  <c r="M163" i="48"/>
  <c r="M134" i="48"/>
  <c r="M100" i="48"/>
  <c r="M136" i="48"/>
  <c r="M52" i="48"/>
  <c r="M82" i="48"/>
  <c r="M56" i="48"/>
  <c r="M143" i="48"/>
  <c r="M122" i="48"/>
  <c r="M80" i="48"/>
  <c r="M108" i="48"/>
  <c r="M161" i="48"/>
  <c r="M117" i="48"/>
  <c r="M48" i="48"/>
  <c r="M150" i="48"/>
  <c r="M164" i="48"/>
  <c r="M159" i="48"/>
  <c r="M5" i="48"/>
  <c r="M120" i="48"/>
  <c r="M91" i="48"/>
  <c r="M49" i="48"/>
  <c r="M133" i="48"/>
  <c r="M116" i="48"/>
  <c r="M29" i="48"/>
  <c r="M96" i="48"/>
  <c r="M22" i="48"/>
  <c r="M132" i="48"/>
  <c r="M89" i="48"/>
  <c r="M106" i="48"/>
  <c r="M32" i="48"/>
  <c r="M101" i="48"/>
  <c r="M113" i="48"/>
  <c r="M24" i="48"/>
  <c r="M37" i="48"/>
  <c r="M12" i="48"/>
  <c r="M99" i="48"/>
  <c r="M27" i="48"/>
  <c r="M92" i="48"/>
  <c r="M28" i="48"/>
  <c r="M16" i="48"/>
  <c r="M139" i="48"/>
  <c r="M33" i="48"/>
  <c r="M126" i="48"/>
  <c r="M42" i="48"/>
  <c r="M129" i="48"/>
  <c r="M115" i="48"/>
  <c r="M114" i="48"/>
  <c r="M59" i="48"/>
  <c r="M153" i="48"/>
  <c r="M95" i="48"/>
  <c r="M8" i="48"/>
  <c r="M167" i="48"/>
  <c r="M93" i="48"/>
  <c r="M146" i="48"/>
  <c r="M168" i="48"/>
  <c r="M34" i="48"/>
  <c r="M174" i="48"/>
  <c r="M60" i="48"/>
  <c r="M107" i="48"/>
  <c r="M121" i="48"/>
  <c r="M152" i="48"/>
  <c r="M147" i="48"/>
  <c r="M64" i="48"/>
  <c r="M41" i="48"/>
  <c r="M43" i="48"/>
  <c r="M86" i="48"/>
  <c r="M4" i="48"/>
  <c r="M137" i="48"/>
  <c r="M94" i="48"/>
  <c r="M112" i="48"/>
  <c r="M73" i="48"/>
  <c r="M76" i="48"/>
  <c r="M63" i="48"/>
  <c r="M11" i="48"/>
  <c r="M61" i="48"/>
  <c r="M103" i="48"/>
  <c r="M155" i="48"/>
  <c r="M81" i="48"/>
  <c r="M130" i="48"/>
  <c r="M84" i="48"/>
  <c r="M156" i="48"/>
  <c r="M70" i="48"/>
  <c r="M109" i="48"/>
  <c r="M111" i="48"/>
  <c r="M14" i="48"/>
  <c r="M90" i="48"/>
  <c r="M54" i="48"/>
  <c r="M69" i="48"/>
  <c r="M79" i="48"/>
  <c r="M21" i="48"/>
  <c r="M66" i="48"/>
  <c r="M65" i="48"/>
  <c r="M160" i="48"/>
  <c r="M2" i="48"/>
  <c r="M6" i="48"/>
  <c r="M128" i="48"/>
  <c r="M50" i="48"/>
  <c r="M57" i="48"/>
  <c r="M151" i="48"/>
  <c r="M77" i="48"/>
  <c r="M58" i="48"/>
  <c r="M102" i="48"/>
  <c r="M46" i="48"/>
  <c r="M26" i="48"/>
  <c r="M19" i="48"/>
  <c r="M67" i="48"/>
  <c r="M165" i="48"/>
  <c r="M85" i="48"/>
  <c r="M30" i="48"/>
  <c r="M166" i="48"/>
  <c r="M44" i="48"/>
  <c r="M87" i="48"/>
  <c r="M141" i="48"/>
  <c r="M75" i="48"/>
  <c r="M18" i="48"/>
  <c r="M3" i="48"/>
  <c r="M118" i="48"/>
  <c r="M105" i="48"/>
  <c r="M25" i="48"/>
  <c r="M170" i="48"/>
  <c r="M98" i="48"/>
  <c r="M110" i="48"/>
  <c r="M138" i="48"/>
  <c r="M175" i="48"/>
  <c r="M9" i="48"/>
  <c r="M20" i="48"/>
  <c r="M7" i="48"/>
  <c r="M62" i="48"/>
  <c r="M13" i="48"/>
  <c r="M31" i="48"/>
  <c r="Y105" i="54"/>
  <c r="U105" i="54"/>
  <c r="V105" i="54"/>
  <c r="Z105" i="54"/>
  <c r="T105" i="54"/>
  <c r="W105" i="54"/>
  <c r="X105" i="54"/>
  <c r="Y8" i="54"/>
  <c r="X8" i="54"/>
  <c r="U8" i="54"/>
  <c r="V8" i="54"/>
  <c r="T8" i="54"/>
  <c r="Z8" i="54"/>
  <c r="W8" i="54"/>
  <c r="V167" i="54"/>
  <c r="T167" i="54"/>
  <c r="X167" i="54"/>
  <c r="W167" i="54"/>
  <c r="Z167" i="54"/>
  <c r="U167" i="54"/>
  <c r="Y167" i="54"/>
  <c r="W124" i="54"/>
  <c r="V124" i="54"/>
  <c r="X124" i="54"/>
  <c r="Y124" i="54"/>
  <c r="Z124" i="54"/>
  <c r="T124" i="54"/>
  <c r="U124" i="54"/>
  <c r="X38" i="54"/>
  <c r="Y38" i="54"/>
  <c r="Z38" i="54"/>
  <c r="U38" i="54"/>
  <c r="W38" i="54"/>
  <c r="T38" i="54"/>
  <c r="V38" i="54"/>
  <c r="Z36" i="54"/>
  <c r="Y36" i="54"/>
  <c r="W36" i="54"/>
  <c r="T36" i="54"/>
  <c r="V36" i="54"/>
  <c r="X36" i="54"/>
  <c r="U36" i="54"/>
  <c r="V98" i="54"/>
  <c r="U98" i="54"/>
  <c r="W98" i="54"/>
  <c r="X98" i="54"/>
  <c r="Z98" i="54"/>
  <c r="T98" i="54"/>
  <c r="Y98" i="54"/>
  <c r="V2" i="54"/>
  <c r="U2" i="54"/>
  <c r="Z2" i="54"/>
  <c r="X2" i="54"/>
  <c r="T2" i="54"/>
  <c r="Y2" i="54"/>
  <c r="W2" i="54"/>
  <c r="T162" i="54"/>
  <c r="U162" i="54"/>
  <c r="V162" i="54"/>
  <c r="Z162" i="54"/>
  <c r="W162" i="54"/>
  <c r="X162" i="54"/>
  <c r="Y162" i="54"/>
  <c r="Y137" i="54"/>
  <c r="V137" i="54"/>
  <c r="Z137" i="54"/>
  <c r="T137" i="54"/>
  <c r="X137" i="54"/>
  <c r="W137" i="54"/>
  <c r="U137" i="54"/>
  <c r="Y104" i="54"/>
  <c r="X104" i="54"/>
  <c r="U104" i="54"/>
  <c r="V104" i="54"/>
  <c r="W104" i="54"/>
  <c r="Z104" i="54"/>
  <c r="T104" i="54"/>
  <c r="W145" i="54"/>
  <c r="U145" i="54"/>
  <c r="X145" i="54"/>
  <c r="Y145" i="54"/>
  <c r="Z145" i="54"/>
  <c r="T145" i="54"/>
  <c r="V145" i="54"/>
  <c r="Z84" i="54"/>
  <c r="X84" i="54"/>
  <c r="U84" i="54"/>
  <c r="Y84" i="54"/>
  <c r="V84" i="54"/>
  <c r="W84" i="54"/>
  <c r="T84" i="54"/>
  <c r="Y149" i="54"/>
  <c r="W149" i="54"/>
  <c r="U149" i="54"/>
  <c r="X149" i="54"/>
  <c r="V149" i="54"/>
  <c r="Z149" i="54"/>
  <c r="T149" i="54"/>
  <c r="T67" i="54"/>
  <c r="X67" i="54"/>
  <c r="Y67" i="54"/>
  <c r="V67" i="54"/>
  <c r="W67" i="54"/>
  <c r="U67" i="54"/>
  <c r="Z67" i="54"/>
  <c r="W169" i="54"/>
  <c r="U169" i="54"/>
  <c r="T169" i="54"/>
  <c r="X169" i="54"/>
  <c r="V169" i="54"/>
  <c r="Y169" i="54"/>
  <c r="Z169" i="54"/>
  <c r="V42" i="54"/>
  <c r="W42" i="54"/>
  <c r="X42" i="54"/>
  <c r="U42" i="54"/>
  <c r="Y42" i="54"/>
  <c r="Z42" i="54"/>
  <c r="T42" i="54"/>
  <c r="X78" i="54"/>
  <c r="W78" i="54"/>
  <c r="T78" i="54"/>
  <c r="U78" i="54"/>
  <c r="V78" i="54"/>
  <c r="Y78" i="54"/>
  <c r="Z78" i="54"/>
  <c r="Z154" i="54"/>
  <c r="Y154" i="54"/>
  <c r="X154" i="54"/>
  <c r="U154" i="54"/>
  <c r="V154" i="54"/>
  <c r="W154" i="54"/>
  <c r="T154" i="54"/>
  <c r="T163" i="54"/>
  <c r="Z163" i="54"/>
  <c r="W163" i="54"/>
  <c r="U163" i="54"/>
  <c r="Y163" i="54"/>
  <c r="X163" i="54"/>
  <c r="V163" i="54"/>
  <c r="X126" i="54"/>
  <c r="W126" i="54"/>
  <c r="Z126" i="54"/>
  <c r="T126" i="54"/>
  <c r="Y126" i="54"/>
  <c r="U126" i="54"/>
  <c r="V126" i="54"/>
  <c r="W68" i="54"/>
  <c r="X68" i="54"/>
  <c r="Y68" i="54"/>
  <c r="V68" i="54"/>
  <c r="T68" i="54"/>
  <c r="U68" i="54"/>
  <c r="Z68" i="54"/>
  <c r="W49" i="54"/>
  <c r="U49" i="54"/>
  <c r="Y49" i="54"/>
  <c r="T49" i="54"/>
  <c r="X49" i="54"/>
  <c r="V49" i="54"/>
  <c r="Z49" i="54"/>
  <c r="Z155" i="54"/>
  <c r="X155" i="54"/>
  <c r="U155" i="54"/>
  <c r="V155" i="54"/>
  <c r="T155" i="54"/>
  <c r="W155" i="54"/>
  <c r="Y155" i="54"/>
  <c r="Y125" i="54"/>
  <c r="W125" i="54"/>
  <c r="X125" i="54"/>
  <c r="Z125" i="54"/>
  <c r="T125" i="54"/>
  <c r="U125" i="54"/>
  <c r="V125" i="54"/>
  <c r="X102" i="54"/>
  <c r="W102" i="54"/>
  <c r="V102" i="54"/>
  <c r="Y102" i="54"/>
  <c r="T102" i="54"/>
  <c r="Z102" i="54"/>
  <c r="U102" i="54"/>
  <c r="W13" i="54"/>
  <c r="T13" i="54"/>
  <c r="X13" i="54"/>
  <c r="Y13" i="54"/>
  <c r="V13" i="54"/>
  <c r="U13" i="54"/>
  <c r="Z13" i="54"/>
  <c r="U45" i="54"/>
  <c r="X45" i="54"/>
  <c r="Y45" i="54"/>
  <c r="V45" i="54"/>
  <c r="T45" i="54"/>
  <c r="W45" i="54"/>
  <c r="Z45" i="54"/>
  <c r="X123" i="54"/>
  <c r="V123" i="54"/>
  <c r="T123" i="54"/>
  <c r="W123" i="54"/>
  <c r="Y123" i="54"/>
  <c r="Z123" i="54"/>
  <c r="U123" i="54"/>
  <c r="T46" i="54"/>
  <c r="U46" i="54"/>
  <c r="V46" i="54"/>
  <c r="X46" i="54"/>
  <c r="Y46" i="54"/>
  <c r="Z46" i="54"/>
  <c r="W46" i="54"/>
  <c r="U21" i="54"/>
  <c r="T21" i="54"/>
  <c r="Y21" i="54"/>
  <c r="Z21" i="54"/>
  <c r="W21" i="54"/>
  <c r="X21" i="54"/>
  <c r="V21" i="54"/>
  <c r="Z62" i="54"/>
  <c r="Y62" i="54"/>
  <c r="V62" i="54"/>
  <c r="W62" i="54"/>
  <c r="X62" i="54"/>
  <c r="U62" i="54"/>
  <c r="T62" i="54"/>
  <c r="Y109" i="54"/>
  <c r="V109" i="54"/>
  <c r="Z109" i="54"/>
  <c r="W109" i="54"/>
  <c r="T109" i="54"/>
  <c r="X109" i="54"/>
  <c r="U109" i="54"/>
  <c r="T115" i="54"/>
  <c r="V115" i="54"/>
  <c r="X115" i="54"/>
  <c r="U115" i="54"/>
  <c r="Y115" i="54"/>
  <c r="W115" i="54"/>
  <c r="Z115" i="54"/>
  <c r="T43" i="54"/>
  <c r="V43" i="54"/>
  <c r="X43" i="54"/>
  <c r="U43" i="54"/>
  <c r="Y43" i="54"/>
  <c r="W43" i="54"/>
  <c r="Z43" i="54"/>
  <c r="T136" i="54"/>
  <c r="U136" i="54"/>
  <c r="Y136" i="54"/>
  <c r="V136" i="54"/>
  <c r="W136" i="54"/>
  <c r="X136" i="54"/>
  <c r="Z136" i="54"/>
  <c r="Y29" i="54"/>
  <c r="W29" i="54"/>
  <c r="V29" i="54"/>
  <c r="Z29" i="54"/>
  <c r="X29" i="54"/>
  <c r="T29" i="54"/>
  <c r="U29" i="54"/>
  <c r="Y64" i="54"/>
  <c r="Z64" i="54"/>
  <c r="V64" i="54"/>
  <c r="T64" i="54"/>
  <c r="W64" i="54"/>
  <c r="X64" i="54"/>
  <c r="U64" i="54"/>
  <c r="W148" i="54"/>
  <c r="V148" i="54"/>
  <c r="Y148" i="54"/>
  <c r="Z148" i="54"/>
  <c r="U148" i="54"/>
  <c r="X148" i="54"/>
  <c r="T148" i="54"/>
  <c r="Z90" i="54"/>
  <c r="W90" i="54"/>
  <c r="T90" i="54"/>
  <c r="V90" i="54"/>
  <c r="U90" i="54"/>
  <c r="Y90" i="54"/>
  <c r="X90" i="54"/>
  <c r="Z14" i="54"/>
  <c r="V14" i="54"/>
  <c r="W14" i="54"/>
  <c r="X14" i="54"/>
  <c r="T14" i="54"/>
  <c r="Y14" i="54"/>
  <c r="U14" i="54"/>
  <c r="V23" i="54"/>
  <c r="T23" i="54"/>
  <c r="X23" i="54"/>
  <c r="Z23" i="54"/>
  <c r="U23" i="54"/>
  <c r="W23" i="54"/>
  <c r="Y23" i="54"/>
  <c r="T70" i="54"/>
  <c r="V70" i="54"/>
  <c r="W70" i="54"/>
  <c r="X70" i="54"/>
  <c r="Y70" i="54"/>
  <c r="Z70" i="54"/>
  <c r="U70" i="54"/>
  <c r="Z31" i="54"/>
  <c r="X31" i="54"/>
  <c r="V31" i="54"/>
  <c r="Y31" i="54"/>
  <c r="W31" i="54"/>
  <c r="T31" i="54"/>
  <c r="U31" i="54"/>
  <c r="U89" i="54"/>
  <c r="T89" i="54"/>
  <c r="Z89" i="54"/>
  <c r="W89" i="54"/>
  <c r="V89" i="54"/>
  <c r="Y89" i="54"/>
  <c r="X89" i="54"/>
  <c r="T164" i="54"/>
  <c r="U164" i="54"/>
  <c r="W164" i="54"/>
  <c r="Z164" i="54"/>
  <c r="V164" i="54"/>
  <c r="Y164" i="54"/>
  <c r="X164" i="54"/>
  <c r="T86" i="54"/>
  <c r="U86" i="54"/>
  <c r="V86" i="54"/>
  <c r="Y86" i="54"/>
  <c r="Z86" i="54"/>
  <c r="X86" i="54"/>
  <c r="W86" i="54"/>
  <c r="U165" i="54"/>
  <c r="T165" i="54"/>
  <c r="Y165" i="54"/>
  <c r="Z165" i="54"/>
  <c r="W165" i="54"/>
  <c r="X165" i="54"/>
  <c r="V165" i="54"/>
  <c r="V170" i="54"/>
  <c r="U170" i="54"/>
  <c r="T170" i="54"/>
  <c r="W170" i="54"/>
  <c r="Y170" i="54"/>
  <c r="Z170" i="54"/>
  <c r="X170" i="54"/>
  <c r="X66" i="54"/>
  <c r="Y66" i="54"/>
  <c r="Z66" i="54"/>
  <c r="V66" i="54"/>
  <c r="W66" i="54"/>
  <c r="T66" i="54"/>
  <c r="U66" i="54"/>
  <c r="X99" i="54"/>
  <c r="V99" i="54"/>
  <c r="W99" i="54"/>
  <c r="Y99" i="54"/>
  <c r="Z99" i="54"/>
  <c r="T99" i="54"/>
  <c r="U99" i="54"/>
  <c r="W85" i="54"/>
  <c r="X85" i="54"/>
  <c r="Y85" i="54"/>
  <c r="V85" i="54"/>
  <c r="U85" i="54"/>
  <c r="T85" i="54"/>
  <c r="Z85" i="54"/>
  <c r="U96" i="54"/>
  <c r="T96" i="54"/>
  <c r="W96" i="54"/>
  <c r="X96" i="54"/>
  <c r="Y96" i="54"/>
  <c r="V96" i="54"/>
  <c r="Z96" i="54"/>
  <c r="V71" i="54"/>
  <c r="T71" i="54"/>
  <c r="U71" i="54"/>
  <c r="Y71" i="54"/>
  <c r="Z71" i="54"/>
  <c r="W71" i="54"/>
  <c r="X71" i="54"/>
  <c r="U168" i="54"/>
  <c r="T168" i="54"/>
  <c r="Z168" i="54"/>
  <c r="X168" i="54"/>
  <c r="V168" i="54"/>
  <c r="Y168" i="54"/>
  <c r="W168" i="54"/>
  <c r="X30" i="54"/>
  <c r="W30" i="54"/>
  <c r="Z30" i="54"/>
  <c r="V30" i="54"/>
  <c r="Y30" i="54"/>
  <c r="T30" i="54"/>
  <c r="U30" i="54"/>
  <c r="X112" i="54"/>
  <c r="U112" i="54"/>
  <c r="Y112" i="54"/>
  <c r="Z112" i="54"/>
  <c r="V112" i="54"/>
  <c r="W112" i="54"/>
  <c r="T112" i="54"/>
  <c r="Z35" i="54"/>
  <c r="T35" i="54"/>
  <c r="Y35" i="54"/>
  <c r="V35" i="54"/>
  <c r="W35" i="54"/>
  <c r="X35" i="54"/>
  <c r="U35" i="54"/>
  <c r="T166" i="54"/>
  <c r="Z166" i="54"/>
  <c r="W166" i="54"/>
  <c r="U166" i="54"/>
  <c r="X166" i="54"/>
  <c r="V166" i="54"/>
  <c r="Y166" i="54"/>
  <c r="X39" i="54"/>
  <c r="U39" i="54"/>
  <c r="Z39" i="54"/>
  <c r="W39" i="54"/>
  <c r="Y39" i="54"/>
  <c r="T39" i="54"/>
  <c r="V39" i="54"/>
  <c r="X3" i="54"/>
  <c r="V3" i="54"/>
  <c r="Z3" i="54"/>
  <c r="U3" i="54"/>
  <c r="T3" i="54"/>
  <c r="Y3" i="54"/>
  <c r="W3" i="54"/>
  <c r="T94" i="54"/>
  <c r="X94" i="54"/>
  <c r="Y94" i="54"/>
  <c r="Z94" i="54"/>
  <c r="U94" i="54"/>
  <c r="W94" i="54"/>
  <c r="V94" i="54"/>
  <c r="T20" i="54"/>
  <c r="U20" i="54"/>
  <c r="Z20" i="54"/>
  <c r="W20" i="54"/>
  <c r="X20" i="54"/>
  <c r="V20" i="54"/>
  <c r="Y20" i="54"/>
  <c r="W100" i="54"/>
  <c r="V100" i="54"/>
  <c r="Y100" i="54"/>
  <c r="X100" i="54"/>
  <c r="U100" i="54"/>
  <c r="Z100" i="54"/>
  <c r="T100" i="54"/>
  <c r="X116" i="54"/>
  <c r="U116" i="54"/>
  <c r="Y116" i="54"/>
  <c r="V116" i="54"/>
  <c r="W116" i="54"/>
  <c r="Z116" i="54"/>
  <c r="T116" i="54"/>
  <c r="Z151" i="54"/>
  <c r="X151" i="54"/>
  <c r="Y151" i="54"/>
  <c r="T151" i="54"/>
  <c r="U151" i="54"/>
  <c r="W151" i="54"/>
  <c r="V151" i="54"/>
  <c r="Y152" i="54"/>
  <c r="X152" i="54"/>
  <c r="U152" i="54"/>
  <c r="Z152" i="54"/>
  <c r="T152" i="54"/>
  <c r="W152" i="54"/>
  <c r="V152" i="54"/>
  <c r="U44" i="54"/>
  <c r="V44" i="54"/>
  <c r="W44" i="54"/>
  <c r="X44" i="54"/>
  <c r="T44" i="54"/>
  <c r="Y44" i="54"/>
  <c r="Z44" i="54"/>
  <c r="T22" i="54"/>
  <c r="Z22" i="54"/>
  <c r="W22" i="54"/>
  <c r="U22" i="54"/>
  <c r="X22" i="54"/>
  <c r="V22" i="54"/>
  <c r="Y22" i="54"/>
  <c r="Z132" i="54"/>
  <c r="U132" i="54"/>
  <c r="V132" i="54"/>
  <c r="W132" i="54"/>
  <c r="T132" i="54"/>
  <c r="X132" i="54"/>
  <c r="Y132" i="54"/>
  <c r="T139" i="54"/>
  <c r="X139" i="54"/>
  <c r="Y139" i="54"/>
  <c r="V139" i="54"/>
  <c r="Z139" i="54"/>
  <c r="W139" i="54"/>
  <c r="U139" i="54"/>
  <c r="Y92" i="54"/>
  <c r="Z92" i="54"/>
  <c r="T92" i="54"/>
  <c r="W92" i="54"/>
  <c r="X92" i="54"/>
  <c r="U92" i="54"/>
  <c r="V92" i="54"/>
  <c r="Y65" i="54"/>
  <c r="V65" i="54"/>
  <c r="Z65" i="54"/>
  <c r="T65" i="54"/>
  <c r="W65" i="54"/>
  <c r="X65" i="54"/>
  <c r="U65" i="54"/>
  <c r="W4" i="54"/>
  <c r="V4" i="54"/>
  <c r="Y4" i="54"/>
  <c r="U4" i="54"/>
  <c r="X4" i="54"/>
  <c r="T4" i="54"/>
  <c r="Z4" i="54"/>
  <c r="W28" i="54"/>
  <c r="V28" i="54"/>
  <c r="Y28" i="54"/>
  <c r="T28" i="54"/>
  <c r="X28" i="54"/>
  <c r="U28" i="54"/>
  <c r="Z28" i="54"/>
  <c r="X27" i="54"/>
  <c r="V27" i="54"/>
  <c r="Y27" i="54"/>
  <c r="U27" i="54"/>
  <c r="W27" i="54"/>
  <c r="T27" i="54"/>
  <c r="Z27" i="54"/>
  <c r="V47" i="54"/>
  <c r="T47" i="54"/>
  <c r="U47" i="54"/>
  <c r="Z47" i="54"/>
  <c r="X47" i="54"/>
  <c r="Y47" i="54"/>
  <c r="W47" i="54"/>
  <c r="Z34" i="54"/>
  <c r="Y34" i="54"/>
  <c r="V34" i="54"/>
  <c r="W34" i="54"/>
  <c r="T34" i="54"/>
  <c r="X34" i="54"/>
  <c r="U34" i="54"/>
  <c r="U120" i="54"/>
  <c r="T120" i="54"/>
  <c r="Y120" i="54"/>
  <c r="Z120" i="54"/>
  <c r="W120" i="54"/>
  <c r="X120" i="54"/>
  <c r="V120" i="54"/>
  <c r="X6" i="54"/>
  <c r="W6" i="54"/>
  <c r="Y6" i="54"/>
  <c r="U6" i="54"/>
  <c r="V6" i="54"/>
  <c r="T6" i="54"/>
  <c r="Z6" i="54"/>
  <c r="V143" i="54"/>
  <c r="T143" i="54"/>
  <c r="Y143" i="54"/>
  <c r="Z143" i="54"/>
  <c r="W143" i="54"/>
  <c r="U143" i="54"/>
  <c r="X143" i="54"/>
  <c r="Y81" i="54"/>
  <c r="U81" i="54"/>
  <c r="X81" i="54"/>
  <c r="V81" i="54"/>
  <c r="T81" i="54"/>
  <c r="Z81" i="54"/>
  <c r="W81" i="54"/>
  <c r="U93" i="54"/>
  <c r="Y93" i="54"/>
  <c r="Z93" i="54"/>
  <c r="T93" i="54"/>
  <c r="W93" i="54"/>
  <c r="X93" i="54"/>
  <c r="V93" i="54"/>
  <c r="U61" i="54"/>
  <c r="T61" i="54"/>
  <c r="X61" i="54"/>
  <c r="Z61" i="54"/>
  <c r="Y61" i="54"/>
  <c r="W61" i="54"/>
  <c r="V61" i="54"/>
  <c r="V50" i="54"/>
  <c r="U50" i="54"/>
  <c r="T50" i="54"/>
  <c r="Z50" i="54"/>
  <c r="W50" i="54"/>
  <c r="Y50" i="54"/>
  <c r="X50" i="54"/>
  <c r="Z88" i="54"/>
  <c r="W88" i="54"/>
  <c r="T88" i="54"/>
  <c r="V88" i="54"/>
  <c r="U88" i="54"/>
  <c r="Y88" i="54"/>
  <c r="X88" i="54"/>
  <c r="Z127" i="54"/>
  <c r="X127" i="54"/>
  <c r="W127" i="54"/>
  <c r="T127" i="54"/>
  <c r="Y127" i="54"/>
  <c r="V127" i="54"/>
  <c r="U127" i="54"/>
  <c r="W157" i="54"/>
  <c r="T157" i="54"/>
  <c r="X157" i="54"/>
  <c r="U157" i="54"/>
  <c r="Y157" i="54"/>
  <c r="V157" i="54"/>
  <c r="Z157" i="54"/>
  <c r="Z59" i="54"/>
  <c r="V59" i="54"/>
  <c r="T59" i="54"/>
  <c r="W59" i="54"/>
  <c r="X59" i="54"/>
  <c r="U59" i="54"/>
  <c r="Y59" i="54"/>
  <c r="X114" i="54"/>
  <c r="U114" i="54"/>
  <c r="W114" i="54"/>
  <c r="Y114" i="54"/>
  <c r="T114" i="54"/>
  <c r="Z114" i="54"/>
  <c r="V114" i="54"/>
  <c r="V95" i="54"/>
  <c r="T95" i="54"/>
  <c r="X95" i="54"/>
  <c r="Z95" i="54"/>
  <c r="W95" i="54"/>
  <c r="U95" i="54"/>
  <c r="Y95" i="54"/>
  <c r="Z79" i="54"/>
  <c r="X79" i="54"/>
  <c r="T79" i="54"/>
  <c r="U79" i="54"/>
  <c r="Y79" i="54"/>
  <c r="W79" i="54"/>
  <c r="V79" i="54"/>
  <c r="W25" i="54"/>
  <c r="U25" i="54"/>
  <c r="Y25" i="54"/>
  <c r="V25" i="54"/>
  <c r="T25" i="54"/>
  <c r="Z25" i="54"/>
  <c r="X25" i="54"/>
  <c r="X150" i="54"/>
  <c r="W150" i="54"/>
  <c r="Y150" i="54"/>
  <c r="Z150" i="54"/>
  <c r="U150" i="54"/>
  <c r="T150" i="54"/>
  <c r="V150" i="54"/>
  <c r="U16" i="54"/>
  <c r="V16" i="54"/>
  <c r="W16" i="54"/>
  <c r="Z16" i="54"/>
  <c r="T16" i="54"/>
  <c r="X16" i="54"/>
  <c r="Y16" i="54"/>
  <c r="W73" i="54"/>
  <c r="U73" i="54"/>
  <c r="V73" i="54"/>
  <c r="Z73" i="54"/>
  <c r="T73" i="54"/>
  <c r="X73" i="54"/>
  <c r="Y73" i="54"/>
  <c r="U17" i="54"/>
  <c r="Z17" i="54"/>
  <c r="W17" i="54"/>
  <c r="T17" i="54"/>
  <c r="V17" i="54"/>
  <c r="Y17" i="54"/>
  <c r="X17" i="54"/>
  <c r="Z58" i="54"/>
  <c r="Y58" i="54"/>
  <c r="W58" i="54"/>
  <c r="T58" i="54"/>
  <c r="X58" i="54"/>
  <c r="U58" i="54"/>
  <c r="V58" i="54"/>
  <c r="Z12" i="54"/>
  <c r="W12" i="54"/>
  <c r="X12" i="54"/>
  <c r="Y12" i="54"/>
  <c r="T12" i="54"/>
  <c r="U12" i="54"/>
  <c r="V12" i="54"/>
  <c r="Z107" i="54"/>
  <c r="T107" i="54"/>
  <c r="Y107" i="54"/>
  <c r="V107" i="54"/>
  <c r="W107" i="54"/>
  <c r="X107" i="54"/>
  <c r="U107" i="54"/>
  <c r="Z55" i="54"/>
  <c r="X55" i="54"/>
  <c r="W55" i="54"/>
  <c r="T55" i="54"/>
  <c r="Y55" i="54"/>
  <c r="V55" i="54"/>
  <c r="U55" i="54"/>
  <c r="U117" i="54"/>
  <c r="X117" i="54"/>
  <c r="Y117" i="54"/>
  <c r="V117" i="54"/>
  <c r="W117" i="54"/>
  <c r="Z117" i="54"/>
  <c r="T117" i="54"/>
  <c r="Y32" i="54"/>
  <c r="X32" i="54"/>
  <c r="Z32" i="54"/>
  <c r="V32" i="54"/>
  <c r="T32" i="54"/>
  <c r="W32" i="54"/>
  <c r="U32" i="54"/>
  <c r="V15" i="54"/>
  <c r="W15" i="54"/>
  <c r="T15" i="54"/>
  <c r="Y15" i="54"/>
  <c r="U15" i="54"/>
  <c r="Z15" i="54"/>
  <c r="X15" i="54"/>
  <c r="U24" i="54"/>
  <c r="T24" i="54"/>
  <c r="W24" i="54"/>
  <c r="X24" i="54"/>
  <c r="V24" i="54"/>
  <c r="Z24" i="54"/>
  <c r="Y24" i="54"/>
  <c r="V87" i="54"/>
  <c r="Z87" i="54"/>
  <c r="W87" i="54"/>
  <c r="T87" i="54"/>
  <c r="X87" i="54"/>
  <c r="Y87" i="54"/>
  <c r="U87" i="54"/>
  <c r="Z103" i="54"/>
  <c r="X103" i="54"/>
  <c r="V103" i="54"/>
  <c r="Y103" i="54"/>
  <c r="T103" i="54"/>
  <c r="W103" i="54"/>
  <c r="U103" i="54"/>
  <c r="Z82" i="54"/>
  <c r="Y82" i="54"/>
  <c r="T82" i="54"/>
  <c r="X82" i="54"/>
  <c r="U82" i="54"/>
  <c r="V82" i="54"/>
  <c r="W82" i="54"/>
  <c r="Z60" i="54"/>
  <c r="W60" i="54"/>
  <c r="X60" i="54"/>
  <c r="U60" i="54"/>
  <c r="T60" i="54"/>
  <c r="Y60" i="54"/>
  <c r="V60" i="54"/>
  <c r="Z131" i="54"/>
  <c r="V131" i="54"/>
  <c r="W131" i="54"/>
  <c r="U131" i="54"/>
  <c r="T131" i="54"/>
  <c r="Y131" i="54"/>
  <c r="X131" i="54"/>
  <c r="Y57" i="54"/>
  <c r="W57" i="54"/>
  <c r="T57" i="54"/>
  <c r="Z57" i="54"/>
  <c r="U57" i="54"/>
  <c r="X57" i="54"/>
  <c r="V57" i="54"/>
  <c r="V26" i="54"/>
  <c r="U26" i="54"/>
  <c r="T26" i="54"/>
  <c r="W26" i="54"/>
  <c r="Y26" i="54"/>
  <c r="Z26" i="54"/>
  <c r="X26" i="54"/>
  <c r="Z11" i="54"/>
  <c r="X11" i="54"/>
  <c r="Y11" i="54"/>
  <c r="V11" i="54"/>
  <c r="W11" i="54"/>
  <c r="U11" i="54"/>
  <c r="T11" i="54"/>
  <c r="Y9" i="54"/>
  <c r="X9" i="54"/>
  <c r="U9" i="54"/>
  <c r="V9" i="54"/>
  <c r="Z9" i="54"/>
  <c r="T9" i="54"/>
  <c r="W9" i="54"/>
  <c r="U144" i="54"/>
  <c r="T144" i="54"/>
  <c r="V144" i="54"/>
  <c r="Z144" i="54"/>
  <c r="W144" i="54"/>
  <c r="Y144" i="54"/>
  <c r="X144" i="54"/>
  <c r="V146" i="54"/>
  <c r="U146" i="54"/>
  <c r="Z146" i="54"/>
  <c r="X146" i="54"/>
  <c r="W146" i="54"/>
  <c r="T146" i="54"/>
  <c r="Y146" i="54"/>
  <c r="Y80" i="54"/>
  <c r="X80" i="54"/>
  <c r="T80" i="54"/>
  <c r="U80" i="54"/>
  <c r="Z80" i="54"/>
  <c r="W80" i="54"/>
  <c r="V80" i="54"/>
  <c r="V159" i="54"/>
  <c r="T159" i="54"/>
  <c r="X159" i="54"/>
  <c r="Y159" i="54"/>
  <c r="U159" i="54"/>
  <c r="W159" i="54"/>
  <c r="Z159" i="54"/>
  <c r="X147" i="54"/>
  <c r="V147" i="54"/>
  <c r="Z147" i="54"/>
  <c r="T147" i="54"/>
  <c r="U147" i="54"/>
  <c r="W147" i="54"/>
  <c r="Y147" i="54"/>
  <c r="T135" i="54"/>
  <c r="Z135" i="54"/>
  <c r="U135" i="54"/>
  <c r="X135" i="54"/>
  <c r="Y135" i="54"/>
  <c r="V135" i="54"/>
  <c r="W135" i="54"/>
  <c r="U69" i="54"/>
  <c r="W69" i="54"/>
  <c r="Y69" i="54"/>
  <c r="T69" i="54"/>
  <c r="Z69" i="54"/>
  <c r="X69" i="54"/>
  <c r="V69" i="54"/>
  <c r="U141" i="54"/>
  <c r="W141" i="54"/>
  <c r="Y141" i="54"/>
  <c r="V141" i="54"/>
  <c r="Z141" i="54"/>
  <c r="T141" i="54"/>
  <c r="X141" i="54"/>
  <c r="T19" i="54"/>
  <c r="Z19" i="54"/>
  <c r="W19" i="54"/>
  <c r="U19" i="54"/>
  <c r="V19" i="54"/>
  <c r="Y19" i="54"/>
  <c r="X19" i="54"/>
  <c r="T138" i="54"/>
  <c r="Y138" i="54"/>
  <c r="V138" i="54"/>
  <c r="Z138" i="54"/>
  <c r="X138" i="54"/>
  <c r="W138" i="54"/>
  <c r="U138" i="54"/>
  <c r="Y33" i="54"/>
  <c r="Z33" i="54"/>
  <c r="U33" i="54"/>
  <c r="V33" i="54"/>
  <c r="W33" i="54"/>
  <c r="T33" i="54"/>
  <c r="X33" i="54"/>
  <c r="X75" i="54"/>
  <c r="V75" i="54"/>
  <c r="Z75" i="54"/>
  <c r="U75" i="54"/>
  <c r="W75" i="54"/>
  <c r="T75" i="54"/>
  <c r="Y75" i="54"/>
  <c r="V74" i="54"/>
  <c r="U74" i="54"/>
  <c r="X74" i="54"/>
  <c r="Y74" i="54"/>
  <c r="Z74" i="54"/>
  <c r="W74" i="54"/>
  <c r="T74" i="54"/>
  <c r="U72" i="54"/>
  <c r="T72" i="54"/>
  <c r="V72" i="54"/>
  <c r="W72" i="54"/>
  <c r="Y72" i="54"/>
  <c r="Z72" i="54"/>
  <c r="X72" i="54"/>
  <c r="X111" i="54"/>
  <c r="U111" i="54"/>
  <c r="V111" i="54"/>
  <c r="W111" i="54"/>
  <c r="Z111" i="54"/>
  <c r="Y111" i="54"/>
  <c r="T111" i="54"/>
  <c r="V158" i="54"/>
  <c r="W158" i="54"/>
  <c r="X158" i="54"/>
  <c r="T158" i="54"/>
  <c r="Y158" i="54"/>
  <c r="Z158" i="54"/>
  <c r="U158" i="54"/>
  <c r="U48" i="54"/>
  <c r="T48" i="54"/>
  <c r="V48" i="54"/>
  <c r="Y48" i="54"/>
  <c r="Z48" i="54"/>
  <c r="X48" i="54"/>
  <c r="W48" i="54"/>
  <c r="Y5" i="54"/>
  <c r="W5" i="54"/>
  <c r="Z5" i="54"/>
  <c r="U5" i="54"/>
  <c r="X5" i="54"/>
  <c r="T5" i="54"/>
  <c r="V5" i="54"/>
  <c r="W113" i="54"/>
  <c r="X113" i="54"/>
  <c r="U113" i="54"/>
  <c r="V113" i="54"/>
  <c r="Y113" i="54"/>
  <c r="T113" i="54"/>
  <c r="Z113" i="54"/>
  <c r="Z7" i="54"/>
  <c r="X7" i="54"/>
  <c r="Y7" i="54"/>
  <c r="T7" i="54"/>
  <c r="U7" i="54"/>
  <c r="V7" i="54"/>
  <c r="W7" i="54"/>
  <c r="Z10" i="54"/>
  <c r="Y10" i="54"/>
  <c r="X10" i="54"/>
  <c r="U10" i="54"/>
  <c r="V10" i="54"/>
  <c r="W10" i="54"/>
  <c r="T10" i="54"/>
  <c r="X171" i="54"/>
  <c r="V171" i="54"/>
  <c r="Y171" i="54"/>
  <c r="T171" i="54"/>
  <c r="W171" i="54"/>
  <c r="U171" i="54"/>
  <c r="Z171" i="54"/>
  <c r="V119" i="54"/>
  <c r="T119" i="54"/>
  <c r="Z119" i="54"/>
  <c r="U119" i="54"/>
  <c r="Y119" i="54"/>
  <c r="X119" i="54"/>
  <c r="W119" i="54"/>
  <c r="T110" i="54"/>
  <c r="Y110" i="54"/>
  <c r="Z110" i="54"/>
  <c r="W110" i="54"/>
  <c r="X110" i="54"/>
  <c r="V110" i="54"/>
  <c r="U110" i="54"/>
  <c r="W97" i="54"/>
  <c r="U97" i="54"/>
  <c r="V97" i="54"/>
  <c r="Z97" i="54"/>
  <c r="T97" i="54"/>
  <c r="X97" i="54"/>
  <c r="Y97" i="54"/>
  <c r="Z83" i="54"/>
  <c r="X83" i="54"/>
  <c r="U83" i="54"/>
  <c r="Y83" i="54"/>
  <c r="V83" i="54"/>
  <c r="W83" i="54"/>
  <c r="T83" i="54"/>
  <c r="Y153" i="54"/>
  <c r="X153" i="54"/>
  <c r="U153" i="54"/>
  <c r="V153" i="54"/>
  <c r="Z153" i="54"/>
  <c r="W153" i="54"/>
  <c r="T153" i="54"/>
  <c r="W121" i="54"/>
  <c r="U121" i="54"/>
  <c r="Y121" i="54"/>
  <c r="V121" i="54"/>
  <c r="T121" i="54"/>
  <c r="X121" i="54"/>
  <c r="Z121" i="54"/>
  <c r="W41" i="54"/>
  <c r="X41" i="54"/>
  <c r="U41" i="54"/>
  <c r="Y41" i="54"/>
  <c r="V41" i="54"/>
  <c r="Z41" i="54"/>
  <c r="T41" i="54"/>
  <c r="Y37" i="54"/>
  <c r="X37" i="54"/>
  <c r="U37" i="54"/>
  <c r="V37" i="54"/>
  <c r="W37" i="54"/>
  <c r="Z37" i="54"/>
  <c r="T37" i="54"/>
  <c r="W40" i="54"/>
  <c r="X40" i="54"/>
  <c r="Y40" i="54"/>
  <c r="U40" i="54"/>
  <c r="Z40" i="54"/>
  <c r="T40" i="54"/>
  <c r="V40" i="54"/>
  <c r="Y77" i="54"/>
  <c r="W77" i="54"/>
  <c r="U77" i="54"/>
  <c r="X77" i="54"/>
  <c r="V77" i="54"/>
  <c r="Z77" i="54"/>
  <c r="T77" i="54"/>
  <c r="Y53" i="54"/>
  <c r="W53" i="54"/>
  <c r="T53" i="54"/>
  <c r="Z53" i="54"/>
  <c r="U53" i="54"/>
  <c r="V53" i="54"/>
  <c r="X53" i="54"/>
  <c r="X54" i="54"/>
  <c r="W54" i="54"/>
  <c r="T54" i="54"/>
  <c r="Z54" i="54"/>
  <c r="Y54" i="54"/>
  <c r="V54" i="54"/>
  <c r="U54" i="54"/>
  <c r="U161" i="54"/>
  <c r="Z161" i="54"/>
  <c r="W161" i="54"/>
  <c r="T161" i="54"/>
  <c r="X161" i="54"/>
  <c r="Y161" i="54"/>
  <c r="V161" i="54"/>
  <c r="V122" i="54"/>
  <c r="U122" i="54"/>
  <c r="X122" i="54"/>
  <c r="Y122" i="54"/>
  <c r="Z122" i="54"/>
  <c r="W122" i="54"/>
  <c r="T122" i="54"/>
  <c r="T118" i="54"/>
  <c r="Z118" i="54"/>
  <c r="U118" i="54"/>
  <c r="X118" i="54"/>
  <c r="Y118" i="54"/>
  <c r="V118" i="54"/>
  <c r="W118" i="54"/>
  <c r="W52" i="54"/>
  <c r="V52" i="54"/>
  <c r="T52" i="54"/>
  <c r="U52" i="54"/>
  <c r="X52" i="54"/>
  <c r="Z52" i="54"/>
  <c r="Y52" i="54"/>
  <c r="Z63" i="54"/>
  <c r="T63" i="54"/>
  <c r="Y63" i="54"/>
  <c r="V63" i="54"/>
  <c r="W63" i="54"/>
  <c r="X63" i="54"/>
  <c r="U63" i="54"/>
  <c r="X51" i="54"/>
  <c r="V51" i="54"/>
  <c r="T51" i="54"/>
  <c r="Z51" i="54"/>
  <c r="W51" i="54"/>
  <c r="Y51" i="54"/>
  <c r="U51" i="54"/>
  <c r="U133" i="54"/>
  <c r="Z133" i="54"/>
  <c r="W133" i="54"/>
  <c r="X133" i="54"/>
  <c r="T133" i="54"/>
  <c r="Y133" i="54"/>
  <c r="V133" i="54"/>
  <c r="T91" i="54"/>
  <c r="Z91" i="54"/>
  <c r="W91" i="54"/>
  <c r="X91" i="54"/>
  <c r="U91" i="54"/>
  <c r="V91" i="54"/>
  <c r="Y91" i="54"/>
  <c r="T134" i="54"/>
  <c r="U134" i="54"/>
  <c r="V134" i="54"/>
  <c r="W134" i="54"/>
  <c r="Z134" i="54"/>
  <c r="X134" i="54"/>
  <c r="Y134" i="54"/>
  <c r="Z108" i="54"/>
  <c r="T108" i="54"/>
  <c r="U108" i="54"/>
  <c r="Y108" i="54"/>
  <c r="V108" i="54"/>
  <c r="W108" i="54"/>
  <c r="X108" i="54"/>
  <c r="Y56" i="54"/>
  <c r="X56" i="54"/>
  <c r="W56" i="54"/>
  <c r="T56" i="54"/>
  <c r="Z56" i="54"/>
  <c r="V56" i="54"/>
  <c r="U56" i="54"/>
  <c r="Y101" i="54"/>
  <c r="W101" i="54"/>
  <c r="V101" i="54"/>
  <c r="U101" i="54"/>
  <c r="Z101" i="54"/>
  <c r="T101" i="54"/>
  <c r="X101" i="54"/>
  <c r="T142" i="54"/>
  <c r="Y142" i="54"/>
  <c r="V142" i="54"/>
  <c r="Z142" i="54"/>
  <c r="W142" i="54"/>
  <c r="X142" i="54"/>
  <c r="U142" i="54"/>
  <c r="Y140" i="54"/>
  <c r="V140" i="54"/>
  <c r="W140" i="54"/>
  <c r="T140" i="54"/>
  <c r="Z140" i="54"/>
  <c r="X140" i="54"/>
  <c r="U140" i="54"/>
  <c r="Y128" i="54"/>
  <c r="X128" i="54"/>
  <c r="W128" i="54"/>
  <c r="Z128" i="54"/>
  <c r="T128" i="54"/>
  <c r="U128" i="54"/>
  <c r="V128" i="54"/>
  <c r="Z156" i="54"/>
  <c r="W156" i="54"/>
  <c r="X156" i="54"/>
  <c r="Y156" i="54"/>
  <c r="V156" i="54"/>
  <c r="U156" i="54"/>
  <c r="T156" i="54"/>
  <c r="U160" i="54"/>
  <c r="V160" i="54"/>
  <c r="W160" i="54"/>
  <c r="T160" i="54"/>
  <c r="Y160" i="54"/>
  <c r="X160" i="54"/>
  <c r="Z160" i="54"/>
  <c r="Y129" i="54"/>
  <c r="W129" i="54"/>
  <c r="Z129" i="54"/>
  <c r="T129" i="54"/>
  <c r="U129" i="54"/>
  <c r="X129" i="54"/>
  <c r="V129" i="54"/>
  <c r="Z130" i="54"/>
  <c r="Y130" i="54"/>
  <c r="V130" i="54"/>
  <c r="W130" i="54"/>
  <c r="X130" i="54"/>
  <c r="T130" i="54"/>
  <c r="U130" i="54"/>
  <c r="Z106" i="54"/>
  <c r="Y106" i="54"/>
  <c r="T106" i="54"/>
  <c r="U106" i="54"/>
  <c r="V106" i="54"/>
  <c r="W106" i="54"/>
  <c r="X106" i="54"/>
  <c r="W76" i="54"/>
  <c r="V76" i="54"/>
  <c r="U76" i="54"/>
  <c r="X76" i="54"/>
  <c r="T76" i="54"/>
  <c r="Z76" i="54"/>
  <c r="Y76" i="54"/>
  <c r="A74" i="35"/>
  <c r="R105" i="54"/>
  <c r="S105" i="54"/>
  <c r="AL91" i="48"/>
  <c r="S103" i="54"/>
  <c r="R103" i="54"/>
  <c r="AL56" i="48"/>
  <c r="R166" i="54"/>
  <c r="S166" i="54"/>
  <c r="AL107" i="48"/>
  <c r="S64" i="54"/>
  <c r="R64" i="54"/>
  <c r="R42" i="54"/>
  <c r="S42" i="54"/>
  <c r="R146" i="54"/>
  <c r="S146" i="54"/>
  <c r="R75" i="54"/>
  <c r="S75" i="54"/>
  <c r="AL49" i="48"/>
  <c r="S124" i="54"/>
  <c r="R124" i="54"/>
  <c r="S88" i="54"/>
  <c r="R88" i="54"/>
  <c r="R101" i="54"/>
  <c r="S101" i="54"/>
  <c r="AL46" i="48"/>
  <c r="AL85" i="48"/>
  <c r="AL101" i="48"/>
  <c r="R6" i="54"/>
  <c r="S6" i="54"/>
  <c r="S4" i="54"/>
  <c r="R4" i="54"/>
  <c r="S41" i="54"/>
  <c r="R41" i="54"/>
  <c r="AL126" i="48"/>
  <c r="R24" i="54"/>
  <c r="S24" i="54"/>
  <c r="S100" i="54"/>
  <c r="R100" i="54"/>
  <c r="AL45" i="48"/>
  <c r="AL127" i="48"/>
  <c r="R141" i="54"/>
  <c r="S141" i="54"/>
  <c r="AL141" i="48"/>
  <c r="AL44" i="48"/>
  <c r="AL89" i="48"/>
  <c r="R70" i="54"/>
  <c r="S70" i="54"/>
  <c r="AL106" i="48"/>
  <c r="R61" i="54"/>
  <c r="S61" i="54"/>
  <c r="AL47" i="48"/>
  <c r="AL51" i="48"/>
  <c r="R135" i="54"/>
  <c r="S135" i="54"/>
  <c r="S49" i="54"/>
  <c r="R49" i="54"/>
  <c r="R9" i="54"/>
  <c r="S9" i="54"/>
  <c r="S150" i="54"/>
  <c r="R150" i="54"/>
  <c r="AL118" i="48"/>
  <c r="S170" i="54"/>
  <c r="R170" i="54"/>
  <c r="AL79" i="48"/>
  <c r="R171" i="54"/>
  <c r="S171" i="54"/>
  <c r="S43" i="54"/>
  <c r="R43" i="54"/>
  <c r="R67" i="54"/>
  <c r="S67" i="54"/>
  <c r="S37" i="54"/>
  <c r="R37" i="54"/>
  <c r="S167" i="54"/>
  <c r="R167" i="54"/>
  <c r="S34" i="54"/>
  <c r="R34" i="54"/>
  <c r="R65" i="54"/>
  <c r="S65" i="54"/>
  <c r="S8" i="54"/>
  <c r="R8" i="54"/>
  <c r="AL130" i="48"/>
  <c r="AL60" i="48"/>
  <c r="S85" i="54"/>
  <c r="R85" i="54"/>
  <c r="AL96" i="48"/>
  <c r="R97" i="54"/>
  <c r="S97" i="54"/>
  <c r="S122" i="54"/>
  <c r="R122" i="54"/>
  <c r="S116" i="54"/>
  <c r="R116" i="54"/>
  <c r="AL88" i="48"/>
  <c r="S127" i="54"/>
  <c r="R127" i="54"/>
  <c r="S159" i="54"/>
  <c r="R159" i="54"/>
  <c r="AL66" i="48"/>
  <c r="S26" i="54"/>
  <c r="R26" i="54"/>
  <c r="S60" i="54"/>
  <c r="R60" i="54"/>
  <c r="AL110" i="48"/>
  <c r="R106" i="54"/>
  <c r="S106" i="54"/>
  <c r="AL138" i="48"/>
  <c r="S95" i="54"/>
  <c r="R95" i="54"/>
  <c r="S69" i="54"/>
  <c r="R69" i="54"/>
  <c r="R21" i="54"/>
  <c r="S21" i="54"/>
  <c r="R62" i="54"/>
  <c r="S62" i="54"/>
  <c r="R102" i="54"/>
  <c r="S102" i="54"/>
  <c r="S104" i="54"/>
  <c r="R104" i="54"/>
  <c r="R131" i="54"/>
  <c r="S131" i="54"/>
  <c r="S121" i="54"/>
  <c r="R121" i="54"/>
  <c r="AL75" i="48"/>
  <c r="S51" i="54"/>
  <c r="R51" i="54"/>
  <c r="AL80" i="48"/>
  <c r="S144" i="54"/>
  <c r="R144" i="54"/>
  <c r="S29" i="54"/>
  <c r="R29" i="54"/>
  <c r="R82" i="54"/>
  <c r="S82" i="54"/>
  <c r="R107" i="54"/>
  <c r="S107" i="54"/>
  <c r="AL122" i="48"/>
  <c r="AL92" i="48"/>
  <c r="AL105" i="48"/>
  <c r="R39" i="54"/>
  <c r="S39" i="54"/>
  <c r="S120" i="54"/>
  <c r="R120" i="54"/>
  <c r="AL42" i="48"/>
  <c r="R83" i="54"/>
  <c r="S83" i="54"/>
  <c r="R126" i="54"/>
  <c r="S126" i="54"/>
  <c r="S118" i="54"/>
  <c r="R118" i="54"/>
  <c r="S48" i="54"/>
  <c r="R48" i="54"/>
  <c r="S5" i="54"/>
  <c r="R5" i="54"/>
  <c r="AL86" i="48"/>
  <c r="R78" i="54"/>
  <c r="S78" i="54"/>
  <c r="AL117" i="48"/>
  <c r="S23" i="54"/>
  <c r="R23" i="54"/>
  <c r="AL121" i="48"/>
  <c r="AL58" i="48"/>
  <c r="AL129" i="48"/>
  <c r="AL102" i="48"/>
  <c r="R86" i="54"/>
  <c r="S86" i="54"/>
  <c r="S77" i="54"/>
  <c r="R77" i="54"/>
  <c r="AL114" i="48"/>
  <c r="AL112" i="48"/>
  <c r="R138" i="54"/>
  <c r="S138" i="54"/>
  <c r="AL111" i="48"/>
  <c r="S84" i="54"/>
  <c r="R84" i="54"/>
  <c r="AL63" i="48"/>
  <c r="AL76" i="48"/>
  <c r="R157" i="54"/>
  <c r="S157" i="54"/>
  <c r="AL57" i="48"/>
  <c r="R111" i="54"/>
  <c r="S111" i="54"/>
  <c r="AL50" i="48"/>
  <c r="R139" i="54"/>
  <c r="S139" i="54"/>
  <c r="S163" i="54"/>
  <c r="R163" i="54"/>
  <c r="S10" i="54"/>
  <c r="R10" i="54"/>
  <c r="S140" i="54"/>
  <c r="R140" i="54"/>
  <c r="AL83" i="48"/>
  <c r="AL93" i="48"/>
  <c r="AL133" i="48"/>
  <c r="AL67" i="48"/>
  <c r="AL125" i="48"/>
  <c r="S156" i="54"/>
  <c r="R156" i="54"/>
  <c r="R15" i="54"/>
  <c r="S15" i="54"/>
  <c r="S92" i="54"/>
  <c r="R92" i="54"/>
  <c r="R79" i="54"/>
  <c r="S79" i="54"/>
  <c r="S20" i="54"/>
  <c r="R20" i="54"/>
  <c r="AL74" i="48"/>
  <c r="AL84" i="48"/>
  <c r="R71" i="54"/>
  <c r="S71" i="54"/>
  <c r="AL135" i="48"/>
  <c r="AL113" i="48"/>
  <c r="R56" i="54"/>
  <c r="S56" i="54"/>
  <c r="AL116" i="48"/>
  <c r="S2" i="54"/>
  <c r="R2" i="54"/>
  <c r="R19" i="54"/>
  <c r="S19" i="54"/>
  <c r="S113" i="54"/>
  <c r="R113" i="54"/>
  <c r="S50" i="54"/>
  <c r="R50" i="54"/>
  <c r="AL48" i="48"/>
  <c r="S76" i="54"/>
  <c r="R76" i="54"/>
  <c r="S87" i="54"/>
  <c r="R87" i="54"/>
  <c r="R55" i="54"/>
  <c r="S55" i="54"/>
  <c r="S109" i="54"/>
  <c r="R109" i="54"/>
  <c r="R25" i="54"/>
  <c r="S25" i="54"/>
  <c r="R115" i="54"/>
  <c r="S115" i="54"/>
  <c r="S142" i="54"/>
  <c r="R142" i="54"/>
  <c r="R149" i="54"/>
  <c r="S149" i="54"/>
  <c r="S33" i="54"/>
  <c r="R33" i="54"/>
  <c r="S53" i="54"/>
  <c r="R53" i="54"/>
  <c r="AL90" i="48"/>
  <c r="R119" i="54"/>
  <c r="S119" i="54"/>
  <c r="R108" i="54"/>
  <c r="S108" i="54"/>
  <c r="AL43" i="48"/>
  <c r="R45" i="54"/>
  <c r="S45" i="54"/>
  <c r="S80" i="54"/>
  <c r="R80" i="54"/>
  <c r="AL55" i="48"/>
  <c r="S31" i="54"/>
  <c r="R31" i="54"/>
  <c r="R3" i="54"/>
  <c r="S3" i="54"/>
  <c r="S32" i="54"/>
  <c r="R32" i="54"/>
  <c r="S123" i="54"/>
  <c r="R123" i="54"/>
  <c r="S40" i="54"/>
  <c r="R40" i="54"/>
  <c r="R158" i="54"/>
  <c r="S158" i="54"/>
  <c r="R59" i="54"/>
  <c r="S59" i="54"/>
  <c r="S143" i="54"/>
  <c r="R143" i="54"/>
  <c r="R133" i="54"/>
  <c r="S133" i="54"/>
  <c r="AL115" i="48"/>
  <c r="R93" i="54"/>
  <c r="S93" i="54"/>
  <c r="R168" i="54"/>
  <c r="S168" i="54"/>
  <c r="R57" i="54"/>
  <c r="S57" i="54"/>
  <c r="R52" i="54"/>
  <c r="S52" i="54"/>
  <c r="S147" i="54"/>
  <c r="R147" i="54"/>
  <c r="AL98" i="48"/>
  <c r="S30" i="54"/>
  <c r="R30" i="54"/>
  <c r="R89" i="54"/>
  <c r="S89" i="54"/>
  <c r="AL95" i="48"/>
  <c r="AL123" i="48"/>
  <c r="R28" i="54"/>
  <c r="S28" i="54"/>
  <c r="R151" i="54"/>
  <c r="S151" i="54"/>
  <c r="S27" i="54"/>
  <c r="R27" i="54"/>
  <c r="AL64" i="48"/>
  <c r="S154" i="54"/>
  <c r="R154" i="54"/>
  <c r="R74" i="54"/>
  <c r="S74" i="54"/>
  <c r="R47" i="54"/>
  <c r="S47" i="54"/>
  <c r="AL97" i="48"/>
  <c r="AL77" i="48"/>
  <c r="R132" i="54"/>
  <c r="S132" i="54"/>
  <c r="S66" i="54"/>
  <c r="R66" i="54"/>
  <c r="AL54" i="48"/>
  <c r="S128" i="54"/>
  <c r="R128" i="54"/>
  <c r="AL120" i="48"/>
  <c r="R90" i="54"/>
  <c r="S90" i="54"/>
  <c r="AL73" i="48"/>
  <c r="S38" i="54"/>
  <c r="R38" i="54"/>
  <c r="S91" i="54"/>
  <c r="R91" i="54"/>
  <c r="R152" i="54"/>
  <c r="S152" i="54"/>
  <c r="AL99" i="48"/>
  <c r="AL109" i="48"/>
  <c r="S160" i="54"/>
  <c r="R160" i="54"/>
  <c r="S68" i="54"/>
  <c r="R68" i="54"/>
  <c r="AL136" i="48"/>
  <c r="S129" i="54"/>
  <c r="R129" i="54"/>
  <c r="AL61" i="48"/>
  <c r="AL62" i="48"/>
  <c r="AL68" i="48"/>
  <c r="AL65" i="48"/>
  <c r="S155" i="54"/>
  <c r="R155" i="54"/>
  <c r="S98" i="54"/>
  <c r="R98" i="54"/>
  <c r="R165" i="54"/>
  <c r="S165" i="54"/>
  <c r="R137" i="54"/>
  <c r="S137" i="54"/>
  <c r="R162" i="54"/>
  <c r="S162" i="54"/>
  <c r="AL72" i="48"/>
  <c r="R46" i="54"/>
  <c r="S46" i="54"/>
  <c r="AL134" i="48"/>
  <c r="AL108" i="48"/>
  <c r="R73" i="54"/>
  <c r="S73" i="54"/>
  <c r="R153" i="54"/>
  <c r="S153" i="54"/>
  <c r="R13" i="54"/>
  <c r="S13" i="54"/>
  <c r="R169" i="54"/>
  <c r="S169" i="54"/>
  <c r="S16" i="54"/>
  <c r="R16" i="54"/>
  <c r="AL140" i="48"/>
  <c r="R22" i="54"/>
  <c r="S22" i="54"/>
  <c r="AL128" i="48"/>
  <c r="R17" i="54"/>
  <c r="S17" i="54"/>
  <c r="S54" i="54"/>
  <c r="R54" i="54"/>
  <c r="R134" i="54"/>
  <c r="S134" i="54"/>
  <c r="R58" i="54"/>
  <c r="S58" i="54"/>
  <c r="R96" i="54"/>
  <c r="S96" i="54"/>
  <c r="S36" i="54"/>
  <c r="R36" i="54"/>
  <c r="S81" i="54"/>
  <c r="R81" i="54"/>
  <c r="AL53" i="48"/>
  <c r="R125" i="54"/>
  <c r="S125" i="54"/>
  <c r="AL139" i="48"/>
  <c r="R14" i="54"/>
  <c r="S14" i="54"/>
  <c r="AL71" i="48"/>
  <c r="AL103" i="48"/>
  <c r="S63" i="54"/>
  <c r="R63" i="54"/>
  <c r="AL78" i="48"/>
  <c r="AL137" i="48"/>
  <c r="S12" i="54"/>
  <c r="R12" i="54"/>
  <c r="S35" i="54"/>
  <c r="R35" i="54"/>
  <c r="S164" i="54"/>
  <c r="R164" i="54"/>
  <c r="R44" i="54"/>
  <c r="S44" i="54"/>
  <c r="AL59" i="48"/>
  <c r="S110" i="54"/>
  <c r="R110" i="54"/>
  <c r="S72" i="54"/>
  <c r="R72" i="54"/>
  <c r="AL87" i="48"/>
  <c r="R136" i="54"/>
  <c r="S136" i="54"/>
  <c r="AL104" i="48"/>
  <c r="S117" i="54"/>
  <c r="R117" i="54"/>
  <c r="R145" i="54"/>
  <c r="S145" i="54"/>
  <c r="AL81" i="48"/>
  <c r="AL124" i="48"/>
  <c r="S99" i="54"/>
  <c r="R99" i="54"/>
  <c r="S161" i="54"/>
  <c r="R161" i="54"/>
  <c r="R148" i="54"/>
  <c r="S148" i="54"/>
  <c r="AL131" i="48"/>
  <c r="R94" i="54"/>
  <c r="S94" i="54"/>
  <c r="AL70" i="48"/>
  <c r="AL94" i="48"/>
  <c r="AL82" i="48"/>
  <c r="AL119" i="48"/>
  <c r="AL69" i="48"/>
  <c r="AL132" i="48"/>
  <c r="S11" i="54"/>
  <c r="R11" i="54"/>
  <c r="AL52" i="48"/>
  <c r="R114" i="54"/>
  <c r="S114" i="54"/>
  <c r="S130" i="54"/>
  <c r="R130" i="54"/>
  <c r="AL100" i="48"/>
  <c r="S7" i="54"/>
  <c r="R7" i="54"/>
  <c r="R112" i="54"/>
  <c r="S112" i="54"/>
  <c r="BM3" i="48" l="1"/>
  <c r="A75" i="35"/>
  <c r="AM69" i="48"/>
  <c r="AM52" i="48"/>
  <c r="AM119" i="48"/>
  <c r="AM137" i="48"/>
  <c r="AM120" i="48"/>
  <c r="AM113" i="48"/>
  <c r="AM84" i="48"/>
  <c r="AM50" i="48"/>
  <c r="AM63" i="48"/>
  <c r="AM112" i="48"/>
  <c r="AM121" i="48"/>
  <c r="AM122" i="48"/>
  <c r="AM138" i="48"/>
  <c r="AM51" i="48"/>
  <c r="AM44" i="48"/>
  <c r="AM45" i="48"/>
  <c r="AM56" i="48"/>
  <c r="AM82" i="48"/>
  <c r="AM61" i="48"/>
  <c r="AM99" i="48"/>
  <c r="AM90" i="48"/>
  <c r="AM130" i="48"/>
  <c r="AM101" i="48"/>
  <c r="AM100" i="48"/>
  <c r="AM70" i="48"/>
  <c r="AM131" i="48"/>
  <c r="AM87" i="48"/>
  <c r="AM59" i="48"/>
  <c r="AM108" i="48"/>
  <c r="AM73" i="48"/>
  <c r="AM64" i="48"/>
  <c r="AM123" i="48"/>
  <c r="AM74" i="48"/>
  <c r="AM67" i="48"/>
  <c r="AM129" i="48"/>
  <c r="AM96" i="48"/>
  <c r="AM47" i="48"/>
  <c r="AM141" i="48"/>
  <c r="AM124" i="48"/>
  <c r="AM103" i="48"/>
  <c r="AM53" i="48"/>
  <c r="AM140" i="48"/>
  <c r="AM65" i="48"/>
  <c r="AM77" i="48"/>
  <c r="AM116" i="48"/>
  <c r="AM135" i="48"/>
  <c r="AM76" i="48"/>
  <c r="AM114" i="48"/>
  <c r="AM86" i="48"/>
  <c r="AM75" i="48"/>
  <c r="AM66" i="48"/>
  <c r="AM85" i="48"/>
  <c r="AM132" i="48"/>
  <c r="AM78" i="48"/>
  <c r="AM54" i="48"/>
  <c r="AM95" i="48"/>
  <c r="AM115" i="48"/>
  <c r="AM43" i="48"/>
  <c r="AM48" i="48"/>
  <c r="AM83" i="48"/>
  <c r="AM111" i="48"/>
  <c r="AM117" i="48"/>
  <c r="AM42" i="48"/>
  <c r="AM105" i="48"/>
  <c r="AM118" i="48"/>
  <c r="AM89" i="48"/>
  <c r="AM107" i="48"/>
  <c r="AM72" i="48"/>
  <c r="AM68" i="48"/>
  <c r="AM97" i="48"/>
  <c r="AM133" i="48"/>
  <c r="AM57" i="48"/>
  <c r="AM80" i="48"/>
  <c r="AM110" i="48"/>
  <c r="AM46" i="48"/>
  <c r="AM91" i="48"/>
  <c r="AM81" i="48"/>
  <c r="AM104" i="48"/>
  <c r="AM139" i="48"/>
  <c r="AM128" i="48"/>
  <c r="AM134" i="48"/>
  <c r="AM136" i="48"/>
  <c r="AM98" i="48"/>
  <c r="AM55" i="48"/>
  <c r="AM58" i="48"/>
  <c r="AM92" i="48"/>
  <c r="AM88" i="48"/>
  <c r="AM106" i="48"/>
  <c r="AM126" i="48"/>
  <c r="AM94" i="48"/>
  <c r="AM71" i="48"/>
  <c r="AM62" i="48"/>
  <c r="AM109" i="48"/>
  <c r="AM125" i="48"/>
  <c r="AM93" i="48"/>
  <c r="AM102" i="48"/>
  <c r="AM60" i="48"/>
  <c r="AM79" i="48"/>
  <c r="AM127" i="48"/>
  <c r="AM49" i="48"/>
  <c r="A76" i="35" l="1"/>
  <c r="A77" i="35" l="1"/>
  <c r="Q59" i="47" s="1"/>
  <c r="A78" i="35" l="1"/>
  <c r="A79" i="35" l="1"/>
  <c r="A80" i="35" l="1"/>
  <c r="A81" i="35" l="1"/>
  <c r="A82" i="35" l="1"/>
  <c r="A83" i="35" l="1"/>
  <c r="A84" i="35" l="1"/>
  <c r="A85" i="35" l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N176" i="47" s="1"/>
  <c r="AO173" i="47"/>
  <c r="AL174" i="47"/>
  <c r="S73" i="47"/>
  <c r="AN172" i="47"/>
  <c r="R73" i="47"/>
  <c r="AO175" i="47"/>
  <c r="R72" i="47"/>
  <c r="AP173" i="47"/>
  <c r="AP172" i="47"/>
  <c r="S74" i="47"/>
  <c r="T73" i="47"/>
  <c r="Q73" i="47"/>
  <c r="Q74" i="47"/>
  <c r="Q75" i="47"/>
  <c r="AO174" i="47"/>
  <c r="AO176" i="47"/>
  <c r="AL172" i="47"/>
  <c r="AL173" i="47"/>
  <c r="T74" i="47"/>
  <c r="AN174" i="47"/>
  <c r="R75" i="47"/>
  <c r="AN173" i="47"/>
  <c r="R74" i="47"/>
  <c r="AP174" i="47"/>
  <c r="AN175" i="47"/>
  <c r="T75" i="47"/>
  <c r="AL175" i="47"/>
  <c r="T72" i="47"/>
  <c r="S75" i="47"/>
  <c r="AP175" i="47"/>
  <c r="T76" i="47" l="1"/>
  <c r="Q76" i="47"/>
  <c r="AP176" i="47"/>
  <c r="AL176" i="47"/>
  <c r="R76" i="47"/>
  <c r="S76" i="47"/>
  <c r="A99" i="35"/>
  <c r="AP177" i="47" s="1"/>
  <c r="T77" i="47" l="1"/>
  <c r="AL177" i="47"/>
  <c r="AN177" i="47"/>
  <c r="S77" i="47"/>
  <c r="AO177" i="47"/>
  <c r="R77" i="47"/>
  <c r="Q77" i="47"/>
  <c r="A100" i="35"/>
  <c r="R78" i="47" s="1"/>
  <c r="S78" i="47" l="1"/>
  <c r="AL178" i="47"/>
  <c r="AN178" i="47"/>
  <c r="T78" i="47"/>
  <c r="Q78" i="47"/>
  <c r="AP178" i="47"/>
  <c r="AO178" i="47"/>
  <c r="A101" i="35"/>
  <c r="Q79" i="47" s="1"/>
  <c r="R10" i="47"/>
  <c r="AL112" i="47"/>
  <c r="Q31" i="47"/>
  <c r="S11" i="47"/>
  <c r="AN112" i="47"/>
  <c r="AO113" i="47"/>
  <c r="AL113" i="47"/>
  <c r="Q26" i="47"/>
  <c r="AN113" i="47"/>
  <c r="S14" i="47"/>
  <c r="AN117" i="47"/>
  <c r="AL120" i="47"/>
  <c r="AL121" i="47"/>
  <c r="R35" i="47"/>
  <c r="AL115" i="47"/>
  <c r="S28" i="47"/>
  <c r="AL118" i="47"/>
  <c r="S23" i="47"/>
  <c r="AP122" i="47"/>
  <c r="Q13" i="47"/>
  <c r="R13" i="47"/>
  <c r="AO124" i="47"/>
  <c r="R21" i="47"/>
  <c r="AN149" i="47"/>
  <c r="T22" i="47"/>
  <c r="AN115" i="47"/>
  <c r="AO118" i="47"/>
  <c r="AO147" i="47"/>
  <c r="Q22" i="47"/>
  <c r="AL122" i="47"/>
  <c r="S13" i="47"/>
  <c r="AN138" i="47"/>
  <c r="AL138" i="47"/>
  <c r="R36" i="47"/>
  <c r="AN125" i="47"/>
  <c r="R32" i="47"/>
  <c r="R34" i="47"/>
  <c r="R16" i="47"/>
  <c r="S45" i="47"/>
  <c r="Q41" i="47"/>
  <c r="R42" i="47"/>
  <c r="AL116" i="47"/>
  <c r="S41" i="47"/>
  <c r="S37" i="47"/>
  <c r="Q43" i="47"/>
  <c r="AN124" i="47"/>
  <c r="R17" i="47"/>
  <c r="Q28" i="47"/>
  <c r="AN128" i="47"/>
  <c r="AL119" i="47"/>
  <c r="AO123" i="47"/>
  <c r="AL140" i="47"/>
  <c r="S18" i="47"/>
  <c r="AN144" i="47"/>
  <c r="AL144" i="47"/>
  <c r="AN145" i="47"/>
  <c r="AO133" i="47"/>
  <c r="Q45" i="47"/>
  <c r="AL146" i="47"/>
  <c r="Q42" i="47"/>
  <c r="AO126" i="47"/>
  <c r="Q47" i="47"/>
  <c r="Q48" i="47"/>
  <c r="AO114" i="47"/>
  <c r="T21" i="47"/>
  <c r="S20" i="47"/>
  <c r="AO120" i="47"/>
  <c r="R50" i="47"/>
  <c r="T38" i="47"/>
  <c r="Q20" i="47"/>
  <c r="AO141" i="47"/>
  <c r="AL149" i="47"/>
  <c r="Q33" i="47"/>
  <c r="Q27" i="47"/>
  <c r="AP119" i="47"/>
  <c r="AO148" i="47"/>
  <c r="T36" i="47"/>
  <c r="Q25" i="47"/>
  <c r="Q29" i="47"/>
  <c r="R22" i="47"/>
  <c r="AL133" i="47"/>
  <c r="AL117" i="47"/>
  <c r="AO134" i="47"/>
  <c r="S48" i="47"/>
  <c r="AN130" i="47"/>
  <c r="S31" i="47"/>
  <c r="AN120" i="47"/>
  <c r="Q39" i="47"/>
  <c r="R26" i="47"/>
  <c r="AP142" i="47"/>
  <c r="AO131" i="47"/>
  <c r="R39" i="47"/>
  <c r="Q15" i="47"/>
  <c r="R48" i="47"/>
  <c r="R18" i="47"/>
  <c r="AL132" i="47"/>
  <c r="S26" i="47"/>
  <c r="AN116" i="47"/>
  <c r="AO142" i="47"/>
  <c r="AO119" i="47"/>
  <c r="AO125" i="47"/>
  <c r="AN131" i="47"/>
  <c r="Q17" i="47"/>
  <c r="R23" i="47"/>
  <c r="AL136" i="47"/>
  <c r="AN148" i="47"/>
  <c r="AN140" i="47"/>
  <c r="R47" i="47"/>
  <c r="AL143" i="47"/>
  <c r="S25" i="47"/>
  <c r="AL129" i="47"/>
  <c r="S42" i="47"/>
  <c r="AO127" i="47"/>
  <c r="Q30" i="47"/>
  <c r="T52" i="47"/>
  <c r="S35" i="47"/>
  <c r="R14" i="47"/>
  <c r="AN121" i="47"/>
  <c r="Q35" i="47"/>
  <c r="R43" i="47"/>
  <c r="AN137" i="47"/>
  <c r="R15" i="47"/>
  <c r="T19" i="47"/>
  <c r="AL131" i="47"/>
  <c r="AL134" i="47"/>
  <c r="Q49" i="47"/>
  <c r="AO149" i="47"/>
  <c r="S43" i="47"/>
  <c r="S47" i="47"/>
  <c r="Q36" i="47"/>
  <c r="R20" i="47"/>
  <c r="Q37" i="47"/>
  <c r="AO122" i="47"/>
  <c r="S36" i="47"/>
  <c r="R46" i="47"/>
  <c r="Q14" i="47"/>
  <c r="AP138" i="47"/>
  <c r="AP143" i="47"/>
  <c r="R27" i="47"/>
  <c r="AO129" i="47"/>
  <c r="Q38" i="47"/>
  <c r="AN147" i="47"/>
  <c r="Q24" i="47"/>
  <c r="S15" i="47"/>
  <c r="AO140" i="47"/>
  <c r="AO150" i="47"/>
  <c r="S50" i="47"/>
  <c r="AL147" i="47"/>
  <c r="AP116" i="47"/>
  <c r="T39" i="47"/>
  <c r="AL128" i="47"/>
  <c r="AO136" i="47"/>
  <c r="R30" i="47"/>
  <c r="Q34" i="47"/>
  <c r="S39" i="47"/>
  <c r="S34" i="47"/>
  <c r="AO135" i="47"/>
  <c r="AN142" i="47"/>
  <c r="AO139" i="47"/>
  <c r="AO132" i="47"/>
  <c r="AL141" i="47"/>
  <c r="AL126" i="47"/>
  <c r="AO117" i="47"/>
  <c r="AN127" i="47"/>
  <c r="AO128" i="47"/>
  <c r="AO115" i="47"/>
  <c r="S49" i="47"/>
  <c r="AN132" i="47"/>
  <c r="S16" i="47"/>
  <c r="AN143" i="47"/>
  <c r="AL150" i="47"/>
  <c r="S33" i="47"/>
  <c r="AO116" i="47"/>
  <c r="R41" i="47"/>
  <c r="S51" i="47"/>
  <c r="Q46" i="47"/>
  <c r="AN150" i="47"/>
  <c r="R24" i="47"/>
  <c r="R44" i="47"/>
  <c r="S38" i="47"/>
  <c r="AL135" i="47"/>
  <c r="R19" i="47"/>
  <c r="AN114" i="47"/>
  <c r="R33" i="47"/>
  <c r="AO151" i="47"/>
  <c r="AN133" i="47"/>
  <c r="AN129" i="47"/>
  <c r="AN141" i="47"/>
  <c r="AN123" i="47"/>
  <c r="AL125" i="47"/>
  <c r="AO146" i="47"/>
  <c r="AN119" i="47"/>
  <c r="S24" i="47"/>
  <c r="T37" i="47"/>
  <c r="T47" i="47"/>
  <c r="AP121" i="47"/>
  <c r="T27" i="47"/>
  <c r="AO143" i="47"/>
  <c r="AN136" i="47"/>
  <c r="AN135" i="47"/>
  <c r="S40" i="47"/>
  <c r="R37" i="47"/>
  <c r="Q19" i="47"/>
  <c r="S19" i="47"/>
  <c r="Q18" i="47"/>
  <c r="AP118" i="47"/>
  <c r="AL124" i="47"/>
  <c r="AP151" i="47"/>
  <c r="AL130" i="47"/>
  <c r="R28" i="47"/>
  <c r="AO144" i="47"/>
  <c r="S27" i="47"/>
  <c r="AO145" i="47"/>
  <c r="Q40" i="47"/>
  <c r="S30" i="47"/>
  <c r="R40" i="47"/>
  <c r="Q16" i="47"/>
  <c r="AL123" i="47"/>
  <c r="AP137" i="47"/>
  <c r="AP117" i="47"/>
  <c r="Q44" i="47"/>
  <c r="S17" i="47"/>
  <c r="Q32" i="47"/>
  <c r="AN139" i="47"/>
  <c r="AL145" i="47"/>
  <c r="R45" i="47"/>
  <c r="AL148" i="47"/>
  <c r="T42" i="47"/>
  <c r="T46" i="47"/>
  <c r="T20" i="47"/>
  <c r="T50" i="47"/>
  <c r="AN151" i="47"/>
  <c r="R29" i="47"/>
  <c r="S32" i="47"/>
  <c r="AP136" i="47"/>
  <c r="AP150" i="47"/>
  <c r="AN118" i="47"/>
  <c r="T41" i="47"/>
  <c r="R31" i="47"/>
  <c r="AN134" i="47"/>
  <c r="R38" i="47"/>
  <c r="AP123" i="47"/>
  <c r="T24" i="47"/>
  <c r="AL152" i="47"/>
  <c r="AL127" i="47"/>
  <c r="AP124" i="47"/>
  <c r="AN126" i="47"/>
  <c r="AN122" i="47"/>
  <c r="T43" i="47"/>
  <c r="S46" i="47"/>
  <c r="AP125" i="47"/>
  <c r="T26" i="47"/>
  <c r="AO138" i="47"/>
  <c r="AL137" i="47"/>
  <c r="T35" i="47"/>
  <c r="AO130" i="47"/>
  <c r="T16" i="47"/>
  <c r="R51" i="47"/>
  <c r="S29" i="47"/>
  <c r="Q50" i="47"/>
  <c r="T51" i="47"/>
  <c r="AO137" i="47"/>
  <c r="Q51" i="47"/>
  <c r="Q21" i="47"/>
  <c r="T18" i="47"/>
  <c r="AP120" i="47"/>
  <c r="T40" i="47"/>
  <c r="Q23" i="47"/>
  <c r="AN146" i="47"/>
  <c r="S44" i="47"/>
  <c r="R49" i="47"/>
  <c r="AL139" i="47"/>
  <c r="T17" i="47"/>
  <c r="T23" i="47"/>
  <c r="R25" i="47"/>
  <c r="AO121" i="47"/>
  <c r="AP146" i="47"/>
  <c r="AP139" i="47"/>
  <c r="AL142" i="47"/>
  <c r="AP140" i="47"/>
  <c r="AP152" i="47"/>
  <c r="AP135" i="47"/>
  <c r="S22" i="47"/>
  <c r="S21" i="47"/>
  <c r="AL151" i="47"/>
  <c r="AP128" i="47"/>
  <c r="AP147" i="47"/>
  <c r="AP126" i="47"/>
  <c r="AP144" i="47"/>
  <c r="T45" i="47"/>
  <c r="T25" i="47"/>
  <c r="AP141" i="47"/>
  <c r="T28" i="47"/>
  <c r="T44" i="47"/>
  <c r="T33" i="47"/>
  <c r="AN153" i="47"/>
  <c r="R53" i="47"/>
  <c r="AP148" i="47"/>
  <c r="AP129" i="47"/>
  <c r="AP130" i="47"/>
  <c r="R52" i="47"/>
  <c r="AO152" i="47"/>
  <c r="Q52" i="47"/>
  <c r="AN152" i="47"/>
  <c r="T48" i="47"/>
  <c r="S52" i="47"/>
  <c r="AP127" i="47"/>
  <c r="AP149" i="47"/>
  <c r="T49" i="47"/>
  <c r="AP145" i="47"/>
  <c r="T31" i="47"/>
  <c r="AP133" i="47"/>
  <c r="AL155" i="47"/>
  <c r="Q55" i="47"/>
  <c r="Q54" i="47"/>
  <c r="Q53" i="47"/>
  <c r="AN154" i="47"/>
  <c r="T32" i="47"/>
  <c r="AP132" i="47"/>
  <c r="AL153" i="47"/>
  <c r="AO153" i="47"/>
  <c r="S54" i="47"/>
  <c r="T54" i="47"/>
  <c r="S53" i="47"/>
  <c r="AO154" i="47"/>
  <c r="AP131" i="47"/>
  <c r="AL154" i="47"/>
  <c r="T34" i="47"/>
  <c r="T30" i="47"/>
  <c r="AP153" i="47"/>
  <c r="T53" i="47"/>
  <c r="AP134" i="47"/>
  <c r="T29" i="47"/>
  <c r="AO155" i="47"/>
  <c r="AN155" i="47"/>
  <c r="S55" i="47"/>
  <c r="AL156" i="47"/>
  <c r="S56" i="47"/>
  <c r="AO156" i="47"/>
  <c r="R59" i="47"/>
  <c r="AP154" i="47"/>
  <c r="T57" i="47"/>
  <c r="R54" i="47"/>
  <c r="AL159" i="47"/>
  <c r="T56" i="47"/>
  <c r="R55" i="47"/>
  <c r="R57" i="47"/>
  <c r="AP155" i="47"/>
  <c r="T55" i="47"/>
  <c r="T60" i="47"/>
  <c r="AP156" i="47"/>
  <c r="AN156" i="47"/>
  <c r="T58" i="47"/>
  <c r="S59" i="47"/>
  <c r="S57" i="47"/>
  <c r="R56" i="47"/>
  <c r="T59" i="47"/>
  <c r="Q58" i="47"/>
  <c r="AN160" i="47"/>
  <c r="Q56" i="47"/>
  <c r="AP157" i="47"/>
  <c r="AL158" i="47"/>
  <c r="AO161" i="47"/>
  <c r="AL157" i="47"/>
  <c r="AO159" i="47"/>
  <c r="S58" i="47"/>
  <c r="AP158" i="47"/>
  <c r="S61" i="47"/>
  <c r="Q57" i="47"/>
  <c r="AN157" i="47"/>
  <c r="AP159" i="47"/>
  <c r="AO158" i="47"/>
  <c r="T61" i="47"/>
  <c r="R58" i="47"/>
  <c r="AN159" i="47"/>
  <c r="AL161" i="47"/>
  <c r="AO157" i="47"/>
  <c r="AN158" i="47"/>
  <c r="AP160" i="47"/>
  <c r="S60" i="47"/>
  <c r="AL160" i="47"/>
  <c r="AO166" i="47"/>
  <c r="T62" i="47"/>
  <c r="AO160" i="47"/>
  <c r="AN162" i="47"/>
  <c r="Q60" i="47"/>
  <c r="AP161" i="47"/>
  <c r="AO162" i="47"/>
  <c r="R62" i="47"/>
  <c r="R60" i="47"/>
  <c r="Q61" i="47"/>
  <c r="AN161" i="47"/>
  <c r="R61" i="47"/>
  <c r="R63" i="47"/>
  <c r="T63" i="47"/>
  <c r="AP164" i="47"/>
  <c r="AO164" i="47"/>
  <c r="AP162" i="47"/>
  <c r="Q62" i="47"/>
  <c r="AO163" i="47"/>
  <c r="AL163" i="47"/>
  <c r="S62" i="47"/>
  <c r="AL162" i="47"/>
  <c r="Q63" i="47"/>
  <c r="AP163" i="47"/>
  <c r="AN163" i="47"/>
  <c r="AN164" i="47"/>
  <c r="T64" i="47"/>
  <c r="AL164" i="47"/>
  <c r="R64" i="47"/>
  <c r="S64" i="47"/>
  <c r="AN166" i="47"/>
  <c r="Q64" i="47"/>
  <c r="AN168" i="47"/>
  <c r="S63" i="47"/>
  <c r="T66" i="47"/>
  <c r="S65" i="47"/>
  <c r="AL168" i="47"/>
  <c r="AL166" i="47"/>
  <c r="R66" i="47"/>
  <c r="AN165" i="47"/>
  <c r="AO165" i="47"/>
  <c r="T65" i="47"/>
  <c r="R65" i="47"/>
  <c r="AP165" i="47"/>
  <c r="AO167" i="47"/>
  <c r="Q66" i="47"/>
  <c r="AP166" i="47"/>
  <c r="Q65" i="47"/>
  <c r="AL165" i="47"/>
  <c r="Q68" i="47"/>
  <c r="S66" i="47"/>
  <c r="T68" i="47"/>
  <c r="S67" i="47"/>
  <c r="AP168" i="47"/>
  <c r="AP167" i="47"/>
  <c r="AO168" i="47"/>
  <c r="S68" i="47"/>
  <c r="R67" i="47"/>
  <c r="Q67" i="47"/>
  <c r="AL167" i="47"/>
  <c r="R68" i="47"/>
  <c r="AN169" i="47"/>
  <c r="AP169" i="47"/>
  <c r="S69" i="47"/>
  <c r="AN167" i="47"/>
  <c r="Q69" i="47"/>
  <c r="Q71" i="47"/>
  <c r="R71" i="47"/>
  <c r="T67" i="47"/>
  <c r="AO169" i="47"/>
  <c r="T69" i="47"/>
  <c r="R69" i="47"/>
  <c r="AL169" i="47"/>
  <c r="AO171" i="47"/>
  <c r="S72" i="47"/>
  <c r="AN170" i="47"/>
  <c r="T71" i="47"/>
  <c r="T70" i="47"/>
  <c r="AO170" i="47"/>
  <c r="S70" i="47"/>
  <c r="AL171" i="47"/>
  <c r="Q70" i="47"/>
  <c r="AN171" i="47"/>
  <c r="S71" i="47"/>
  <c r="R70" i="47"/>
  <c r="AP171" i="47"/>
  <c r="AL170" i="47"/>
  <c r="AO172" i="47"/>
  <c r="AP170" i="47"/>
  <c r="Q72" i="47"/>
  <c r="AP179" i="47" l="1"/>
  <c r="R79" i="47"/>
  <c r="AN179" i="47"/>
  <c r="AO179" i="47"/>
  <c r="AL179" i="47"/>
  <c r="T79" i="47"/>
  <c r="S79" i="47"/>
  <c r="A102" i="35"/>
  <c r="AF6" i="55"/>
  <c r="AG6" i="55"/>
  <c r="AJ93" i="47"/>
  <c r="A103" i="35" l="1"/>
  <c r="Q80" i="47" s="1"/>
  <c r="AN180" i="47" l="1"/>
  <c r="R80" i="47"/>
  <c r="S80" i="47"/>
  <c r="AP180" i="47"/>
  <c r="AO180" i="47"/>
  <c r="T80" i="47"/>
  <c r="AL180" i="47"/>
  <c r="A104" i="35"/>
  <c r="AO181" i="47" s="1"/>
  <c r="T81" i="47" l="1"/>
  <c r="R81" i="47"/>
  <c r="S81" i="47"/>
  <c r="AN181" i="47"/>
  <c r="AP181" i="47"/>
  <c r="AL181" i="47"/>
  <c r="Q81" i="47"/>
  <c r="A105" i="35"/>
  <c r="AN182" i="47" l="1"/>
  <c r="S82" i="47"/>
  <c r="AP182" i="47"/>
  <c r="R82" i="47"/>
  <c r="AO182" i="47"/>
  <c r="Q82" i="47"/>
  <c r="AL182" i="47"/>
  <c r="T82" i="47"/>
  <c r="A106" i="35"/>
  <c r="AL183" i="47" s="1"/>
  <c r="AP183" i="47" l="1"/>
  <c r="R83" i="47"/>
  <c r="AO183" i="47"/>
  <c r="AN183" i="47"/>
  <c r="S83" i="47"/>
  <c r="Q83" i="47"/>
  <c r="T83" i="47"/>
  <c r="A107" i="35"/>
  <c r="AG41" i="55" l="1"/>
  <c r="AF41" i="55"/>
  <c r="A108" i="35"/>
  <c r="A109" i="35" l="1"/>
  <c r="A110" i="35" l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P218" i="47" s="1"/>
  <c r="R91" i="47" l="1"/>
  <c r="AP184" i="47"/>
  <c r="T84" i="47"/>
  <c r="R84" i="47"/>
  <c r="AL184" i="47"/>
  <c r="S84" i="47"/>
  <c r="AO184" i="47"/>
  <c r="Q84" i="47"/>
  <c r="AN184" i="47"/>
  <c r="S103" i="47"/>
  <c r="AL185" i="47"/>
  <c r="AN185" i="47"/>
  <c r="AN194" i="47"/>
  <c r="T93" i="47"/>
  <c r="Q85" i="47"/>
  <c r="R85" i="47"/>
  <c r="T85" i="47"/>
  <c r="AP185" i="47"/>
  <c r="AO185" i="47"/>
  <c r="S85" i="47"/>
  <c r="Q93" i="47"/>
  <c r="AN191" i="47"/>
  <c r="T86" i="47"/>
  <c r="T110" i="47"/>
  <c r="R115" i="47"/>
  <c r="S133" i="47"/>
  <c r="Q96" i="47"/>
  <c r="R122" i="47"/>
  <c r="AP208" i="47"/>
  <c r="AL198" i="47"/>
  <c r="AL186" i="47"/>
  <c r="AO202" i="47"/>
  <c r="AO205" i="47"/>
  <c r="AP186" i="47"/>
  <c r="AO186" i="47"/>
  <c r="AN186" i="47"/>
  <c r="R86" i="47"/>
  <c r="S86" i="47"/>
  <c r="Q86" i="47"/>
  <c r="AP274" i="47"/>
  <c r="AL233" i="47"/>
  <c r="R144" i="47"/>
  <c r="T102" i="47"/>
  <c r="AO208" i="47"/>
  <c r="AN223" i="47"/>
  <c r="AL217" i="47"/>
  <c r="T90" i="47"/>
  <c r="AO322" i="47"/>
  <c r="S134" i="47"/>
  <c r="Q128" i="47"/>
  <c r="AL261" i="47"/>
  <c r="T220" i="47"/>
  <c r="T134" i="47"/>
  <c r="S130" i="47"/>
  <c r="AO276" i="47"/>
  <c r="Q168" i="47"/>
  <c r="AL326" i="47"/>
  <c r="Q198" i="47"/>
  <c r="Q165" i="47"/>
  <c r="Q127" i="47"/>
  <c r="Q123" i="47"/>
  <c r="S177" i="47"/>
  <c r="AL306" i="47"/>
  <c r="AN256" i="47"/>
  <c r="T152" i="47"/>
  <c r="S201" i="47"/>
  <c r="AO311" i="47"/>
  <c r="AL287" i="47"/>
  <c r="R226" i="47"/>
  <c r="AN301" i="47"/>
  <c r="R185" i="47"/>
  <c r="T112" i="47"/>
  <c r="T156" i="47"/>
  <c r="AO292" i="47"/>
  <c r="R163" i="47"/>
  <c r="AP284" i="47"/>
  <c r="AL253" i="47"/>
  <c r="S121" i="47"/>
  <c r="AP217" i="47"/>
  <c r="Q155" i="47"/>
  <c r="T223" i="47"/>
  <c r="T108" i="47"/>
  <c r="S87" i="47"/>
  <c r="AN285" i="47"/>
  <c r="AO248" i="47"/>
  <c r="Q191" i="47"/>
  <c r="R176" i="47"/>
  <c r="R143" i="47"/>
  <c r="R207" i="47"/>
  <c r="AO321" i="47"/>
  <c r="Q176" i="47"/>
  <c r="S187" i="47"/>
  <c r="AO218" i="47"/>
  <c r="AL295" i="47"/>
  <c r="T87" i="47"/>
  <c r="AN227" i="47"/>
  <c r="T205" i="47"/>
  <c r="R174" i="47"/>
  <c r="T194" i="47"/>
  <c r="AP320" i="47"/>
  <c r="AL262" i="47"/>
  <c r="R139" i="47"/>
  <c r="R87" i="47"/>
  <c r="S215" i="47"/>
  <c r="Q151" i="47"/>
  <c r="AN262" i="47"/>
  <c r="T170" i="47"/>
  <c r="T91" i="47"/>
  <c r="T159" i="47"/>
  <c r="AN293" i="47"/>
  <c r="S169" i="47"/>
  <c r="AP216" i="47"/>
  <c r="AO279" i="47"/>
  <c r="S170" i="47"/>
  <c r="AP245" i="47"/>
  <c r="AL202" i="47"/>
  <c r="R126" i="47"/>
  <c r="AL275" i="47"/>
  <c r="AL254" i="47"/>
  <c r="AO187" i="47"/>
  <c r="T113" i="47"/>
  <c r="R138" i="47"/>
  <c r="AO246" i="47"/>
  <c r="R152" i="47"/>
  <c r="AP262" i="47"/>
  <c r="AL248" i="47"/>
  <c r="AP200" i="47"/>
  <c r="Q177" i="47"/>
  <c r="Q109" i="47"/>
  <c r="S176" i="47"/>
  <c r="AL252" i="47"/>
  <c r="AN308" i="47"/>
  <c r="AL318" i="47"/>
  <c r="AP222" i="47"/>
  <c r="S154" i="47"/>
  <c r="AN187" i="47"/>
  <c r="AP234" i="47"/>
  <c r="R164" i="47"/>
  <c r="T119" i="47"/>
  <c r="R148" i="47"/>
  <c r="AO198" i="47"/>
  <c r="AP236" i="47"/>
  <c r="T183" i="47"/>
  <c r="AP214" i="47"/>
  <c r="AL187" i="47"/>
  <c r="Q87" i="47"/>
  <c r="AP210" i="47"/>
  <c r="AL226" i="47"/>
  <c r="R184" i="47"/>
  <c r="AN281" i="47"/>
  <c r="AO259" i="47"/>
  <c r="AP187" i="47"/>
  <c r="AN252" i="47"/>
  <c r="AP275" i="47"/>
  <c r="T222" i="47"/>
  <c r="Q218" i="47"/>
  <c r="T144" i="47"/>
  <c r="T206" i="47"/>
  <c r="T117" i="47"/>
  <c r="AP270" i="47"/>
  <c r="R141" i="47"/>
  <c r="AN327" i="47"/>
  <c r="R179" i="47"/>
  <c r="AO220" i="47"/>
  <c r="Q227" i="47"/>
  <c r="R136" i="47"/>
  <c r="AP224" i="47"/>
  <c r="AN261" i="47"/>
  <c r="AN292" i="47"/>
  <c r="R173" i="47"/>
  <c r="S114" i="47"/>
  <c r="AO309" i="47"/>
  <c r="AO310" i="47"/>
  <c r="T137" i="47"/>
  <c r="AP264" i="47"/>
  <c r="AP312" i="47"/>
  <c r="R178" i="47"/>
  <c r="Q211" i="47"/>
  <c r="T125" i="47"/>
  <c r="S161" i="47"/>
  <c r="R204" i="47"/>
  <c r="T132" i="47"/>
  <c r="AP263" i="47"/>
  <c r="T200" i="47"/>
  <c r="S89" i="47"/>
  <c r="Q158" i="47"/>
  <c r="S88" i="47"/>
  <c r="T169" i="47"/>
  <c r="R175" i="47"/>
  <c r="T165" i="47"/>
  <c r="AN268" i="47"/>
  <c r="AP297" i="47"/>
  <c r="AN243" i="47"/>
  <c r="Q175" i="47"/>
  <c r="AP304" i="47"/>
  <c r="S181" i="47"/>
  <c r="Q145" i="47"/>
  <c r="Q163" i="47"/>
  <c r="Q138" i="47"/>
  <c r="AL247" i="47"/>
  <c r="AN241" i="47"/>
  <c r="AO230" i="47"/>
  <c r="AO319" i="47"/>
  <c r="T116" i="47"/>
  <c r="AP223" i="47"/>
  <c r="AN235" i="47"/>
  <c r="AN188" i="47"/>
  <c r="R160" i="47"/>
  <c r="AO316" i="47"/>
  <c r="AN303" i="47"/>
  <c r="AP277" i="47"/>
  <c r="Q221" i="47"/>
  <c r="Q210" i="47"/>
  <c r="Q119" i="47"/>
  <c r="R95" i="47"/>
  <c r="Q209" i="47"/>
  <c r="S150" i="47"/>
  <c r="Q125" i="47"/>
  <c r="AO188" i="47"/>
  <c r="T145" i="47"/>
  <c r="AN263" i="47"/>
  <c r="AO204" i="47"/>
  <c r="T178" i="47"/>
  <c r="AP288" i="47"/>
  <c r="R168" i="47"/>
  <c r="S112" i="47"/>
  <c r="Q223" i="47"/>
  <c r="Q184" i="47"/>
  <c r="AL230" i="47"/>
  <c r="Q214" i="47"/>
  <c r="Q120" i="47"/>
  <c r="S147" i="47"/>
  <c r="AL285" i="47"/>
  <c r="AN324" i="47"/>
  <c r="S100" i="47"/>
  <c r="R88" i="47"/>
  <c r="T226" i="47"/>
  <c r="Q205" i="47"/>
  <c r="AP299" i="47"/>
  <c r="Q135" i="47"/>
  <c r="AL301" i="47"/>
  <c r="AN210" i="47"/>
  <c r="AN209" i="47"/>
  <c r="Q212" i="47"/>
  <c r="T130" i="47"/>
  <c r="T166" i="47"/>
  <c r="AL244" i="47"/>
  <c r="T148" i="47"/>
  <c r="AL327" i="47"/>
  <c r="AN203" i="47"/>
  <c r="AP266" i="47"/>
  <c r="R198" i="47"/>
  <c r="R128" i="47"/>
  <c r="S151" i="47"/>
  <c r="R116" i="47"/>
  <c r="S137" i="47"/>
  <c r="AL220" i="47"/>
  <c r="R172" i="47"/>
  <c r="AL255" i="47"/>
  <c r="AN304" i="47"/>
  <c r="T158" i="47"/>
  <c r="AN287" i="47"/>
  <c r="R220" i="47"/>
  <c r="T88" i="47"/>
  <c r="S178" i="47"/>
  <c r="R121" i="47"/>
  <c r="T128" i="47"/>
  <c r="Q130" i="47"/>
  <c r="AO298" i="47"/>
  <c r="AL303" i="47"/>
  <c r="AP243" i="47"/>
  <c r="AL204" i="47"/>
  <c r="R180" i="47"/>
  <c r="Q117" i="47"/>
  <c r="S188" i="47"/>
  <c r="AP310" i="47"/>
  <c r="T218" i="47"/>
  <c r="AL238" i="47"/>
  <c r="AO296" i="47"/>
  <c r="Q202" i="47"/>
  <c r="AL311" i="47"/>
  <c r="AN238" i="47"/>
  <c r="AP188" i="47"/>
  <c r="S157" i="47"/>
  <c r="R203" i="47"/>
  <c r="R193" i="47"/>
  <c r="AP308" i="47"/>
  <c r="R182" i="47"/>
  <c r="T224" i="47"/>
  <c r="AN265" i="47"/>
  <c r="AP192" i="47"/>
  <c r="AN189" i="47"/>
  <c r="AL316" i="47"/>
  <c r="T106" i="47"/>
  <c r="Q88" i="47"/>
  <c r="AN319" i="47"/>
  <c r="AP219" i="47"/>
  <c r="T196" i="47"/>
  <c r="T181" i="47"/>
  <c r="T173" i="47"/>
  <c r="AN305" i="47"/>
  <c r="AN208" i="47"/>
  <c r="AL320" i="47"/>
  <c r="AL309" i="47"/>
  <c r="R145" i="47"/>
  <c r="R99" i="47"/>
  <c r="AP257" i="47"/>
  <c r="T95" i="47"/>
  <c r="AP290" i="47"/>
  <c r="AL188" i="47"/>
  <c r="R219" i="47"/>
  <c r="AL282" i="47"/>
  <c r="Q159" i="47"/>
  <c r="S168" i="47"/>
  <c r="S173" i="47"/>
  <c r="AN258" i="47"/>
  <c r="R186" i="47"/>
  <c r="AL305" i="47"/>
  <c r="T176" i="47"/>
  <c r="R181" i="47"/>
  <c r="AN309" i="47"/>
  <c r="AO323" i="47"/>
  <c r="S200" i="47"/>
  <c r="AL268" i="47"/>
  <c r="S180" i="47"/>
  <c r="AL297" i="47"/>
  <c r="S129" i="47"/>
  <c r="AP265" i="47"/>
  <c r="Q186" i="47"/>
  <c r="S179" i="47"/>
  <c r="R153" i="47"/>
  <c r="T135" i="47"/>
  <c r="T190" i="47"/>
  <c r="AL321" i="47"/>
  <c r="AO264" i="47"/>
  <c r="T174" i="47"/>
  <c r="S145" i="47"/>
  <c r="Q215" i="47"/>
  <c r="AP323" i="47"/>
  <c r="AL322" i="47"/>
  <c r="Q185" i="47"/>
  <c r="AO240" i="47"/>
  <c r="Q160" i="47"/>
  <c r="AN289" i="47"/>
  <c r="AN218" i="47"/>
  <c r="Q201" i="47"/>
  <c r="AP317" i="47"/>
  <c r="S123" i="47"/>
  <c r="T171" i="47"/>
  <c r="Q142" i="47"/>
  <c r="AN225" i="47"/>
  <c r="S91" i="47"/>
  <c r="AP295" i="47"/>
  <c r="S219" i="47"/>
  <c r="AL232" i="47"/>
  <c r="Q104" i="47"/>
  <c r="Q217" i="47"/>
  <c r="AN247" i="47"/>
  <c r="S163" i="47"/>
  <c r="Q111" i="47"/>
  <c r="AN302" i="47"/>
  <c r="AP286" i="47"/>
  <c r="R137" i="47"/>
  <c r="AL283" i="47"/>
  <c r="AO216" i="47"/>
  <c r="T207" i="47"/>
  <c r="R133" i="47"/>
  <c r="T123" i="47"/>
  <c r="S97" i="47"/>
  <c r="AO277" i="47"/>
  <c r="R222" i="47"/>
  <c r="AN229" i="47"/>
  <c r="AL274" i="47"/>
  <c r="AL317" i="47"/>
  <c r="AO290" i="47"/>
  <c r="AL291" i="47"/>
  <c r="AO300" i="47"/>
  <c r="S92" i="47"/>
  <c r="AO225" i="47"/>
  <c r="Q100" i="47"/>
  <c r="AO191" i="47"/>
  <c r="R165" i="47"/>
  <c r="AL324" i="47"/>
  <c r="AN312" i="47"/>
  <c r="T146" i="47"/>
  <c r="S182" i="47"/>
  <c r="AL191" i="47"/>
  <c r="AP253" i="47"/>
  <c r="AP239" i="47"/>
  <c r="T143" i="47"/>
  <c r="S127" i="47"/>
  <c r="AP189" i="47"/>
  <c r="AN325" i="47"/>
  <c r="AP289" i="47"/>
  <c r="Q122" i="47"/>
  <c r="AP258" i="47"/>
  <c r="Q129" i="47"/>
  <c r="S162" i="47"/>
  <c r="S148" i="47"/>
  <c r="T204" i="47"/>
  <c r="AO315" i="47"/>
  <c r="T151" i="47"/>
  <c r="AP228" i="47"/>
  <c r="Q153" i="47"/>
  <c r="AO224" i="47"/>
  <c r="R208" i="47"/>
  <c r="T189" i="47"/>
  <c r="AL312" i="47"/>
  <c r="S220" i="47"/>
  <c r="R227" i="47"/>
  <c r="AP279" i="47"/>
  <c r="AL242" i="47"/>
  <c r="R146" i="47"/>
  <c r="R127" i="47"/>
  <c r="R183" i="47"/>
  <c r="AO307" i="47"/>
  <c r="AL190" i="47"/>
  <c r="AO312" i="47"/>
  <c r="AL200" i="47"/>
  <c r="R123" i="47"/>
  <c r="T154" i="47"/>
  <c r="AL199" i="47"/>
  <c r="Q105" i="47"/>
  <c r="S149" i="47"/>
  <c r="AO217" i="47"/>
  <c r="S223" i="47"/>
  <c r="AP209" i="47"/>
  <c r="AO233" i="47"/>
  <c r="AL221" i="47"/>
  <c r="T104" i="47"/>
  <c r="AP267" i="47"/>
  <c r="Q116" i="47"/>
  <c r="AO192" i="47"/>
  <c r="Q224" i="47"/>
  <c r="T121" i="47"/>
  <c r="Q136" i="47"/>
  <c r="AN284" i="47"/>
  <c r="T221" i="47"/>
  <c r="AO249" i="47"/>
  <c r="S90" i="47"/>
  <c r="Q182" i="47"/>
  <c r="AL223" i="47"/>
  <c r="AL218" i="47"/>
  <c r="AO325" i="47"/>
  <c r="S221" i="47"/>
  <c r="AN245" i="47"/>
  <c r="AO297" i="47"/>
  <c r="T155" i="47"/>
  <c r="AN279" i="47"/>
  <c r="S203" i="47"/>
  <c r="T105" i="47"/>
  <c r="AP322" i="47"/>
  <c r="R191" i="47"/>
  <c r="AN199" i="47"/>
  <c r="S160" i="47"/>
  <c r="AN216" i="47"/>
  <c r="AN260" i="47"/>
  <c r="S171" i="47"/>
  <c r="AO253" i="47"/>
  <c r="AP305" i="47"/>
  <c r="AL278" i="47"/>
  <c r="S174" i="47"/>
  <c r="AL319" i="47"/>
  <c r="Q95" i="47"/>
  <c r="AP272" i="47"/>
  <c r="AO236" i="47"/>
  <c r="R106" i="47"/>
  <c r="S202" i="47"/>
  <c r="AL245" i="47"/>
  <c r="R202" i="47"/>
  <c r="T193" i="47"/>
  <c r="S225" i="47"/>
  <c r="R117" i="47"/>
  <c r="T203" i="47"/>
  <c r="AO221" i="47"/>
  <c r="AP255" i="47"/>
  <c r="AP315" i="47"/>
  <c r="AN326" i="47"/>
  <c r="AO327" i="47"/>
  <c r="R109" i="47"/>
  <c r="S172" i="47"/>
  <c r="Q192" i="47"/>
  <c r="R124" i="47"/>
  <c r="AO210" i="47"/>
  <c r="T157" i="47"/>
  <c r="R169" i="47"/>
  <c r="S212" i="47"/>
  <c r="AO227" i="47"/>
  <c r="R111" i="47"/>
  <c r="AP240" i="47"/>
  <c r="AN322" i="47"/>
  <c r="AN259" i="47"/>
  <c r="AL292" i="47"/>
  <c r="AN195" i="47"/>
  <c r="S101" i="47"/>
  <c r="AO209" i="47"/>
  <c r="T141" i="47"/>
  <c r="T227" i="47"/>
  <c r="AN278" i="47"/>
  <c r="R200" i="47"/>
  <c r="AP202" i="47"/>
  <c r="AL197" i="47"/>
  <c r="AN269" i="47"/>
  <c r="Q203" i="47"/>
  <c r="R209" i="47"/>
  <c r="Q140" i="47"/>
  <c r="AP197" i="47"/>
  <c r="AO256" i="47"/>
  <c r="Q166" i="47"/>
  <c r="AN282" i="47"/>
  <c r="AO278" i="47"/>
  <c r="R224" i="47"/>
  <c r="AL243" i="47"/>
  <c r="AN296" i="47"/>
  <c r="AL259" i="47"/>
  <c r="AN275" i="47"/>
  <c r="S209" i="47"/>
  <c r="AN288" i="47"/>
  <c r="T177" i="47"/>
  <c r="S210" i="47"/>
  <c r="AO203" i="47"/>
  <c r="R188" i="47"/>
  <c r="Q193" i="47"/>
  <c r="R217" i="47"/>
  <c r="S131" i="47"/>
  <c r="R194" i="47"/>
  <c r="AO308" i="47"/>
  <c r="AL302" i="47"/>
  <c r="AP268" i="47"/>
  <c r="T163" i="47"/>
  <c r="AO313" i="47"/>
  <c r="AO299" i="47"/>
  <c r="AP285" i="47"/>
  <c r="AL300" i="47"/>
  <c r="T98" i="47"/>
  <c r="AN196" i="47"/>
  <c r="AP326" i="47"/>
  <c r="AN219" i="47"/>
  <c r="Q90" i="47"/>
  <c r="AL212" i="47"/>
  <c r="AL236" i="47"/>
  <c r="AL263" i="47"/>
  <c r="Q152" i="47"/>
  <c r="T202" i="47"/>
  <c r="AO306" i="47"/>
  <c r="S204" i="47"/>
  <c r="AO320" i="47"/>
  <c r="AO252" i="47"/>
  <c r="T111" i="47"/>
  <c r="AN270" i="47"/>
  <c r="T129" i="47"/>
  <c r="AP311" i="47"/>
  <c r="AP248" i="47"/>
  <c r="AP198" i="47"/>
  <c r="AL272" i="47"/>
  <c r="T219" i="47"/>
  <c r="Q195" i="47"/>
  <c r="R102" i="47"/>
  <c r="AP250" i="47"/>
  <c r="T120" i="47"/>
  <c r="AO274" i="47"/>
  <c r="AL210" i="47"/>
  <c r="S138" i="47"/>
  <c r="AP231" i="47"/>
  <c r="AO265" i="47"/>
  <c r="T133" i="47"/>
  <c r="AN317" i="47"/>
  <c r="R151" i="47"/>
  <c r="S208" i="47"/>
  <c r="S141" i="47"/>
  <c r="Q147" i="47"/>
  <c r="S192" i="47"/>
  <c r="S116" i="47"/>
  <c r="AN267" i="47"/>
  <c r="AN311" i="47"/>
  <c r="AO226" i="47"/>
  <c r="S226" i="47"/>
  <c r="S146" i="47"/>
  <c r="S199" i="47"/>
  <c r="R114" i="47"/>
  <c r="AO247" i="47"/>
  <c r="AP194" i="47"/>
  <c r="R159" i="47"/>
  <c r="AP199" i="47"/>
  <c r="S167" i="47"/>
  <c r="Q99" i="47"/>
  <c r="AN283" i="47"/>
  <c r="AP232" i="47"/>
  <c r="R225" i="47"/>
  <c r="AN220" i="47"/>
  <c r="AL214" i="47"/>
  <c r="S118" i="47"/>
  <c r="R89" i="47"/>
  <c r="AL196" i="47"/>
  <c r="AO269" i="47"/>
  <c r="R92" i="47"/>
  <c r="Q174" i="47"/>
  <c r="AO270" i="47"/>
  <c r="Q106" i="47"/>
  <c r="AO232" i="47"/>
  <c r="AO303" i="47"/>
  <c r="Q91" i="47"/>
  <c r="Q124" i="47"/>
  <c r="AN307" i="47"/>
  <c r="AN221" i="47"/>
  <c r="AN240" i="47"/>
  <c r="Q143" i="47"/>
  <c r="T167" i="47"/>
  <c r="AO272" i="47"/>
  <c r="AN316" i="47"/>
  <c r="AL286" i="47"/>
  <c r="Q137" i="47"/>
  <c r="AP314" i="47"/>
  <c r="R177" i="47"/>
  <c r="Q94" i="47"/>
  <c r="T195" i="47"/>
  <c r="R210" i="47"/>
  <c r="Q144" i="47"/>
  <c r="AN230" i="47"/>
  <c r="R119" i="47"/>
  <c r="AO241" i="47"/>
  <c r="AL277" i="47"/>
  <c r="AO255" i="47"/>
  <c r="T187" i="47"/>
  <c r="S111" i="47"/>
  <c r="AN290" i="47"/>
  <c r="AO305" i="47"/>
  <c r="T182" i="47"/>
  <c r="AL296" i="47"/>
  <c r="AP207" i="47"/>
  <c r="AO254" i="47"/>
  <c r="AN226" i="47"/>
  <c r="AP306" i="47"/>
  <c r="AL265" i="47"/>
  <c r="AN224" i="47"/>
  <c r="AL192" i="47"/>
  <c r="AP205" i="47"/>
  <c r="AL289" i="47"/>
  <c r="T198" i="47"/>
  <c r="AL235" i="47"/>
  <c r="T160" i="47"/>
  <c r="AN197" i="47"/>
  <c r="AO200" i="47"/>
  <c r="R113" i="47"/>
  <c r="AN273" i="47"/>
  <c r="R147" i="47"/>
  <c r="T118" i="47"/>
  <c r="S152" i="47"/>
  <c r="AP203" i="47"/>
  <c r="AP303" i="47"/>
  <c r="S106" i="47"/>
  <c r="Q180" i="47"/>
  <c r="AO238" i="47"/>
  <c r="Q226" i="47"/>
  <c r="AP260" i="47"/>
  <c r="T191" i="47"/>
  <c r="Q207" i="47"/>
  <c r="AN217" i="47"/>
  <c r="T114" i="47"/>
  <c r="AP229" i="47"/>
  <c r="T103" i="47"/>
  <c r="AP269" i="47"/>
  <c r="AP212" i="47"/>
  <c r="AN313" i="47"/>
  <c r="Q134" i="47"/>
  <c r="AN248" i="47"/>
  <c r="AL231" i="47"/>
  <c r="AO294" i="47"/>
  <c r="AO215" i="47"/>
  <c r="AL308" i="47"/>
  <c r="S183" i="47"/>
  <c r="S128" i="47"/>
  <c r="R156" i="47"/>
  <c r="AP237" i="47"/>
  <c r="S99" i="47"/>
  <c r="S96" i="47"/>
  <c r="R215" i="47"/>
  <c r="S206" i="47"/>
  <c r="T168" i="47"/>
  <c r="Q126" i="47"/>
  <c r="AO301" i="47"/>
  <c r="AL260" i="47"/>
  <c r="AO250" i="47"/>
  <c r="S119" i="47"/>
  <c r="S140" i="47"/>
  <c r="R197" i="47"/>
  <c r="S120" i="47"/>
  <c r="Q220" i="47"/>
  <c r="AP307" i="47"/>
  <c r="Q204" i="47"/>
  <c r="S211" i="47"/>
  <c r="AN255" i="47"/>
  <c r="AP292" i="47"/>
  <c r="Q154" i="47"/>
  <c r="AN237" i="47"/>
  <c r="Q213" i="47"/>
  <c r="AP280" i="47"/>
  <c r="AP196" i="47"/>
  <c r="T140" i="47"/>
  <c r="AO317" i="47"/>
  <c r="AP302" i="47"/>
  <c r="AP195" i="47"/>
  <c r="AL269" i="47"/>
  <c r="AL298" i="47"/>
  <c r="R195" i="47"/>
  <c r="AO244" i="47"/>
  <c r="S216" i="47"/>
  <c r="R129" i="47"/>
  <c r="AO243" i="47"/>
  <c r="AP278" i="47"/>
  <c r="AN249" i="47"/>
  <c r="AO263" i="47"/>
  <c r="AL229" i="47"/>
  <c r="AP221" i="47"/>
  <c r="AL250" i="47"/>
  <c r="Q173" i="47"/>
  <c r="S186" i="47"/>
  <c r="Q107" i="47"/>
  <c r="S156" i="47"/>
  <c r="AN253" i="47"/>
  <c r="S175" i="47"/>
  <c r="AL271" i="47"/>
  <c r="R118" i="47"/>
  <c r="S136" i="47"/>
  <c r="AN206" i="47"/>
  <c r="AN299" i="47"/>
  <c r="AO261" i="47"/>
  <c r="AO211" i="47"/>
  <c r="R107" i="47"/>
  <c r="Q206" i="47"/>
  <c r="AL224" i="47"/>
  <c r="T138" i="47"/>
  <c r="R108" i="47"/>
  <c r="R157" i="47"/>
  <c r="AP190" i="47"/>
  <c r="R140" i="47"/>
  <c r="Q149" i="47"/>
  <c r="AL249" i="47"/>
  <c r="AO302" i="47"/>
  <c r="AP211" i="47"/>
  <c r="AP271" i="47"/>
  <c r="R131" i="47"/>
  <c r="AL201" i="47"/>
  <c r="AN274" i="47"/>
  <c r="T172" i="47"/>
  <c r="AN277" i="47"/>
  <c r="AP215" i="47"/>
  <c r="AL251" i="47"/>
  <c r="AN266" i="47"/>
  <c r="Q150" i="47"/>
  <c r="AN205" i="47"/>
  <c r="T122" i="47"/>
  <c r="Q161" i="47"/>
  <c r="Q200" i="47"/>
  <c r="R212" i="47"/>
  <c r="AL325" i="47"/>
  <c r="T142" i="47"/>
  <c r="Q208" i="47"/>
  <c r="AN257" i="47"/>
  <c r="AL239" i="47"/>
  <c r="AL216" i="47"/>
  <c r="Q113" i="47"/>
  <c r="AO271" i="47"/>
  <c r="S110" i="47"/>
  <c r="T208" i="47"/>
  <c r="AO214" i="47"/>
  <c r="AP296" i="47"/>
  <c r="S155" i="47"/>
  <c r="AP226" i="47"/>
  <c r="Q216" i="47"/>
  <c r="R94" i="47"/>
  <c r="AL288" i="47"/>
  <c r="AO212" i="47"/>
  <c r="AO245" i="47"/>
  <c r="R199" i="47"/>
  <c r="AO207" i="47"/>
  <c r="Q146" i="47"/>
  <c r="S217" i="47"/>
  <c r="R187" i="47"/>
  <c r="S125" i="47"/>
  <c r="AO206" i="47"/>
  <c r="AO194" i="47"/>
  <c r="R167" i="47"/>
  <c r="S191" i="47"/>
  <c r="R213" i="47"/>
  <c r="T94" i="47"/>
  <c r="S109" i="47"/>
  <c r="T124" i="47"/>
  <c r="AP201" i="47"/>
  <c r="AN272" i="47"/>
  <c r="AO189" i="47"/>
  <c r="AO293" i="47"/>
  <c r="Q164" i="47"/>
  <c r="T131" i="47"/>
  <c r="AP193" i="47"/>
  <c r="AN264" i="47"/>
  <c r="S227" i="47"/>
  <c r="T197" i="47"/>
  <c r="S166" i="47"/>
  <c r="Q103" i="47"/>
  <c r="AP261" i="47"/>
  <c r="R97" i="47"/>
  <c r="S205" i="47"/>
  <c r="AL284" i="47"/>
  <c r="AO257" i="47"/>
  <c r="T188" i="47"/>
  <c r="AP316" i="47"/>
  <c r="AN314" i="47"/>
  <c r="T164" i="47"/>
  <c r="AO268" i="47"/>
  <c r="Q196" i="47"/>
  <c r="AL314" i="47"/>
  <c r="R96" i="47"/>
  <c r="T127" i="47"/>
  <c r="AL222" i="47"/>
  <c r="S124" i="47"/>
  <c r="AL310" i="47"/>
  <c r="AN300" i="47"/>
  <c r="S195" i="47"/>
  <c r="Q187" i="47"/>
  <c r="AO222" i="47"/>
  <c r="S102" i="47"/>
  <c r="AN232" i="47"/>
  <c r="T212" i="47"/>
  <c r="AN310" i="47"/>
  <c r="AN250" i="47"/>
  <c r="R223" i="47"/>
  <c r="AO304" i="47"/>
  <c r="Q188" i="47"/>
  <c r="AO267" i="47"/>
  <c r="AN233" i="47"/>
  <c r="AO237" i="47"/>
  <c r="T217" i="47"/>
  <c r="AL207" i="47"/>
  <c r="S107" i="47"/>
  <c r="S159" i="47"/>
  <c r="Q97" i="47"/>
  <c r="Q98" i="47"/>
  <c r="T150" i="47"/>
  <c r="R120" i="47"/>
  <c r="AL307" i="47"/>
  <c r="AO284" i="47"/>
  <c r="R130" i="47"/>
  <c r="AP254" i="47"/>
  <c r="T209" i="47"/>
  <c r="AP287" i="47"/>
  <c r="Q156" i="47"/>
  <c r="S198" i="47"/>
  <c r="Q219" i="47"/>
  <c r="AL194" i="47"/>
  <c r="AN323" i="47"/>
  <c r="AL323" i="47"/>
  <c r="AN215" i="47"/>
  <c r="AP246" i="47"/>
  <c r="S164" i="47"/>
  <c r="AO318" i="47"/>
  <c r="AL228" i="47"/>
  <c r="Q190" i="47"/>
  <c r="S196" i="47"/>
  <c r="AL227" i="47"/>
  <c r="AL211" i="47"/>
  <c r="R221" i="47"/>
  <c r="S104" i="47"/>
  <c r="R105" i="47"/>
  <c r="Q112" i="47"/>
  <c r="S193" i="47"/>
  <c r="S214" i="47"/>
  <c r="Q115" i="47"/>
  <c r="AN271" i="47"/>
  <c r="AO195" i="47"/>
  <c r="Q222" i="47"/>
  <c r="AL241" i="47"/>
  <c r="S222" i="47"/>
  <c r="AO266" i="47"/>
  <c r="Q148" i="47"/>
  <c r="T215" i="47"/>
  <c r="T153" i="47"/>
  <c r="T201" i="47"/>
  <c r="AN320" i="47"/>
  <c r="AN190" i="47"/>
  <c r="AP324" i="47"/>
  <c r="AL267" i="47"/>
  <c r="AP291" i="47"/>
  <c r="T216" i="47"/>
  <c r="T136" i="47"/>
  <c r="AP230" i="47"/>
  <c r="AO282" i="47"/>
  <c r="AL215" i="47"/>
  <c r="AN294" i="47"/>
  <c r="S126" i="47"/>
  <c r="R110" i="47"/>
  <c r="Q181" i="47"/>
  <c r="S218" i="47"/>
  <c r="S158" i="47"/>
  <c r="Q89" i="47"/>
  <c r="AN193" i="47"/>
  <c r="AO324" i="47"/>
  <c r="R171" i="47"/>
  <c r="Q189" i="47"/>
  <c r="AL206" i="47"/>
  <c r="S98" i="47"/>
  <c r="S94" i="47"/>
  <c r="AP238" i="47"/>
  <c r="AO251" i="47"/>
  <c r="AL240" i="47"/>
  <c r="AO193" i="47"/>
  <c r="AN242" i="47"/>
  <c r="AP247" i="47"/>
  <c r="R98" i="47"/>
  <c r="R135" i="47"/>
  <c r="AP242" i="47"/>
  <c r="AO285" i="47"/>
  <c r="R190" i="47"/>
  <c r="Q133" i="47"/>
  <c r="S144" i="47"/>
  <c r="AO199" i="47"/>
  <c r="T96" i="47"/>
  <c r="T185" i="47"/>
  <c r="AN214" i="47"/>
  <c r="AN213" i="47"/>
  <c r="AO326" i="47"/>
  <c r="AL299" i="47"/>
  <c r="AL266" i="47"/>
  <c r="AN244" i="47"/>
  <c r="Q172" i="47"/>
  <c r="R103" i="47"/>
  <c r="R150" i="47"/>
  <c r="AL205" i="47"/>
  <c r="T225" i="47"/>
  <c r="AP318" i="47"/>
  <c r="AN211" i="47"/>
  <c r="AN318" i="47"/>
  <c r="AN298" i="47"/>
  <c r="R132" i="47"/>
  <c r="S139" i="47"/>
  <c r="S185" i="47"/>
  <c r="AO288" i="47"/>
  <c r="T139" i="47"/>
  <c r="R155" i="47"/>
  <c r="Q178" i="47"/>
  <c r="AN276" i="47"/>
  <c r="S143" i="47"/>
  <c r="Q179" i="47"/>
  <c r="AP294" i="47"/>
  <c r="T210" i="47"/>
  <c r="S93" i="47"/>
  <c r="AN280" i="47"/>
  <c r="AP249" i="47"/>
  <c r="T101" i="47"/>
  <c r="AO280" i="47"/>
  <c r="AL294" i="47"/>
  <c r="AO260" i="47"/>
  <c r="R93" i="47"/>
  <c r="AL246" i="47"/>
  <c r="R161" i="47"/>
  <c r="AO295" i="47"/>
  <c r="AP251" i="47"/>
  <c r="T161" i="47"/>
  <c r="R214" i="47"/>
  <c r="S197" i="47"/>
  <c r="AN297" i="47"/>
  <c r="AN315" i="47"/>
  <c r="Q121" i="47"/>
  <c r="T199" i="47"/>
  <c r="AL293" i="47"/>
  <c r="R134" i="47"/>
  <c r="AO262" i="47"/>
  <c r="AN246" i="47"/>
  <c r="S142" i="47"/>
  <c r="Q167" i="47"/>
  <c r="AP220" i="47"/>
  <c r="AO287" i="47"/>
  <c r="Q92" i="47"/>
  <c r="T109" i="47"/>
  <c r="AO229" i="47"/>
  <c r="Q118" i="47"/>
  <c r="T89" i="47"/>
  <c r="AO213" i="47"/>
  <c r="Q199" i="47"/>
  <c r="AP206" i="47"/>
  <c r="R162" i="47"/>
  <c r="AO231" i="47"/>
  <c r="T184" i="47"/>
  <c r="T175" i="47"/>
  <c r="AP325" i="47"/>
  <c r="T179" i="47"/>
  <c r="AO190" i="47"/>
  <c r="AO196" i="47"/>
  <c r="Q225" i="47"/>
  <c r="AN192" i="47"/>
  <c r="T100" i="47"/>
  <c r="AO219" i="47"/>
  <c r="AL225" i="47"/>
  <c r="R101" i="47"/>
  <c r="S105" i="47"/>
  <c r="AP191" i="47"/>
  <c r="AP227" i="47"/>
  <c r="S135" i="47"/>
  <c r="AO197" i="47"/>
  <c r="AL234" i="47"/>
  <c r="S122" i="47"/>
  <c r="AN231" i="47"/>
  <c r="S224" i="47"/>
  <c r="R192" i="47"/>
  <c r="AL313" i="47"/>
  <c r="S117" i="47"/>
  <c r="Q197" i="47"/>
  <c r="Q170" i="47"/>
  <c r="AO289" i="47"/>
  <c r="R149" i="47"/>
  <c r="S108" i="47"/>
  <c r="AP301" i="47"/>
  <c r="AP293" i="47"/>
  <c r="T162" i="47"/>
  <c r="T149" i="47"/>
  <c r="Q131" i="47"/>
  <c r="AN212" i="47"/>
  <c r="AP283" i="47"/>
  <c r="AL209" i="47"/>
  <c r="AL281" i="47"/>
  <c r="T192" i="47"/>
  <c r="AN291" i="47"/>
  <c r="T115" i="47"/>
  <c r="AL270" i="47"/>
  <c r="AN239" i="47"/>
  <c r="AL280" i="47"/>
  <c r="Q169" i="47"/>
  <c r="AP282" i="47"/>
  <c r="AP319" i="47"/>
  <c r="AO258" i="47"/>
  <c r="S194" i="47"/>
  <c r="AP244" i="47"/>
  <c r="AN234" i="47"/>
  <c r="AO201" i="47"/>
  <c r="AO275" i="47"/>
  <c r="AL237" i="47"/>
  <c r="AP298" i="47"/>
  <c r="AN254" i="47"/>
  <c r="T211" i="47"/>
  <c r="AP204" i="47"/>
  <c r="Q157" i="47"/>
  <c r="R112" i="47"/>
  <c r="S153" i="47"/>
  <c r="Q183" i="47"/>
  <c r="AO235" i="47"/>
  <c r="AP300" i="47"/>
  <c r="R216" i="47"/>
  <c r="S184" i="47"/>
  <c r="AO273" i="47"/>
  <c r="R166" i="47"/>
  <c r="AP309" i="47"/>
  <c r="AP313" i="47"/>
  <c r="R211" i="47"/>
  <c r="AL276" i="47"/>
  <c r="AL189" i="47"/>
  <c r="AO283" i="47"/>
  <c r="S213" i="47"/>
  <c r="AN286" i="47"/>
  <c r="AO242" i="47"/>
  <c r="AO228" i="47"/>
  <c r="R158" i="47"/>
  <c r="AN236" i="47"/>
  <c r="AO223" i="47"/>
  <c r="AP256" i="47"/>
  <c r="AL193" i="47"/>
  <c r="T147" i="47"/>
  <c r="AL304" i="47"/>
  <c r="AN321" i="47"/>
  <c r="R201" i="47"/>
  <c r="Q141" i="47"/>
  <c r="R196" i="47"/>
  <c r="T97" i="47"/>
  <c r="S165" i="47"/>
  <c r="R189" i="47"/>
  <c r="AN202" i="47"/>
  <c r="AO286" i="47"/>
  <c r="AP273" i="47"/>
  <c r="AN222" i="47"/>
  <c r="S189" i="47"/>
  <c r="Q108" i="47"/>
  <c r="AL256" i="47"/>
  <c r="Q102" i="47"/>
  <c r="Q110" i="47"/>
  <c r="Q162" i="47"/>
  <c r="AN295" i="47"/>
  <c r="AP281" i="47"/>
  <c r="R170" i="47"/>
  <c r="T107" i="47"/>
  <c r="AP241" i="47"/>
  <c r="AO291" i="47"/>
  <c r="R125" i="47"/>
  <c r="S132" i="47"/>
  <c r="AL203" i="47"/>
  <c r="S95" i="47"/>
  <c r="AL279" i="47"/>
  <c r="Q194" i="47"/>
  <c r="AO239" i="47"/>
  <c r="AN207" i="47"/>
  <c r="AO281" i="47"/>
  <c r="Q114" i="47"/>
  <c r="AP225" i="47"/>
  <c r="AP327" i="47"/>
  <c r="S113" i="47"/>
  <c r="T214" i="47"/>
  <c r="AO314" i="47"/>
  <c r="R142" i="47"/>
  <c r="AL219" i="47"/>
  <c r="AL315" i="47"/>
  <c r="T92" i="47"/>
  <c r="AP213" i="47"/>
  <c r="Q101" i="47"/>
  <c r="R104" i="47"/>
  <c r="T126" i="47"/>
  <c r="AL273" i="47"/>
  <c r="AP321" i="47"/>
  <c r="R205" i="47"/>
  <c r="AL208" i="47"/>
  <c r="AN201" i="47"/>
  <c r="AN198" i="47"/>
  <c r="AL264" i="47"/>
  <c r="AN200" i="47"/>
  <c r="AN204" i="47"/>
  <c r="T180" i="47"/>
  <c r="T186" i="47"/>
  <c r="AN306" i="47"/>
  <c r="R90" i="47"/>
  <c r="AP235" i="47"/>
  <c r="Q171" i="47"/>
  <c r="AP252" i="47"/>
  <c r="AP233" i="47"/>
  <c r="AO234" i="47"/>
  <c r="AL257" i="47"/>
  <c r="AL258" i="47"/>
  <c r="AN251" i="47"/>
  <c r="T99" i="47"/>
  <c r="AL213" i="47"/>
  <c r="AL290" i="47"/>
  <c r="AP276" i="47"/>
  <c r="R206" i="47"/>
  <c r="Q132" i="47"/>
  <c r="T213" i="47"/>
  <c r="S207" i="47"/>
  <c r="AP259" i="47"/>
  <c r="R154" i="47"/>
  <c r="S190" i="47"/>
  <c r="Q139" i="47"/>
  <c r="AL195" i="47"/>
  <c r="R218" i="47"/>
  <c r="AN228" i="47"/>
  <c r="S115" i="47"/>
  <c r="R100" i="47"/>
  <c r="AF63" i="55" l="1"/>
  <c r="AG63" i="55"/>
  <c r="AF33" i="55"/>
  <c r="AG121" i="55"/>
  <c r="AG47" i="55"/>
  <c r="AF47" i="55"/>
  <c r="AG33" i="55"/>
  <c r="AF121" i="55"/>
  <c r="AG40" i="55"/>
  <c r="AG16" i="55"/>
  <c r="AG45" i="55"/>
  <c r="AF40" i="55"/>
  <c r="AF45" i="55"/>
  <c r="AF16" i="55"/>
  <c r="AF19" i="55"/>
  <c r="AG19" i="55"/>
  <c r="AF84" i="55"/>
  <c r="AG84" i="55"/>
  <c r="AF124" i="55"/>
  <c r="AF66" i="55"/>
  <c r="AF59" i="55"/>
  <c r="AF73" i="55"/>
  <c r="AG122" i="55"/>
  <c r="AF44" i="55"/>
  <c r="AG59" i="55"/>
  <c r="AG124" i="55"/>
  <c r="AG21" i="55"/>
  <c r="AG66" i="55"/>
  <c r="AG44" i="55"/>
  <c r="AF21" i="55"/>
  <c r="AF122" i="55"/>
  <c r="AG73" i="55"/>
  <c r="AF75" i="55"/>
  <c r="AG129" i="55"/>
  <c r="AF111" i="55"/>
  <c r="AG111" i="55"/>
  <c r="AG8" i="55"/>
  <c r="AG116" i="55"/>
  <c r="AF8" i="55"/>
  <c r="AG75" i="55"/>
  <c r="AF120" i="55"/>
  <c r="AG54" i="55"/>
  <c r="AF46" i="55"/>
  <c r="AF125" i="55"/>
  <c r="AG104" i="55"/>
  <c r="AG128" i="55"/>
  <c r="AG43" i="55"/>
  <c r="AG22" i="55"/>
  <c r="AG4" i="55"/>
  <c r="AF54" i="55"/>
  <c r="AF43" i="55"/>
  <c r="AF94" i="55"/>
  <c r="AF61" i="55"/>
  <c r="AF4" i="55"/>
  <c r="AG71" i="55"/>
  <c r="AF116" i="55"/>
  <c r="AF71" i="55"/>
  <c r="AF22" i="55"/>
  <c r="AG94" i="55"/>
  <c r="AF104" i="55"/>
  <c r="AF30" i="55"/>
  <c r="AF48" i="55"/>
  <c r="AF129" i="55"/>
  <c r="AG125" i="55"/>
  <c r="AF20" i="55"/>
  <c r="AG120" i="55"/>
  <c r="AF128" i="55"/>
  <c r="AG48" i="55"/>
  <c r="AG46" i="55"/>
  <c r="AG30" i="55"/>
  <c r="AG20" i="55"/>
  <c r="AG61" i="55"/>
  <c r="AG50" i="55"/>
  <c r="AF50" i="55"/>
  <c r="AF91" i="55"/>
  <c r="AG91" i="55"/>
  <c r="AG101" i="55"/>
  <c r="AF58" i="55"/>
  <c r="AG58" i="55"/>
  <c r="AF101" i="55"/>
  <c r="AF5" i="55"/>
  <c r="AG5" i="55"/>
  <c r="AF27" i="55"/>
  <c r="AG27" i="55"/>
  <c r="AG80" i="55"/>
  <c r="AF80" i="55"/>
  <c r="AF109" i="55"/>
  <c r="AG109" i="55"/>
  <c r="AG53" i="55"/>
  <c r="AF53" i="55"/>
  <c r="AG36" i="55"/>
  <c r="AF36" i="55"/>
  <c r="AG68" i="55"/>
  <c r="AF68" i="55"/>
  <c r="AG126" i="55"/>
  <c r="AF126" i="55"/>
  <c r="AG14" i="55"/>
  <c r="AF14" i="55"/>
  <c r="AG114" i="55"/>
  <c r="AF114" i="55"/>
  <c r="AG78" i="55"/>
  <c r="AF78" i="55"/>
  <c r="AG97" i="55"/>
  <c r="AF97" i="55"/>
  <c r="AF81" i="55"/>
  <c r="AG81" i="55"/>
  <c r="AG100" i="55"/>
  <c r="AF100" i="55"/>
  <c r="AG83" i="55"/>
  <c r="AF83" i="55"/>
  <c r="AG79" i="55"/>
  <c r="AF79" i="55"/>
  <c r="AF60" i="55"/>
  <c r="AG60" i="55"/>
  <c r="AF67" i="55"/>
  <c r="AG67" i="55"/>
  <c r="AF57" i="55"/>
  <c r="AG57" i="55"/>
  <c r="AG95" i="55"/>
  <c r="AF95" i="55"/>
  <c r="AF86" i="55"/>
  <c r="AG86" i="55"/>
  <c r="AG76" i="55"/>
  <c r="AF76" i="55"/>
  <c r="AF106" i="55"/>
  <c r="AG106" i="55"/>
  <c r="AF103" i="55"/>
  <c r="AG103" i="55"/>
  <c r="AF39" i="55"/>
  <c r="AG39" i="55"/>
  <c r="AG51" i="55"/>
  <c r="AF51" i="55"/>
  <c r="AG127" i="55"/>
  <c r="AF127" i="55"/>
  <c r="AJ308" i="47"/>
  <c r="O99" i="47"/>
  <c r="O211" i="47"/>
  <c r="AF135" i="55"/>
  <c r="AJ260" i="47"/>
  <c r="AJ250" i="47"/>
  <c r="O110" i="47"/>
  <c r="AJ290" i="47"/>
  <c r="O90" i="47"/>
  <c r="O128" i="47"/>
  <c r="AG96" i="55"/>
  <c r="AJ208" i="47"/>
  <c r="AJ304" i="47"/>
  <c r="AF96" i="55"/>
  <c r="O96" i="47"/>
  <c r="AJ265" i="47"/>
  <c r="AJ325" i="47"/>
  <c r="AJ226" i="47"/>
  <c r="O172" i="47"/>
  <c r="AJ280" i="47"/>
  <c r="AJ203" i="47"/>
  <c r="AJ248" i="47"/>
  <c r="AJ268" i="47"/>
  <c r="O146" i="47"/>
  <c r="O181" i="47"/>
  <c r="AJ275" i="47"/>
  <c r="O134" i="47"/>
  <c r="AG170" i="55"/>
  <c r="O220" i="47"/>
  <c r="O207" i="47"/>
  <c r="AJ301" i="47"/>
  <c r="AF145" i="55"/>
  <c r="O214" i="47"/>
  <c r="AJ244" i="47"/>
  <c r="O175" i="47"/>
  <c r="O187" i="47"/>
  <c r="AJ311" i="47"/>
  <c r="O158" i="47"/>
  <c r="O176" i="47"/>
  <c r="AF153" i="55"/>
  <c r="O91" i="47"/>
  <c r="O221" i="47"/>
  <c r="O152" i="47"/>
  <c r="O184" i="47"/>
  <c r="AJ242" i="47"/>
  <c r="O150" i="47"/>
  <c r="AJ296" i="47"/>
  <c r="O118" i="47"/>
  <c r="O129" i="47"/>
  <c r="AJ267" i="47"/>
  <c r="O189" i="47"/>
  <c r="O224" i="47"/>
  <c r="O174" i="47"/>
  <c r="O226" i="47"/>
  <c r="O130" i="47"/>
  <c r="AG72" i="55"/>
  <c r="O137" i="47"/>
  <c r="O197" i="47"/>
  <c r="O156" i="47"/>
  <c r="AG148" i="55"/>
  <c r="AJ215" i="47"/>
  <c r="AJ233" i="47"/>
  <c r="O163" i="47"/>
  <c r="AJ297" i="47"/>
  <c r="AJ252" i="47"/>
  <c r="AJ235" i="47"/>
  <c r="AJ327" i="47"/>
  <c r="AJ163" i="47"/>
  <c r="O161" i="47"/>
  <c r="AJ230" i="47"/>
  <c r="O127" i="47"/>
  <c r="O104" i="47"/>
  <c r="O165" i="47"/>
  <c r="O144" i="47"/>
  <c r="AJ270" i="47"/>
  <c r="AJ225" i="47"/>
  <c r="AJ273" i="47"/>
  <c r="AJ319" i="47"/>
  <c r="AJ251" i="47"/>
  <c r="O136" i="47"/>
  <c r="AJ201" i="47"/>
  <c r="O208" i="47"/>
  <c r="AJ271" i="47"/>
  <c r="AJ292" i="47"/>
  <c r="O111" i="47"/>
  <c r="AJ202" i="47"/>
  <c r="AJ315" i="47"/>
  <c r="O170" i="47"/>
  <c r="O222" i="47"/>
  <c r="O112" i="47"/>
  <c r="O190" i="47"/>
  <c r="AJ287" i="47"/>
  <c r="O108" i="47"/>
  <c r="AJ298" i="47"/>
  <c r="O182" i="47"/>
  <c r="AJ284" i="47"/>
  <c r="O139" i="47"/>
  <c r="AJ237" i="47"/>
  <c r="O125" i="47"/>
  <c r="AJ262" i="47"/>
  <c r="O105" i="47"/>
  <c r="O169" i="47"/>
  <c r="O160" i="47"/>
  <c r="AJ295" i="47"/>
  <c r="O202" i="47"/>
  <c r="O116" i="47"/>
  <c r="AJ217" i="47"/>
  <c r="AJ259" i="47"/>
  <c r="O115" i="47"/>
  <c r="AJ238" i="47"/>
  <c r="AJ316" i="47"/>
  <c r="AJ190" i="47"/>
  <c r="AJ212" i="47"/>
  <c r="O198" i="47"/>
  <c r="O177" i="47"/>
  <c r="O193" i="47"/>
  <c r="AJ288" i="47"/>
  <c r="O106" i="47"/>
  <c r="O218" i="47"/>
  <c r="O194" i="47"/>
  <c r="AF70" i="55"/>
  <c r="O113" i="47"/>
  <c r="AJ323" i="47"/>
  <c r="AJ303" i="47"/>
  <c r="AJ282" i="47"/>
  <c r="AJ211" i="47"/>
  <c r="AJ255" i="47"/>
  <c r="O227" i="47"/>
  <c r="O38" i="47"/>
  <c r="O217" i="47"/>
  <c r="O173" i="47"/>
  <c r="O155" i="47"/>
  <c r="AJ246" i="47"/>
  <c r="O117" i="47"/>
  <c r="O101" i="47"/>
  <c r="O153" i="47"/>
  <c r="O142" i="47"/>
  <c r="O103" i="47"/>
  <c r="AJ205" i="47"/>
  <c r="AJ314" i="47"/>
  <c r="O154" i="47"/>
  <c r="O171" i="47"/>
  <c r="O196" i="47"/>
  <c r="O93" i="47"/>
  <c r="AJ216" i="47"/>
  <c r="AJ192" i="47"/>
  <c r="O162" i="47"/>
  <c r="AJ195" i="47"/>
  <c r="O143" i="47"/>
  <c r="O209" i="47"/>
  <c r="AJ285" i="47"/>
  <c r="AJ254" i="47"/>
  <c r="O219" i="47"/>
  <c r="AJ279" i="47"/>
  <c r="AJ196" i="47"/>
  <c r="AJ313" i="47"/>
  <c r="O216" i="47"/>
  <c r="AJ310" i="47"/>
  <c r="O180" i="47"/>
  <c r="AJ223" i="47"/>
  <c r="AJ324" i="47"/>
  <c r="O141" i="47"/>
  <c r="O204" i="47"/>
  <c r="AJ269" i="47"/>
  <c r="O223" i="47"/>
  <c r="O192" i="47"/>
  <c r="AJ191" i="47"/>
  <c r="AJ249" i="47"/>
  <c r="O215" i="47"/>
  <c r="O138" i="47"/>
  <c r="AJ229" i="47"/>
  <c r="AJ232" i="47"/>
  <c r="AJ231" i="47"/>
  <c r="AJ258" i="47"/>
  <c r="AJ219" i="47"/>
  <c r="O183" i="47"/>
  <c r="O119" i="47"/>
  <c r="AJ234" i="47"/>
  <c r="O149" i="47"/>
  <c r="O185" i="47"/>
  <c r="AJ305" i="47"/>
  <c r="O206" i="47"/>
  <c r="AJ197" i="47"/>
  <c r="AF152" i="55"/>
  <c r="O131" i="47"/>
  <c r="O124" i="47"/>
  <c r="AJ322" i="47"/>
  <c r="AJ210" i="47"/>
  <c r="AJ291" i="47"/>
  <c r="O203" i="47"/>
  <c r="O135" i="47"/>
  <c r="O97" i="47"/>
  <c r="O109" i="47"/>
  <c r="O188" i="47"/>
  <c r="O148" i="47"/>
  <c r="O213" i="47"/>
  <c r="AJ220" i="47"/>
  <c r="O114" i="47"/>
  <c r="AJ317" i="47"/>
  <c r="AJ263" i="47"/>
  <c r="AJ299" i="47"/>
  <c r="O166" i="47"/>
  <c r="AJ200" i="47"/>
  <c r="AJ320" i="47"/>
  <c r="AJ274" i="47"/>
  <c r="O100" i="47"/>
  <c r="AJ213" i="47"/>
  <c r="AJ207" i="47"/>
  <c r="O92" i="47"/>
  <c r="AJ302" i="47"/>
  <c r="AJ239" i="47"/>
  <c r="AF142" i="55"/>
  <c r="AJ222" i="47"/>
  <c r="O179" i="47"/>
  <c r="AJ198" i="47"/>
  <c r="AJ209" i="47"/>
  <c r="AJ221" i="47"/>
  <c r="AJ277" i="47"/>
  <c r="O205" i="47"/>
  <c r="O133" i="47"/>
  <c r="AJ243" i="47"/>
  <c r="AJ227" i="47"/>
  <c r="AJ276" i="47"/>
  <c r="O147" i="47"/>
  <c r="AJ283" i="47"/>
  <c r="AJ240" i="47"/>
  <c r="AJ289" i="47"/>
  <c r="AJ245" i="47"/>
  <c r="AJ312" i="47"/>
  <c r="AJ224" i="47"/>
  <c r="AJ236" i="47"/>
  <c r="O98" i="47"/>
  <c r="O95" i="47"/>
  <c r="AJ293" i="47"/>
  <c r="O157" i="47"/>
  <c r="O102" i="47"/>
  <c r="O145" i="47"/>
  <c r="O140" i="47"/>
  <c r="O121" i="47"/>
  <c r="AJ206" i="47"/>
  <c r="O200" i="47"/>
  <c r="AJ228" i="47"/>
  <c r="O94" i="47"/>
  <c r="O225" i="47"/>
  <c r="AJ307" i="47"/>
  <c r="O201" i="47"/>
  <c r="AJ321" i="47"/>
  <c r="AJ241" i="47"/>
  <c r="O210" i="47"/>
  <c r="AJ261" i="47"/>
  <c r="AJ306" i="47"/>
  <c r="AJ326" i="47"/>
  <c r="AJ272" i="47"/>
  <c r="AJ264" i="47"/>
  <c r="AJ257" i="47"/>
  <c r="AF164" i="55"/>
  <c r="AF180" i="55"/>
  <c r="AF186" i="55"/>
  <c r="AG131" i="55"/>
  <c r="AG64" i="55"/>
  <c r="AF82" i="55"/>
  <c r="AG25" i="55"/>
  <c r="AG52" i="55"/>
  <c r="AG118" i="55"/>
  <c r="AF89" i="55"/>
  <c r="AG178" i="55"/>
  <c r="AF56" i="55"/>
  <c r="AF42" i="55"/>
  <c r="AF115" i="55"/>
  <c r="AG155" i="55"/>
  <c r="AF155" i="55"/>
  <c r="AF85" i="55"/>
  <c r="AF31" i="55"/>
  <c r="AF176" i="55"/>
  <c r="AG82" i="55"/>
  <c r="AG23" i="55"/>
  <c r="AG69" i="55"/>
  <c r="AG3" i="55"/>
  <c r="AF165" i="55"/>
  <c r="AG135" i="55"/>
  <c r="AF173" i="55"/>
  <c r="AF102" i="55"/>
  <c r="AG102" i="55"/>
  <c r="AF38" i="55"/>
  <c r="AG132" i="55"/>
  <c r="AG182" i="55"/>
  <c r="AF2" i="55"/>
  <c r="AG150" i="55"/>
  <c r="AF118" i="55"/>
  <c r="AG108" i="55"/>
  <c r="AF181" i="55"/>
  <c r="AG164" i="55"/>
  <c r="AF92" i="55"/>
  <c r="AF29" i="55"/>
  <c r="AG31" i="55"/>
  <c r="AF159" i="55"/>
  <c r="AF98" i="55"/>
  <c r="AG156" i="55"/>
  <c r="AF93" i="55"/>
  <c r="AF9" i="55"/>
  <c r="AF110" i="55"/>
  <c r="AG146" i="55"/>
  <c r="AG165" i="55"/>
  <c r="AF183" i="55"/>
  <c r="AG158" i="55"/>
  <c r="AG70" i="55"/>
  <c r="AG157" i="55"/>
  <c r="AG65" i="55"/>
  <c r="AG180" i="55"/>
  <c r="AF15" i="55"/>
  <c r="AG37" i="55"/>
  <c r="AF144" i="55"/>
  <c r="AG98" i="55"/>
  <c r="AF74" i="55"/>
  <c r="AG152" i="55"/>
  <c r="AF28" i="55"/>
  <c r="AG11" i="55"/>
  <c r="AF136" i="55"/>
  <c r="AG28" i="55"/>
  <c r="AF13" i="55"/>
  <c r="AG179" i="55"/>
  <c r="AG35" i="55"/>
  <c r="AF184" i="55"/>
  <c r="AG185" i="55"/>
  <c r="AG160" i="55"/>
  <c r="AG171" i="55"/>
  <c r="AG186" i="55"/>
  <c r="AF87" i="55"/>
  <c r="AG18" i="55"/>
  <c r="AF150" i="55"/>
  <c r="AF62" i="55"/>
  <c r="AF177" i="55"/>
  <c r="AG29" i="55"/>
  <c r="AF185" i="55"/>
  <c r="AF154" i="55"/>
  <c r="AF123" i="55"/>
  <c r="AG162" i="55"/>
  <c r="AG17" i="55"/>
  <c r="AG2" i="55"/>
  <c r="AF179" i="55"/>
  <c r="AF26" i="55"/>
  <c r="AF69" i="55"/>
  <c r="AG55" i="55"/>
  <c r="AF52" i="55"/>
  <c r="AF166" i="55"/>
  <c r="AF23" i="55"/>
  <c r="AG32" i="55"/>
  <c r="AG174" i="55"/>
  <c r="AG138" i="55"/>
  <c r="AF170" i="55"/>
  <c r="AF18" i="55"/>
  <c r="AG110" i="55"/>
  <c r="AG163" i="55"/>
  <c r="AF139" i="55"/>
  <c r="AG145" i="55"/>
  <c r="AG87" i="55"/>
  <c r="AG142" i="55"/>
  <c r="AG143" i="55"/>
  <c r="AF24" i="55"/>
  <c r="AG89" i="55"/>
  <c r="AF160" i="55"/>
  <c r="AG168" i="55"/>
  <c r="AF172" i="55"/>
  <c r="AG154" i="55"/>
  <c r="AF32" i="55"/>
  <c r="AG12" i="55"/>
  <c r="AG117" i="55"/>
  <c r="AF90" i="55"/>
  <c r="AF143" i="55"/>
  <c r="AG56" i="55"/>
  <c r="AG144" i="55"/>
  <c r="AG26" i="55"/>
  <c r="AG85" i="55"/>
  <c r="AF134" i="55"/>
  <c r="AF175" i="55"/>
  <c r="AF146" i="55"/>
  <c r="AF131" i="55"/>
  <c r="AG153" i="55"/>
  <c r="AG141" i="55"/>
  <c r="AG38" i="55"/>
  <c r="AG134" i="55"/>
  <c r="AG136" i="55"/>
  <c r="AG175" i="55"/>
  <c r="AF168" i="55"/>
  <c r="AF7" i="55"/>
  <c r="AG90" i="55"/>
  <c r="AF35" i="55"/>
  <c r="AG130" i="55"/>
  <c r="AF147" i="55"/>
  <c r="AF72" i="55"/>
  <c r="AF17" i="55"/>
  <c r="AG74" i="55"/>
  <c r="AF156" i="55"/>
  <c r="AF151" i="55"/>
  <c r="AF149" i="55"/>
  <c r="AG99" i="55"/>
  <c r="AF37" i="55"/>
  <c r="AF157" i="55"/>
  <c r="AG139" i="55"/>
  <c r="AF162" i="55"/>
  <c r="AG133" i="55"/>
  <c r="AF105" i="55"/>
  <c r="AF130" i="55"/>
  <c r="AG172" i="55"/>
  <c r="AF64" i="55"/>
  <c r="AF77" i="55"/>
  <c r="AF133" i="55"/>
  <c r="AF112" i="55"/>
  <c r="AF88" i="55"/>
  <c r="AG15" i="55"/>
  <c r="AF167" i="55"/>
  <c r="AG34" i="55"/>
  <c r="AF182" i="55"/>
  <c r="AG184" i="55"/>
  <c r="AF140" i="55"/>
  <c r="AG177" i="55"/>
  <c r="AG119" i="55"/>
  <c r="AG167" i="55"/>
  <c r="AF49" i="55"/>
  <c r="AF132" i="55"/>
  <c r="AG161" i="55"/>
  <c r="AG107" i="55"/>
  <c r="AF137" i="55"/>
  <c r="AF65" i="55"/>
  <c r="AG77" i="55"/>
  <c r="AF55" i="55"/>
  <c r="AF3" i="55"/>
  <c r="AG49" i="55"/>
  <c r="AF141" i="55"/>
  <c r="AF99" i="55"/>
  <c r="AG137" i="55"/>
  <c r="AG140" i="55"/>
  <c r="AG173" i="55"/>
  <c r="AG149" i="55"/>
  <c r="AG7" i="55"/>
  <c r="AF148" i="55"/>
  <c r="AG93" i="55"/>
  <c r="AG92" i="55"/>
  <c r="AF158" i="55"/>
  <c r="AG62" i="55"/>
  <c r="AF108" i="55"/>
  <c r="AG115" i="55"/>
  <c r="AG169" i="55"/>
  <c r="AF10" i="55"/>
  <c r="AG151" i="55"/>
  <c r="AG166" i="55"/>
  <c r="AF163" i="55"/>
  <c r="AF117" i="55"/>
  <c r="AF119" i="55"/>
  <c r="AG123" i="55"/>
  <c r="AF113" i="55"/>
  <c r="AG176" i="55"/>
  <c r="AG10" i="55"/>
  <c r="AF11" i="55"/>
  <c r="AG105" i="55"/>
  <c r="AF161" i="55"/>
  <c r="AF169" i="55"/>
  <c r="AF34" i="55"/>
  <c r="AF107" i="55"/>
  <c r="AG181" i="55"/>
  <c r="AF12" i="55"/>
  <c r="AG147" i="55"/>
  <c r="AG24" i="55"/>
  <c r="AF174" i="55"/>
  <c r="AG183" i="55"/>
  <c r="AG88" i="55"/>
  <c r="AF171" i="55"/>
  <c r="AF25" i="55"/>
  <c r="AG112" i="55"/>
  <c r="AG9" i="55"/>
  <c r="AG159" i="55"/>
  <c r="AF178" i="55"/>
  <c r="AF138" i="55"/>
  <c r="AG42" i="55"/>
  <c r="O168" i="47"/>
  <c r="AJ281" i="47"/>
  <c r="AJ194" i="47"/>
  <c r="AG13" i="55"/>
  <c r="O159" i="47"/>
  <c r="O199" i="47"/>
  <c r="AJ253" i="47"/>
  <c r="AJ193" i="47"/>
  <c r="O132" i="47"/>
  <c r="AJ286" i="47"/>
  <c r="O186" i="47"/>
  <c r="AJ247" i="47"/>
  <c r="AJ309" i="47"/>
  <c r="AJ266" i="47"/>
  <c r="AJ318" i="47"/>
  <c r="O151" i="47"/>
  <c r="O89" i="47"/>
  <c r="O84" i="47"/>
  <c r="O60" i="47"/>
  <c r="O82" i="47"/>
  <c r="O56" i="47"/>
  <c r="O78" i="47"/>
  <c r="O45" i="47"/>
  <c r="O21" i="47"/>
  <c r="O40" i="47"/>
  <c r="O7" i="47"/>
  <c r="O29" i="47"/>
  <c r="O18" i="47"/>
  <c r="O35" i="47"/>
  <c r="O73" i="47"/>
  <c r="O17" i="47"/>
  <c r="O8" i="47"/>
  <c r="O32" i="47"/>
  <c r="O10" i="47"/>
  <c r="O53" i="47"/>
  <c r="O36" i="47"/>
  <c r="O75" i="47"/>
  <c r="O57" i="47"/>
  <c r="O76" i="47"/>
  <c r="O33" i="47"/>
  <c r="O58" i="47"/>
  <c r="O16" i="47"/>
  <c r="O37" i="47"/>
  <c r="O43" i="47"/>
  <c r="O59" i="47"/>
  <c r="O44" i="47"/>
  <c r="O9" i="47"/>
  <c r="O14" i="47"/>
  <c r="O24" i="47"/>
  <c r="O42" i="47"/>
  <c r="O15" i="47"/>
  <c r="O49" i="47"/>
  <c r="O11" i="47"/>
  <c r="O31" i="47"/>
  <c r="O5" i="47"/>
  <c r="O23" i="47"/>
  <c r="O74" i="47"/>
  <c r="O64" i="47"/>
  <c r="O27" i="47"/>
  <c r="O52" i="47"/>
  <c r="O13" i="47"/>
  <c r="O79" i="47"/>
  <c r="O26" i="47"/>
  <c r="O41" i="47"/>
  <c r="O87" i="47"/>
  <c r="O68" i="47"/>
  <c r="O47" i="47"/>
  <c r="O39" i="47"/>
  <c r="O55" i="47"/>
  <c r="O46" i="47"/>
  <c r="O85" i="47"/>
  <c r="O34" i="47"/>
  <c r="O25" i="47"/>
  <c r="O28" i="47"/>
  <c r="O3" i="47"/>
  <c r="O88" i="47"/>
  <c r="O51" i="47"/>
  <c r="O67" i="47"/>
  <c r="O30" i="47"/>
  <c r="O50" i="47"/>
  <c r="O65" i="47"/>
  <c r="O66" i="47"/>
  <c r="O22" i="47"/>
  <c r="O48" i="47"/>
  <c r="O54" i="47"/>
  <c r="O63" i="47"/>
  <c r="O12" i="47"/>
  <c r="O72" i="47"/>
  <c r="O71" i="47"/>
  <c r="O20" i="47"/>
  <c r="O4" i="47"/>
  <c r="O81" i="47"/>
  <c r="O86" i="47"/>
  <c r="O69" i="47"/>
  <c r="O70" i="47"/>
  <c r="O80" i="47"/>
  <c r="O6" i="47"/>
  <c r="O19" i="47"/>
  <c r="O61" i="47"/>
  <c r="O62" i="47"/>
  <c r="O77" i="47"/>
  <c r="O83" i="47"/>
  <c r="O164" i="47"/>
  <c r="O178" i="47"/>
  <c r="O195" i="47"/>
  <c r="AJ300" i="47"/>
  <c r="AJ278" i="47"/>
  <c r="O126" i="47"/>
  <c r="O107" i="47"/>
  <c r="AJ256" i="47"/>
  <c r="AJ204" i="47"/>
  <c r="AJ294" i="47"/>
  <c r="O212" i="47"/>
  <c r="O122" i="47"/>
  <c r="O191" i="47"/>
  <c r="O167" i="47"/>
  <c r="AJ199" i="47"/>
  <c r="O120" i="47"/>
  <c r="AJ189" i="47"/>
  <c r="AJ183" i="47"/>
  <c r="AJ26" i="47"/>
  <c r="AJ27" i="47"/>
  <c r="AJ48" i="47"/>
  <c r="AJ41" i="47"/>
  <c r="AJ148" i="47"/>
  <c r="AJ52" i="47"/>
  <c r="AJ120" i="47"/>
  <c r="AJ46" i="47"/>
  <c r="AJ25" i="47"/>
  <c r="AJ125" i="47"/>
  <c r="AJ87" i="47"/>
  <c r="AJ51" i="47"/>
  <c r="AJ7" i="47"/>
  <c r="AJ36" i="47"/>
  <c r="AJ32" i="47"/>
  <c r="AJ11" i="47"/>
  <c r="AJ44" i="47"/>
  <c r="AJ49" i="47"/>
  <c r="AJ68" i="47"/>
  <c r="AJ63" i="47"/>
  <c r="AJ61" i="47"/>
  <c r="AJ74" i="47"/>
  <c r="AJ58" i="47"/>
  <c r="AJ82" i="47"/>
  <c r="AJ35" i="47"/>
  <c r="AJ119" i="47"/>
  <c r="AJ128" i="47"/>
  <c r="AJ19" i="47"/>
  <c r="AJ146" i="47"/>
  <c r="AJ109" i="47"/>
  <c r="AJ115" i="47"/>
  <c r="AJ114" i="47"/>
  <c r="AJ177" i="47"/>
  <c r="AJ185" i="47"/>
  <c r="AJ54" i="47"/>
  <c r="AJ138" i="47"/>
  <c r="AJ124" i="47"/>
  <c r="AJ131" i="47"/>
  <c r="AJ14" i="47"/>
  <c r="AJ133" i="47"/>
  <c r="AJ145" i="47"/>
  <c r="AJ45" i="47"/>
  <c r="AJ169" i="47"/>
  <c r="AJ173" i="47"/>
  <c r="AJ83" i="47"/>
  <c r="AJ29" i="47"/>
  <c r="AJ141" i="47"/>
  <c r="AJ53" i="47"/>
  <c r="AJ127" i="47"/>
  <c r="AJ23" i="47"/>
  <c r="AJ47" i="47"/>
  <c r="AJ132" i="47"/>
  <c r="AJ81" i="47"/>
  <c r="AJ188" i="47"/>
  <c r="AJ171" i="47"/>
  <c r="AJ57" i="47"/>
  <c r="AJ166" i="47"/>
  <c r="AJ59" i="47"/>
  <c r="AJ108" i="47"/>
  <c r="AJ86" i="47"/>
  <c r="AJ55" i="47"/>
  <c r="AJ140" i="47"/>
  <c r="AJ144" i="47"/>
  <c r="AJ89" i="47"/>
  <c r="AJ118" i="47"/>
  <c r="AJ64" i="47"/>
  <c r="AJ155" i="47"/>
  <c r="AJ31" i="47"/>
  <c r="AJ186" i="47"/>
  <c r="AJ37" i="47"/>
  <c r="AJ154" i="47"/>
  <c r="AJ126" i="47"/>
  <c r="AJ50" i="47"/>
  <c r="AJ153" i="47"/>
  <c r="AJ21" i="47"/>
  <c r="AJ80" i="47"/>
  <c r="AJ162" i="47"/>
  <c r="AJ30" i="47"/>
  <c r="AJ15" i="47"/>
  <c r="AJ160" i="47"/>
  <c r="AJ12" i="47"/>
  <c r="AJ123" i="47"/>
  <c r="AJ28" i="47"/>
  <c r="AJ129" i="47"/>
  <c r="AJ85" i="47"/>
  <c r="AJ78" i="47"/>
  <c r="AJ105" i="47"/>
  <c r="AJ76" i="47"/>
  <c r="AJ34" i="47"/>
  <c r="AJ156" i="47"/>
  <c r="AJ175" i="47"/>
  <c r="AJ90" i="47"/>
  <c r="AJ22" i="47"/>
  <c r="AJ121" i="47"/>
  <c r="AJ65" i="47"/>
  <c r="AJ122" i="47"/>
  <c r="AJ67" i="47"/>
  <c r="AJ167" i="47"/>
  <c r="AJ142" i="47"/>
  <c r="AJ66" i="47"/>
  <c r="AJ16" i="47"/>
  <c r="AJ6" i="47"/>
  <c r="AJ170" i="47"/>
  <c r="AJ134" i="47"/>
  <c r="AJ137" i="47"/>
  <c r="AJ158" i="47"/>
  <c r="AJ136" i="47"/>
  <c r="AJ13" i="47"/>
  <c r="AJ72" i="47"/>
  <c r="AJ110" i="47"/>
  <c r="AJ40" i="47"/>
  <c r="AJ107" i="47"/>
  <c r="AJ42" i="47"/>
  <c r="AJ8" i="47"/>
  <c r="AJ182" i="47"/>
  <c r="AJ112" i="47"/>
  <c r="AJ164" i="47"/>
  <c r="AJ91" i="47"/>
  <c r="AJ135" i="47"/>
  <c r="AJ149" i="47"/>
  <c r="AJ161" i="47"/>
  <c r="AJ157" i="47"/>
  <c r="AJ92" i="47"/>
  <c r="AJ143" i="47"/>
  <c r="AJ139" i="47"/>
  <c r="AJ165" i="47"/>
  <c r="AJ56" i="47"/>
  <c r="AJ62" i="47"/>
  <c r="AJ69" i="47"/>
  <c r="AJ111" i="47"/>
  <c r="AJ88" i="47"/>
  <c r="AJ104" i="47"/>
  <c r="AJ84" i="47"/>
  <c r="AJ43" i="47"/>
  <c r="AJ75" i="47"/>
  <c r="AJ150" i="47"/>
  <c r="AJ181" i="47"/>
  <c r="AJ130" i="47"/>
  <c r="AJ116" i="47"/>
  <c r="AJ70" i="47"/>
  <c r="AJ73" i="47"/>
  <c r="AJ60" i="47"/>
  <c r="AJ180" i="47"/>
  <c r="AJ117" i="47"/>
  <c r="AJ152" i="47"/>
  <c r="AJ176" i="47"/>
  <c r="AJ18" i="47"/>
  <c r="AJ79" i="47"/>
  <c r="AJ106" i="47"/>
  <c r="AJ17" i="47"/>
  <c r="AJ187" i="47"/>
  <c r="AJ103" i="47"/>
  <c r="AJ24" i="47"/>
  <c r="AJ147" i="47"/>
  <c r="AJ9" i="47"/>
  <c r="AJ178" i="47"/>
  <c r="AJ184" i="47"/>
  <c r="AJ168" i="47"/>
  <c r="AJ77" i="47"/>
  <c r="AJ151" i="47"/>
  <c r="AJ33" i="47"/>
  <c r="AJ159" i="47"/>
  <c r="AJ20" i="47"/>
  <c r="AJ5" i="47"/>
  <c r="AJ174" i="47"/>
  <c r="AJ71" i="47"/>
  <c r="AJ10" i="47"/>
  <c r="AJ113" i="47"/>
  <c r="AJ4" i="47"/>
  <c r="AJ39" i="47"/>
  <c r="AJ3" i="47"/>
  <c r="AJ38" i="47"/>
  <c r="AJ172" i="47"/>
  <c r="AJ179" i="47"/>
  <c r="O123" i="47"/>
  <c r="AJ214" i="47"/>
  <c r="AG113" i="55"/>
  <c r="AJ218" i="47"/>
  <c r="AN14" i="54" l="1"/>
  <c r="AN38" i="54"/>
  <c r="AN62" i="54"/>
  <c r="AN86" i="54"/>
  <c r="AN110" i="54"/>
  <c r="AN134" i="54"/>
  <c r="AN158" i="54"/>
  <c r="AN182" i="54"/>
  <c r="AN206" i="54"/>
  <c r="AN15" i="54"/>
  <c r="AN39" i="54"/>
  <c r="AN63" i="54"/>
  <c r="AN87" i="54"/>
  <c r="AN111" i="54"/>
  <c r="AN135" i="54"/>
  <c r="AN159" i="54"/>
  <c r="AN183" i="54"/>
  <c r="AN207" i="54"/>
  <c r="AN16" i="54"/>
  <c r="AN40" i="54"/>
  <c r="AN64" i="54"/>
  <c r="AN88" i="54"/>
  <c r="AN112" i="54"/>
  <c r="AN136" i="54"/>
  <c r="AN160" i="54"/>
  <c r="AN184" i="54"/>
  <c r="AN208" i="54"/>
  <c r="AN3" i="54"/>
  <c r="AN27" i="54"/>
  <c r="AN51" i="54"/>
  <c r="AN75" i="54"/>
  <c r="AN99" i="54"/>
  <c r="AN123" i="54"/>
  <c r="AN147" i="54"/>
  <c r="AN171" i="54"/>
  <c r="AN195" i="54"/>
  <c r="AN219" i="54"/>
  <c r="AN4" i="54"/>
  <c r="AN28" i="54"/>
  <c r="AN52" i="54"/>
  <c r="AN76" i="54"/>
  <c r="AN100" i="54"/>
  <c r="AN124" i="54"/>
  <c r="AN148" i="54"/>
  <c r="AN172" i="54"/>
  <c r="AN196" i="54"/>
  <c r="AN220" i="54"/>
  <c r="AN6" i="54"/>
  <c r="AN30" i="54"/>
  <c r="AN54" i="54"/>
  <c r="AN78" i="54"/>
  <c r="AN102" i="54"/>
  <c r="AN126" i="54"/>
  <c r="AN150" i="54"/>
  <c r="AN174" i="54"/>
  <c r="AN198" i="54"/>
  <c r="AN5" i="54"/>
  <c r="AN36" i="54"/>
  <c r="AN69" i="54"/>
  <c r="AN101" i="54"/>
  <c r="AN132" i="54"/>
  <c r="AN165" i="54"/>
  <c r="AN197" i="54"/>
  <c r="AN72" i="54"/>
  <c r="AN201" i="54"/>
  <c r="AN107" i="54"/>
  <c r="AN7" i="54"/>
  <c r="AN37" i="54"/>
  <c r="AN70" i="54"/>
  <c r="AN103" i="54"/>
  <c r="AN133" i="54"/>
  <c r="AN166" i="54"/>
  <c r="AN199" i="54"/>
  <c r="AN9" i="54"/>
  <c r="AN138" i="54"/>
  <c r="AN203" i="54"/>
  <c r="AN8" i="54"/>
  <c r="AN41" i="54"/>
  <c r="AN71" i="54"/>
  <c r="AN104" i="54"/>
  <c r="AN137" i="54"/>
  <c r="AN167" i="54"/>
  <c r="AN200" i="54"/>
  <c r="AN42" i="54"/>
  <c r="AN105" i="54"/>
  <c r="AN168" i="54"/>
  <c r="AN170" i="54"/>
  <c r="AN10" i="54"/>
  <c r="AN43" i="54"/>
  <c r="AN73" i="54"/>
  <c r="AN106" i="54"/>
  <c r="AN139" i="54"/>
  <c r="AN169" i="54"/>
  <c r="AN202" i="54"/>
  <c r="AN11" i="54"/>
  <c r="AN44" i="54"/>
  <c r="AN74" i="54"/>
  <c r="AN140" i="54"/>
  <c r="AN12" i="54"/>
  <c r="AN45" i="54"/>
  <c r="AN77" i="54"/>
  <c r="AN108" i="54"/>
  <c r="AN141" i="54"/>
  <c r="AN173" i="54"/>
  <c r="AN204" i="54"/>
  <c r="AN13" i="54"/>
  <c r="AN46" i="54"/>
  <c r="AN79" i="54"/>
  <c r="AN109" i="54"/>
  <c r="AN142" i="54"/>
  <c r="AN175" i="54"/>
  <c r="AN205" i="54"/>
  <c r="AN18" i="54"/>
  <c r="AN59" i="54"/>
  <c r="AN114" i="54"/>
  <c r="AN155" i="54"/>
  <c r="AN210" i="54"/>
  <c r="AN19" i="54"/>
  <c r="AN60" i="54"/>
  <c r="AN115" i="54"/>
  <c r="AN156" i="54"/>
  <c r="AN211" i="54"/>
  <c r="AN25" i="54"/>
  <c r="AN217" i="54"/>
  <c r="AN81" i="54"/>
  <c r="AN218" i="54"/>
  <c r="AN20" i="54"/>
  <c r="AN61" i="54"/>
  <c r="AN116" i="54"/>
  <c r="AN157" i="54"/>
  <c r="AN212" i="54"/>
  <c r="AN21" i="54"/>
  <c r="AN65" i="54"/>
  <c r="AN117" i="54"/>
  <c r="AN161" i="54"/>
  <c r="AN213" i="54"/>
  <c r="AN80" i="54"/>
  <c r="AN121" i="54"/>
  <c r="AN26" i="54"/>
  <c r="AN22" i="54"/>
  <c r="AN66" i="54"/>
  <c r="AN118" i="54"/>
  <c r="AN162" i="54"/>
  <c r="AN214" i="54"/>
  <c r="AN176" i="54"/>
  <c r="AN177" i="54"/>
  <c r="AN23" i="54"/>
  <c r="AN67" i="54"/>
  <c r="AN119" i="54"/>
  <c r="AN163" i="54"/>
  <c r="AN215" i="54"/>
  <c r="AN122" i="54"/>
  <c r="AN24" i="54"/>
  <c r="AN68" i="54"/>
  <c r="AN120" i="54"/>
  <c r="AN164" i="54"/>
  <c r="AN216" i="54"/>
  <c r="AN29" i="54"/>
  <c r="AN82" i="54"/>
  <c r="AN125" i="54"/>
  <c r="AN178" i="54"/>
  <c r="AN221" i="54"/>
  <c r="AN31" i="54"/>
  <c r="AN83" i="54"/>
  <c r="AN127" i="54"/>
  <c r="AN179" i="54"/>
  <c r="AN34" i="54"/>
  <c r="AN89" i="54"/>
  <c r="AN130" i="54"/>
  <c r="AN185" i="54"/>
  <c r="AN35" i="54"/>
  <c r="AN90" i="54"/>
  <c r="AN131" i="54"/>
  <c r="AN186" i="54"/>
  <c r="AN49" i="54"/>
  <c r="AN93" i="54"/>
  <c r="AN145" i="54"/>
  <c r="AN189" i="54"/>
  <c r="AN50" i="54"/>
  <c r="AN94" i="54"/>
  <c r="AN146" i="54"/>
  <c r="AN190" i="54"/>
  <c r="AN2" i="54"/>
  <c r="AN57" i="54"/>
  <c r="AN98" i="54"/>
  <c r="AN153" i="54"/>
  <c r="AN194" i="54"/>
  <c r="AN17" i="54"/>
  <c r="AN154" i="54"/>
  <c r="AN32" i="54"/>
  <c r="AN180" i="54"/>
  <c r="AN33" i="54"/>
  <c r="AN181" i="54"/>
  <c r="AN47" i="54"/>
  <c r="AN187" i="54"/>
  <c r="AN48" i="54"/>
  <c r="AN188" i="54"/>
  <c r="AN191" i="54"/>
  <c r="AN53" i="54"/>
  <c r="AN192" i="54"/>
  <c r="AN96" i="54"/>
  <c r="AN128" i="54"/>
  <c r="AN97" i="54"/>
  <c r="AN113" i="54"/>
  <c r="AN129" i="54"/>
  <c r="AN149" i="54"/>
  <c r="AN151" i="54"/>
  <c r="AN152" i="54"/>
  <c r="AN55" i="54"/>
  <c r="AN95" i="54"/>
  <c r="AN143" i="54"/>
  <c r="AN144" i="54"/>
  <c r="AN193" i="54"/>
  <c r="AN209" i="54"/>
  <c r="AN56" i="54"/>
  <c r="AN84" i="54"/>
  <c r="AN91" i="54"/>
  <c r="AN58" i="54"/>
  <c r="AN85" i="54"/>
  <c r="AN92" i="54"/>
  <c r="AZ110" i="48"/>
  <c r="AW252" i="48"/>
  <c r="AZ145" i="48"/>
  <c r="AY44" i="48"/>
  <c r="AW250" i="48"/>
  <c r="AY62" i="48"/>
  <c r="AY200" i="48"/>
  <c r="AY213" i="48"/>
  <c r="AW14" i="48"/>
  <c r="AZ140" i="48"/>
  <c r="AY70" i="48"/>
  <c r="AW177" i="48"/>
  <c r="AZ243" i="48"/>
  <c r="AY263" i="48"/>
  <c r="AY184" i="48"/>
  <c r="AY113" i="48"/>
  <c r="AZ240" i="48"/>
  <c r="AY170" i="48"/>
  <c r="AY14" i="48"/>
  <c r="AZ194" i="48"/>
  <c r="AY120" i="48"/>
  <c r="AY248" i="48"/>
  <c r="AW102" i="48"/>
  <c r="AZ212" i="48"/>
  <c r="AZ141" i="48"/>
  <c r="AY105" i="48"/>
  <c r="AW139" i="48"/>
  <c r="AY41" i="48"/>
  <c r="AW190" i="48"/>
  <c r="AY38" i="48"/>
  <c r="AW128" i="48"/>
  <c r="AW235" i="48"/>
  <c r="AW12" i="48"/>
  <c r="AY172" i="48"/>
  <c r="AZ4" i="48"/>
  <c r="AZ269" i="48"/>
  <c r="AY154" i="48"/>
  <c r="AW124" i="48"/>
  <c r="AZ159" i="48"/>
  <c r="AW117" i="48"/>
  <c r="AW60" i="48"/>
  <c r="AW24" i="48"/>
  <c r="AY201" i="48"/>
  <c r="AZ184" i="48"/>
  <c r="AY196" i="48"/>
  <c r="AW182" i="48"/>
  <c r="AW54" i="48"/>
  <c r="AZ62" i="48"/>
  <c r="AW130" i="48"/>
  <c r="AY204" i="48"/>
  <c r="AW245" i="48"/>
  <c r="AZ208" i="48"/>
  <c r="AZ262" i="48"/>
  <c r="AZ87" i="48"/>
  <c r="AZ43" i="48"/>
  <c r="AY69" i="48"/>
  <c r="AY136" i="48"/>
  <c r="AY119" i="48"/>
  <c r="AY73" i="48"/>
  <c r="AZ248" i="48"/>
  <c r="AW135" i="48"/>
  <c r="AW152" i="48"/>
  <c r="AY251" i="48"/>
  <c r="AW243" i="48"/>
  <c r="AZ124" i="48"/>
  <c r="AY141" i="48"/>
  <c r="AZ89" i="48"/>
  <c r="AY178" i="48"/>
  <c r="AY195" i="48"/>
  <c r="AY280" i="48"/>
  <c r="AZ193" i="48"/>
  <c r="AZ27" i="48"/>
  <c r="AZ191" i="48"/>
  <c r="AW145" i="48"/>
  <c r="AY28" i="48"/>
  <c r="AW247" i="48"/>
  <c r="AW80" i="48"/>
  <c r="AZ213" i="48"/>
  <c r="AW275" i="48"/>
  <c r="AX275" i="48" s="1"/>
  <c r="AW156" i="48"/>
  <c r="AY135" i="48"/>
  <c r="AY45" i="48"/>
  <c r="AY19" i="48"/>
  <c r="AW242" i="48"/>
  <c r="AW118" i="48"/>
  <c r="AW160" i="48"/>
  <c r="AW10" i="48"/>
  <c r="AY63" i="48"/>
  <c r="AY60" i="48"/>
  <c r="AZ177" i="48"/>
  <c r="AW169" i="48"/>
  <c r="AW196" i="48"/>
  <c r="AW86" i="48"/>
  <c r="AW244" i="48"/>
  <c r="AY260" i="48"/>
  <c r="AZ215" i="48"/>
  <c r="AY30" i="48"/>
  <c r="AZ181" i="48"/>
  <c r="AW261" i="48"/>
  <c r="AZ128" i="48"/>
  <c r="AZ22" i="48"/>
  <c r="AY247" i="48"/>
  <c r="AY21" i="48"/>
  <c r="AW274" i="48"/>
  <c r="AX274" i="48" s="1"/>
  <c r="AY180" i="48"/>
  <c r="AW166" i="48"/>
  <c r="AW101" i="48"/>
  <c r="AY216" i="48"/>
  <c r="AW49" i="48"/>
  <c r="AZ116" i="48"/>
  <c r="AY39" i="48"/>
  <c r="AZ90" i="48"/>
  <c r="AW178" i="48"/>
  <c r="AW58" i="48"/>
  <c r="AZ227" i="48"/>
  <c r="AY17" i="48"/>
  <c r="AW212" i="48"/>
  <c r="AZ267" i="48"/>
  <c r="AW187" i="48"/>
  <c r="AZ256" i="48"/>
  <c r="AY57" i="48"/>
  <c r="AW4" i="48"/>
  <c r="AZ245" i="48"/>
  <c r="AZ12" i="48"/>
  <c r="AY209" i="48"/>
  <c r="AY181" i="48"/>
  <c r="AZ3" i="48"/>
  <c r="AY145" i="48"/>
  <c r="AZ135" i="48"/>
  <c r="AY246" i="48"/>
  <c r="AZ200" i="48"/>
  <c r="AW25" i="48"/>
  <c r="AY2" i="48"/>
  <c r="AW218" i="48"/>
  <c r="AZ223" i="48"/>
  <c r="AW19" i="48"/>
  <c r="AZ221" i="48"/>
  <c r="AY87" i="48"/>
  <c r="AY43" i="48"/>
  <c r="AY202" i="48"/>
  <c r="AZ232" i="48"/>
  <c r="AW253" i="48"/>
  <c r="AW221" i="48"/>
  <c r="AZ15" i="48"/>
  <c r="AY256" i="48"/>
  <c r="AZ174" i="48"/>
  <c r="AZ139" i="48"/>
  <c r="AY18" i="48"/>
  <c r="AY55" i="48"/>
  <c r="AY110" i="48"/>
  <c r="AY157" i="48"/>
  <c r="AW52" i="48"/>
  <c r="AZ265" i="48"/>
  <c r="AW40" i="48"/>
  <c r="AY281" i="48"/>
  <c r="AZ14" i="48"/>
  <c r="AW223" i="48"/>
  <c r="AW125" i="48"/>
  <c r="AW18" i="48"/>
  <c r="AW26" i="48"/>
  <c r="AZ192" i="48"/>
  <c r="AY272" i="48"/>
  <c r="AZ29" i="48"/>
  <c r="AY210" i="48"/>
  <c r="AW30" i="48"/>
  <c r="AY40" i="48"/>
  <c r="AZ163" i="48"/>
  <c r="AZ198" i="48"/>
  <c r="AW59" i="48"/>
  <c r="AW92" i="48"/>
  <c r="AY177" i="48"/>
  <c r="AW248" i="48"/>
  <c r="AY107" i="48"/>
  <c r="AW236" i="48"/>
  <c r="AZ35" i="48"/>
  <c r="AY261" i="48"/>
  <c r="AY5" i="48"/>
  <c r="AY142" i="48"/>
  <c r="AY203" i="48"/>
  <c r="AZ185" i="48"/>
  <c r="AZ261" i="48"/>
  <c r="AY10" i="48"/>
  <c r="AZ19" i="48"/>
  <c r="AW140" i="48"/>
  <c r="AZ118" i="48"/>
  <c r="AY189" i="48"/>
  <c r="AW180" i="48"/>
  <c r="AZ150" i="48"/>
  <c r="AZ10" i="48"/>
  <c r="AW62" i="48"/>
  <c r="AZ9" i="48"/>
  <c r="AW46" i="48"/>
  <c r="AY149" i="48"/>
  <c r="AY58" i="48"/>
  <c r="AZ197" i="48"/>
  <c r="AW179" i="48"/>
  <c r="AW144" i="48"/>
  <c r="AY262" i="48"/>
  <c r="AY166" i="48"/>
  <c r="AY148" i="48"/>
  <c r="AW120" i="48"/>
  <c r="AY72" i="48"/>
  <c r="AW21" i="48"/>
  <c r="AY230" i="48"/>
  <c r="AY199" i="48"/>
  <c r="AY126" i="48"/>
  <c r="AZ263" i="48"/>
  <c r="AW238" i="48"/>
  <c r="AW184" i="48"/>
  <c r="AW16" i="48"/>
  <c r="AZ214" i="48"/>
  <c r="AZ244" i="48"/>
  <c r="AY158" i="48"/>
  <c r="AW149" i="48"/>
  <c r="AY206" i="48"/>
  <c r="AY197" i="48"/>
  <c r="AY42" i="48"/>
  <c r="AW146" i="48"/>
  <c r="AY25" i="48"/>
  <c r="AZ136" i="48"/>
  <c r="AW262" i="48"/>
  <c r="AW162" i="48"/>
  <c r="AW148" i="48"/>
  <c r="AW20" i="48"/>
  <c r="AW194" i="48"/>
  <c r="AZ47" i="48"/>
  <c r="AY115" i="48"/>
  <c r="AY153" i="48"/>
  <c r="AW9" i="48"/>
  <c r="AW257" i="48"/>
  <c r="AW22" i="48"/>
  <c r="AW269" i="48"/>
  <c r="AX269" i="48" s="1"/>
  <c r="AZ186" i="48"/>
  <c r="AY223" i="48"/>
  <c r="AY273" i="48"/>
  <c r="AW214" i="48"/>
  <c r="AZ162" i="48"/>
  <c r="AY150" i="48"/>
  <c r="AZ210" i="48"/>
  <c r="AY152" i="48"/>
  <c r="AY232" i="48"/>
  <c r="AW133" i="48"/>
  <c r="AY167" i="48"/>
  <c r="AW37" i="48"/>
  <c r="AW222" i="48"/>
  <c r="AY104" i="48"/>
  <c r="AW88" i="48"/>
  <c r="AZ106" i="48"/>
  <c r="AZ238" i="48"/>
  <c r="AZ59" i="48"/>
  <c r="AW99" i="48"/>
  <c r="AY106" i="48"/>
  <c r="AZ103" i="48"/>
  <c r="AY238" i="48"/>
  <c r="AW27" i="48"/>
  <c r="AY23" i="48"/>
  <c r="AZ270" i="48"/>
  <c r="AZ64" i="48"/>
  <c r="AY86" i="48"/>
  <c r="AY225" i="48"/>
  <c r="AY227" i="48"/>
  <c r="AY71" i="48"/>
  <c r="AW57" i="48"/>
  <c r="AZ112" i="48"/>
  <c r="AZ92" i="48"/>
  <c r="AY85" i="48"/>
  <c r="AW41" i="48"/>
  <c r="AY190" i="48"/>
  <c r="AY255" i="48"/>
  <c r="AZ195" i="48"/>
  <c r="AY121" i="48"/>
  <c r="AZ156" i="48"/>
  <c r="AW63" i="48"/>
  <c r="AY258" i="48"/>
  <c r="AY93" i="48"/>
  <c r="AZ271" i="48"/>
  <c r="AY117" i="48"/>
  <c r="AZ278" i="48"/>
  <c r="AW91" i="48"/>
  <c r="AY278" i="48"/>
  <c r="AW65" i="48"/>
  <c r="AY22" i="48"/>
  <c r="AY185" i="48"/>
  <c r="AW131" i="48"/>
  <c r="AZ134" i="48"/>
  <c r="AW255" i="48"/>
  <c r="AY114" i="48"/>
  <c r="AY144" i="48"/>
  <c r="AY241" i="48"/>
  <c r="AZ44" i="48"/>
  <c r="AY267" i="48"/>
  <c r="AZ252" i="48"/>
  <c r="AW2" i="48"/>
  <c r="AY266" i="48"/>
  <c r="AY98" i="48"/>
  <c r="AW71" i="48"/>
  <c r="AY163" i="48"/>
  <c r="AZ166" i="48"/>
  <c r="AY243" i="48"/>
  <c r="AW50" i="48"/>
  <c r="AW7" i="48"/>
  <c r="AZ153" i="48"/>
  <c r="AZ276" i="48"/>
  <c r="AZ255" i="48"/>
  <c r="AY140" i="48"/>
  <c r="AZ52" i="48"/>
  <c r="AZ277" i="48"/>
  <c r="AY15" i="48"/>
  <c r="AW167" i="48"/>
  <c r="AY236" i="48"/>
  <c r="AW126" i="48"/>
  <c r="AW113" i="48"/>
  <c r="AY226" i="48"/>
  <c r="AW271" i="48"/>
  <c r="AX271" i="48" s="1"/>
  <c r="AY271" i="48"/>
  <c r="AW209" i="48"/>
  <c r="AY82" i="48"/>
  <c r="AZ123" i="48"/>
  <c r="AW47" i="48"/>
  <c r="AW161" i="48"/>
  <c r="AZ164" i="48"/>
  <c r="AZ144" i="48"/>
  <c r="AZ172" i="48"/>
  <c r="AY36" i="48"/>
  <c r="AW51" i="48"/>
  <c r="AZ155" i="48"/>
  <c r="AY29" i="48"/>
  <c r="AW224" i="48"/>
  <c r="AY59" i="48"/>
  <c r="AW228" i="48"/>
  <c r="AZ34" i="48"/>
  <c r="AY128" i="48"/>
  <c r="AW198" i="48"/>
  <c r="AY102" i="48"/>
  <c r="AW155" i="48"/>
  <c r="AY229" i="48"/>
  <c r="AW154" i="48"/>
  <c r="AY133" i="48"/>
  <c r="AZ67" i="48"/>
  <c r="AW64" i="48"/>
  <c r="AY220" i="48"/>
  <c r="AZ28" i="48"/>
  <c r="AY173" i="48"/>
  <c r="AW67" i="48"/>
  <c r="AZ219" i="48"/>
  <c r="AY208" i="48"/>
  <c r="AW216" i="48"/>
  <c r="AW202" i="48"/>
  <c r="AY112" i="48"/>
  <c r="AZ176" i="48"/>
  <c r="AW279" i="48"/>
  <c r="AX279" i="48" s="1"/>
  <c r="AZ120" i="48"/>
  <c r="AW200" i="48"/>
  <c r="AZ202" i="48"/>
  <c r="AZ170" i="48"/>
  <c r="AW263" i="48"/>
  <c r="AY182" i="48"/>
  <c r="AZ119" i="48"/>
  <c r="AZ84" i="48"/>
  <c r="AW84" i="48"/>
  <c r="AZ143" i="48"/>
  <c r="AW112" i="48"/>
  <c r="AZ83" i="48"/>
  <c r="AW42" i="48"/>
  <c r="AW185" i="48"/>
  <c r="AY146" i="48"/>
  <c r="AY47" i="48"/>
  <c r="AW134" i="48"/>
  <c r="AY175" i="48"/>
  <c r="AY257" i="48"/>
  <c r="AZ125" i="48"/>
  <c r="AY194" i="48"/>
  <c r="AY219" i="48"/>
  <c r="AZ31" i="48"/>
  <c r="AY245" i="48"/>
  <c r="AZ58" i="48"/>
  <c r="AZ114" i="48"/>
  <c r="AY168" i="48"/>
  <c r="AZ71" i="48"/>
  <c r="AW77" i="48"/>
  <c r="AW108" i="48"/>
  <c r="AY139" i="48"/>
  <c r="AW227" i="48"/>
  <c r="AY108" i="48"/>
  <c r="AZ279" i="48"/>
  <c r="AZ2" i="48"/>
  <c r="AZ107" i="48"/>
  <c r="AZ55" i="48"/>
  <c r="AY76" i="48"/>
  <c r="AZ48" i="48"/>
  <c r="AY109" i="48"/>
  <c r="AW110" i="48"/>
  <c r="AY116" i="48"/>
  <c r="AY264" i="48"/>
  <c r="AW280" i="48"/>
  <c r="AX280" i="48" s="1"/>
  <c r="AZ190" i="48"/>
  <c r="AZ250" i="48"/>
  <c r="AY9" i="48"/>
  <c r="AW96" i="48"/>
  <c r="AW105" i="48"/>
  <c r="AY94" i="48"/>
  <c r="AZ258" i="48"/>
  <c r="AW226" i="48"/>
  <c r="AZ70" i="48"/>
  <c r="AZ241" i="48"/>
  <c r="AY74" i="48"/>
  <c r="AW55" i="48"/>
  <c r="AY65" i="48"/>
  <c r="AZ65" i="48"/>
  <c r="AW232" i="48"/>
  <c r="AW229" i="48"/>
  <c r="AZ97" i="48"/>
  <c r="AZ130" i="48"/>
  <c r="AZ160" i="48"/>
  <c r="AZ104" i="48"/>
  <c r="AY160" i="48"/>
  <c r="AZ264" i="48"/>
  <c r="AZ148" i="48"/>
  <c r="AY268" i="48"/>
  <c r="AW272" i="48"/>
  <c r="AX272" i="48" s="1"/>
  <c r="AZ207" i="48"/>
  <c r="AZ95" i="48"/>
  <c r="AY12" i="48"/>
  <c r="AZ196" i="48"/>
  <c r="AY11" i="48"/>
  <c r="AW215" i="48"/>
  <c r="AZ42" i="48"/>
  <c r="AZ76" i="48"/>
  <c r="AW188" i="48"/>
  <c r="AY207" i="48"/>
  <c r="AY165" i="48"/>
  <c r="AY147" i="48"/>
  <c r="AY127" i="48"/>
  <c r="AY162" i="48"/>
  <c r="AZ205" i="48"/>
  <c r="AZ254" i="48"/>
  <c r="AZ101" i="48"/>
  <c r="AY124" i="48"/>
  <c r="AY31" i="48"/>
  <c r="AY95" i="48"/>
  <c r="AZ216" i="48"/>
  <c r="AZ80" i="48"/>
  <c r="AY214" i="48"/>
  <c r="AZ187" i="48"/>
  <c r="AZ257" i="48"/>
  <c r="AW13" i="48"/>
  <c r="AZ40" i="48"/>
  <c r="AW217" i="48"/>
  <c r="AZ109" i="48"/>
  <c r="AZ275" i="48"/>
  <c r="AZ37" i="48"/>
  <c r="AZ113" i="48"/>
  <c r="AY217" i="48"/>
  <c r="AW241" i="48"/>
  <c r="AW107" i="48"/>
  <c r="AZ236" i="48"/>
  <c r="AY176" i="48"/>
  <c r="AZ46" i="48"/>
  <c r="AZ157" i="48"/>
  <c r="AZ167" i="48"/>
  <c r="AY233" i="48"/>
  <c r="AY252" i="48"/>
  <c r="AZ228" i="48"/>
  <c r="AZ226" i="48"/>
  <c r="AZ77" i="48"/>
  <c r="AZ247" i="48"/>
  <c r="AW87" i="48"/>
  <c r="AW95" i="48"/>
  <c r="AY179" i="48"/>
  <c r="AY221" i="48"/>
  <c r="AY239" i="48"/>
  <c r="AZ102" i="48"/>
  <c r="AY61" i="48"/>
  <c r="AW81" i="48"/>
  <c r="AZ32" i="48"/>
  <c r="AW132" i="48"/>
  <c r="AZ249" i="48"/>
  <c r="AY277" i="48"/>
  <c r="AW211" i="48"/>
  <c r="AY125" i="48"/>
  <c r="AW34" i="48"/>
  <c r="AW266" i="48"/>
  <c r="AW183" i="48"/>
  <c r="AW225" i="48"/>
  <c r="AW170" i="48"/>
  <c r="AY129" i="48"/>
  <c r="AW32" i="48"/>
  <c r="AZ158" i="48"/>
  <c r="AW204" i="48"/>
  <c r="AY3" i="48"/>
  <c r="AZ24" i="48"/>
  <c r="AZ5" i="48"/>
  <c r="AW175" i="48"/>
  <c r="AY111" i="48"/>
  <c r="AZ21" i="48"/>
  <c r="AZ94" i="48"/>
  <c r="AW168" i="48"/>
  <c r="AY97" i="48"/>
  <c r="AW121" i="48"/>
  <c r="AZ91" i="48"/>
  <c r="AZ98" i="48"/>
  <c r="AW219" i="48"/>
  <c r="AY224" i="48"/>
  <c r="AW5" i="48"/>
  <c r="AY101" i="48"/>
  <c r="AW234" i="48"/>
  <c r="AY198" i="48"/>
  <c r="AW165" i="48"/>
  <c r="AZ188" i="48"/>
  <c r="AW256" i="48"/>
  <c r="AY48" i="48"/>
  <c r="AY228" i="48"/>
  <c r="AZ50" i="48"/>
  <c r="AY84" i="48"/>
  <c r="AZ72" i="48"/>
  <c r="AZ17" i="48"/>
  <c r="AY275" i="48"/>
  <c r="AW6" i="48"/>
  <c r="AW114" i="48"/>
  <c r="AY77" i="48"/>
  <c r="AZ13" i="48"/>
  <c r="AY50" i="48"/>
  <c r="AW174" i="48"/>
  <c r="AZ51" i="48"/>
  <c r="AZ272" i="48"/>
  <c r="AZ63" i="48"/>
  <c r="AZ38" i="48"/>
  <c r="AW201" i="48"/>
  <c r="AW143" i="48"/>
  <c r="AY212" i="48"/>
  <c r="AY137" i="48"/>
  <c r="AW137" i="48"/>
  <c r="AZ108" i="48"/>
  <c r="AY222" i="48"/>
  <c r="AW106" i="48"/>
  <c r="AZ273" i="48"/>
  <c r="AW163" i="48"/>
  <c r="AZ61" i="48"/>
  <c r="BA61" i="48" s="1"/>
  <c r="AZ81" i="48"/>
  <c r="AY259" i="48"/>
  <c r="AZ179" i="48"/>
  <c r="AZ229" i="48"/>
  <c r="AW53" i="48"/>
  <c r="AY188" i="48"/>
  <c r="AZ132" i="48"/>
  <c r="AW173" i="48"/>
  <c r="AW45" i="48"/>
  <c r="AW70" i="48"/>
  <c r="AY20" i="48"/>
  <c r="AZ225" i="48"/>
  <c r="AZ259" i="48"/>
  <c r="AY53" i="48"/>
  <c r="AW93" i="48"/>
  <c r="AY32" i="48"/>
  <c r="AW147" i="48"/>
  <c r="AY249" i="48"/>
  <c r="AW192" i="48"/>
  <c r="AY92" i="48"/>
  <c r="AY56" i="48"/>
  <c r="AW43" i="48"/>
  <c r="AW220" i="48"/>
  <c r="AZ68" i="48"/>
  <c r="AW246" i="48"/>
  <c r="AW111" i="48"/>
  <c r="AW122" i="48"/>
  <c r="AY240" i="48"/>
  <c r="AZ23" i="48"/>
  <c r="AZ26" i="48"/>
  <c r="AY269" i="48"/>
  <c r="AY242" i="48"/>
  <c r="AZ99" i="48"/>
  <c r="AY156" i="48"/>
  <c r="AY151" i="48"/>
  <c r="AY161" i="48"/>
  <c r="AZ138" i="48"/>
  <c r="AW48" i="48"/>
  <c r="AW237" i="48"/>
  <c r="AY79" i="48"/>
  <c r="AW213" i="48"/>
  <c r="AY138" i="48"/>
  <c r="AZ183" i="48"/>
  <c r="AY254" i="48"/>
  <c r="AW230" i="48"/>
  <c r="AW100" i="48"/>
  <c r="AY134" i="48"/>
  <c r="AZ178" i="48"/>
  <c r="AW73" i="48"/>
  <c r="AY52" i="48"/>
  <c r="AW75" i="48"/>
  <c r="AW69" i="48"/>
  <c r="AZ149" i="48"/>
  <c r="AW267" i="48"/>
  <c r="AZ79" i="48"/>
  <c r="AW258" i="48"/>
  <c r="AW268" i="48"/>
  <c r="AZ235" i="48"/>
  <c r="AZ74" i="48"/>
  <c r="AY51" i="48"/>
  <c r="AY205" i="48"/>
  <c r="AY80" i="48"/>
  <c r="AZ209" i="48"/>
  <c r="AZ274" i="48"/>
  <c r="AZ251" i="48"/>
  <c r="AW78" i="48"/>
  <c r="AW79" i="48"/>
  <c r="AZ117" i="48"/>
  <c r="AW264" i="48"/>
  <c r="AZ266" i="48"/>
  <c r="AY174" i="48"/>
  <c r="AY186" i="48"/>
  <c r="AW153" i="48"/>
  <c r="AW186" i="48"/>
  <c r="AW141" i="48"/>
  <c r="AY8" i="48"/>
  <c r="AY75" i="48"/>
  <c r="AW29" i="48"/>
  <c r="AZ39" i="48"/>
  <c r="AZ260" i="48"/>
  <c r="AW270" i="48"/>
  <c r="AX270" i="48" s="1"/>
  <c r="AW164" i="48"/>
  <c r="AZ161" i="48"/>
  <c r="AW23" i="48"/>
  <c r="AZ239" i="48"/>
  <c r="AW281" i="48"/>
  <c r="AX281" i="48" s="1"/>
  <c r="AZ231" i="48"/>
  <c r="AY132" i="48"/>
  <c r="AZ146" i="48"/>
  <c r="AW68" i="48"/>
  <c r="AW11" i="48"/>
  <c r="AY90" i="48"/>
  <c r="AW171" i="48"/>
  <c r="AW61" i="48"/>
  <c r="AZ66" i="48"/>
  <c r="AZ11" i="48"/>
  <c r="AZ57" i="48"/>
  <c r="AW142" i="48"/>
  <c r="AZ242" i="48"/>
  <c r="AW206" i="48"/>
  <c r="AZ147" i="48"/>
  <c r="AZ41" i="48"/>
  <c r="AW104" i="48"/>
  <c r="AY169" i="48"/>
  <c r="AY46" i="48"/>
  <c r="AW265" i="48"/>
  <c r="AZ152" i="48"/>
  <c r="AZ73" i="48"/>
  <c r="AZ246" i="48"/>
  <c r="AY237" i="48"/>
  <c r="AW115" i="48"/>
  <c r="AY83" i="48"/>
  <c r="AZ199" i="48"/>
  <c r="AY91" i="48"/>
  <c r="AY192" i="48"/>
  <c r="AY231" i="48"/>
  <c r="AW33" i="48"/>
  <c r="AZ204" i="48"/>
  <c r="AZ127" i="48"/>
  <c r="AY253" i="48"/>
  <c r="AW251" i="48"/>
  <c r="AZ189" i="48"/>
  <c r="AZ230" i="48"/>
  <c r="AW15" i="48"/>
  <c r="AY34" i="48"/>
  <c r="AY4" i="48"/>
  <c r="AW159" i="48"/>
  <c r="AZ54" i="48"/>
  <c r="AZ217" i="48"/>
  <c r="AZ151" i="48"/>
  <c r="AZ154" i="48"/>
  <c r="AZ25" i="48"/>
  <c r="AW44" i="48"/>
  <c r="AZ75" i="48"/>
  <c r="AZ222" i="48"/>
  <c r="AZ20" i="48"/>
  <c r="AZ281" i="48"/>
  <c r="AZ224" i="48"/>
  <c r="AZ203" i="48"/>
  <c r="AZ53" i="48"/>
  <c r="AW31" i="48"/>
  <c r="AY250" i="48"/>
  <c r="AZ234" i="48"/>
  <c r="AY191" i="48"/>
  <c r="AZ100" i="48"/>
  <c r="AZ253" i="48"/>
  <c r="AZ7" i="48"/>
  <c r="AW176" i="48"/>
  <c r="AZ85" i="48"/>
  <c r="AW74" i="48"/>
  <c r="AY49" i="48"/>
  <c r="AZ16" i="48"/>
  <c r="AY159" i="48"/>
  <c r="AZ280" i="48"/>
  <c r="AY171" i="48"/>
  <c r="AW277" i="48"/>
  <c r="AX277" i="48" s="1"/>
  <c r="AY155" i="48"/>
  <c r="AZ111" i="48"/>
  <c r="AY89" i="48"/>
  <c r="AY24" i="48"/>
  <c r="AW3" i="48"/>
  <c r="AY270" i="48"/>
  <c r="AY274" i="48"/>
  <c r="AW199" i="48"/>
  <c r="AW66" i="48"/>
  <c r="AW138" i="48"/>
  <c r="AZ105" i="48"/>
  <c r="AZ126" i="48"/>
  <c r="AW94" i="48"/>
  <c r="AY68" i="48"/>
  <c r="AZ211" i="48"/>
  <c r="AZ220" i="48"/>
  <c r="AY211" i="48"/>
  <c r="AY235" i="48"/>
  <c r="AY78" i="48"/>
  <c r="AY234" i="48"/>
  <c r="AW36" i="48"/>
  <c r="AZ36" i="48"/>
  <c r="AY35" i="48"/>
  <c r="AW123" i="48"/>
  <c r="AW260" i="48"/>
  <c r="AW189" i="48"/>
  <c r="AZ129" i="48"/>
  <c r="AY54" i="48"/>
  <c r="AZ30" i="48"/>
  <c r="AW56" i="48"/>
  <c r="AY143" i="48"/>
  <c r="AW254" i="48"/>
  <c r="AW98" i="48"/>
  <c r="AW17" i="48"/>
  <c r="AY123" i="48"/>
  <c r="AZ268" i="48"/>
  <c r="AZ115" i="48"/>
  <c r="AZ122" i="48"/>
  <c r="AW208" i="48"/>
  <c r="AW197" i="48"/>
  <c r="AY7" i="48"/>
  <c r="AZ33" i="48"/>
  <c r="AY244" i="48"/>
  <c r="AY33" i="48"/>
  <c r="AZ82" i="48"/>
  <c r="AW28" i="48"/>
  <c r="AZ173" i="48"/>
  <c r="AW249" i="48"/>
  <c r="AZ165" i="48"/>
  <c r="AZ131" i="48"/>
  <c r="AW193" i="48"/>
  <c r="AY193" i="48"/>
  <c r="AW239" i="48"/>
  <c r="AW129" i="48"/>
  <c r="AZ142" i="48"/>
  <c r="AZ175" i="48"/>
  <c r="AW116" i="48"/>
  <c r="AZ201" i="48"/>
  <c r="AW195" i="48"/>
  <c r="AW276" i="48"/>
  <c r="AX276" i="48" s="1"/>
  <c r="AY118" i="48"/>
  <c r="AY265" i="48"/>
  <c r="AW35" i="48"/>
  <c r="AY37" i="48"/>
  <c r="AY27" i="48"/>
  <c r="AZ237" i="48"/>
  <c r="AW240" i="48"/>
  <c r="AW72" i="48"/>
  <c r="AY100" i="48"/>
  <c r="AW181" i="48"/>
  <c r="AW83" i="48"/>
  <c r="AY16" i="48"/>
  <c r="AW89" i="48"/>
  <c r="AZ133" i="48"/>
  <c r="AZ182" i="48"/>
  <c r="AZ137" i="48"/>
  <c r="AZ218" i="48"/>
  <c r="AW231" i="48"/>
  <c r="AW273" i="48"/>
  <c r="AX273" i="48" s="1"/>
  <c r="AW38" i="48"/>
  <c r="AZ8" i="48"/>
  <c r="AZ69" i="48"/>
  <c r="AW158" i="48"/>
  <c r="AW90" i="48"/>
  <c r="AW151" i="48"/>
  <c r="AZ45" i="48"/>
  <c r="AW233" i="48"/>
  <c r="AY218" i="48"/>
  <c r="AW39" i="48"/>
  <c r="AW127" i="48"/>
  <c r="AW109" i="48"/>
  <c r="AW76" i="48"/>
  <c r="AY13" i="48"/>
  <c r="AW82" i="48"/>
  <c r="AY164" i="48"/>
  <c r="AZ56" i="48"/>
  <c r="AZ96" i="48"/>
  <c r="AZ169" i="48"/>
  <c r="AZ88" i="48"/>
  <c r="AY67" i="48"/>
  <c r="AZ86" i="48"/>
  <c r="AY103" i="48"/>
  <c r="AY215" i="48"/>
  <c r="AY130" i="48"/>
  <c r="AY88" i="48"/>
  <c r="AY99" i="48"/>
  <c r="AW136" i="48"/>
  <c r="AW210" i="48"/>
  <c r="AY183" i="48"/>
  <c r="AY66" i="48"/>
  <c r="AZ168" i="48"/>
  <c r="AZ6" i="48"/>
  <c r="AZ121" i="48"/>
  <c r="AW278" i="48"/>
  <c r="AX278" i="48" s="1"/>
  <c r="AW8" i="48"/>
  <c r="AW150" i="48"/>
  <c r="AZ206" i="48"/>
  <c r="AY279" i="48"/>
  <c r="AW207" i="48"/>
  <c r="AY276" i="48"/>
  <c r="AY81" i="48"/>
  <c r="AW203" i="48"/>
  <c r="AW119" i="48"/>
  <c r="AY64" i="48"/>
  <c r="AY131" i="48"/>
  <c r="AW85" i="48"/>
  <c r="AW157" i="48"/>
  <c r="AZ60" i="48"/>
  <c r="AW97" i="48"/>
  <c r="AY96" i="48"/>
  <c r="AZ78" i="48"/>
  <c r="AZ93" i="48"/>
  <c r="AY187" i="48"/>
  <c r="AZ233" i="48"/>
  <c r="AW191" i="48"/>
  <c r="AW205" i="48"/>
  <c r="AW103" i="48"/>
  <c r="AZ49" i="48"/>
  <c r="AW172" i="48"/>
  <c r="AY122" i="48"/>
  <c r="AZ171" i="48"/>
  <c r="AY26" i="48"/>
  <c r="AZ180" i="48"/>
  <c r="AY6" i="48"/>
  <c r="AZ18" i="48"/>
  <c r="AW259" i="48"/>
  <c r="S182" i="48"/>
  <c r="Q40" i="44"/>
  <c r="Q123" i="44"/>
  <c r="P49" i="48"/>
  <c r="AE164" i="54"/>
  <c r="S71" i="48"/>
  <c r="AE112" i="54"/>
  <c r="Q4" i="44"/>
  <c r="AE66" i="54"/>
  <c r="R94" i="44"/>
  <c r="Q181" i="48"/>
  <c r="AE163" i="54"/>
  <c r="Q110" i="48"/>
  <c r="S58" i="44"/>
  <c r="S77" i="48"/>
  <c r="AE93" i="54"/>
  <c r="R170" i="44"/>
  <c r="R88" i="48"/>
  <c r="S146" i="44"/>
  <c r="R160" i="48"/>
  <c r="BH160" i="48" s="1"/>
  <c r="Q124" i="44"/>
  <c r="Q78" i="48"/>
  <c r="R8" i="48"/>
  <c r="S61" i="44"/>
  <c r="P79" i="44"/>
  <c r="Q100" i="48"/>
  <c r="R93" i="48"/>
  <c r="Q110" i="44"/>
  <c r="AE82" i="54"/>
  <c r="AE98" i="54"/>
  <c r="Q136" i="48"/>
  <c r="P130" i="44"/>
  <c r="S162" i="48"/>
  <c r="AE60" i="54"/>
  <c r="AE187" i="54"/>
  <c r="R15" i="44"/>
  <c r="P3" i="48"/>
  <c r="S164" i="48"/>
  <c r="S102" i="48"/>
  <c r="P91" i="44"/>
  <c r="AE2" i="54"/>
  <c r="R6" i="48"/>
  <c r="Q113" i="48"/>
  <c r="AE3" i="54"/>
  <c r="S2" i="48"/>
  <c r="AE46" i="54"/>
  <c r="R81" i="44"/>
  <c r="S74" i="44"/>
  <c r="AE138" i="54"/>
  <c r="R154" i="48"/>
  <c r="BH154" i="48" s="1"/>
  <c r="AE30" i="54"/>
  <c r="R75" i="48"/>
  <c r="Q189" i="48"/>
  <c r="P206" i="48"/>
  <c r="AE49" i="54"/>
  <c r="P34" i="48"/>
  <c r="Q163" i="48"/>
  <c r="Q213" i="48"/>
  <c r="AE28" i="54"/>
  <c r="Q24" i="44"/>
  <c r="Q173" i="48"/>
  <c r="Q36" i="48"/>
  <c r="AE14" i="54"/>
  <c r="AE134" i="54"/>
  <c r="Q41" i="48"/>
  <c r="AE73" i="54"/>
  <c r="R166" i="48"/>
  <c r="BH166" i="48" s="1"/>
  <c r="Q151" i="44"/>
  <c r="R120" i="44"/>
  <c r="P7" i="44"/>
  <c r="AE113" i="54"/>
  <c r="R126" i="44"/>
  <c r="R72" i="44"/>
  <c r="S57" i="48"/>
  <c r="S132" i="44"/>
  <c r="P145" i="48"/>
  <c r="BF145" i="48" s="1"/>
  <c r="Q226" i="48"/>
  <c r="S136" i="48"/>
  <c r="S86" i="48"/>
  <c r="R210" i="48"/>
  <c r="S67" i="48"/>
  <c r="S89" i="48"/>
  <c r="P174" i="48"/>
  <c r="BF174" i="48" s="1"/>
  <c r="S184" i="48"/>
  <c r="Q25" i="48"/>
  <c r="S70" i="44"/>
  <c r="R129" i="48"/>
  <c r="BH129" i="48" s="1"/>
  <c r="Q126" i="48"/>
  <c r="S52" i="44"/>
  <c r="P40" i="48"/>
  <c r="Q151" i="48"/>
  <c r="P104" i="48"/>
  <c r="AE80" i="54"/>
  <c r="R127" i="48"/>
  <c r="BH127" i="48" s="1"/>
  <c r="AE212" i="54"/>
  <c r="Q209" i="48"/>
  <c r="Q51" i="48"/>
  <c r="R203" i="48"/>
  <c r="AE87" i="54"/>
  <c r="AE45" i="54"/>
  <c r="S183" i="48"/>
  <c r="Q119" i="48"/>
  <c r="P82" i="48"/>
  <c r="AE89" i="54"/>
  <c r="S109" i="48"/>
  <c r="Q216" i="44"/>
  <c r="P141" i="48"/>
  <c r="BF141" i="48" s="1"/>
  <c r="S39" i="48"/>
  <c r="Q162" i="48"/>
  <c r="S93" i="48"/>
  <c r="R201" i="48"/>
  <c r="BH201" i="48" s="1"/>
  <c r="R58" i="48"/>
  <c r="S137" i="44"/>
  <c r="Q46" i="44"/>
  <c r="P33" i="48"/>
  <c r="S96" i="48"/>
  <c r="R89" i="44"/>
  <c r="S192" i="48"/>
  <c r="Q7" i="44"/>
  <c r="S215" i="44"/>
  <c r="Q101" i="44"/>
  <c r="R142" i="48"/>
  <c r="BH142" i="48" s="1"/>
  <c r="P94" i="48"/>
  <c r="AE10" i="54"/>
  <c r="S35" i="48"/>
  <c r="Q80" i="48"/>
  <c r="S189" i="48"/>
  <c r="S223" i="48"/>
  <c r="AE88" i="54"/>
  <c r="R122" i="48"/>
  <c r="BH122" i="48" s="1"/>
  <c r="P65" i="48"/>
  <c r="S15" i="48"/>
  <c r="AE188" i="54"/>
  <c r="R94" i="48"/>
  <c r="S121" i="48"/>
  <c r="Q130" i="48"/>
  <c r="Q197" i="48"/>
  <c r="R19" i="48"/>
  <c r="AE166" i="54"/>
  <c r="P136" i="48"/>
  <c r="BF136" i="48" s="1"/>
  <c r="P27" i="48"/>
  <c r="R121" i="48"/>
  <c r="BH121" i="48" s="1"/>
  <c r="P200" i="48"/>
  <c r="BF200" i="48" s="1"/>
  <c r="P35" i="48"/>
  <c r="R204" i="48"/>
  <c r="R3" i="44"/>
  <c r="S154" i="44"/>
  <c r="S19" i="44"/>
  <c r="P181" i="44"/>
  <c r="P140" i="48"/>
  <c r="BF140" i="48" s="1"/>
  <c r="S14" i="48"/>
  <c r="P118" i="48"/>
  <c r="BF118" i="48" s="1"/>
  <c r="S152" i="48"/>
  <c r="S122" i="48"/>
  <c r="S226" i="48"/>
  <c r="Q8" i="48"/>
  <c r="Q103" i="44"/>
  <c r="AE68" i="54"/>
  <c r="R41" i="48"/>
  <c r="AE129" i="54"/>
  <c r="S216" i="48"/>
  <c r="S52" i="48"/>
  <c r="R46" i="48"/>
  <c r="P24" i="48"/>
  <c r="Q23" i="48"/>
  <c r="R185" i="48"/>
  <c r="BH185" i="48" s="1"/>
  <c r="P61" i="48"/>
  <c r="Q70" i="48"/>
  <c r="P78" i="48"/>
  <c r="AE161" i="54"/>
  <c r="R172" i="48"/>
  <c r="BH172" i="48" s="1"/>
  <c r="P171" i="44"/>
  <c r="P169" i="48"/>
  <c r="BF169" i="48" s="1"/>
  <c r="P83" i="44"/>
  <c r="P64" i="48"/>
  <c r="Q59" i="48"/>
  <c r="R60" i="48"/>
  <c r="Q188" i="48"/>
  <c r="P52" i="44"/>
  <c r="S195" i="48"/>
  <c r="Q24" i="48"/>
  <c r="Q188" i="44"/>
  <c r="AE59" i="54"/>
  <c r="S114" i="48"/>
  <c r="R221" i="48"/>
  <c r="AE208" i="54"/>
  <c r="R96" i="48"/>
  <c r="R51" i="48"/>
  <c r="P74" i="44"/>
  <c r="R89" i="48"/>
  <c r="R153" i="48"/>
  <c r="BH153" i="48" s="1"/>
  <c r="R76" i="48"/>
  <c r="Q141" i="48"/>
  <c r="Q75" i="44"/>
  <c r="S204" i="44"/>
  <c r="AE198" i="54"/>
  <c r="R11" i="48"/>
  <c r="R132" i="48"/>
  <c r="BH132" i="48" s="1"/>
  <c r="Q61" i="48"/>
  <c r="R4" i="48"/>
  <c r="Q187" i="44"/>
  <c r="AE189" i="54"/>
  <c r="Q99" i="48"/>
  <c r="Q185" i="48"/>
  <c r="P77" i="48"/>
  <c r="P65" i="44"/>
  <c r="AE115" i="54"/>
  <c r="R82" i="44"/>
  <c r="Q168" i="44"/>
  <c r="S107" i="44"/>
  <c r="P202" i="48"/>
  <c r="P20" i="48"/>
  <c r="R105" i="48"/>
  <c r="R70" i="44"/>
  <c r="Q38" i="48"/>
  <c r="R110" i="48"/>
  <c r="P18" i="48"/>
  <c r="S81" i="48"/>
  <c r="R65" i="48"/>
  <c r="S59" i="48"/>
  <c r="AE194" i="54"/>
  <c r="S135" i="44"/>
  <c r="P122" i="44"/>
  <c r="Q223" i="48"/>
  <c r="Q160" i="44"/>
  <c r="Q3" i="44"/>
  <c r="P69" i="48"/>
  <c r="AE122" i="54"/>
  <c r="P66" i="44"/>
  <c r="S64" i="44"/>
  <c r="S149" i="48"/>
  <c r="Q2" i="48"/>
  <c r="S30" i="48"/>
  <c r="S29" i="48"/>
  <c r="Q3" i="48"/>
  <c r="R139" i="44"/>
  <c r="Q55" i="48"/>
  <c r="Q214" i="44"/>
  <c r="Q192" i="44"/>
  <c r="S21" i="48"/>
  <c r="AE29" i="54"/>
  <c r="R23" i="44"/>
  <c r="S55" i="44"/>
  <c r="R86" i="48"/>
  <c r="Q113" i="44"/>
  <c r="S145" i="48"/>
  <c r="R92" i="44"/>
  <c r="R78" i="44"/>
  <c r="P72" i="48"/>
  <c r="AE67" i="54"/>
  <c r="AE211" i="54"/>
  <c r="Q26" i="48"/>
  <c r="AE61" i="54"/>
  <c r="Q4" i="48"/>
  <c r="AE95" i="54"/>
  <c r="R74" i="44"/>
  <c r="S94" i="48"/>
  <c r="S36" i="48"/>
  <c r="P167" i="48"/>
  <c r="BF167" i="48" s="1"/>
  <c r="AE173" i="54"/>
  <c r="S193" i="44"/>
  <c r="S131" i="44"/>
  <c r="Q10" i="48"/>
  <c r="R111" i="44"/>
  <c r="Q5" i="48"/>
  <c r="P192" i="44"/>
  <c r="S193" i="48"/>
  <c r="P189" i="44"/>
  <c r="AE140" i="54"/>
  <c r="S9" i="48"/>
  <c r="AE11" i="54"/>
  <c r="S88" i="44"/>
  <c r="P87" i="48"/>
  <c r="S56" i="48"/>
  <c r="R168" i="48"/>
  <c r="BH168" i="48" s="1"/>
  <c r="P193" i="48"/>
  <c r="BF193" i="48" s="1"/>
  <c r="S201" i="48"/>
  <c r="AE22" i="54"/>
  <c r="S6" i="48"/>
  <c r="S218" i="48"/>
  <c r="P172" i="48"/>
  <c r="BF172" i="48" s="1"/>
  <c r="P206" i="44"/>
  <c r="S35" i="44"/>
  <c r="R174" i="48"/>
  <c r="BH174" i="48" s="1"/>
  <c r="P159" i="48"/>
  <c r="BF159" i="48" s="1"/>
  <c r="Q192" i="48"/>
  <c r="R99" i="44"/>
  <c r="P71" i="44"/>
  <c r="R193" i="44"/>
  <c r="S81" i="44"/>
  <c r="S196" i="44"/>
  <c r="R197" i="48"/>
  <c r="BH197" i="48" s="1"/>
  <c r="R160" i="44"/>
  <c r="Q132" i="44"/>
  <c r="R190" i="44"/>
  <c r="S153" i="44"/>
  <c r="R182" i="48"/>
  <c r="BH182" i="48" s="1"/>
  <c r="Q73" i="48"/>
  <c r="AE206" i="54"/>
  <c r="Q160" i="48"/>
  <c r="S72" i="48"/>
  <c r="P11" i="44"/>
  <c r="AE199" i="54"/>
  <c r="AE109" i="54"/>
  <c r="R216" i="44"/>
  <c r="S65" i="48"/>
  <c r="S159" i="48"/>
  <c r="S137" i="48"/>
  <c r="S82" i="48"/>
  <c r="AE75" i="54"/>
  <c r="Q59" i="44"/>
  <c r="R199" i="44"/>
  <c r="R173" i="48"/>
  <c r="BH173" i="48" s="1"/>
  <c r="P204" i="44"/>
  <c r="R188" i="44"/>
  <c r="Q177" i="48"/>
  <c r="P71" i="48"/>
  <c r="P21" i="44"/>
  <c r="AE131" i="54"/>
  <c r="P123" i="48"/>
  <c r="BF123" i="48" s="1"/>
  <c r="S112" i="48"/>
  <c r="S92" i="44"/>
  <c r="Q166" i="48"/>
  <c r="S168" i="48"/>
  <c r="S55" i="48"/>
  <c r="S105" i="48"/>
  <c r="R44" i="48"/>
  <c r="S150" i="48"/>
  <c r="P150" i="44"/>
  <c r="Q37" i="44"/>
  <c r="S5" i="48"/>
  <c r="AE117" i="54"/>
  <c r="R205" i="48"/>
  <c r="S176" i="48"/>
  <c r="Q108" i="44"/>
  <c r="S83" i="48"/>
  <c r="Q37" i="48"/>
  <c r="P74" i="48"/>
  <c r="Q147" i="44"/>
  <c r="S79" i="44"/>
  <c r="R45" i="48"/>
  <c r="S118" i="48"/>
  <c r="P192" i="48"/>
  <c r="BF192" i="48" s="1"/>
  <c r="R53" i="44"/>
  <c r="R123" i="48"/>
  <c r="BH123" i="48" s="1"/>
  <c r="S165" i="48"/>
  <c r="AE148" i="54"/>
  <c r="Q168" i="48"/>
  <c r="S207" i="48"/>
  <c r="S18" i="44"/>
  <c r="P70" i="48"/>
  <c r="S111" i="48"/>
  <c r="S97" i="48"/>
  <c r="S214" i="44"/>
  <c r="P160" i="48"/>
  <c r="BF160" i="48" s="1"/>
  <c r="S106" i="48"/>
  <c r="R30" i="48"/>
  <c r="Q199" i="48"/>
  <c r="P119" i="48"/>
  <c r="BF119" i="48" s="1"/>
  <c r="Q105" i="44"/>
  <c r="S185" i="48"/>
  <c r="AE121" i="54"/>
  <c r="Q208" i="44"/>
  <c r="P196" i="48"/>
  <c r="BF196" i="48" s="1"/>
  <c r="AE4" i="54"/>
  <c r="S169" i="48"/>
  <c r="S209" i="44"/>
  <c r="S38" i="44"/>
  <c r="Q137" i="48"/>
  <c r="R51" i="44"/>
  <c r="AE220" i="54"/>
  <c r="Q9" i="44"/>
  <c r="S150" i="44"/>
  <c r="Q78" i="44"/>
  <c r="S211" i="48"/>
  <c r="P127" i="44"/>
  <c r="R75" i="44"/>
  <c r="Q32" i="44"/>
  <c r="R187" i="48"/>
  <c r="BH187" i="48" s="1"/>
  <c r="S73" i="44"/>
  <c r="AE127" i="54"/>
  <c r="AE147" i="54"/>
  <c r="S139" i="48"/>
  <c r="P50" i="48"/>
  <c r="R211" i="48"/>
  <c r="Q65" i="44"/>
  <c r="R34" i="48"/>
  <c r="P37" i="48"/>
  <c r="P208" i="48"/>
  <c r="R110" i="44"/>
  <c r="R135" i="48"/>
  <c r="BH135" i="48" s="1"/>
  <c r="AE130" i="54"/>
  <c r="S134" i="48"/>
  <c r="Q222" i="48"/>
  <c r="S94" i="44"/>
  <c r="S123" i="48"/>
  <c r="R13" i="44"/>
  <c r="Q145" i="44"/>
  <c r="P154" i="44"/>
  <c r="R71" i="48"/>
  <c r="S100" i="48"/>
  <c r="AE155" i="54"/>
  <c r="R61" i="44"/>
  <c r="AE5" i="54"/>
  <c r="P125" i="48"/>
  <c r="BF125" i="48" s="1"/>
  <c r="Q182" i="48"/>
  <c r="Q57" i="48"/>
  <c r="S110" i="48"/>
  <c r="AE86" i="54"/>
  <c r="R12" i="48"/>
  <c r="S108" i="48"/>
  <c r="AE41" i="54"/>
  <c r="S132" i="48"/>
  <c r="P146" i="44"/>
  <c r="S171" i="48"/>
  <c r="S36" i="44"/>
  <c r="P128" i="48"/>
  <c r="BF128" i="48" s="1"/>
  <c r="Q81" i="44"/>
  <c r="S140" i="48"/>
  <c r="S76" i="44"/>
  <c r="S142" i="48"/>
  <c r="Q26" i="44"/>
  <c r="R22" i="48"/>
  <c r="S120" i="48"/>
  <c r="Q19" i="48"/>
  <c r="R207" i="44"/>
  <c r="R195" i="44"/>
  <c r="P197" i="44"/>
  <c r="S33" i="48"/>
  <c r="AE44" i="54"/>
  <c r="S141" i="48"/>
  <c r="R2" i="48"/>
  <c r="S17" i="44"/>
  <c r="S63" i="44"/>
  <c r="R29" i="48"/>
  <c r="AE210" i="54"/>
  <c r="Q84" i="48"/>
  <c r="Q100" i="44"/>
  <c r="S38" i="48"/>
  <c r="P210" i="48"/>
  <c r="AE64" i="54"/>
  <c r="S75" i="48"/>
  <c r="P47" i="48"/>
  <c r="R192" i="44"/>
  <c r="R69" i="44"/>
  <c r="P115" i="48"/>
  <c r="BF115" i="48" s="1"/>
  <c r="P93" i="48"/>
  <c r="Q33" i="48"/>
  <c r="P86" i="48"/>
  <c r="Q195" i="48"/>
  <c r="S178" i="48"/>
  <c r="S200" i="48"/>
  <c r="R134" i="48"/>
  <c r="BH134" i="48" s="1"/>
  <c r="R194" i="48"/>
  <c r="BH194" i="48" s="1"/>
  <c r="R90" i="44"/>
  <c r="S129" i="44"/>
  <c r="P42" i="48"/>
  <c r="P106" i="48"/>
  <c r="P131" i="44"/>
  <c r="S136" i="44"/>
  <c r="P103" i="48"/>
  <c r="P183" i="48"/>
  <c r="BF183" i="48" s="1"/>
  <c r="P75" i="44"/>
  <c r="R52" i="44"/>
  <c r="R220" i="44"/>
  <c r="Q74" i="44"/>
  <c r="P163" i="44"/>
  <c r="R84" i="44"/>
  <c r="R163" i="48"/>
  <c r="BH163" i="48" s="1"/>
  <c r="R43" i="44"/>
  <c r="P81" i="48"/>
  <c r="S194" i="48"/>
  <c r="Q165" i="48"/>
  <c r="R128" i="48"/>
  <c r="BH128" i="48" s="1"/>
  <c r="R9" i="44"/>
  <c r="P211" i="48"/>
  <c r="P53" i="48"/>
  <c r="Q130" i="44"/>
  <c r="S10" i="44"/>
  <c r="S66" i="48"/>
  <c r="Q176" i="44"/>
  <c r="AE101" i="54"/>
  <c r="S32" i="44"/>
  <c r="Q164" i="48"/>
  <c r="Q84" i="44"/>
  <c r="Q16" i="44"/>
  <c r="S90" i="48"/>
  <c r="S12" i="48"/>
  <c r="R217" i="48"/>
  <c r="Q87" i="44"/>
  <c r="Q171" i="44"/>
  <c r="R97" i="48"/>
  <c r="P223" i="48"/>
  <c r="AE217" i="54"/>
  <c r="AE141" i="54"/>
  <c r="S73" i="48"/>
  <c r="S198" i="48"/>
  <c r="R39" i="48"/>
  <c r="S123" i="44"/>
  <c r="S215" i="48"/>
  <c r="R33" i="48"/>
  <c r="Q90" i="48"/>
  <c r="S14" i="44"/>
  <c r="R54" i="48"/>
  <c r="AE200" i="54"/>
  <c r="S151" i="44"/>
  <c r="Q97" i="44"/>
  <c r="P217" i="44"/>
  <c r="S181" i="44"/>
  <c r="R16" i="48"/>
  <c r="R111" i="48"/>
  <c r="AE120" i="54"/>
  <c r="P130" i="48"/>
  <c r="BF130" i="48" s="1"/>
  <c r="P168" i="48"/>
  <c r="BF168" i="48" s="1"/>
  <c r="Q158" i="48"/>
  <c r="S58" i="48"/>
  <c r="T58" i="48" s="1"/>
  <c r="Q169" i="44"/>
  <c r="Q117" i="44"/>
  <c r="Q186" i="48"/>
  <c r="AE215" i="54"/>
  <c r="S27" i="44"/>
  <c r="P14" i="48"/>
  <c r="S47" i="48"/>
  <c r="R35" i="48"/>
  <c r="P219" i="48"/>
  <c r="R186" i="44"/>
  <c r="S126" i="44"/>
  <c r="R83" i="44"/>
  <c r="AE150" i="54"/>
  <c r="R209" i="44"/>
  <c r="S70" i="48"/>
  <c r="Q64" i="48"/>
  <c r="Q207" i="48"/>
  <c r="Q136" i="44"/>
  <c r="S78" i="48"/>
  <c r="AE145" i="54"/>
  <c r="P112" i="44"/>
  <c r="R5" i="44"/>
  <c r="S186" i="48"/>
  <c r="R214" i="44"/>
  <c r="P142" i="48"/>
  <c r="BF142" i="48" s="1"/>
  <c r="P76" i="48"/>
  <c r="R79" i="48"/>
  <c r="R49" i="48"/>
  <c r="Q87" i="48"/>
  <c r="Q128" i="48"/>
  <c r="Q97" i="48"/>
  <c r="S144" i="44"/>
  <c r="Q138" i="48"/>
  <c r="R192" i="48"/>
  <c r="BH192" i="48" s="1"/>
  <c r="R85" i="48"/>
  <c r="P173" i="44"/>
  <c r="S93" i="44"/>
  <c r="R88" i="44"/>
  <c r="R71" i="44"/>
  <c r="S48" i="48"/>
  <c r="P62" i="44"/>
  <c r="Q152" i="44"/>
  <c r="S37" i="48"/>
  <c r="R60" i="44"/>
  <c r="Q155" i="48"/>
  <c r="R169" i="44"/>
  <c r="R141" i="48"/>
  <c r="BH141" i="48" s="1"/>
  <c r="P42" i="44"/>
  <c r="R193" i="48"/>
  <c r="BH193" i="48" s="1"/>
  <c r="S151" i="48"/>
  <c r="AE174" i="54"/>
  <c r="AE152" i="54"/>
  <c r="S170" i="44"/>
  <c r="S160" i="44"/>
  <c r="S181" i="48"/>
  <c r="R41" i="44"/>
  <c r="R130" i="48"/>
  <c r="BH130" i="48" s="1"/>
  <c r="P190" i="48"/>
  <c r="BF190" i="48" s="1"/>
  <c r="Q174" i="48"/>
  <c r="R140" i="48"/>
  <c r="BH140" i="48" s="1"/>
  <c r="P159" i="44"/>
  <c r="P117" i="48"/>
  <c r="BF117" i="48" s="1"/>
  <c r="S121" i="44"/>
  <c r="P151" i="44"/>
  <c r="P178" i="44"/>
  <c r="S164" i="44"/>
  <c r="Q144" i="44"/>
  <c r="R202" i="48"/>
  <c r="R209" i="48"/>
  <c r="Q212" i="48"/>
  <c r="P220" i="44"/>
  <c r="P163" i="48"/>
  <c r="BF163" i="48" s="1"/>
  <c r="P36" i="48"/>
  <c r="Q148" i="48"/>
  <c r="Q217" i="48"/>
  <c r="S133" i="44"/>
  <c r="R157" i="48"/>
  <c r="BH157" i="48" s="1"/>
  <c r="R178" i="44"/>
  <c r="S107" i="48"/>
  <c r="S31" i="44"/>
  <c r="S67" i="44"/>
  <c r="Q157" i="44"/>
  <c r="P219" i="44"/>
  <c r="Q69" i="44"/>
  <c r="R62" i="44"/>
  <c r="P173" i="48"/>
  <c r="BF173" i="48" s="1"/>
  <c r="S114" i="44"/>
  <c r="S207" i="44"/>
  <c r="P109" i="44"/>
  <c r="Q47" i="44"/>
  <c r="Q167" i="44"/>
  <c r="S202" i="48"/>
  <c r="P226" i="48"/>
  <c r="S221" i="44"/>
  <c r="R148" i="48"/>
  <c r="BH148" i="48" s="1"/>
  <c r="P184" i="44"/>
  <c r="P213" i="44"/>
  <c r="Q198" i="48"/>
  <c r="S44" i="44"/>
  <c r="Q126" i="44"/>
  <c r="R203" i="44"/>
  <c r="S217" i="48"/>
  <c r="S117" i="44"/>
  <c r="S190" i="44"/>
  <c r="P176" i="48"/>
  <c r="BF176" i="48" s="1"/>
  <c r="P134" i="48"/>
  <c r="BF134" i="48" s="1"/>
  <c r="AE146" i="54"/>
  <c r="P152" i="44"/>
  <c r="P7" i="48"/>
  <c r="P144" i="48"/>
  <c r="BF144" i="48" s="1"/>
  <c r="S165" i="44"/>
  <c r="R78" i="48"/>
  <c r="P61" i="44"/>
  <c r="P51" i="44"/>
  <c r="R91" i="48"/>
  <c r="Q48" i="48"/>
  <c r="R29" i="44"/>
  <c r="R76" i="44"/>
  <c r="P182" i="48"/>
  <c r="BF182" i="48" s="1"/>
  <c r="P152" i="48"/>
  <c r="BF152" i="48" s="1"/>
  <c r="Q218" i="44"/>
  <c r="R95" i="44"/>
  <c r="S160" i="48"/>
  <c r="R170" i="48"/>
  <c r="BH170" i="48" s="1"/>
  <c r="R32" i="44"/>
  <c r="Q88" i="48"/>
  <c r="S131" i="48"/>
  <c r="R30" i="44"/>
  <c r="Q47" i="48"/>
  <c r="Q115" i="48"/>
  <c r="P218" i="44"/>
  <c r="Q159" i="44"/>
  <c r="R83" i="48"/>
  <c r="P19" i="44"/>
  <c r="Q40" i="48"/>
  <c r="R164" i="48"/>
  <c r="BH164" i="48" s="1"/>
  <c r="Q167" i="48"/>
  <c r="AE65" i="54"/>
  <c r="P33" i="44"/>
  <c r="P197" i="48"/>
  <c r="BF197" i="48" s="1"/>
  <c r="R149" i="44"/>
  <c r="S47" i="44"/>
  <c r="P88" i="44"/>
  <c r="R210" i="44"/>
  <c r="P60" i="44"/>
  <c r="P167" i="44"/>
  <c r="R187" i="44"/>
  <c r="Q197" i="44"/>
  <c r="P3" i="44"/>
  <c r="Q44" i="48"/>
  <c r="P81" i="44"/>
  <c r="R185" i="44"/>
  <c r="R129" i="44"/>
  <c r="P127" i="48"/>
  <c r="BF127" i="48" s="1"/>
  <c r="R117" i="48"/>
  <c r="BH117" i="48" s="1"/>
  <c r="P76" i="44"/>
  <c r="R33" i="44"/>
  <c r="Q98" i="44"/>
  <c r="P62" i="48"/>
  <c r="P92" i="44"/>
  <c r="R127" i="44"/>
  <c r="P36" i="44"/>
  <c r="P106" i="44"/>
  <c r="R86" i="44"/>
  <c r="R159" i="48"/>
  <c r="BH159" i="48" s="1"/>
  <c r="Q205" i="44"/>
  <c r="AE114" i="54"/>
  <c r="P55" i="48"/>
  <c r="Q173" i="44"/>
  <c r="R37" i="48"/>
  <c r="S98" i="48"/>
  <c r="AE81" i="54"/>
  <c r="S95" i="44"/>
  <c r="P90" i="48"/>
  <c r="R58" i="44"/>
  <c r="Q70" i="44"/>
  <c r="P172" i="44"/>
  <c r="AE90" i="54"/>
  <c r="S177" i="44"/>
  <c r="AE105" i="54"/>
  <c r="R107" i="48"/>
  <c r="Q92" i="48"/>
  <c r="AE205" i="54"/>
  <c r="S98" i="44"/>
  <c r="Q62" i="48"/>
  <c r="P116" i="48"/>
  <c r="BF116" i="48" s="1"/>
  <c r="S147" i="44"/>
  <c r="R208" i="44"/>
  <c r="Q28" i="44"/>
  <c r="S50" i="44"/>
  <c r="AE144" i="54"/>
  <c r="P211" i="44"/>
  <c r="P85" i="48"/>
  <c r="S113" i="44"/>
  <c r="S186" i="44"/>
  <c r="R118" i="48"/>
  <c r="BH118" i="48" s="1"/>
  <c r="Q165" i="44"/>
  <c r="S104" i="48"/>
  <c r="AE154" i="54"/>
  <c r="S213" i="44"/>
  <c r="P68" i="48"/>
  <c r="Q112" i="48"/>
  <c r="Q118" i="48"/>
  <c r="R87" i="48"/>
  <c r="R147" i="48"/>
  <c r="BH147" i="48" s="1"/>
  <c r="Q88" i="44"/>
  <c r="AE58" i="54"/>
  <c r="S106" i="44"/>
  <c r="P102" i="44"/>
  <c r="R119" i="48"/>
  <c r="BH119" i="48" s="1"/>
  <c r="P38" i="44"/>
  <c r="Q211" i="44"/>
  <c r="Q131" i="48"/>
  <c r="P120" i="44"/>
  <c r="P164" i="44"/>
  <c r="S124" i="44"/>
  <c r="P129" i="44"/>
  <c r="R189" i="44"/>
  <c r="Q195" i="44"/>
  <c r="P103" i="44"/>
  <c r="S32" i="48"/>
  <c r="AE92" i="54"/>
  <c r="S162" i="44"/>
  <c r="Q79" i="48"/>
  <c r="P182" i="44"/>
  <c r="S191" i="48"/>
  <c r="S188" i="44"/>
  <c r="P46" i="48"/>
  <c r="P35" i="44"/>
  <c r="Q194" i="48"/>
  <c r="P114" i="44"/>
  <c r="Q2" i="44"/>
  <c r="R93" i="44"/>
  <c r="P188" i="44"/>
  <c r="Q14" i="44"/>
  <c r="S66" i="44"/>
  <c r="Q220" i="48"/>
  <c r="AE203" i="54"/>
  <c r="S28" i="44"/>
  <c r="R220" i="48"/>
  <c r="R16" i="44"/>
  <c r="P133" i="44"/>
  <c r="R66" i="44"/>
  <c r="S75" i="44"/>
  <c r="R142" i="44"/>
  <c r="P91" i="48"/>
  <c r="P4" i="48"/>
  <c r="Q49" i="44"/>
  <c r="Q103" i="48"/>
  <c r="Q69" i="48"/>
  <c r="S89" i="44"/>
  <c r="P113" i="48"/>
  <c r="BF113" i="48" s="1"/>
  <c r="Q133" i="44"/>
  <c r="P58" i="48"/>
  <c r="AE57" i="54"/>
  <c r="S79" i="48"/>
  <c r="S117" i="48"/>
  <c r="R20" i="48"/>
  <c r="P185" i="48"/>
  <c r="BF185" i="48" s="1"/>
  <c r="P32" i="48"/>
  <c r="AE218" i="54"/>
  <c r="P198" i="44"/>
  <c r="P186" i="44"/>
  <c r="R223" i="48"/>
  <c r="AE100" i="54"/>
  <c r="R84" i="48"/>
  <c r="S197" i="48"/>
  <c r="R77" i="48"/>
  <c r="R17" i="44"/>
  <c r="P212" i="44"/>
  <c r="S173" i="48"/>
  <c r="S130" i="48"/>
  <c r="P221" i="44"/>
  <c r="Q208" i="48"/>
  <c r="P174" i="44"/>
  <c r="AE125" i="54"/>
  <c r="Q180" i="48"/>
  <c r="Q48" i="44"/>
  <c r="R145" i="44"/>
  <c r="P217" i="48"/>
  <c r="P175" i="48"/>
  <c r="BF175" i="48" s="1"/>
  <c r="S174" i="48"/>
  <c r="P97" i="48"/>
  <c r="R96" i="44"/>
  <c r="R21" i="48"/>
  <c r="R74" i="48"/>
  <c r="AE31" i="54"/>
  <c r="P188" i="48"/>
  <c r="BF188" i="48" s="1"/>
  <c r="P124" i="48"/>
  <c r="BF124" i="48" s="1"/>
  <c r="Q170" i="48"/>
  <c r="Q89" i="44"/>
  <c r="R161" i="48"/>
  <c r="BH161" i="48" s="1"/>
  <c r="S187" i="44"/>
  <c r="AE54" i="54"/>
  <c r="P30" i="44"/>
  <c r="S110" i="44"/>
  <c r="Q138" i="44"/>
  <c r="R200" i="48"/>
  <c r="BH200" i="48" s="1"/>
  <c r="S153" i="48"/>
  <c r="R217" i="44"/>
  <c r="S51" i="44"/>
  <c r="AE137" i="54"/>
  <c r="P125" i="44"/>
  <c r="Q85" i="48"/>
  <c r="R175" i="48"/>
  <c r="BH175" i="48" s="1"/>
  <c r="R219" i="48"/>
  <c r="P157" i="48"/>
  <c r="BF157" i="48" s="1"/>
  <c r="S20" i="44"/>
  <c r="R73" i="48"/>
  <c r="S141" i="44"/>
  <c r="P220" i="48"/>
  <c r="S49" i="48"/>
  <c r="P100" i="48"/>
  <c r="S53" i="48"/>
  <c r="S213" i="48"/>
  <c r="Q182" i="44"/>
  <c r="P87" i="44"/>
  <c r="Q16" i="48"/>
  <c r="AE192" i="54"/>
  <c r="R188" i="48"/>
  <c r="BH188" i="48" s="1"/>
  <c r="AE186" i="54"/>
  <c r="P13" i="44"/>
  <c r="S115" i="44"/>
  <c r="P171" i="48"/>
  <c r="BF171" i="48" s="1"/>
  <c r="R165" i="48"/>
  <c r="BH165" i="48" s="1"/>
  <c r="P155" i="44"/>
  <c r="P201" i="48"/>
  <c r="BF201" i="48" s="1"/>
  <c r="P56" i="48"/>
  <c r="AE221" i="54"/>
  <c r="P6" i="44"/>
  <c r="AE162" i="54"/>
  <c r="Q14" i="48"/>
  <c r="S220" i="48"/>
  <c r="R38" i="44"/>
  <c r="R9" i="48"/>
  <c r="P30" i="48"/>
  <c r="S43" i="48"/>
  <c r="Q104" i="44"/>
  <c r="R116" i="48"/>
  <c r="BH116" i="48" s="1"/>
  <c r="Q220" i="44"/>
  <c r="R47" i="48"/>
  <c r="AE39" i="54"/>
  <c r="R153" i="44"/>
  <c r="S84" i="48"/>
  <c r="S42" i="48"/>
  <c r="S99" i="44"/>
  <c r="P50" i="44"/>
  <c r="P41" i="48"/>
  <c r="Q91" i="44"/>
  <c r="AE71" i="54"/>
  <c r="R112" i="44"/>
  <c r="Q121" i="44"/>
  <c r="S45" i="44"/>
  <c r="P84" i="48"/>
  <c r="S97" i="44"/>
  <c r="R14" i="44"/>
  <c r="Q5" i="44"/>
  <c r="P193" i="44"/>
  <c r="AE72" i="54"/>
  <c r="S129" i="48"/>
  <c r="P107" i="48"/>
  <c r="Q17" i="44"/>
  <c r="S99" i="48"/>
  <c r="P43" i="44"/>
  <c r="P138" i="48"/>
  <c r="BF138" i="48" s="1"/>
  <c r="R52" i="48"/>
  <c r="P55" i="44"/>
  <c r="AE77" i="54"/>
  <c r="AE70" i="54"/>
  <c r="R24" i="44"/>
  <c r="Q65" i="48"/>
  <c r="P147" i="48"/>
  <c r="BF147" i="48" s="1"/>
  <c r="P216" i="44"/>
  <c r="S195" i="44"/>
  <c r="P43" i="48"/>
  <c r="R97" i="44"/>
  <c r="R166" i="44"/>
  <c r="S31" i="48"/>
  <c r="P5" i="44"/>
  <c r="S130" i="44"/>
  <c r="R218" i="48"/>
  <c r="R85" i="44"/>
  <c r="S221" i="48"/>
  <c r="R107" i="44"/>
  <c r="R173" i="44"/>
  <c r="Q104" i="48"/>
  <c r="Q170" i="44"/>
  <c r="R150" i="48"/>
  <c r="BH150" i="48" s="1"/>
  <c r="R40" i="48"/>
  <c r="Q53" i="48"/>
  <c r="S111" i="44"/>
  <c r="S46" i="48"/>
  <c r="Q42" i="48"/>
  <c r="R57" i="48"/>
  <c r="AE25" i="54"/>
  <c r="P139" i="48"/>
  <c r="BF139" i="48" s="1"/>
  <c r="R21" i="44"/>
  <c r="P54" i="48"/>
  <c r="S24" i="48"/>
  <c r="S166" i="48"/>
  <c r="S12" i="44"/>
  <c r="Q85" i="44"/>
  <c r="Q177" i="44"/>
  <c r="R196" i="44"/>
  <c r="S116" i="44"/>
  <c r="S72" i="44"/>
  <c r="S85" i="48"/>
  <c r="Q21" i="48"/>
  <c r="Q204" i="44"/>
  <c r="AE176" i="54"/>
  <c r="P162" i="44"/>
  <c r="Q125" i="44"/>
  <c r="Q50" i="44"/>
  <c r="AE15" i="54"/>
  <c r="S214" i="48"/>
  <c r="S175" i="48"/>
  <c r="S4" i="44"/>
  <c r="P179" i="44"/>
  <c r="S103" i="44"/>
  <c r="Q210" i="48"/>
  <c r="R91" i="44"/>
  <c r="S177" i="48"/>
  <c r="S120" i="44"/>
  <c r="R148" i="44"/>
  <c r="Q83" i="44"/>
  <c r="Q90" i="44"/>
  <c r="R186" i="48"/>
  <c r="BH186" i="48" s="1"/>
  <c r="Q109" i="48"/>
  <c r="S203" i="48"/>
  <c r="R190" i="48"/>
  <c r="BH190" i="48" s="1"/>
  <c r="Q7" i="48"/>
  <c r="AE48" i="54"/>
  <c r="Q169" i="48"/>
  <c r="R18" i="44"/>
  <c r="R157" i="44"/>
  <c r="P98" i="48"/>
  <c r="Q214" i="48"/>
  <c r="R45" i="44"/>
  <c r="Q61" i="44"/>
  <c r="AE102" i="54"/>
  <c r="R222" i="48"/>
  <c r="P117" i="44"/>
  <c r="Q30" i="44"/>
  <c r="R25" i="48"/>
  <c r="S85" i="44"/>
  <c r="P214" i="48"/>
  <c r="P23" i="48"/>
  <c r="R181" i="44"/>
  <c r="Q111" i="44"/>
  <c r="S103" i="48"/>
  <c r="Q8" i="44"/>
  <c r="S40" i="48"/>
  <c r="Q219" i="48"/>
  <c r="AE184" i="54"/>
  <c r="Q112" i="44"/>
  <c r="S24" i="44"/>
  <c r="Q207" i="44"/>
  <c r="Q163" i="44"/>
  <c r="R90" i="48"/>
  <c r="Q202" i="48"/>
  <c r="Q184" i="44"/>
  <c r="P178" i="48"/>
  <c r="BF178" i="48" s="1"/>
  <c r="R19" i="44"/>
  <c r="P198" i="48"/>
  <c r="BF198" i="48" s="1"/>
  <c r="R154" i="44"/>
  <c r="Q152" i="48"/>
  <c r="S18" i="48"/>
  <c r="AE51" i="54"/>
  <c r="S172" i="44"/>
  <c r="Q15" i="48"/>
  <c r="P177" i="48"/>
  <c r="BF177" i="48" s="1"/>
  <c r="AE47" i="54"/>
  <c r="R116" i="44"/>
  <c r="P149" i="44"/>
  <c r="P56" i="44"/>
  <c r="S220" i="44"/>
  <c r="AE38" i="54"/>
  <c r="R5" i="48"/>
  <c r="P216" i="48"/>
  <c r="AE158" i="54"/>
  <c r="P150" i="48"/>
  <c r="BF150" i="48" s="1"/>
  <c r="R102" i="48"/>
  <c r="P51" i="48"/>
  <c r="Q157" i="48"/>
  <c r="Q82" i="48"/>
  <c r="S20" i="48"/>
  <c r="AE33" i="54"/>
  <c r="Q129" i="48"/>
  <c r="S140" i="44"/>
  <c r="R141" i="44"/>
  <c r="AE213" i="54"/>
  <c r="Q215" i="48"/>
  <c r="P101" i="48"/>
  <c r="R131" i="48"/>
  <c r="BH131" i="48" s="1"/>
  <c r="Q201" i="48"/>
  <c r="S138" i="48"/>
  <c r="P166" i="44"/>
  <c r="S43" i="44"/>
  <c r="S206" i="48"/>
  <c r="P45" i="48"/>
  <c r="Q191" i="44"/>
  <c r="R68" i="48"/>
  <c r="S198" i="44"/>
  <c r="R155" i="48"/>
  <c r="BH155" i="48" s="1"/>
  <c r="Q56" i="44"/>
  <c r="R162" i="44"/>
  <c r="P161" i="48"/>
  <c r="BF161" i="48" s="1"/>
  <c r="R57" i="44"/>
  <c r="S171" i="44"/>
  <c r="S146" i="48"/>
  <c r="P9" i="48"/>
  <c r="Q72" i="44"/>
  <c r="Q156" i="48"/>
  <c r="R31" i="48"/>
  <c r="S41" i="48"/>
  <c r="S119" i="44"/>
  <c r="R151" i="48"/>
  <c r="BH151" i="48" s="1"/>
  <c r="P67" i="48"/>
  <c r="P22" i="44"/>
  <c r="P48" i="44"/>
  <c r="R175" i="44"/>
  <c r="R196" i="48"/>
  <c r="BH196" i="48" s="1"/>
  <c r="AE167" i="54"/>
  <c r="Q191" i="48"/>
  <c r="R18" i="48"/>
  <c r="Q149" i="48"/>
  <c r="P12" i="44"/>
  <c r="AE96" i="54"/>
  <c r="Q205" i="48"/>
  <c r="AE135" i="54"/>
  <c r="Q149" i="44"/>
  <c r="R61" i="48"/>
  <c r="R152" i="48"/>
  <c r="BH152" i="48" s="1"/>
  <c r="Q19" i="44"/>
  <c r="Q22" i="44"/>
  <c r="S3" i="48"/>
  <c r="Q196" i="48"/>
  <c r="AE181" i="54"/>
  <c r="S10" i="48"/>
  <c r="P214" i="44"/>
  <c r="AE168" i="54"/>
  <c r="S59" i="44"/>
  <c r="P99" i="44"/>
  <c r="Q187" i="48"/>
  <c r="P95" i="44"/>
  <c r="Q45" i="44"/>
  <c r="P164" i="48"/>
  <c r="BF164" i="48" s="1"/>
  <c r="S86" i="44"/>
  <c r="Q178" i="48"/>
  <c r="Q161" i="44"/>
  <c r="P26" i="44"/>
  <c r="P162" i="48"/>
  <c r="BF162" i="48" s="1"/>
  <c r="AE74" i="54"/>
  <c r="P44" i="44"/>
  <c r="R100" i="44"/>
  <c r="Q77" i="44"/>
  <c r="P189" i="48"/>
  <c r="BF189" i="48" s="1"/>
  <c r="Q156" i="44"/>
  <c r="AE209" i="54"/>
  <c r="R64" i="44"/>
  <c r="Q179" i="44"/>
  <c r="P128" i="44"/>
  <c r="Q56" i="48"/>
  <c r="AE170" i="54"/>
  <c r="AE50" i="54"/>
  <c r="Q132" i="48"/>
  <c r="S101" i="44"/>
  <c r="P19" i="48"/>
  <c r="S224" i="48"/>
  <c r="P38" i="48"/>
  <c r="R213" i="48"/>
  <c r="R95" i="48"/>
  <c r="S190" i="48"/>
  <c r="R218" i="44"/>
  <c r="Q98" i="48"/>
  <c r="S216" i="44"/>
  <c r="P90" i="44"/>
  <c r="S109" i="44"/>
  <c r="S69" i="48"/>
  <c r="P146" i="48"/>
  <c r="BF146" i="48" s="1"/>
  <c r="S49" i="44"/>
  <c r="R202" i="44"/>
  <c r="P77" i="44"/>
  <c r="R59" i="44"/>
  <c r="Q31" i="44"/>
  <c r="P187" i="48"/>
  <c r="BF187" i="48" s="1"/>
  <c r="S138" i="44"/>
  <c r="P136" i="44"/>
  <c r="R205" i="44"/>
  <c r="Q45" i="48"/>
  <c r="S210" i="44"/>
  <c r="Q73" i="44"/>
  <c r="P25" i="44"/>
  <c r="S167" i="44"/>
  <c r="R53" i="48"/>
  <c r="R26" i="48"/>
  <c r="S143" i="44"/>
  <c r="Q93" i="48"/>
  <c r="R114" i="44"/>
  <c r="P66" i="48"/>
  <c r="R134" i="44"/>
  <c r="P8" i="44"/>
  <c r="P123" i="44"/>
  <c r="AE35" i="54"/>
  <c r="S161" i="48"/>
  <c r="S199" i="44"/>
  <c r="Q193" i="48"/>
  <c r="S57" i="44"/>
  <c r="Q32" i="48"/>
  <c r="S8" i="44"/>
  <c r="R82" i="48"/>
  <c r="P16" i="48"/>
  <c r="R10" i="44"/>
  <c r="R131" i="44"/>
  <c r="S26" i="44"/>
  <c r="AE62" i="54"/>
  <c r="R198" i="48"/>
  <c r="BH198" i="48" s="1"/>
  <c r="S170" i="48"/>
  <c r="S41" i="44"/>
  <c r="Q42" i="44"/>
  <c r="P2" i="48"/>
  <c r="P69" i="44"/>
  <c r="S119" i="48"/>
  <c r="AE179" i="54"/>
  <c r="Q213" i="44"/>
  <c r="P34" i="44"/>
  <c r="S101" i="48"/>
  <c r="Q67" i="48"/>
  <c r="S105" i="44"/>
  <c r="Q18" i="48"/>
  <c r="S42" i="44"/>
  <c r="R155" i="44"/>
  <c r="P84" i="44"/>
  <c r="P8" i="48"/>
  <c r="Q139" i="44"/>
  <c r="S184" i="44"/>
  <c r="P53" i="44"/>
  <c r="R179" i="44"/>
  <c r="P15" i="44"/>
  <c r="P107" i="44"/>
  <c r="Q81" i="48"/>
  <c r="Q54" i="48"/>
  <c r="R10" i="48"/>
  <c r="S62" i="44"/>
  <c r="Q172" i="44"/>
  <c r="R177" i="48"/>
  <c r="BH177" i="48" s="1"/>
  <c r="S152" i="44"/>
  <c r="Q83" i="48"/>
  <c r="AE63" i="54"/>
  <c r="P191" i="48"/>
  <c r="BF191" i="48" s="1"/>
  <c r="AE171" i="54"/>
  <c r="S200" i="44"/>
  <c r="AE55" i="54"/>
  <c r="P39" i="44"/>
  <c r="S60" i="44"/>
  <c r="R149" i="48"/>
  <c r="BH149" i="48" s="1"/>
  <c r="Q120" i="48"/>
  <c r="R180" i="48"/>
  <c r="BH180" i="48" s="1"/>
  <c r="P148" i="44"/>
  <c r="R208" i="48"/>
  <c r="P29" i="44"/>
  <c r="P170" i="44"/>
  <c r="S187" i="48"/>
  <c r="P203" i="48"/>
  <c r="P215" i="44"/>
  <c r="Q20" i="44"/>
  <c r="S156" i="44"/>
  <c r="S80" i="48"/>
  <c r="R219" i="44"/>
  <c r="AE149" i="54"/>
  <c r="P134" i="44"/>
  <c r="S158" i="44"/>
  <c r="R34" i="44"/>
  <c r="Q137" i="44"/>
  <c r="S29" i="44"/>
  <c r="S78" i="44"/>
  <c r="P179" i="48"/>
  <c r="BF179" i="48" s="1"/>
  <c r="AE172" i="54"/>
  <c r="R204" i="44"/>
  <c r="P52" i="48"/>
  <c r="P139" i="44"/>
  <c r="P144" i="44"/>
  <c r="S100" i="44"/>
  <c r="Q95" i="48"/>
  <c r="R15" i="48"/>
  <c r="R224" i="48"/>
  <c r="S74" i="48"/>
  <c r="S30" i="44"/>
  <c r="AE116" i="54"/>
  <c r="S116" i="48"/>
  <c r="AE175" i="54"/>
  <c r="R106" i="44"/>
  <c r="P59" i="48"/>
  <c r="AE139" i="54"/>
  <c r="Q114" i="44"/>
  <c r="P121" i="48"/>
  <c r="BF121" i="48" s="1"/>
  <c r="P203" i="44"/>
  <c r="Q134" i="44"/>
  <c r="AE133" i="54"/>
  <c r="S83" i="44"/>
  <c r="P156" i="48"/>
  <c r="BF156" i="48" s="1"/>
  <c r="AE110" i="54"/>
  <c r="S80" i="44"/>
  <c r="P101" i="44"/>
  <c r="P116" i="44"/>
  <c r="S51" i="48"/>
  <c r="R44" i="44"/>
  <c r="S84" i="44"/>
  <c r="Q71" i="44"/>
  <c r="Q58" i="44"/>
  <c r="Q190" i="44"/>
  <c r="R181" i="48"/>
  <c r="BH181" i="48" s="1"/>
  <c r="Q63" i="48"/>
  <c r="S179" i="44"/>
  <c r="P137" i="44"/>
  <c r="R146" i="44"/>
  <c r="S209" i="48"/>
  <c r="S155" i="44"/>
  <c r="P154" i="48"/>
  <c r="BF154" i="48" s="1"/>
  <c r="AE123" i="54"/>
  <c r="S179" i="48"/>
  <c r="P13" i="48"/>
  <c r="R144" i="48"/>
  <c r="BH144" i="48" s="1"/>
  <c r="AE178" i="54"/>
  <c r="P151" i="48"/>
  <c r="BF151" i="48" s="1"/>
  <c r="P102" i="48"/>
  <c r="S158" i="48"/>
  <c r="S65" i="44"/>
  <c r="R221" i="44"/>
  <c r="R215" i="48"/>
  <c r="S68" i="44"/>
  <c r="R103" i="48"/>
  <c r="R213" i="44"/>
  <c r="R136" i="48"/>
  <c r="BH136" i="48" s="1"/>
  <c r="P6" i="48"/>
  <c r="Q58" i="48"/>
  <c r="P187" i="44"/>
  <c r="R28" i="44"/>
  <c r="Q96" i="48"/>
  <c r="R42" i="44"/>
  <c r="Q153" i="44"/>
  <c r="S76" i="48"/>
  <c r="R56" i="44"/>
  <c r="R46" i="44"/>
  <c r="Q159" i="48"/>
  <c r="R226" i="48"/>
  <c r="S71" i="44"/>
  <c r="P156" i="44"/>
  <c r="S210" i="48"/>
  <c r="R172" i="44"/>
  <c r="Q107" i="44"/>
  <c r="P12" i="48"/>
  <c r="R145" i="48"/>
  <c r="BH145" i="48" s="1"/>
  <c r="P204" i="48"/>
  <c r="Q142" i="44"/>
  <c r="S167" i="48"/>
  <c r="P63" i="48"/>
  <c r="P47" i="44"/>
  <c r="AE111" i="54"/>
  <c r="S149" i="44"/>
  <c r="R152" i="44"/>
  <c r="Q79" i="44"/>
  <c r="S163" i="44"/>
  <c r="P190" i="44"/>
  <c r="Q224" i="48"/>
  <c r="Q154" i="48"/>
  <c r="Q94" i="48"/>
  <c r="R92" i="48"/>
  <c r="Q221" i="44"/>
  <c r="S60" i="48"/>
  <c r="Q201" i="44"/>
  <c r="P132" i="48"/>
  <c r="BF132" i="48" s="1"/>
  <c r="Q74" i="48"/>
  <c r="R104" i="44"/>
  <c r="R156" i="48"/>
  <c r="BH156" i="48" s="1"/>
  <c r="R117" i="44"/>
  <c r="Q105" i="48"/>
  <c r="R64" i="48"/>
  <c r="S189" i="44"/>
  <c r="Q82" i="44"/>
  <c r="AE27" i="54"/>
  <c r="Q206" i="44"/>
  <c r="Q94" i="44"/>
  <c r="Q52" i="48"/>
  <c r="Q145" i="48"/>
  <c r="P28" i="48"/>
  <c r="R171" i="48"/>
  <c r="BH171" i="48" s="1"/>
  <c r="P80" i="44"/>
  <c r="P138" i="44"/>
  <c r="Q125" i="48"/>
  <c r="Q92" i="44"/>
  <c r="S96" i="44"/>
  <c r="P124" i="44"/>
  <c r="S5" i="44"/>
  <c r="R191" i="44"/>
  <c r="Q76" i="44"/>
  <c r="P180" i="48"/>
  <c r="BF180" i="48" s="1"/>
  <c r="P147" i="44"/>
  <c r="Q172" i="48"/>
  <c r="P209" i="44"/>
  <c r="P80" i="48"/>
  <c r="Q107" i="48"/>
  <c r="S56" i="44"/>
  <c r="AE197" i="54"/>
  <c r="R23" i="48"/>
  <c r="Q216" i="48"/>
  <c r="S53" i="44"/>
  <c r="P184" i="48"/>
  <c r="BF184" i="48" s="1"/>
  <c r="S54" i="44"/>
  <c r="S125" i="48"/>
  <c r="Q164" i="44"/>
  <c r="Q146" i="48"/>
  <c r="P224" i="48"/>
  <c r="Q158" i="44"/>
  <c r="S102" i="44"/>
  <c r="S143" i="48"/>
  <c r="Q17" i="48"/>
  <c r="R124" i="48"/>
  <c r="BH124" i="48" s="1"/>
  <c r="S222" i="48"/>
  <c r="P86" i="44"/>
  <c r="S212" i="44"/>
  <c r="R68" i="44"/>
  <c r="R8" i="44"/>
  <c r="Q35" i="48"/>
  <c r="Q23" i="44"/>
  <c r="S147" i="48"/>
  <c r="R36" i="44"/>
  <c r="Q154" i="44"/>
  <c r="S64" i="48"/>
  <c r="S139" i="44"/>
  <c r="R73" i="44"/>
  <c r="S46" i="44"/>
  <c r="AE103" i="54"/>
  <c r="Q203" i="44"/>
  <c r="Q140" i="44"/>
  <c r="S113" i="48"/>
  <c r="Q25" i="44"/>
  <c r="P31" i="48"/>
  <c r="R139" i="48"/>
  <c r="BH139" i="48" s="1"/>
  <c r="R114" i="48"/>
  <c r="BH114" i="48" s="1"/>
  <c r="Q68" i="48"/>
  <c r="Q183" i="48"/>
  <c r="S48" i="44"/>
  <c r="R184" i="44"/>
  <c r="R109" i="48"/>
  <c r="AE216" i="54"/>
  <c r="P191" i="44"/>
  <c r="AE17" i="54"/>
  <c r="AE180" i="54"/>
  <c r="S34" i="44"/>
  <c r="S208" i="44"/>
  <c r="AE107" i="54"/>
  <c r="R32" i="48"/>
  <c r="R113" i="44"/>
  <c r="Q28" i="48"/>
  <c r="Q133" i="48"/>
  <c r="AE26" i="54"/>
  <c r="S211" i="44"/>
  <c r="R26" i="44"/>
  <c r="Q52" i="44"/>
  <c r="AE190" i="54"/>
  <c r="P23" i="44"/>
  <c r="P88" i="48"/>
  <c r="R50" i="44"/>
  <c r="R80" i="44"/>
  <c r="AE36" i="54"/>
  <c r="AE56" i="54"/>
  <c r="P70" i="44"/>
  <c r="AE94" i="54"/>
  <c r="S87" i="44"/>
  <c r="R98" i="48"/>
  <c r="Q176" i="48"/>
  <c r="P63" i="44"/>
  <c r="P57" i="48"/>
  <c r="R180" i="44"/>
  <c r="S148" i="44"/>
  <c r="P15" i="48"/>
  <c r="Q139" i="48"/>
  <c r="P72" i="44"/>
  <c r="R27" i="48"/>
  <c r="Q217" i="44"/>
  <c r="AE142" i="54"/>
  <c r="S19" i="48"/>
  <c r="Q141" i="44"/>
  <c r="Q75" i="48"/>
  <c r="S175" i="44"/>
  <c r="P122" i="48"/>
  <c r="BF122" i="48" s="1"/>
  <c r="S204" i="48"/>
  <c r="S168" i="44"/>
  <c r="Q50" i="48"/>
  <c r="P143" i="44"/>
  <c r="P225" i="48"/>
  <c r="P213" i="48"/>
  <c r="R62" i="48"/>
  <c r="Q30" i="48"/>
  <c r="AE37" i="54"/>
  <c r="R67" i="48"/>
  <c r="P185" i="44"/>
  <c r="Q68" i="44"/>
  <c r="S202" i="44"/>
  <c r="R109" i="44"/>
  <c r="S182" i="44"/>
  <c r="Q162" i="44"/>
  <c r="R156" i="44"/>
  <c r="Q206" i="48"/>
  <c r="S68" i="48"/>
  <c r="Q53" i="44"/>
  <c r="P221" i="48"/>
  <c r="AE204" i="54"/>
  <c r="R194" i="44"/>
  <c r="Q106" i="48"/>
  <c r="R66" i="48"/>
  <c r="Q39" i="44"/>
  <c r="P215" i="48"/>
  <c r="P85" i="44"/>
  <c r="R63" i="48"/>
  <c r="S11" i="44"/>
  <c r="R27" i="44"/>
  <c r="AE153" i="54"/>
  <c r="R130" i="44"/>
  <c r="Q166" i="44"/>
  <c r="R108" i="48"/>
  <c r="AE19" i="54"/>
  <c r="R24" i="48"/>
  <c r="P218" i="48"/>
  <c r="Q49" i="48"/>
  <c r="R3" i="48"/>
  <c r="R184" i="48"/>
  <c r="BH184" i="48" s="1"/>
  <c r="P73" i="44"/>
  <c r="P111" i="44"/>
  <c r="S90" i="44"/>
  <c r="Q10" i="44"/>
  <c r="R4" i="44"/>
  <c r="S174" i="44"/>
  <c r="P59" i="44"/>
  <c r="S77" i="44"/>
  <c r="Q146" i="44"/>
  <c r="R206" i="44"/>
  <c r="R101" i="44"/>
  <c r="AE132" i="54"/>
  <c r="S178" i="44"/>
  <c r="Q36" i="44"/>
  <c r="R7" i="48"/>
  <c r="R17" i="48"/>
  <c r="AE13" i="54"/>
  <c r="P28" i="44"/>
  <c r="R99" i="48"/>
  <c r="P25" i="48"/>
  <c r="R195" i="48"/>
  <c r="BH195" i="48" s="1"/>
  <c r="R135" i="44"/>
  <c r="P169" i="44"/>
  <c r="S127" i="48"/>
  <c r="P133" i="48"/>
  <c r="BF133" i="48" s="1"/>
  <c r="R106" i="48"/>
  <c r="AE34" i="54"/>
  <c r="R162" i="48"/>
  <c r="BH162" i="48" s="1"/>
  <c r="P26" i="48"/>
  <c r="S124" i="48"/>
  <c r="R212" i="44"/>
  <c r="S219" i="44"/>
  <c r="S148" i="48"/>
  <c r="P99" i="48"/>
  <c r="R201" i="44"/>
  <c r="AE21" i="54"/>
  <c r="P16" i="44"/>
  <c r="Q11" i="48"/>
  <c r="AE9" i="54"/>
  <c r="S8" i="48"/>
  <c r="P10" i="48"/>
  <c r="Q66" i="48"/>
  <c r="Q143" i="48"/>
  <c r="P73" i="48"/>
  <c r="Q108" i="48"/>
  <c r="S63" i="48"/>
  <c r="P207" i="48"/>
  <c r="AE202" i="54"/>
  <c r="AE124" i="54"/>
  <c r="S176" i="44"/>
  <c r="AE156" i="54"/>
  <c r="P199" i="44"/>
  <c r="P46" i="44"/>
  <c r="R112" i="48"/>
  <c r="BH112" i="48" s="1"/>
  <c r="AE157" i="54"/>
  <c r="R123" i="44"/>
  <c r="S118" i="44"/>
  <c r="Q114" i="48"/>
  <c r="S185" i="44"/>
  <c r="P205" i="48"/>
  <c r="AE143" i="54"/>
  <c r="Q129" i="44"/>
  <c r="Q186" i="44"/>
  <c r="Q43" i="48"/>
  <c r="P22" i="48"/>
  <c r="R42" i="48"/>
  <c r="R198" i="44"/>
  <c r="Q200" i="44"/>
  <c r="AE69" i="54"/>
  <c r="R215" i="44"/>
  <c r="AE84" i="54"/>
  <c r="R36" i="48"/>
  <c r="Q77" i="48"/>
  <c r="Q6" i="44"/>
  <c r="P186" i="48"/>
  <c r="BF186" i="48" s="1"/>
  <c r="R56" i="48"/>
  <c r="R72" i="48"/>
  <c r="P96" i="44"/>
  <c r="Q12" i="44"/>
  <c r="P78" i="44"/>
  <c r="P155" i="48"/>
  <c r="BF155" i="48" s="1"/>
  <c r="P115" i="44"/>
  <c r="Q109" i="44"/>
  <c r="AE183" i="54"/>
  <c r="AE159" i="54"/>
  <c r="P68" i="44"/>
  <c r="Q116" i="48"/>
  <c r="Q39" i="48"/>
  <c r="R121" i="44"/>
  <c r="R104" i="48"/>
  <c r="P148" i="48"/>
  <c r="BF148" i="48" s="1"/>
  <c r="P160" i="44"/>
  <c r="P67" i="44"/>
  <c r="S104" i="44"/>
  <c r="S135" i="48"/>
  <c r="P4" i="44"/>
  <c r="P202" i="44"/>
  <c r="S128" i="44"/>
  <c r="R191" i="48"/>
  <c r="BH191" i="48" s="1"/>
  <c r="P135" i="44"/>
  <c r="Q196" i="44"/>
  <c r="P111" i="48"/>
  <c r="Q155" i="44"/>
  <c r="R124" i="44"/>
  <c r="P195" i="44"/>
  <c r="R158" i="48"/>
  <c r="BH158" i="48" s="1"/>
  <c r="P210" i="44"/>
  <c r="S23" i="44"/>
  <c r="P9" i="44"/>
  <c r="R179" i="48"/>
  <c r="BH179" i="48" s="1"/>
  <c r="Q12" i="48"/>
  <c r="Q148" i="44"/>
  <c r="AE126" i="54"/>
  <c r="S13" i="44"/>
  <c r="P82" i="44"/>
  <c r="R47" i="44"/>
  <c r="Q225" i="48"/>
  <c r="P175" i="44"/>
  <c r="R31" i="44"/>
  <c r="S203" i="44"/>
  <c r="Q203" i="48"/>
  <c r="S6" i="44"/>
  <c r="P205" i="44"/>
  <c r="R48" i="44"/>
  <c r="Q184" i="48"/>
  <c r="P201" i="44"/>
  <c r="R2" i="44"/>
  <c r="R137" i="48"/>
  <c r="BH137" i="48" s="1"/>
  <c r="AE201" i="54"/>
  <c r="Q127" i="48"/>
  <c r="Q67" i="44"/>
  <c r="AE83" i="54"/>
  <c r="AE185" i="54"/>
  <c r="S21" i="44"/>
  <c r="S218" i="44"/>
  <c r="R50" i="48"/>
  <c r="R197" i="44"/>
  <c r="P17" i="44"/>
  <c r="Q33" i="44"/>
  <c r="Q185" i="44"/>
  <c r="R115" i="44"/>
  <c r="Q180" i="44"/>
  <c r="P58" i="44"/>
  <c r="S157" i="44"/>
  <c r="Q11" i="44"/>
  <c r="R147" i="44"/>
  <c r="R216" i="48"/>
  <c r="R55" i="48"/>
  <c r="P142" i="44"/>
  <c r="S28" i="48"/>
  <c r="AE191" i="54"/>
  <c r="P177" i="44"/>
  <c r="R214" i="48"/>
  <c r="AE32" i="54"/>
  <c r="Q46" i="48"/>
  <c r="P166" i="48"/>
  <c r="BF166" i="48" s="1"/>
  <c r="P17" i="48"/>
  <c r="S173" i="44"/>
  <c r="R138" i="44"/>
  <c r="R115" i="48"/>
  <c r="BH115" i="48" s="1"/>
  <c r="AE165" i="54"/>
  <c r="P89" i="44"/>
  <c r="S16" i="48"/>
  <c r="Q54" i="44"/>
  <c r="P97" i="44"/>
  <c r="S7" i="44"/>
  <c r="P54" i="44"/>
  <c r="Q63" i="44"/>
  <c r="R102" i="44"/>
  <c r="S159" i="44"/>
  <c r="S128" i="48"/>
  <c r="AE128" i="54"/>
  <c r="P14" i="44"/>
  <c r="Q135" i="48"/>
  <c r="Q161" i="48"/>
  <c r="P140" i="44"/>
  <c r="S26" i="48"/>
  <c r="R183" i="48"/>
  <c r="BH183" i="48" s="1"/>
  <c r="R12" i="44"/>
  <c r="P199" i="48"/>
  <c r="BF199" i="48" s="1"/>
  <c r="Q212" i="44"/>
  <c r="Q71" i="48"/>
  <c r="AE12" i="54"/>
  <c r="S13" i="48"/>
  <c r="R65" i="44"/>
  <c r="R126" i="48"/>
  <c r="BH126" i="48" s="1"/>
  <c r="R146" i="48"/>
  <c r="BH146" i="48" s="1"/>
  <c r="AE108" i="54"/>
  <c r="S11" i="48"/>
  <c r="S39" i="44"/>
  <c r="Q60" i="44"/>
  <c r="R87" i="44"/>
  <c r="Q51" i="44"/>
  <c r="Q38" i="44"/>
  <c r="R167" i="48"/>
  <c r="BH167" i="48" s="1"/>
  <c r="Q9" i="48"/>
  <c r="P168" i="44"/>
  <c r="P137" i="48"/>
  <c r="BF137" i="48" s="1"/>
  <c r="R11" i="44"/>
  <c r="S191" i="44"/>
  <c r="R103" i="44"/>
  <c r="S196" i="48"/>
  <c r="AE99" i="54"/>
  <c r="R136" i="44"/>
  <c r="S208" i="48"/>
  <c r="AE6" i="54"/>
  <c r="P24" i="44"/>
  <c r="AE40" i="54"/>
  <c r="Q194" i="44"/>
  <c r="Q13" i="48"/>
  <c r="Q175" i="44"/>
  <c r="R143" i="48"/>
  <c r="BH143" i="48" s="1"/>
  <c r="R128" i="44"/>
  <c r="S15" i="44"/>
  <c r="Q117" i="48"/>
  <c r="R143" i="44"/>
  <c r="P40" i="44"/>
  <c r="AE42" i="54"/>
  <c r="P222" i="48"/>
  <c r="S172" i="48"/>
  <c r="P153" i="44"/>
  <c r="P118" i="44"/>
  <c r="S161" i="44"/>
  <c r="S95" i="48"/>
  <c r="T95" i="48" s="1"/>
  <c r="R144" i="44"/>
  <c r="R182" i="44"/>
  <c r="Q219" i="44"/>
  <c r="Q174" i="44"/>
  <c r="S4" i="48"/>
  <c r="AE20" i="54"/>
  <c r="R105" i="44"/>
  <c r="S40" i="44"/>
  <c r="S92" i="48"/>
  <c r="AE24" i="54"/>
  <c r="P48" i="48"/>
  <c r="S225" i="48"/>
  <c r="P89" i="48"/>
  <c r="P10" i="44"/>
  <c r="Q13" i="44"/>
  <c r="P32" i="44"/>
  <c r="P105" i="48"/>
  <c r="AE219" i="54"/>
  <c r="S34" i="48"/>
  <c r="S133" i="48"/>
  <c r="R167" i="44"/>
  <c r="P37" i="44"/>
  <c r="S145" i="44"/>
  <c r="P176" i="44"/>
  <c r="Q20" i="48"/>
  <c r="Q34" i="48"/>
  <c r="S108" i="44"/>
  <c r="R150" i="44"/>
  <c r="S125" i="44"/>
  <c r="R171" i="44"/>
  <c r="P105" i="44"/>
  <c r="S163" i="48"/>
  <c r="Q122" i="44"/>
  <c r="S142" i="44"/>
  <c r="P126" i="48"/>
  <c r="BF126" i="48" s="1"/>
  <c r="Q178" i="44"/>
  <c r="P110" i="48"/>
  <c r="R189" i="48"/>
  <c r="BH189" i="48" s="1"/>
  <c r="S7" i="48"/>
  <c r="P29" i="48"/>
  <c r="S205" i="44"/>
  <c r="Q175" i="48"/>
  <c r="P79" i="48"/>
  <c r="Q135" i="44"/>
  <c r="P95" i="48"/>
  <c r="S69" i="44"/>
  <c r="Q127" i="44"/>
  <c r="AE106" i="54"/>
  <c r="S33" i="44"/>
  <c r="S217" i="44"/>
  <c r="R177" i="44"/>
  <c r="R168" i="44"/>
  <c r="Q210" i="44"/>
  <c r="S16" i="44"/>
  <c r="S17" i="48"/>
  <c r="Q128" i="44"/>
  <c r="Q150" i="48"/>
  <c r="S201" i="44"/>
  <c r="P149" i="48"/>
  <c r="BF149" i="48" s="1"/>
  <c r="AE79" i="54"/>
  <c r="S154" i="48"/>
  <c r="Q211" i="48"/>
  <c r="P145" i="44"/>
  <c r="R161" i="44"/>
  <c r="S122" i="44"/>
  <c r="R138" i="48"/>
  <c r="BH138" i="48" s="1"/>
  <c r="Q140" i="48"/>
  <c r="R113" i="48"/>
  <c r="BH113" i="48" s="1"/>
  <c r="R40" i="44"/>
  <c r="AE118" i="54"/>
  <c r="S25" i="48"/>
  <c r="Q31" i="48"/>
  <c r="S9" i="44"/>
  <c r="Q91" i="48"/>
  <c r="P143" i="48"/>
  <c r="BF143" i="48" s="1"/>
  <c r="R70" i="48"/>
  <c r="Q89" i="48"/>
  <c r="P181" i="48"/>
  <c r="BF181" i="48" s="1"/>
  <c r="AE8" i="54"/>
  <c r="P113" i="44"/>
  <c r="R35" i="44"/>
  <c r="Q200" i="48"/>
  <c r="Q62" i="44"/>
  <c r="P141" i="44"/>
  <c r="R49" i="44"/>
  <c r="Q120" i="44"/>
  <c r="P104" i="44"/>
  <c r="P21" i="48"/>
  <c r="R174" i="44"/>
  <c r="R125" i="48"/>
  <c r="BH125" i="48" s="1"/>
  <c r="P180" i="44"/>
  <c r="AE18" i="54"/>
  <c r="Q44" i="44"/>
  <c r="AE16" i="54"/>
  <c r="S3" i="44"/>
  <c r="Q18" i="44"/>
  <c r="R81" i="48"/>
  <c r="P92" i="48"/>
  <c r="S157" i="48"/>
  <c r="AE78" i="54"/>
  <c r="S156" i="48"/>
  <c r="Q198" i="44"/>
  <c r="S126" i="48"/>
  <c r="P96" i="48"/>
  <c r="R140" i="44"/>
  <c r="R14" i="48"/>
  <c r="Q144" i="48"/>
  <c r="R225" i="48"/>
  <c r="P196" i="44"/>
  <c r="P109" i="48"/>
  <c r="P31" i="44"/>
  <c r="P208" i="44"/>
  <c r="P126" i="44"/>
  <c r="S134" i="44"/>
  <c r="R25" i="44"/>
  <c r="S197" i="44"/>
  <c r="P98" i="44"/>
  <c r="Q64" i="44"/>
  <c r="Q134" i="48"/>
  <c r="AE104" i="54"/>
  <c r="S112" i="44"/>
  <c r="Q150" i="44"/>
  <c r="AE196" i="54"/>
  <c r="R59" i="48"/>
  <c r="S155" i="48"/>
  <c r="P209" i="48"/>
  <c r="R80" i="48"/>
  <c r="S61" i="48"/>
  <c r="P49" i="44"/>
  <c r="Q66" i="44"/>
  <c r="S166" i="44"/>
  <c r="S27" i="48"/>
  <c r="AE97" i="54"/>
  <c r="Q72" i="48"/>
  <c r="R206" i="48"/>
  <c r="R118" i="44"/>
  <c r="S115" i="48"/>
  <c r="Q55" i="44"/>
  <c r="P170" i="48"/>
  <c r="BF170" i="48" s="1"/>
  <c r="S87" i="48"/>
  <c r="P94" i="44"/>
  <c r="Q199" i="44"/>
  <c r="R28" i="48"/>
  <c r="R101" i="48"/>
  <c r="P195" i="48"/>
  <c r="BF195" i="48" s="1"/>
  <c r="S188" i="48"/>
  <c r="Q122" i="48"/>
  <c r="AE207" i="54"/>
  <c r="R6" i="44"/>
  <c r="R183" i="44"/>
  <c r="Q57" i="44"/>
  <c r="Q102" i="44"/>
  <c r="R169" i="48"/>
  <c r="BH169" i="48" s="1"/>
  <c r="P165" i="44"/>
  <c r="R13" i="48"/>
  <c r="P158" i="44"/>
  <c r="P44" i="48"/>
  <c r="P132" i="44"/>
  <c r="P207" i="44"/>
  <c r="R38" i="48"/>
  <c r="AE76" i="54"/>
  <c r="Q123" i="48"/>
  <c r="P11" i="48"/>
  <c r="S54" i="48"/>
  <c r="Q27" i="44"/>
  <c r="S212" i="48"/>
  <c r="S194" i="44"/>
  <c r="R100" i="48"/>
  <c r="AE169" i="54"/>
  <c r="R132" i="44"/>
  <c r="S169" i="44"/>
  <c r="P45" i="44"/>
  <c r="P200" i="44"/>
  <c r="S82" i="44"/>
  <c r="R98" i="44"/>
  <c r="Q96" i="44"/>
  <c r="Q119" i="44"/>
  <c r="S127" i="44"/>
  <c r="S144" i="48"/>
  <c r="Q131" i="44"/>
  <c r="S206" i="44"/>
  <c r="AE151" i="54"/>
  <c r="AE52" i="54"/>
  <c r="S45" i="48"/>
  <c r="Q218" i="48"/>
  <c r="S199" i="48"/>
  <c r="P119" i="44"/>
  <c r="R77" i="44"/>
  <c r="S50" i="48"/>
  <c r="P93" i="44"/>
  <c r="AE177" i="54"/>
  <c r="R48" i="48"/>
  <c r="Q106" i="44"/>
  <c r="AE91" i="54"/>
  <c r="Q153" i="48"/>
  <c r="R211" i="44"/>
  <c r="P158" i="48"/>
  <c r="BF158" i="48" s="1"/>
  <c r="P100" i="44"/>
  <c r="S183" i="44"/>
  <c r="P108" i="48"/>
  <c r="AE193" i="54"/>
  <c r="AE182" i="54"/>
  <c r="R67" i="44"/>
  <c r="R20" i="44"/>
  <c r="R199" i="48"/>
  <c r="BH199" i="48" s="1"/>
  <c r="AE85" i="54"/>
  <c r="P129" i="48"/>
  <c r="BF129" i="48" s="1"/>
  <c r="Q121" i="48"/>
  <c r="S205" i="48"/>
  <c r="P110" i="44"/>
  <c r="Q22" i="48"/>
  <c r="Q115" i="44"/>
  <c r="R176" i="44"/>
  <c r="Q118" i="44"/>
  <c r="R125" i="44"/>
  <c r="Q193" i="44"/>
  <c r="S180" i="48"/>
  <c r="S88" i="48"/>
  <c r="Q60" i="48"/>
  <c r="R122" i="44"/>
  <c r="R39" i="44"/>
  <c r="R207" i="48"/>
  <c r="P112" i="48"/>
  <c r="BF112" i="48" s="1"/>
  <c r="P18" i="44"/>
  <c r="P120" i="48"/>
  <c r="BF120" i="48" s="1"/>
  <c r="P135" i="48"/>
  <c r="BF135" i="48" s="1"/>
  <c r="R120" i="48"/>
  <c r="BH120" i="48" s="1"/>
  <c r="P212" i="48"/>
  <c r="S91" i="44"/>
  <c r="R200" i="44"/>
  <c r="R176" i="48"/>
  <c r="BH176" i="48" s="1"/>
  <c r="Q93" i="44"/>
  <c r="R37" i="44"/>
  <c r="S23" i="48"/>
  <c r="S22" i="48"/>
  <c r="P108" i="44"/>
  <c r="AE119" i="54"/>
  <c r="P131" i="48"/>
  <c r="BF131" i="48" s="1"/>
  <c r="Q221" i="48"/>
  <c r="P2" i="44"/>
  <c r="Q142" i="48"/>
  <c r="AE195" i="54"/>
  <c r="Q179" i="48"/>
  <c r="P27" i="44"/>
  <c r="P57" i="44"/>
  <c r="S37" i="44"/>
  <c r="Q86" i="48"/>
  <c r="R163" i="44"/>
  <c r="Q15" i="44"/>
  <c r="R137" i="44"/>
  <c r="Q27" i="48"/>
  <c r="R212" i="48"/>
  <c r="Q116" i="44"/>
  <c r="Q171" i="48"/>
  <c r="Q209" i="44"/>
  <c r="S180" i="44"/>
  <c r="Q29" i="44"/>
  <c r="P157" i="44"/>
  <c r="S219" i="48"/>
  <c r="Q202" i="44"/>
  <c r="AE7" i="54"/>
  <c r="R165" i="44"/>
  <c r="S25" i="44"/>
  <c r="R108" i="44"/>
  <c r="Q102" i="48"/>
  <c r="R22" i="44"/>
  <c r="R178" i="48"/>
  <c r="BH178" i="48" s="1"/>
  <c r="Q181" i="44"/>
  <c r="P75" i="48"/>
  <c r="R133" i="48"/>
  <c r="BH133" i="48" s="1"/>
  <c r="Q111" i="48"/>
  <c r="R43" i="48"/>
  <c r="S192" i="44"/>
  <c r="R7" i="44"/>
  <c r="Q124" i="48"/>
  <c r="R164" i="44"/>
  <c r="Q76" i="48"/>
  <c r="R55" i="44"/>
  <c r="R151" i="44"/>
  <c r="Q29" i="48"/>
  <c r="S2" i="44"/>
  <c r="Q189" i="44"/>
  <c r="AE23" i="54"/>
  <c r="Q101" i="48"/>
  <c r="AE53" i="54"/>
  <c r="Q80" i="44"/>
  <c r="P165" i="48"/>
  <c r="BF165" i="48" s="1"/>
  <c r="Q34" i="44"/>
  <c r="Q204" i="48"/>
  <c r="AE136" i="54"/>
  <c r="P153" i="48"/>
  <c r="BF153" i="48" s="1"/>
  <c r="Q183" i="44"/>
  <c r="P41" i="44"/>
  <c r="Q86" i="44"/>
  <c r="P194" i="48"/>
  <c r="BF194" i="48" s="1"/>
  <c r="R119" i="44"/>
  <c r="P114" i="48"/>
  <c r="BF114" i="48" s="1"/>
  <c r="S91" i="48"/>
  <c r="Q99" i="44"/>
  <c r="R79" i="44"/>
  <c r="P64" i="44"/>
  <c r="R159" i="44"/>
  <c r="S62" i="48"/>
  <c r="R158" i="44"/>
  <c r="R69" i="48"/>
  <c r="Q143" i="44"/>
  <c r="Q41" i="44"/>
  <c r="Q43" i="44"/>
  <c r="Q21" i="44"/>
  <c r="S22" i="44"/>
  <c r="AE214" i="54"/>
  <c r="AE160" i="54"/>
  <c r="P121" i="44"/>
  <c r="P20" i="44"/>
  <c r="R54" i="44"/>
  <c r="P161" i="44"/>
  <c r="P183" i="44"/>
  <c r="R133" i="44"/>
  <c r="Q147" i="48"/>
  <c r="P39" i="48"/>
  <c r="P5" i="48"/>
  <c r="Q95" i="44"/>
  <c r="Q6" i="48"/>
  <c r="P83" i="48"/>
  <c r="Q215" i="44"/>
  <c r="Q190" i="48"/>
  <c r="S44" i="48"/>
  <c r="R63" i="44"/>
  <c r="P60" i="48"/>
  <c r="AE43" i="54"/>
  <c r="P194" i="44"/>
  <c r="Q35" i="44"/>
  <c r="T204" i="48" l="1"/>
  <c r="T143" i="48"/>
  <c r="T49" i="48"/>
  <c r="T155" i="48"/>
  <c r="BJ155" i="48" s="1"/>
  <c r="T156" i="48"/>
  <c r="BJ156" i="48" s="1"/>
  <c r="T4" i="48"/>
  <c r="T208" i="48"/>
  <c r="T129" i="48"/>
  <c r="BJ129" i="48" s="1"/>
  <c r="T126" i="48"/>
  <c r="BJ126" i="48" s="1"/>
  <c r="T157" i="48"/>
  <c r="BJ157" i="48" s="1"/>
  <c r="T17" i="48"/>
  <c r="T61" i="48"/>
  <c r="T163" i="48"/>
  <c r="BJ163" i="48" s="1"/>
  <c r="T13" i="48"/>
  <c r="T8" i="48"/>
  <c r="T3" i="48"/>
  <c r="T175" i="48"/>
  <c r="BJ175" i="48" s="1"/>
  <c r="T46" i="48"/>
  <c r="T84" i="48"/>
  <c r="T130" i="48"/>
  <c r="BJ130" i="48" s="1"/>
  <c r="T158" i="48"/>
  <c r="BJ158" i="48" s="1"/>
  <c r="T214" i="48"/>
  <c r="T210" i="48"/>
  <c r="T161" i="48"/>
  <c r="BJ161" i="48" s="1"/>
  <c r="T180" i="48"/>
  <c r="BJ180" i="48" s="1"/>
  <c r="T26" i="48"/>
  <c r="T148" i="48"/>
  <c r="BJ148" i="48" s="1"/>
  <c r="T173" i="48"/>
  <c r="BJ173" i="48" s="1"/>
  <c r="T131" i="48"/>
  <c r="BJ131" i="48" s="1"/>
  <c r="T146" i="48"/>
  <c r="BJ146" i="48" s="1"/>
  <c r="T20" i="48"/>
  <c r="T104" i="48"/>
  <c r="T217" i="48"/>
  <c r="T65" i="48"/>
  <c r="T179" i="48"/>
  <c r="BJ179" i="48" s="1"/>
  <c r="T43" i="48"/>
  <c r="T36" i="48"/>
  <c r="T29" i="48"/>
  <c r="T52" i="48"/>
  <c r="T73" i="48"/>
  <c r="T194" i="48"/>
  <c r="BJ194" i="48" s="1"/>
  <c r="T120" i="48"/>
  <c r="BJ120" i="48" s="1"/>
  <c r="T111" i="48"/>
  <c r="T150" i="48"/>
  <c r="BJ150" i="48" s="1"/>
  <c r="T218" i="48"/>
  <c r="T114" i="48"/>
  <c r="BJ114" i="48" s="1"/>
  <c r="T222" i="48"/>
  <c r="T101" i="48"/>
  <c r="T69" i="48"/>
  <c r="T99" i="48"/>
  <c r="T213" i="48"/>
  <c r="T197" i="48"/>
  <c r="BJ197" i="48" s="1"/>
  <c r="T98" i="48"/>
  <c r="T160" i="48"/>
  <c r="BJ160" i="48" s="1"/>
  <c r="T211" i="48"/>
  <c r="T6" i="48"/>
  <c r="T149" i="48"/>
  <c r="BJ149" i="48" s="1"/>
  <c r="T88" i="48"/>
  <c r="T188" i="48"/>
  <c r="BJ188" i="48" s="1"/>
  <c r="T196" i="48"/>
  <c r="BJ196" i="48" s="1"/>
  <c r="T60" i="48"/>
  <c r="T212" i="48"/>
  <c r="T28" i="48"/>
  <c r="T124" i="48"/>
  <c r="BJ124" i="48" s="1"/>
  <c r="T209" i="48"/>
  <c r="T203" i="48"/>
  <c r="T133" i="48"/>
  <c r="BJ133" i="48" s="1"/>
  <c r="T113" i="48"/>
  <c r="BJ113" i="48" s="1"/>
  <c r="T54" i="48"/>
  <c r="T87" i="48"/>
  <c r="T172" i="48"/>
  <c r="BJ172" i="48" s="1"/>
  <c r="T219" i="48"/>
  <c r="T22" i="48"/>
  <c r="T34" i="48"/>
  <c r="T128" i="48"/>
  <c r="BJ128" i="48" s="1"/>
  <c r="T19" i="48"/>
  <c r="T206" i="48"/>
  <c r="T37" i="48"/>
  <c r="T78" i="48"/>
  <c r="T90" i="48"/>
  <c r="T23" i="48"/>
  <c r="T68" i="48"/>
  <c r="T125" i="48"/>
  <c r="BJ125" i="48" s="1"/>
  <c r="T199" i="48"/>
  <c r="BJ199" i="48" s="1"/>
  <c r="T50" i="48"/>
  <c r="T190" i="48"/>
  <c r="BJ190" i="48" s="1"/>
  <c r="T32" i="48"/>
  <c r="T198" i="48"/>
  <c r="BJ198" i="48" s="1"/>
  <c r="T100" i="48"/>
  <c r="T97" i="48"/>
  <c r="T94" i="48"/>
  <c r="T30" i="48"/>
  <c r="T216" i="48"/>
  <c r="T121" i="48"/>
  <c r="BJ121" i="48" s="1"/>
  <c r="T102" i="48"/>
  <c r="T77" i="48"/>
  <c r="T53" i="48"/>
  <c r="T151" i="48"/>
  <c r="BJ151" i="48" s="1"/>
  <c r="T25" i="48"/>
  <c r="T119" i="48"/>
  <c r="BJ119" i="48" s="1"/>
  <c r="T85" i="48"/>
  <c r="T221" i="48"/>
  <c r="T80" i="48"/>
  <c r="T40" i="48"/>
  <c r="T202" i="48"/>
  <c r="T12" i="48"/>
  <c r="T38" i="48"/>
  <c r="T171" i="48"/>
  <c r="BJ171" i="48" s="1"/>
  <c r="T116" i="48"/>
  <c r="BJ116" i="48" s="1"/>
  <c r="T170" i="48"/>
  <c r="BJ170" i="48" s="1"/>
  <c r="T103" i="48"/>
  <c r="T31" i="48"/>
  <c r="T224" i="48"/>
  <c r="T117" i="48"/>
  <c r="BJ117" i="48" s="1"/>
  <c r="T166" i="48"/>
  <c r="BJ166" i="48" s="1"/>
  <c r="T44" i="48"/>
  <c r="T205" i="48"/>
  <c r="T138" i="48"/>
  <c r="BJ138" i="48" s="1"/>
  <c r="T62" i="48"/>
  <c r="T115" i="48"/>
  <c r="BJ115" i="48" s="1"/>
  <c r="T127" i="48"/>
  <c r="BJ127" i="48" s="1"/>
  <c r="T154" i="48"/>
  <c r="BJ154" i="48" s="1"/>
  <c r="T45" i="48"/>
  <c r="T27" i="48"/>
  <c r="T91" i="48"/>
  <c r="T92" i="48"/>
  <c r="T76" i="48"/>
  <c r="T7" i="48"/>
  <c r="T135" i="48"/>
  <c r="BJ135" i="48" s="1"/>
  <c r="T74" i="48"/>
  <c r="T187" i="48"/>
  <c r="BJ187" i="48" s="1"/>
  <c r="T24" i="48"/>
  <c r="T63" i="48"/>
  <c r="T11" i="48"/>
  <c r="T64" i="48"/>
  <c r="T225" i="48"/>
  <c r="T144" i="48"/>
  <c r="BJ144" i="48" s="1"/>
  <c r="T16" i="48"/>
  <c r="T147" i="48"/>
  <c r="BJ147" i="48" s="1"/>
  <c r="T107" i="48"/>
  <c r="T181" i="48"/>
  <c r="BJ181" i="48" s="1"/>
  <c r="T47" i="48"/>
  <c r="T178" i="48"/>
  <c r="BJ178" i="48" s="1"/>
  <c r="T142" i="48"/>
  <c r="BJ142" i="48" s="1"/>
  <c r="T207" i="48"/>
  <c r="T55" i="48"/>
  <c r="T72" i="48"/>
  <c r="T201" i="48"/>
  <c r="BJ201" i="48" s="1"/>
  <c r="T186" i="48"/>
  <c r="BJ186" i="48" s="1"/>
  <c r="T140" i="48"/>
  <c r="BJ140" i="48" s="1"/>
  <c r="T5" i="48"/>
  <c r="T159" i="48"/>
  <c r="BJ159" i="48" s="1"/>
  <c r="T226" i="48"/>
  <c r="T223" i="48"/>
  <c r="T14" i="48"/>
  <c r="T189" i="48"/>
  <c r="BJ189" i="48" s="1"/>
  <c r="T86" i="48"/>
  <c r="T215" i="48"/>
  <c r="T200" i="48"/>
  <c r="BJ200" i="48" s="1"/>
  <c r="T106" i="48"/>
  <c r="T137" i="48"/>
  <c r="BJ137" i="48" s="1"/>
  <c r="T96" i="48"/>
  <c r="T105" i="48"/>
  <c r="T93" i="48"/>
  <c r="T164" i="48"/>
  <c r="BJ164" i="48" s="1"/>
  <c r="T123" i="48"/>
  <c r="BJ123" i="48" s="1"/>
  <c r="T168" i="48"/>
  <c r="BJ168" i="48" s="1"/>
  <c r="T195" i="48"/>
  <c r="BJ195" i="48" s="1"/>
  <c r="T15" i="48"/>
  <c r="T39" i="48"/>
  <c r="T184" i="48"/>
  <c r="BJ184" i="48" s="1"/>
  <c r="T75" i="48"/>
  <c r="T165" i="48"/>
  <c r="BJ165" i="48" s="1"/>
  <c r="T56" i="48"/>
  <c r="T122" i="48"/>
  <c r="BJ122" i="48" s="1"/>
  <c r="T89" i="48"/>
  <c r="T220" i="48"/>
  <c r="T134" i="48"/>
  <c r="BJ134" i="48" s="1"/>
  <c r="T112" i="48"/>
  <c r="BJ112" i="48" s="1"/>
  <c r="T152" i="48"/>
  <c r="BJ152" i="48" s="1"/>
  <c r="T109" i="48"/>
  <c r="T67" i="48"/>
  <c r="T162" i="48"/>
  <c r="BJ162" i="48" s="1"/>
  <c r="T174" i="48"/>
  <c r="BJ174" i="48" s="1"/>
  <c r="T169" i="48"/>
  <c r="BJ169" i="48" s="1"/>
  <c r="T118" i="48"/>
  <c r="BJ118" i="48" s="1"/>
  <c r="T9" i="48"/>
  <c r="T145" i="48"/>
  <c r="BJ145" i="48" s="1"/>
  <c r="T136" i="48"/>
  <c r="BJ136" i="48" s="1"/>
  <c r="T71" i="48"/>
  <c r="T132" i="48"/>
  <c r="BJ132" i="48" s="1"/>
  <c r="T35" i="48"/>
  <c r="T183" i="48"/>
  <c r="BJ183" i="48" s="1"/>
  <c r="T79" i="48"/>
  <c r="T48" i="48"/>
  <c r="T59" i="48"/>
  <c r="T70" i="48"/>
  <c r="T108" i="48"/>
  <c r="T193" i="48"/>
  <c r="BJ193" i="48" s="1"/>
  <c r="T177" i="48"/>
  <c r="BJ177" i="48" s="1"/>
  <c r="T81" i="48"/>
  <c r="T57" i="48"/>
  <c r="T185" i="48"/>
  <c r="BJ185" i="48" s="1"/>
  <c r="T182" i="48"/>
  <c r="BJ182" i="48" s="1"/>
  <c r="T167" i="48"/>
  <c r="BJ167" i="48" s="1"/>
  <c r="T66" i="48"/>
  <c r="T110" i="48"/>
  <c r="T83" i="48"/>
  <c r="T21" i="48"/>
  <c r="T10" i="48"/>
  <c r="T41" i="48"/>
  <c r="T18" i="48"/>
  <c r="T153" i="48"/>
  <c r="BJ153" i="48" s="1"/>
  <c r="T141" i="48"/>
  <c r="BJ141" i="48" s="1"/>
  <c r="T139" i="48"/>
  <c r="BJ139" i="48" s="1"/>
  <c r="T51" i="48"/>
  <c r="T191" i="48"/>
  <c r="BJ191" i="48" s="1"/>
  <c r="T176" i="48"/>
  <c r="BJ176" i="48" s="1"/>
  <c r="T192" i="48"/>
  <c r="BJ192" i="48" s="1"/>
  <c r="T42" i="48"/>
  <c r="T33" i="48"/>
  <c r="T82" i="48"/>
  <c r="T2" i="48"/>
  <c r="AJ85" i="54"/>
  <c r="AK85" i="54"/>
  <c r="AI85" i="54"/>
  <c r="AM85" i="54"/>
  <c r="AL85" i="54"/>
  <c r="AH85" i="54"/>
  <c r="AL151" i="54"/>
  <c r="AI151" i="54"/>
  <c r="AJ151" i="54"/>
  <c r="AK151" i="54"/>
  <c r="AH151" i="54"/>
  <c r="AM151" i="54"/>
  <c r="AH193" i="54"/>
  <c r="AK193" i="54"/>
  <c r="AL193" i="54"/>
  <c r="AJ193" i="54"/>
  <c r="AM193" i="54"/>
  <c r="AI193" i="54"/>
  <c r="AI165" i="54"/>
  <c r="AH165" i="54"/>
  <c r="AJ165" i="54"/>
  <c r="AK165" i="54"/>
  <c r="AL165" i="54"/>
  <c r="AM165" i="54"/>
  <c r="AM180" i="54"/>
  <c r="AJ180" i="54"/>
  <c r="AL180" i="54"/>
  <c r="AK180" i="54"/>
  <c r="AH180" i="54"/>
  <c r="AI180" i="54"/>
  <c r="AH40" i="54"/>
  <c r="AK40" i="54"/>
  <c r="AL40" i="54"/>
  <c r="AM40" i="54"/>
  <c r="AI40" i="54"/>
  <c r="AJ40" i="54"/>
  <c r="AH37" i="54"/>
  <c r="AM37" i="54"/>
  <c r="AI37" i="54"/>
  <c r="AJ37" i="54"/>
  <c r="AK37" i="54"/>
  <c r="AL37" i="54"/>
  <c r="AK17" i="54"/>
  <c r="AL17" i="54"/>
  <c r="AM17" i="54"/>
  <c r="AI17" i="54"/>
  <c r="AJ17" i="54"/>
  <c r="AH17" i="54"/>
  <c r="AL102" i="54"/>
  <c r="AH102" i="54"/>
  <c r="AJ102" i="54"/>
  <c r="AK102" i="54"/>
  <c r="AM102" i="54"/>
  <c r="AI102" i="54"/>
  <c r="AL77" i="54"/>
  <c r="AM77" i="54"/>
  <c r="AH77" i="54"/>
  <c r="AI77" i="54"/>
  <c r="AK77" i="54"/>
  <c r="AJ77" i="54"/>
  <c r="AL5" i="54"/>
  <c r="AH5" i="54"/>
  <c r="AI5" i="54"/>
  <c r="AK5" i="54"/>
  <c r="AJ5" i="54"/>
  <c r="AM5" i="54"/>
  <c r="AJ117" i="54"/>
  <c r="AK117" i="54"/>
  <c r="AH117" i="54"/>
  <c r="AI117" i="54"/>
  <c r="AL117" i="54"/>
  <c r="AM117" i="54"/>
  <c r="AL173" i="54"/>
  <c r="AM173" i="54"/>
  <c r="AH173" i="54"/>
  <c r="AK173" i="54"/>
  <c r="AI173" i="54"/>
  <c r="AJ173" i="54"/>
  <c r="AK3" i="54"/>
  <c r="AH3" i="54"/>
  <c r="AL3" i="54"/>
  <c r="AM3" i="54"/>
  <c r="AJ3" i="54"/>
  <c r="AI3" i="54"/>
  <c r="AM201" i="54"/>
  <c r="AI201" i="54"/>
  <c r="AH201" i="54"/>
  <c r="AJ201" i="54"/>
  <c r="AK201" i="54"/>
  <c r="AL201" i="54"/>
  <c r="AL8" i="54"/>
  <c r="AI8" i="54"/>
  <c r="AM8" i="54"/>
  <c r="AK8" i="54"/>
  <c r="AH8" i="54"/>
  <c r="AJ8" i="54"/>
  <c r="AM12" i="54"/>
  <c r="AJ12" i="54"/>
  <c r="AK12" i="54"/>
  <c r="AL12" i="54"/>
  <c r="AI12" i="54"/>
  <c r="AH12" i="54"/>
  <c r="AM9" i="54"/>
  <c r="AJ9" i="54"/>
  <c r="AK9" i="54"/>
  <c r="AL9" i="54"/>
  <c r="AI9" i="54"/>
  <c r="AH9" i="54"/>
  <c r="AI153" i="54"/>
  <c r="AJ153" i="54"/>
  <c r="AL153" i="54"/>
  <c r="AK153" i="54"/>
  <c r="AM153" i="54"/>
  <c r="AH153" i="54"/>
  <c r="AK209" i="54"/>
  <c r="AL209" i="54"/>
  <c r="AI209" i="54"/>
  <c r="AM209" i="54"/>
  <c r="AH209" i="54"/>
  <c r="AJ209" i="54"/>
  <c r="AH33" i="54"/>
  <c r="AI33" i="54"/>
  <c r="AM33" i="54"/>
  <c r="AK33" i="54"/>
  <c r="AL33" i="54"/>
  <c r="AJ33" i="54"/>
  <c r="AJ192" i="54"/>
  <c r="AM192" i="54"/>
  <c r="AI192" i="54"/>
  <c r="AK192" i="54"/>
  <c r="AL192" i="54"/>
  <c r="AH192" i="54"/>
  <c r="AM154" i="54"/>
  <c r="AI154" i="54"/>
  <c r="AJ154" i="54"/>
  <c r="AK154" i="54"/>
  <c r="AH154" i="54"/>
  <c r="AL154" i="54"/>
  <c r="AJ166" i="54"/>
  <c r="AL166" i="54"/>
  <c r="AH166" i="54"/>
  <c r="AI166" i="54"/>
  <c r="AK166" i="54"/>
  <c r="AM166" i="54"/>
  <c r="AI92" i="54"/>
  <c r="AL92" i="54"/>
  <c r="AM92" i="54"/>
  <c r="AJ92" i="54"/>
  <c r="AK92" i="54"/>
  <c r="AH92" i="54"/>
  <c r="AM155" i="54"/>
  <c r="AJ155" i="54"/>
  <c r="AI155" i="54"/>
  <c r="AH155" i="54"/>
  <c r="AK155" i="54"/>
  <c r="AL155" i="54"/>
  <c r="AK208" i="54"/>
  <c r="AL208" i="54"/>
  <c r="AM208" i="54"/>
  <c r="AI208" i="54"/>
  <c r="AJ208" i="54"/>
  <c r="AH208" i="54"/>
  <c r="AM73" i="54"/>
  <c r="AH73" i="54"/>
  <c r="AI73" i="54"/>
  <c r="AJ73" i="54"/>
  <c r="AK73" i="54"/>
  <c r="AL73" i="54"/>
  <c r="AH110" i="54"/>
  <c r="AJ110" i="54"/>
  <c r="AL110" i="54"/>
  <c r="AM110" i="54"/>
  <c r="AI110" i="54"/>
  <c r="AK110" i="54"/>
  <c r="AL54" i="54"/>
  <c r="AH54" i="54"/>
  <c r="AK54" i="54"/>
  <c r="AJ54" i="54"/>
  <c r="AM54" i="54"/>
  <c r="AI54" i="54"/>
  <c r="AI185" i="54"/>
  <c r="AJ185" i="54"/>
  <c r="AL185" i="54"/>
  <c r="AM185" i="54"/>
  <c r="AK185" i="54"/>
  <c r="AH185" i="54"/>
  <c r="AH159" i="54"/>
  <c r="AK159" i="54"/>
  <c r="AI159" i="54"/>
  <c r="AJ159" i="54"/>
  <c r="AL159" i="54"/>
  <c r="AM159" i="54"/>
  <c r="AJ143" i="54"/>
  <c r="AM143" i="54"/>
  <c r="AL143" i="54"/>
  <c r="AK143" i="54"/>
  <c r="AH143" i="54"/>
  <c r="AI143" i="54"/>
  <c r="AJ94" i="54"/>
  <c r="AL94" i="54"/>
  <c r="AI94" i="54"/>
  <c r="AH94" i="54"/>
  <c r="AM94" i="54"/>
  <c r="AK94" i="54"/>
  <c r="AL55" i="54"/>
  <c r="AI55" i="54"/>
  <c r="AJ55" i="54"/>
  <c r="AK55" i="54"/>
  <c r="AM55" i="54"/>
  <c r="AH55" i="54"/>
  <c r="AK2" i="54"/>
  <c r="AM2" i="54"/>
  <c r="AH2" i="54"/>
  <c r="AI2" i="54"/>
  <c r="AL2" i="54"/>
  <c r="AJ2" i="54"/>
  <c r="AK207" i="54"/>
  <c r="AL207" i="54"/>
  <c r="AM207" i="54"/>
  <c r="AI207" i="54"/>
  <c r="AJ207" i="54"/>
  <c r="AH207" i="54"/>
  <c r="AL78" i="54"/>
  <c r="AH78" i="54"/>
  <c r="AM78" i="54"/>
  <c r="AI78" i="54"/>
  <c r="AJ78" i="54"/>
  <c r="AK78" i="54"/>
  <c r="AM83" i="54"/>
  <c r="AJ83" i="54"/>
  <c r="AK83" i="54"/>
  <c r="AL83" i="54"/>
  <c r="AH83" i="54"/>
  <c r="AI83" i="54"/>
  <c r="AK183" i="54"/>
  <c r="AJ183" i="54"/>
  <c r="AL183" i="54"/>
  <c r="AM183" i="54"/>
  <c r="AH183" i="54"/>
  <c r="AI183" i="54"/>
  <c r="AJ21" i="54"/>
  <c r="AK21" i="54"/>
  <c r="AH21" i="54"/>
  <c r="AI21" i="54"/>
  <c r="AL21" i="54"/>
  <c r="AM21" i="54"/>
  <c r="AM132" i="54"/>
  <c r="AJ132" i="54"/>
  <c r="AH132" i="54"/>
  <c r="AL132" i="54"/>
  <c r="AK132" i="54"/>
  <c r="AI132" i="54"/>
  <c r="AM178" i="54"/>
  <c r="AI178" i="54"/>
  <c r="AL178" i="54"/>
  <c r="AK178" i="54"/>
  <c r="AJ178" i="54"/>
  <c r="AH178" i="54"/>
  <c r="AM35" i="54"/>
  <c r="AJ35" i="54"/>
  <c r="AH35" i="54"/>
  <c r="AI35" i="54"/>
  <c r="AL35" i="54"/>
  <c r="AK35" i="54"/>
  <c r="AK81" i="54"/>
  <c r="AL81" i="54"/>
  <c r="AM81" i="54"/>
  <c r="AH81" i="54"/>
  <c r="AJ81" i="54"/>
  <c r="AI81" i="54"/>
  <c r="AL152" i="54"/>
  <c r="AI152" i="54"/>
  <c r="AJ152" i="54"/>
  <c r="AK152" i="54"/>
  <c r="AH152" i="54"/>
  <c r="AM152" i="54"/>
  <c r="AJ215" i="54"/>
  <c r="AM215" i="54"/>
  <c r="AH215" i="54"/>
  <c r="AK215" i="54"/>
  <c r="AL215" i="54"/>
  <c r="AI215" i="54"/>
  <c r="AL109" i="54"/>
  <c r="AM109" i="54"/>
  <c r="AI109" i="54"/>
  <c r="AK109" i="54"/>
  <c r="AJ109" i="54"/>
  <c r="AH109" i="54"/>
  <c r="AH129" i="54"/>
  <c r="AM129" i="54"/>
  <c r="AI129" i="54"/>
  <c r="AJ129" i="54"/>
  <c r="AK129" i="54"/>
  <c r="AL129" i="54"/>
  <c r="AH134" i="54"/>
  <c r="AJ134" i="54"/>
  <c r="AL134" i="54"/>
  <c r="AM134" i="54"/>
  <c r="AI134" i="54"/>
  <c r="AK134" i="54"/>
  <c r="AH93" i="54"/>
  <c r="AI93" i="54"/>
  <c r="AJ93" i="54"/>
  <c r="AL93" i="54"/>
  <c r="AM93" i="54"/>
  <c r="AK93" i="54"/>
  <c r="AK172" i="54"/>
  <c r="AH172" i="54"/>
  <c r="AL172" i="54"/>
  <c r="AM172" i="54"/>
  <c r="AJ172" i="54"/>
  <c r="AI172" i="54"/>
  <c r="AH15" i="54"/>
  <c r="AK15" i="54"/>
  <c r="AL15" i="54"/>
  <c r="AM15" i="54"/>
  <c r="AI15" i="54"/>
  <c r="AJ15" i="54"/>
  <c r="AH39" i="54"/>
  <c r="AK39" i="54"/>
  <c r="AM39" i="54"/>
  <c r="AJ39" i="54"/>
  <c r="AI39" i="54"/>
  <c r="AL39" i="54"/>
  <c r="AK196" i="54"/>
  <c r="AJ196" i="54"/>
  <c r="AL196" i="54"/>
  <c r="AM196" i="54"/>
  <c r="AI196" i="54"/>
  <c r="AH196" i="54"/>
  <c r="AK99" i="54"/>
  <c r="AH99" i="54"/>
  <c r="AL99" i="54"/>
  <c r="AM99" i="54"/>
  <c r="AJ99" i="54"/>
  <c r="AI99" i="54"/>
  <c r="AL56" i="54"/>
  <c r="AI56" i="54"/>
  <c r="AK56" i="54"/>
  <c r="AJ56" i="54"/>
  <c r="AH56" i="54"/>
  <c r="AM56" i="54"/>
  <c r="AH133" i="54"/>
  <c r="AL133" i="54"/>
  <c r="AM133" i="54"/>
  <c r="AJ133" i="54"/>
  <c r="AK133" i="54"/>
  <c r="AI133" i="54"/>
  <c r="AK171" i="54"/>
  <c r="AH171" i="54"/>
  <c r="AM171" i="54"/>
  <c r="AI171" i="54"/>
  <c r="AJ171" i="54"/>
  <c r="AL171" i="54"/>
  <c r="AL174" i="54"/>
  <c r="AH174" i="54"/>
  <c r="AM174" i="54"/>
  <c r="AI174" i="54"/>
  <c r="AK174" i="54"/>
  <c r="AJ174" i="54"/>
  <c r="AL141" i="54"/>
  <c r="AM141" i="54"/>
  <c r="AK141" i="54"/>
  <c r="AH141" i="54"/>
  <c r="AI141" i="54"/>
  <c r="AJ141" i="54"/>
  <c r="AL199" i="54"/>
  <c r="AI199" i="54"/>
  <c r="AH199" i="54"/>
  <c r="AK199" i="54"/>
  <c r="AJ199" i="54"/>
  <c r="AM199" i="54"/>
  <c r="AJ95" i="54"/>
  <c r="AM95" i="54"/>
  <c r="AH95" i="54"/>
  <c r="AI95" i="54"/>
  <c r="AL95" i="54"/>
  <c r="AK95" i="54"/>
  <c r="AI115" i="54"/>
  <c r="AL115" i="54"/>
  <c r="AK115" i="54"/>
  <c r="AH115" i="54"/>
  <c r="AJ115" i="54"/>
  <c r="AM115" i="54"/>
  <c r="AM59" i="54"/>
  <c r="AJ59" i="54"/>
  <c r="AI59" i="54"/>
  <c r="AK59" i="54"/>
  <c r="AL59" i="54"/>
  <c r="AH59" i="54"/>
  <c r="AH14" i="54"/>
  <c r="AJ14" i="54"/>
  <c r="AL14" i="54"/>
  <c r="AM14" i="54"/>
  <c r="AK14" i="54"/>
  <c r="AI14" i="54"/>
  <c r="AM36" i="54"/>
  <c r="AJ36" i="54"/>
  <c r="AI36" i="54"/>
  <c r="AH36" i="54"/>
  <c r="AK36" i="54"/>
  <c r="AL36" i="54"/>
  <c r="AH135" i="54"/>
  <c r="AK135" i="54"/>
  <c r="AL135" i="54"/>
  <c r="AM135" i="54"/>
  <c r="AI135" i="54"/>
  <c r="AJ135" i="54"/>
  <c r="AL176" i="54"/>
  <c r="AI176" i="54"/>
  <c r="AM176" i="54"/>
  <c r="AH176" i="54"/>
  <c r="AJ176" i="54"/>
  <c r="AK176" i="54"/>
  <c r="AI217" i="54"/>
  <c r="AJ217" i="54"/>
  <c r="AK217" i="54"/>
  <c r="AH217" i="54"/>
  <c r="AL217" i="54"/>
  <c r="AM217" i="54"/>
  <c r="AJ22" i="54"/>
  <c r="AL22" i="54"/>
  <c r="AK22" i="54"/>
  <c r="AH22" i="54"/>
  <c r="AI22" i="54"/>
  <c r="AM22" i="54"/>
  <c r="AI68" i="54"/>
  <c r="AL68" i="54"/>
  <c r="AH68" i="54"/>
  <c r="AJ68" i="54"/>
  <c r="AK68" i="54"/>
  <c r="AM68" i="54"/>
  <c r="AH136" i="54"/>
  <c r="AK136" i="54"/>
  <c r="AL136" i="54"/>
  <c r="AM136" i="54"/>
  <c r="AJ136" i="54"/>
  <c r="AI136" i="54"/>
  <c r="AH63" i="54"/>
  <c r="AK63" i="54"/>
  <c r="AI63" i="54"/>
  <c r="AJ63" i="54"/>
  <c r="AL63" i="54"/>
  <c r="AM63" i="54"/>
  <c r="AK74" i="54"/>
  <c r="AM74" i="54"/>
  <c r="AH74" i="54"/>
  <c r="AI74" i="54"/>
  <c r="AJ74" i="54"/>
  <c r="AL74" i="54"/>
  <c r="AK100" i="54"/>
  <c r="AH100" i="54"/>
  <c r="AL100" i="54"/>
  <c r="AJ100" i="54"/>
  <c r="AM100" i="54"/>
  <c r="AI100" i="54"/>
  <c r="AH61" i="54"/>
  <c r="AI61" i="54"/>
  <c r="AJ61" i="54"/>
  <c r="AK61" i="54"/>
  <c r="AL61" i="54"/>
  <c r="AM61" i="54"/>
  <c r="AI188" i="54"/>
  <c r="AL188" i="54"/>
  <c r="AH188" i="54"/>
  <c r="AM188" i="54"/>
  <c r="AK188" i="54"/>
  <c r="AJ188" i="54"/>
  <c r="AM179" i="54"/>
  <c r="AJ179" i="54"/>
  <c r="AK179" i="54"/>
  <c r="AL179" i="54"/>
  <c r="AI179" i="54"/>
  <c r="AH179" i="54"/>
  <c r="AJ96" i="54"/>
  <c r="AM96" i="54"/>
  <c r="AH96" i="54"/>
  <c r="AI96" i="54"/>
  <c r="AK96" i="54"/>
  <c r="AL96" i="54"/>
  <c r="AH158" i="54"/>
  <c r="AJ158" i="54"/>
  <c r="AI158" i="54"/>
  <c r="AK158" i="54"/>
  <c r="AL158" i="54"/>
  <c r="AM158" i="54"/>
  <c r="AJ48" i="54"/>
  <c r="AM48" i="54"/>
  <c r="AK48" i="54"/>
  <c r="AL48" i="54"/>
  <c r="AH48" i="54"/>
  <c r="AI48" i="54"/>
  <c r="AK122" i="54"/>
  <c r="AM122" i="54"/>
  <c r="AI122" i="54"/>
  <c r="AJ122" i="54"/>
  <c r="AH122" i="54"/>
  <c r="AL122" i="54"/>
  <c r="AI163" i="54"/>
  <c r="AL163" i="54"/>
  <c r="AH163" i="54"/>
  <c r="AJ163" i="54"/>
  <c r="AM163" i="54"/>
  <c r="AK163" i="54"/>
  <c r="AM169" i="54"/>
  <c r="AH169" i="54"/>
  <c r="AI169" i="54"/>
  <c r="AK169" i="54"/>
  <c r="AL169" i="54"/>
  <c r="AJ169" i="54"/>
  <c r="AJ191" i="54"/>
  <c r="AM191" i="54"/>
  <c r="AI191" i="54"/>
  <c r="AH191" i="54"/>
  <c r="AK191" i="54"/>
  <c r="AL191" i="54"/>
  <c r="AH157" i="54"/>
  <c r="AI157" i="54"/>
  <c r="AK157" i="54"/>
  <c r="AJ157" i="54"/>
  <c r="AM157" i="54"/>
  <c r="AL157" i="54"/>
  <c r="AJ72" i="54"/>
  <c r="AM72" i="54"/>
  <c r="AH72" i="54"/>
  <c r="AI72" i="54"/>
  <c r="AK72" i="54"/>
  <c r="AL72" i="54"/>
  <c r="AL31" i="54"/>
  <c r="AI31" i="54"/>
  <c r="AH31" i="54"/>
  <c r="AM31" i="54"/>
  <c r="AJ31" i="54"/>
  <c r="AK31" i="54"/>
  <c r="AJ144" i="54"/>
  <c r="AM144" i="54"/>
  <c r="AK144" i="54"/>
  <c r="AL144" i="54"/>
  <c r="AH144" i="54"/>
  <c r="AI144" i="54"/>
  <c r="AI114" i="54"/>
  <c r="AK114" i="54"/>
  <c r="AL114" i="54"/>
  <c r="AM114" i="54"/>
  <c r="AH114" i="54"/>
  <c r="AJ114" i="54"/>
  <c r="AK220" i="54"/>
  <c r="AI220" i="54"/>
  <c r="AJ220" i="54"/>
  <c r="AM220" i="54"/>
  <c r="AL220" i="54"/>
  <c r="AH220" i="54"/>
  <c r="AK148" i="54"/>
  <c r="AH148" i="54"/>
  <c r="AI148" i="54"/>
  <c r="AJ148" i="54"/>
  <c r="AL148" i="54"/>
  <c r="AM148" i="54"/>
  <c r="AJ206" i="54"/>
  <c r="AL206" i="54"/>
  <c r="AM206" i="54"/>
  <c r="AH206" i="54"/>
  <c r="AI206" i="54"/>
  <c r="AK206" i="54"/>
  <c r="AI211" i="54"/>
  <c r="AL211" i="54"/>
  <c r="AK211" i="54"/>
  <c r="AH211" i="54"/>
  <c r="AJ211" i="54"/>
  <c r="AM211" i="54"/>
  <c r="AK28" i="54"/>
  <c r="AH28" i="54"/>
  <c r="AJ28" i="54"/>
  <c r="AI28" i="54"/>
  <c r="AL28" i="54"/>
  <c r="AM28" i="54"/>
  <c r="AI187" i="54"/>
  <c r="AL187" i="54"/>
  <c r="AH187" i="54"/>
  <c r="AJ187" i="54"/>
  <c r="AK187" i="54"/>
  <c r="AM187" i="54"/>
  <c r="AJ214" i="54"/>
  <c r="AL214" i="54"/>
  <c r="AK214" i="54"/>
  <c r="AH214" i="54"/>
  <c r="AI214" i="54"/>
  <c r="AM214" i="54"/>
  <c r="AJ118" i="54"/>
  <c r="AL118" i="54"/>
  <c r="AK118" i="54"/>
  <c r="AH118" i="54"/>
  <c r="AI118" i="54"/>
  <c r="AM118" i="54"/>
  <c r="AK184" i="54"/>
  <c r="AI184" i="54"/>
  <c r="AJ184" i="54"/>
  <c r="AL184" i="54"/>
  <c r="AM184" i="54"/>
  <c r="AH184" i="54"/>
  <c r="AM203" i="54"/>
  <c r="AJ203" i="54"/>
  <c r="AI203" i="54"/>
  <c r="AH203" i="54"/>
  <c r="AL203" i="54"/>
  <c r="AK203" i="54"/>
  <c r="AI67" i="54"/>
  <c r="AL67" i="54"/>
  <c r="AH67" i="54"/>
  <c r="AJ67" i="54"/>
  <c r="AK67" i="54"/>
  <c r="AM67" i="54"/>
  <c r="AI189" i="54"/>
  <c r="AH189" i="54"/>
  <c r="AJ189" i="54"/>
  <c r="AK189" i="54"/>
  <c r="AL189" i="54"/>
  <c r="AM189" i="54"/>
  <c r="AM60" i="54"/>
  <c r="AJ60" i="54"/>
  <c r="AH60" i="54"/>
  <c r="AI60" i="54"/>
  <c r="AK60" i="54"/>
  <c r="AL60" i="54"/>
  <c r="AJ216" i="54"/>
  <c r="AM216" i="54"/>
  <c r="AL216" i="54"/>
  <c r="AK216" i="54"/>
  <c r="AH216" i="54"/>
  <c r="AI216" i="54"/>
  <c r="AH16" i="54"/>
  <c r="AK16" i="54"/>
  <c r="AL16" i="54"/>
  <c r="AM16" i="54"/>
  <c r="AI16" i="54"/>
  <c r="AJ16" i="54"/>
  <c r="AJ119" i="54"/>
  <c r="AM119" i="54"/>
  <c r="AK119" i="54"/>
  <c r="AL119" i="54"/>
  <c r="AH119" i="54"/>
  <c r="AI119" i="54"/>
  <c r="AM204" i="54"/>
  <c r="AJ204" i="54"/>
  <c r="AI204" i="54"/>
  <c r="AH204" i="54"/>
  <c r="AK204" i="54"/>
  <c r="AL204" i="54"/>
  <c r="AJ190" i="54"/>
  <c r="AL190" i="54"/>
  <c r="AI190" i="54"/>
  <c r="AH190" i="54"/>
  <c r="AK190" i="54"/>
  <c r="AM190" i="54"/>
  <c r="AH38" i="54"/>
  <c r="AJ38" i="54"/>
  <c r="AM38" i="54"/>
  <c r="AI38" i="54"/>
  <c r="AL38" i="54"/>
  <c r="AK38" i="54"/>
  <c r="AK218" i="54"/>
  <c r="AM218" i="54"/>
  <c r="AJ218" i="54"/>
  <c r="AI218" i="54"/>
  <c r="AH218" i="54"/>
  <c r="AL218" i="54"/>
  <c r="AH64" i="54"/>
  <c r="AK64" i="54"/>
  <c r="AI64" i="54"/>
  <c r="AJ64" i="54"/>
  <c r="AM64" i="54"/>
  <c r="AL64" i="54"/>
  <c r="AH88" i="54"/>
  <c r="AK88" i="54"/>
  <c r="AI88" i="54"/>
  <c r="AJ88" i="54"/>
  <c r="AM88" i="54"/>
  <c r="AL88" i="54"/>
  <c r="AI66" i="54"/>
  <c r="AK66" i="54"/>
  <c r="AH66" i="54"/>
  <c r="AJ66" i="54"/>
  <c r="AL66" i="54"/>
  <c r="AM66" i="54"/>
  <c r="AI139" i="54"/>
  <c r="AL139" i="54"/>
  <c r="AM139" i="54"/>
  <c r="AK139" i="54"/>
  <c r="AH139" i="54"/>
  <c r="AJ139" i="54"/>
  <c r="AJ149" i="54"/>
  <c r="AK149" i="54"/>
  <c r="AL149" i="54"/>
  <c r="AI149" i="54"/>
  <c r="AM149" i="54"/>
  <c r="AH149" i="54"/>
  <c r="AJ53" i="54"/>
  <c r="AK53" i="54"/>
  <c r="AL53" i="54"/>
  <c r="AM53" i="54"/>
  <c r="AH53" i="54"/>
  <c r="AI53" i="54"/>
  <c r="AL7" i="54"/>
  <c r="AI7" i="54"/>
  <c r="AH7" i="54"/>
  <c r="AK7" i="54"/>
  <c r="AM7" i="54"/>
  <c r="AJ7" i="54"/>
  <c r="AI18" i="54"/>
  <c r="AK18" i="54"/>
  <c r="AL18" i="54"/>
  <c r="AM18" i="54"/>
  <c r="AJ18" i="54"/>
  <c r="AH18" i="54"/>
  <c r="AL128" i="54"/>
  <c r="AI128" i="54"/>
  <c r="AH128" i="54"/>
  <c r="AM128" i="54"/>
  <c r="AJ128" i="54"/>
  <c r="AK128" i="54"/>
  <c r="AK145" i="54"/>
  <c r="AL145" i="54"/>
  <c r="AJ145" i="54"/>
  <c r="AM145" i="54"/>
  <c r="AH145" i="54"/>
  <c r="AI145" i="54"/>
  <c r="AJ120" i="54"/>
  <c r="AM120" i="54"/>
  <c r="AH120" i="54"/>
  <c r="AI120" i="54"/>
  <c r="AL120" i="54"/>
  <c r="AK120" i="54"/>
  <c r="AM130" i="54"/>
  <c r="AI130" i="54"/>
  <c r="AH130" i="54"/>
  <c r="AK130" i="54"/>
  <c r="AJ130" i="54"/>
  <c r="AL130" i="54"/>
  <c r="AJ89" i="54"/>
  <c r="AI89" i="54"/>
  <c r="AM89" i="54"/>
  <c r="AK89" i="54"/>
  <c r="AL89" i="54"/>
  <c r="AH89" i="54"/>
  <c r="AL6" i="54"/>
  <c r="AH6" i="54"/>
  <c r="AK6" i="54"/>
  <c r="AM6" i="54"/>
  <c r="AI6" i="54"/>
  <c r="AJ6" i="54"/>
  <c r="AM156" i="54"/>
  <c r="AJ156" i="54"/>
  <c r="AH156" i="54"/>
  <c r="AI156" i="54"/>
  <c r="AL156" i="54"/>
  <c r="AK156" i="54"/>
  <c r="AM34" i="54"/>
  <c r="AI34" i="54"/>
  <c r="AH34" i="54"/>
  <c r="AL34" i="54"/>
  <c r="AJ34" i="54"/>
  <c r="AK34" i="54"/>
  <c r="AL175" i="54"/>
  <c r="AI175" i="54"/>
  <c r="AM175" i="54"/>
  <c r="AH175" i="54"/>
  <c r="AJ175" i="54"/>
  <c r="AK175" i="54"/>
  <c r="AJ167" i="54"/>
  <c r="AM167" i="54"/>
  <c r="AH167" i="54"/>
  <c r="AI167" i="54"/>
  <c r="AL167" i="54"/>
  <c r="AK167" i="54"/>
  <c r="AI162" i="54"/>
  <c r="AK162" i="54"/>
  <c r="AH162" i="54"/>
  <c r="AJ162" i="54"/>
  <c r="AL162" i="54"/>
  <c r="AM162" i="54"/>
  <c r="AM131" i="54"/>
  <c r="AJ131" i="54"/>
  <c r="AH131" i="54"/>
  <c r="AI131" i="54"/>
  <c r="AL131" i="54"/>
  <c r="AK131" i="54"/>
  <c r="AM11" i="54"/>
  <c r="AJ11" i="54"/>
  <c r="AL11" i="54"/>
  <c r="AK11" i="54"/>
  <c r="AH11" i="54"/>
  <c r="AI11" i="54"/>
  <c r="AL49" i="54"/>
  <c r="AK49" i="54"/>
  <c r="AM49" i="54"/>
  <c r="AH49" i="54"/>
  <c r="AJ49" i="54"/>
  <c r="AI49" i="54"/>
  <c r="AH112" i="54"/>
  <c r="AK112" i="54"/>
  <c r="AL112" i="54"/>
  <c r="AM112" i="54"/>
  <c r="AJ112" i="54"/>
  <c r="AI112" i="54"/>
  <c r="AK123" i="54"/>
  <c r="AH123" i="54"/>
  <c r="AI123" i="54"/>
  <c r="AJ123" i="54"/>
  <c r="AL123" i="54"/>
  <c r="AM123" i="54"/>
  <c r="AI43" i="54"/>
  <c r="AL43" i="54"/>
  <c r="AM43" i="54"/>
  <c r="AH43" i="54"/>
  <c r="AJ43" i="54"/>
  <c r="AK43" i="54"/>
  <c r="AK219" i="54"/>
  <c r="AI219" i="54"/>
  <c r="AJ219" i="54"/>
  <c r="AH219" i="54"/>
  <c r="AM219" i="54"/>
  <c r="AL219" i="54"/>
  <c r="AI42" i="54"/>
  <c r="AK42" i="54"/>
  <c r="AM42" i="54"/>
  <c r="AH42" i="54"/>
  <c r="AL42" i="54"/>
  <c r="AJ42" i="54"/>
  <c r="AJ142" i="54"/>
  <c r="AL142" i="54"/>
  <c r="AM142" i="54"/>
  <c r="AK142" i="54"/>
  <c r="AI142" i="54"/>
  <c r="AH142" i="54"/>
  <c r="AH65" i="54"/>
  <c r="AI65" i="54"/>
  <c r="AJ65" i="54"/>
  <c r="AK65" i="54"/>
  <c r="AM65" i="54"/>
  <c r="AL65" i="54"/>
  <c r="AK98" i="54"/>
  <c r="AM98" i="54"/>
  <c r="AH98" i="54"/>
  <c r="AI98" i="54"/>
  <c r="AL98" i="54"/>
  <c r="AJ98" i="54"/>
  <c r="AL104" i="54"/>
  <c r="AI104" i="54"/>
  <c r="AM104" i="54"/>
  <c r="AJ104" i="54"/>
  <c r="AK104" i="54"/>
  <c r="AH104" i="54"/>
  <c r="AK177" i="54"/>
  <c r="AL177" i="54"/>
  <c r="AM177" i="54"/>
  <c r="AI177" i="54"/>
  <c r="AJ177" i="54"/>
  <c r="AH177" i="54"/>
  <c r="AJ23" i="54"/>
  <c r="AM23" i="54"/>
  <c r="AK23" i="54"/>
  <c r="AL23" i="54"/>
  <c r="AH23" i="54"/>
  <c r="AI23" i="54"/>
  <c r="AK76" i="54"/>
  <c r="AH76" i="54"/>
  <c r="AL76" i="54"/>
  <c r="AM76" i="54"/>
  <c r="AI76" i="54"/>
  <c r="AJ76" i="54"/>
  <c r="AK124" i="54"/>
  <c r="AH124" i="54"/>
  <c r="AI124" i="54"/>
  <c r="AJ124" i="54"/>
  <c r="AL124" i="54"/>
  <c r="AM124" i="54"/>
  <c r="AK26" i="54"/>
  <c r="AM26" i="54"/>
  <c r="AJ26" i="54"/>
  <c r="AI26" i="54"/>
  <c r="AH26" i="54"/>
  <c r="AL26" i="54"/>
  <c r="AL103" i="54"/>
  <c r="AI103" i="54"/>
  <c r="AH103" i="54"/>
  <c r="AJ103" i="54"/>
  <c r="AK103" i="54"/>
  <c r="AM103" i="54"/>
  <c r="AI116" i="54"/>
  <c r="AL116" i="54"/>
  <c r="AJ116" i="54"/>
  <c r="AK116" i="54"/>
  <c r="AH116" i="54"/>
  <c r="AM116" i="54"/>
  <c r="AI221" i="54"/>
  <c r="AM221" i="54"/>
  <c r="AJ221" i="54"/>
  <c r="AL221" i="54"/>
  <c r="AK221" i="54"/>
  <c r="AH221" i="54"/>
  <c r="AK4" i="54"/>
  <c r="AH4" i="54"/>
  <c r="AL4" i="54"/>
  <c r="AJ4" i="54"/>
  <c r="AI4" i="54"/>
  <c r="AM4" i="54"/>
  <c r="AI140" i="54"/>
  <c r="AL140" i="54"/>
  <c r="AM140" i="54"/>
  <c r="AK140" i="54"/>
  <c r="AH140" i="54"/>
  <c r="AJ140" i="54"/>
  <c r="AK194" i="54"/>
  <c r="AM194" i="54"/>
  <c r="AI194" i="54"/>
  <c r="AL194" i="54"/>
  <c r="AJ194" i="54"/>
  <c r="AH194" i="54"/>
  <c r="AM82" i="54"/>
  <c r="AI82" i="54"/>
  <c r="AK82" i="54"/>
  <c r="AL82" i="54"/>
  <c r="AH82" i="54"/>
  <c r="AJ82" i="54"/>
  <c r="AI164" i="54"/>
  <c r="AL164" i="54"/>
  <c r="AH164" i="54"/>
  <c r="AJ164" i="54"/>
  <c r="AK164" i="54"/>
  <c r="AM164" i="54"/>
  <c r="AM202" i="54"/>
  <c r="AI202" i="54"/>
  <c r="AH202" i="54"/>
  <c r="AJ202" i="54"/>
  <c r="AL202" i="54"/>
  <c r="AK202" i="54"/>
  <c r="AH62" i="54"/>
  <c r="AJ62" i="54"/>
  <c r="AI62" i="54"/>
  <c r="AK62" i="54"/>
  <c r="AL62" i="54"/>
  <c r="AM62" i="54"/>
  <c r="AJ47" i="54"/>
  <c r="AM47" i="54"/>
  <c r="AL47" i="54"/>
  <c r="AK47" i="54"/>
  <c r="AH47" i="54"/>
  <c r="AI47" i="54"/>
  <c r="AI210" i="54"/>
  <c r="AK210" i="54"/>
  <c r="AH210" i="54"/>
  <c r="AL210" i="54"/>
  <c r="AM210" i="54"/>
  <c r="AJ210" i="54"/>
  <c r="AM41" i="54"/>
  <c r="AL41" i="54"/>
  <c r="AH41" i="54"/>
  <c r="AI41" i="54"/>
  <c r="AK41" i="54"/>
  <c r="AJ41" i="54"/>
  <c r="AL198" i="54"/>
  <c r="AI198" i="54"/>
  <c r="AH198" i="54"/>
  <c r="AJ198" i="54"/>
  <c r="AK198" i="54"/>
  <c r="AM198" i="54"/>
  <c r="AM10" i="54"/>
  <c r="AI10" i="54"/>
  <c r="AJ10" i="54"/>
  <c r="AL10" i="54"/>
  <c r="AK10" i="54"/>
  <c r="AH10" i="54"/>
  <c r="AL45" i="54"/>
  <c r="AM45" i="54"/>
  <c r="AI45" i="54"/>
  <c r="AK45" i="54"/>
  <c r="AH45" i="54"/>
  <c r="AJ45" i="54"/>
  <c r="AM84" i="54"/>
  <c r="AJ84" i="54"/>
  <c r="AL84" i="54"/>
  <c r="AK84" i="54"/>
  <c r="AI84" i="54"/>
  <c r="AH84" i="54"/>
  <c r="AH111" i="54"/>
  <c r="AK111" i="54"/>
  <c r="AL111" i="54"/>
  <c r="AM111" i="54"/>
  <c r="AI111" i="54"/>
  <c r="AJ111" i="54"/>
  <c r="AI57" i="54"/>
  <c r="AJ57" i="54"/>
  <c r="AK57" i="54"/>
  <c r="AL57" i="54"/>
  <c r="AM57" i="54"/>
  <c r="AH57" i="54"/>
  <c r="AM58" i="54"/>
  <c r="AI58" i="54"/>
  <c r="AJ58" i="54"/>
  <c r="AK58" i="54"/>
  <c r="AL58" i="54"/>
  <c r="AH58" i="54"/>
  <c r="AL205" i="54"/>
  <c r="AM205" i="54"/>
  <c r="AI205" i="54"/>
  <c r="AJ205" i="54"/>
  <c r="AH205" i="54"/>
  <c r="AK205" i="54"/>
  <c r="AH87" i="54"/>
  <c r="AK87" i="54"/>
  <c r="AJ87" i="54"/>
  <c r="AM87" i="54"/>
  <c r="AL87" i="54"/>
  <c r="AI87" i="54"/>
  <c r="AL30" i="54"/>
  <c r="AH30" i="54"/>
  <c r="AI30" i="54"/>
  <c r="AJ30" i="54"/>
  <c r="AM30" i="54"/>
  <c r="AK30" i="54"/>
  <c r="AL32" i="54"/>
  <c r="AI32" i="54"/>
  <c r="AH32" i="54"/>
  <c r="AM32" i="54"/>
  <c r="AJ32" i="54"/>
  <c r="AK32" i="54"/>
  <c r="AJ71" i="54"/>
  <c r="AM71" i="54"/>
  <c r="AH71" i="54"/>
  <c r="AI71" i="54"/>
  <c r="AK71" i="54"/>
  <c r="AL71" i="54"/>
  <c r="AM137" i="54"/>
  <c r="AL137" i="54"/>
  <c r="AI137" i="54"/>
  <c r="AJ137" i="54"/>
  <c r="AK137" i="54"/>
  <c r="AH137" i="54"/>
  <c r="AK101" i="54"/>
  <c r="AL101" i="54"/>
  <c r="AJ101" i="54"/>
  <c r="AM101" i="54"/>
  <c r="AH101" i="54"/>
  <c r="AI101" i="54"/>
  <c r="AI121" i="54"/>
  <c r="AJ121" i="54"/>
  <c r="AK121" i="54"/>
  <c r="AH121" i="54"/>
  <c r="AM121" i="54"/>
  <c r="AL121" i="54"/>
  <c r="AH161" i="54"/>
  <c r="AI161" i="54"/>
  <c r="AJ161" i="54"/>
  <c r="AK161" i="54"/>
  <c r="AM161" i="54"/>
  <c r="AL161" i="54"/>
  <c r="AI20" i="54"/>
  <c r="AL20" i="54"/>
  <c r="AJ20" i="54"/>
  <c r="AK20" i="54"/>
  <c r="AH20" i="54"/>
  <c r="AM20" i="54"/>
  <c r="AM106" i="54"/>
  <c r="AI106" i="54"/>
  <c r="AK106" i="54"/>
  <c r="AJ106" i="54"/>
  <c r="AL106" i="54"/>
  <c r="AH106" i="54"/>
  <c r="AI69" i="54"/>
  <c r="AK69" i="54"/>
  <c r="AJ69" i="54"/>
  <c r="AL69" i="54"/>
  <c r="AM69" i="54"/>
  <c r="AH69" i="54"/>
  <c r="AK27" i="54"/>
  <c r="AH27" i="54"/>
  <c r="AI27" i="54"/>
  <c r="AJ27" i="54"/>
  <c r="AL27" i="54"/>
  <c r="AM27" i="54"/>
  <c r="AK50" i="54"/>
  <c r="AM50" i="54"/>
  <c r="AL50" i="54"/>
  <c r="AJ50" i="54"/>
  <c r="AH50" i="54"/>
  <c r="AI50" i="54"/>
  <c r="AJ168" i="54"/>
  <c r="AM168" i="54"/>
  <c r="AH168" i="54"/>
  <c r="AI168" i="54"/>
  <c r="AL168" i="54"/>
  <c r="AK168" i="54"/>
  <c r="AL150" i="54"/>
  <c r="AH150" i="54"/>
  <c r="AK150" i="54"/>
  <c r="AJ150" i="54"/>
  <c r="AI150" i="54"/>
  <c r="AM150" i="54"/>
  <c r="AL200" i="54"/>
  <c r="AI200" i="54"/>
  <c r="AM200" i="54"/>
  <c r="AH200" i="54"/>
  <c r="AJ200" i="54"/>
  <c r="AK200" i="54"/>
  <c r="AH86" i="54"/>
  <c r="AJ86" i="54"/>
  <c r="AK86" i="54"/>
  <c r="AL86" i="54"/>
  <c r="AM86" i="54"/>
  <c r="AI86" i="54"/>
  <c r="AH29" i="54"/>
  <c r="AI29" i="54"/>
  <c r="AK29" i="54"/>
  <c r="AJ29" i="54"/>
  <c r="AM29" i="54"/>
  <c r="AL29" i="54"/>
  <c r="AI138" i="54"/>
  <c r="AK138" i="54"/>
  <c r="AM138" i="54"/>
  <c r="AL138" i="54"/>
  <c r="AH138" i="54"/>
  <c r="AJ138" i="54"/>
  <c r="AL79" i="54"/>
  <c r="AI79" i="54"/>
  <c r="AM79" i="54"/>
  <c r="AH79" i="54"/>
  <c r="AJ79" i="54"/>
  <c r="AK79" i="54"/>
  <c r="AM108" i="54"/>
  <c r="AJ108" i="54"/>
  <c r="AI108" i="54"/>
  <c r="AK108" i="54"/>
  <c r="AH108" i="54"/>
  <c r="AL108" i="54"/>
  <c r="AM107" i="54"/>
  <c r="AJ107" i="54"/>
  <c r="AK107" i="54"/>
  <c r="AL107" i="54"/>
  <c r="AH107" i="54"/>
  <c r="AI107" i="54"/>
  <c r="AJ197" i="54"/>
  <c r="AK197" i="54"/>
  <c r="AM197" i="54"/>
  <c r="AI197" i="54"/>
  <c r="AH197" i="54"/>
  <c r="AL197" i="54"/>
  <c r="AK170" i="54"/>
  <c r="AM170" i="54"/>
  <c r="AH170" i="54"/>
  <c r="AI170" i="54"/>
  <c r="AL170" i="54"/>
  <c r="AJ170" i="54"/>
  <c r="AK51" i="54"/>
  <c r="AH51" i="54"/>
  <c r="AL51" i="54"/>
  <c r="AM51" i="54"/>
  <c r="AJ51" i="54"/>
  <c r="AI51" i="54"/>
  <c r="AH125" i="54"/>
  <c r="AI125" i="54"/>
  <c r="AK125" i="54"/>
  <c r="AM125" i="54"/>
  <c r="AJ125" i="54"/>
  <c r="AL125" i="54"/>
  <c r="AM105" i="54"/>
  <c r="AJ105" i="54"/>
  <c r="AK105" i="54"/>
  <c r="AL105" i="54"/>
  <c r="AI105" i="54"/>
  <c r="AH105" i="54"/>
  <c r="AH97" i="54"/>
  <c r="AK97" i="54"/>
  <c r="AL97" i="54"/>
  <c r="AM97" i="54"/>
  <c r="AI97" i="54"/>
  <c r="AJ97" i="54"/>
  <c r="AI19" i="54"/>
  <c r="AL19" i="54"/>
  <c r="AK19" i="54"/>
  <c r="AJ19" i="54"/>
  <c r="AH19" i="54"/>
  <c r="AM19" i="54"/>
  <c r="AH213" i="54"/>
  <c r="AJ213" i="54"/>
  <c r="AK213" i="54"/>
  <c r="AI213" i="54"/>
  <c r="AM213" i="54"/>
  <c r="AL213" i="54"/>
  <c r="AI25" i="54"/>
  <c r="AJ25" i="54"/>
  <c r="AK25" i="54"/>
  <c r="AH25" i="54"/>
  <c r="AL25" i="54"/>
  <c r="AM25" i="54"/>
  <c r="AK146" i="54"/>
  <c r="AM146" i="54"/>
  <c r="AL146" i="54"/>
  <c r="AJ146" i="54"/>
  <c r="AI146" i="54"/>
  <c r="AH146" i="54"/>
  <c r="AI212" i="54"/>
  <c r="AL212" i="54"/>
  <c r="AJ212" i="54"/>
  <c r="AH212" i="54"/>
  <c r="AK212" i="54"/>
  <c r="AM212" i="54"/>
  <c r="AK113" i="54"/>
  <c r="AL113" i="54"/>
  <c r="AM113" i="54"/>
  <c r="AI113" i="54"/>
  <c r="AJ113" i="54"/>
  <c r="AH113" i="54"/>
  <c r="AK195" i="54"/>
  <c r="AJ195" i="54"/>
  <c r="AL195" i="54"/>
  <c r="AI195" i="54"/>
  <c r="AH195" i="54"/>
  <c r="AM195" i="54"/>
  <c r="AK52" i="54"/>
  <c r="AH52" i="54"/>
  <c r="AJ52" i="54"/>
  <c r="AL52" i="54"/>
  <c r="AM52" i="54"/>
  <c r="AI52" i="54"/>
  <c r="AJ182" i="54"/>
  <c r="AK182" i="54"/>
  <c r="AL182" i="54"/>
  <c r="AM182" i="54"/>
  <c r="AI182" i="54"/>
  <c r="AH182" i="54"/>
  <c r="AJ24" i="54"/>
  <c r="AM24" i="54"/>
  <c r="AH24" i="54"/>
  <c r="AI24" i="54"/>
  <c r="AK24" i="54"/>
  <c r="AL24" i="54"/>
  <c r="AJ181" i="54"/>
  <c r="AK181" i="54"/>
  <c r="AM181" i="54"/>
  <c r="AH181" i="54"/>
  <c r="AI181" i="54"/>
  <c r="AL181" i="54"/>
  <c r="AI90" i="54"/>
  <c r="AK90" i="54"/>
  <c r="AJ90" i="54"/>
  <c r="AL90" i="54"/>
  <c r="AM90" i="54"/>
  <c r="AH90" i="54"/>
  <c r="AI44" i="54"/>
  <c r="AL44" i="54"/>
  <c r="AM44" i="54"/>
  <c r="AH44" i="54"/>
  <c r="AK44" i="54"/>
  <c r="AJ44" i="54"/>
  <c r="AK147" i="54"/>
  <c r="AH147" i="54"/>
  <c r="AL147" i="54"/>
  <c r="AM147" i="54"/>
  <c r="AJ147" i="54"/>
  <c r="AI147" i="54"/>
  <c r="AK75" i="54"/>
  <c r="AH75" i="54"/>
  <c r="AM75" i="54"/>
  <c r="AI75" i="54"/>
  <c r="AJ75" i="54"/>
  <c r="AL75" i="54"/>
  <c r="AJ46" i="54"/>
  <c r="AL46" i="54"/>
  <c r="AM46" i="54"/>
  <c r="AK46" i="54"/>
  <c r="AH46" i="54"/>
  <c r="AI46" i="54"/>
  <c r="AI91" i="54"/>
  <c r="AL91" i="54"/>
  <c r="AJ91" i="54"/>
  <c r="AK91" i="54"/>
  <c r="AM91" i="54"/>
  <c r="AH91" i="54"/>
  <c r="AH160" i="54"/>
  <c r="AK160" i="54"/>
  <c r="AI160" i="54"/>
  <c r="AJ160" i="54"/>
  <c r="AL160" i="54"/>
  <c r="AM160" i="54"/>
  <c r="AL126" i="54"/>
  <c r="AH126" i="54"/>
  <c r="AI126" i="54"/>
  <c r="AJ126" i="54"/>
  <c r="AK126" i="54"/>
  <c r="AM126" i="54"/>
  <c r="AL13" i="54"/>
  <c r="AM13" i="54"/>
  <c r="AJ13" i="54"/>
  <c r="AK13" i="54"/>
  <c r="AI13" i="54"/>
  <c r="AH13" i="54"/>
  <c r="AJ70" i="54"/>
  <c r="AL70" i="54"/>
  <c r="AH70" i="54"/>
  <c r="AI70" i="54"/>
  <c r="AM70" i="54"/>
  <c r="AK70" i="54"/>
  <c r="AI186" i="54"/>
  <c r="AK186" i="54"/>
  <c r="AH186" i="54"/>
  <c r="AJ186" i="54"/>
  <c r="AL186" i="54"/>
  <c r="AM186" i="54"/>
  <c r="AL127" i="54"/>
  <c r="AI127" i="54"/>
  <c r="AH127" i="54"/>
  <c r="AM127" i="54"/>
  <c r="AJ127" i="54"/>
  <c r="AK127" i="54"/>
  <c r="AL80" i="54"/>
  <c r="AI80" i="54"/>
  <c r="AM80" i="54"/>
  <c r="AH80" i="54"/>
  <c r="AK80" i="54"/>
  <c r="AJ80" i="54"/>
  <c r="BA93" i="48"/>
  <c r="BA126" i="48"/>
  <c r="BA68" i="48"/>
  <c r="BA11" i="48"/>
  <c r="BA178" i="48"/>
  <c r="BA268" i="48"/>
  <c r="BA56" i="48"/>
  <c r="BA25" i="48"/>
  <c r="BA73" i="48"/>
  <c r="BA36" i="48"/>
  <c r="BA280" i="48"/>
  <c r="BA151" i="48"/>
  <c r="BA235" i="48"/>
  <c r="BA225" i="48"/>
  <c r="BA63" i="48"/>
  <c r="BA51" i="48"/>
  <c r="BA91" i="48"/>
  <c r="BA113" i="48"/>
  <c r="BA119" i="48"/>
  <c r="BA169" i="48"/>
  <c r="BA133" i="48"/>
  <c r="BA131" i="48"/>
  <c r="BA111" i="48"/>
  <c r="BA75" i="48"/>
  <c r="BA236" i="48"/>
  <c r="BA112" i="48"/>
  <c r="BA267" i="48"/>
  <c r="BA180" i="48"/>
  <c r="BA173" i="48"/>
  <c r="BA154" i="48"/>
  <c r="BA152" i="48"/>
  <c r="BA161" i="48"/>
  <c r="BA74" i="48"/>
  <c r="BA272" i="48"/>
  <c r="BA98" i="48"/>
  <c r="BA249" i="48"/>
  <c r="BA198" i="48"/>
  <c r="BA15" i="48"/>
  <c r="BA256" i="48"/>
  <c r="BA215" i="48"/>
  <c r="BA27" i="48"/>
  <c r="BA62" i="48"/>
  <c r="BA212" i="48"/>
  <c r="BA18" i="48"/>
  <c r="BA96" i="48"/>
  <c r="BA165" i="48"/>
  <c r="BA246" i="48"/>
  <c r="BA239" i="48"/>
  <c r="BA138" i="48"/>
  <c r="BA259" i="48"/>
  <c r="BA38" i="48"/>
  <c r="BA171" i="48"/>
  <c r="BA206" i="48"/>
  <c r="BA82" i="48"/>
  <c r="BA217" i="48"/>
  <c r="BA99" i="48"/>
  <c r="BA32" i="48"/>
  <c r="BA37" i="48"/>
  <c r="BA168" i="48"/>
  <c r="BA211" i="48"/>
  <c r="BA7" i="48"/>
  <c r="BA230" i="48"/>
  <c r="BA242" i="48"/>
  <c r="BA179" i="48"/>
  <c r="BA233" i="48"/>
  <c r="BA45" i="48"/>
  <c r="BA122" i="48"/>
  <c r="BA253" i="48"/>
  <c r="BA189" i="48"/>
  <c r="BA17" i="48"/>
  <c r="BA5" i="48"/>
  <c r="BA187" i="48"/>
  <c r="BA115" i="48"/>
  <c r="BA100" i="48"/>
  <c r="BA57" i="48"/>
  <c r="BA81" i="48"/>
  <c r="BA72" i="48"/>
  <c r="BA24" i="48"/>
  <c r="BA49" i="48"/>
  <c r="BA237" i="48"/>
  <c r="BA84" i="48"/>
  <c r="BA210" i="48"/>
  <c r="BA9" i="48"/>
  <c r="BA163" i="48"/>
  <c r="BA193" i="48"/>
  <c r="BA241" i="48"/>
  <c r="BA134" i="48"/>
  <c r="BA162" i="48"/>
  <c r="BA10" i="48"/>
  <c r="BA232" i="48"/>
  <c r="BA76" i="48"/>
  <c r="BA70" i="48"/>
  <c r="BA244" i="48"/>
  <c r="BA150" i="48"/>
  <c r="BA184" i="48"/>
  <c r="BA194" i="48"/>
  <c r="BA42" i="48"/>
  <c r="BA71" i="48"/>
  <c r="BA170" i="48"/>
  <c r="BA34" i="48"/>
  <c r="BA277" i="48"/>
  <c r="BA214" i="48"/>
  <c r="BA29" i="48"/>
  <c r="BA227" i="48"/>
  <c r="BA89" i="48"/>
  <c r="BA257" i="48"/>
  <c r="BA207" i="48"/>
  <c r="BA250" i="48"/>
  <c r="BA103" i="48"/>
  <c r="BA261" i="48"/>
  <c r="BA243" i="48"/>
  <c r="BA190" i="48"/>
  <c r="BA271" i="48"/>
  <c r="BA185" i="48"/>
  <c r="BA14" i="48"/>
  <c r="BA248" i="48"/>
  <c r="BA269" i="48"/>
  <c r="BA125" i="48"/>
  <c r="BA172" i="48"/>
  <c r="BA200" i="48"/>
  <c r="BA4" i="48"/>
  <c r="BA80" i="48"/>
  <c r="AI201" i="48"/>
  <c r="BF61" i="48"/>
  <c r="BI186" i="48"/>
  <c r="BI179" i="48"/>
  <c r="BH43" i="48"/>
  <c r="AK183" i="48"/>
  <c r="AF104" i="54"/>
  <c r="AG104" i="54"/>
  <c r="BH62" i="48"/>
  <c r="AK202" i="48"/>
  <c r="BI164" i="48"/>
  <c r="AF85" i="54"/>
  <c r="AG85" i="54"/>
  <c r="AI151" i="48"/>
  <c r="BF11" i="48"/>
  <c r="BI17" i="48"/>
  <c r="AL157" i="48"/>
  <c r="BF89" i="48"/>
  <c r="AI229" i="48"/>
  <c r="AK212" i="48"/>
  <c r="BH72" i="48"/>
  <c r="AK203" i="48"/>
  <c r="BH63" i="48"/>
  <c r="AF94" i="54"/>
  <c r="AG94" i="54"/>
  <c r="AF180" i="54"/>
  <c r="AG180" i="54"/>
  <c r="AL241" i="48"/>
  <c r="BI101" i="48"/>
  <c r="AG35" i="54"/>
  <c r="AF35" i="54"/>
  <c r="AF209" i="54"/>
  <c r="AG209" i="54"/>
  <c r="AI241" i="48"/>
  <c r="BF101" i="48"/>
  <c r="AG48" i="54"/>
  <c r="AF48" i="54"/>
  <c r="AL239" i="48"/>
  <c r="BI99" i="48"/>
  <c r="AF39" i="54"/>
  <c r="AG39" i="54"/>
  <c r="AF186" i="54"/>
  <c r="AG186" i="54"/>
  <c r="BI153" i="48"/>
  <c r="AF57" i="54"/>
  <c r="AG57" i="54"/>
  <c r="AF81" i="54"/>
  <c r="AG81" i="54"/>
  <c r="AL188" i="48"/>
  <c r="BI48" i="48"/>
  <c r="BI78" i="48"/>
  <c r="AL218" i="48"/>
  <c r="AL213" i="48"/>
  <c r="BI73" i="48"/>
  <c r="BH2" i="48"/>
  <c r="AK142" i="48"/>
  <c r="AL248" i="48"/>
  <c r="BI108" i="48"/>
  <c r="BI65" i="48"/>
  <c r="AL205" i="48"/>
  <c r="AI217" i="48"/>
  <c r="BF77" i="48"/>
  <c r="AK186" i="48"/>
  <c r="BH46" i="48"/>
  <c r="AG166" i="54"/>
  <c r="AF166" i="54"/>
  <c r="AL226" i="48"/>
  <c r="BI86" i="48"/>
  <c r="AI143" i="48"/>
  <c r="BF3" i="48"/>
  <c r="BA16" i="48"/>
  <c r="BA54" i="48"/>
  <c r="BA260" i="48"/>
  <c r="BA275" i="48"/>
  <c r="BA258" i="48"/>
  <c r="BA202" i="48"/>
  <c r="BA52" i="48"/>
  <c r="BA64" i="48"/>
  <c r="BA177" i="48"/>
  <c r="AG110" i="54"/>
  <c r="AF110" i="54"/>
  <c r="AK229" i="48"/>
  <c r="BH89" i="48"/>
  <c r="AG201" i="54"/>
  <c r="AF201" i="54"/>
  <c r="BI138" i="48"/>
  <c r="AK169" i="48"/>
  <c r="BH29" i="48"/>
  <c r="BI199" i="48"/>
  <c r="AG123" i="54"/>
  <c r="AF123" i="54"/>
  <c r="AI230" i="48"/>
  <c r="BF90" i="48"/>
  <c r="AL194" i="48"/>
  <c r="BI54" i="48"/>
  <c r="AL219" i="48"/>
  <c r="BI79" i="48"/>
  <c r="AF41" i="54"/>
  <c r="AG41" i="54"/>
  <c r="AK184" i="48"/>
  <c r="BH44" i="48"/>
  <c r="BI87" i="48"/>
  <c r="AL227" i="48"/>
  <c r="AG16" i="54"/>
  <c r="AF16" i="54"/>
  <c r="AK196" i="48"/>
  <c r="BH56" i="48"/>
  <c r="BI124" i="48"/>
  <c r="AG63" i="54"/>
  <c r="AF63" i="54"/>
  <c r="BI3" i="48"/>
  <c r="AL143" i="48"/>
  <c r="BI41" i="48"/>
  <c r="AL181" i="48"/>
  <c r="AL180" i="48"/>
  <c r="BI40" i="48"/>
  <c r="AL225" i="48"/>
  <c r="BI85" i="48"/>
  <c r="AK187" i="48"/>
  <c r="BH47" i="48"/>
  <c r="BF58" i="48"/>
  <c r="AI198" i="48"/>
  <c r="AL238" i="48"/>
  <c r="BI98" i="48"/>
  <c r="AF146" i="54"/>
  <c r="AG146" i="54"/>
  <c r="AG141" i="54"/>
  <c r="AF141" i="54"/>
  <c r="BI141" i="48"/>
  <c r="BH12" i="48"/>
  <c r="AK152" i="48"/>
  <c r="AF148" i="54"/>
  <c r="AG148" i="54"/>
  <c r="BI105" i="48"/>
  <c r="AL245" i="48"/>
  <c r="BI145" i="48"/>
  <c r="BI114" i="48"/>
  <c r="AL192" i="48"/>
  <c r="BI52" i="48"/>
  <c r="AK159" i="48"/>
  <c r="BH19" i="48"/>
  <c r="BI96" i="48"/>
  <c r="AL236" i="48"/>
  <c r="BI136" i="48"/>
  <c r="BA39" i="48"/>
  <c r="BA79" i="48"/>
  <c r="BA132" i="48"/>
  <c r="BA13" i="48"/>
  <c r="BA109" i="48"/>
  <c r="BA114" i="48"/>
  <c r="BA270" i="48"/>
  <c r="BA186" i="48"/>
  <c r="BA118" i="48"/>
  <c r="BA192" i="48"/>
  <c r="BA221" i="48"/>
  <c r="BA124" i="48"/>
  <c r="BA240" i="48"/>
  <c r="AK172" i="48"/>
  <c r="BH32" i="48"/>
  <c r="BI188" i="48"/>
  <c r="BH83" i="48"/>
  <c r="AK223" i="48"/>
  <c r="AL145" i="48"/>
  <c r="BI5" i="48"/>
  <c r="AI175" i="48"/>
  <c r="BF35" i="48"/>
  <c r="AK210" i="48"/>
  <c r="BH70" i="48"/>
  <c r="BI183" i="48"/>
  <c r="BH52" i="48"/>
  <c r="AK192" i="48"/>
  <c r="AK160" i="48"/>
  <c r="BH20" i="48"/>
  <c r="AI212" i="48"/>
  <c r="BF72" i="48"/>
  <c r="AG203" i="54"/>
  <c r="AF203" i="54"/>
  <c r="BI132" i="48"/>
  <c r="AG28" i="54"/>
  <c r="AF28" i="54"/>
  <c r="BI128" i="48"/>
  <c r="BH55" i="48"/>
  <c r="AK195" i="48"/>
  <c r="BI161" i="48"/>
  <c r="AG181" i="54"/>
  <c r="AF181" i="54"/>
  <c r="AG145" i="54"/>
  <c r="AF145" i="54"/>
  <c r="AL198" i="48"/>
  <c r="BI58" i="48"/>
  <c r="BI193" i="48"/>
  <c r="BI45" i="48"/>
  <c r="AL185" i="48"/>
  <c r="BF48" i="48"/>
  <c r="AI188" i="48"/>
  <c r="AG156" i="54"/>
  <c r="AF156" i="54"/>
  <c r="BF26" i="48"/>
  <c r="AI166" i="48"/>
  <c r="AF17" i="54"/>
  <c r="AG17" i="54"/>
  <c r="AL204" i="48"/>
  <c r="BI64" i="48"/>
  <c r="AF139" i="54"/>
  <c r="AG139" i="54"/>
  <c r="AL209" i="48"/>
  <c r="BI69" i="48"/>
  <c r="AK171" i="48"/>
  <c r="BH31" i="48"/>
  <c r="AG192" i="54"/>
  <c r="AF192" i="54"/>
  <c r="AG125" i="54"/>
  <c r="AF125" i="54"/>
  <c r="BH37" i="48"/>
  <c r="AK177" i="48"/>
  <c r="BI131" i="48"/>
  <c r="AF217" i="54"/>
  <c r="AG217" i="54"/>
  <c r="BI200" i="48"/>
  <c r="AG44" i="54"/>
  <c r="AF44" i="54"/>
  <c r="AG86" i="54"/>
  <c r="AF86" i="54"/>
  <c r="BI165" i="48"/>
  <c r="BI55" i="48"/>
  <c r="AL195" i="48"/>
  <c r="AF59" i="54"/>
  <c r="AG59" i="54"/>
  <c r="BF33" i="48"/>
  <c r="AI173" i="48"/>
  <c r="AG212" i="54"/>
  <c r="AF212" i="54"/>
  <c r="AI174" i="48"/>
  <c r="BF34" i="48"/>
  <c r="AG187" i="54"/>
  <c r="AF187" i="54"/>
  <c r="BA33" i="48"/>
  <c r="BA41" i="48"/>
  <c r="BA26" i="48"/>
  <c r="BA94" i="48"/>
  <c r="BA102" i="48"/>
  <c r="BA196" i="48"/>
  <c r="BA58" i="48"/>
  <c r="BA120" i="48"/>
  <c r="BA255" i="48"/>
  <c r="BA90" i="48"/>
  <c r="AF160" i="54"/>
  <c r="AG160" i="54"/>
  <c r="BF75" i="48"/>
  <c r="AI215" i="48"/>
  <c r="AG52" i="54"/>
  <c r="AF52" i="54"/>
  <c r="AK178" i="48"/>
  <c r="BH38" i="48"/>
  <c r="AF18" i="54"/>
  <c r="AG18" i="54"/>
  <c r="AL165" i="48"/>
  <c r="BI25" i="48"/>
  <c r="BI163" i="48"/>
  <c r="AF24" i="54"/>
  <c r="AG24" i="54"/>
  <c r="AG36" i="54"/>
  <c r="AF36" i="54"/>
  <c r="AK163" i="48"/>
  <c r="BH23" i="48"/>
  <c r="AI199" i="48"/>
  <c r="BF59" i="48"/>
  <c r="AF149" i="54"/>
  <c r="AG149" i="54"/>
  <c r="AF179" i="54"/>
  <c r="AG179" i="54"/>
  <c r="AF213" i="54"/>
  <c r="AG213" i="54"/>
  <c r="AF47" i="54"/>
  <c r="AG47" i="54"/>
  <c r="BI129" i="48"/>
  <c r="BF85" i="48"/>
  <c r="AI225" i="48"/>
  <c r="AG120" i="54"/>
  <c r="AF120" i="54"/>
  <c r="BF81" i="48"/>
  <c r="AI221" i="48"/>
  <c r="BI178" i="48"/>
  <c r="AL173" i="48"/>
  <c r="BI33" i="48"/>
  <c r="BI110" i="48"/>
  <c r="AL250" i="48"/>
  <c r="AI177" i="48"/>
  <c r="BF37" i="48"/>
  <c r="BI168" i="48"/>
  <c r="AG109" i="54"/>
  <c r="AF109" i="54"/>
  <c r="AF129" i="54"/>
  <c r="AG129" i="54"/>
  <c r="AG49" i="54"/>
  <c r="AF49" i="54"/>
  <c r="AG60" i="54"/>
  <c r="AF60" i="54"/>
  <c r="AF163" i="54"/>
  <c r="AG163" i="54"/>
  <c r="BA121" i="48"/>
  <c r="BA85" i="48"/>
  <c r="BA147" i="48"/>
  <c r="BA149" i="48"/>
  <c r="BA23" i="48"/>
  <c r="BA21" i="48"/>
  <c r="BA40" i="48"/>
  <c r="BA276" i="48"/>
  <c r="BA263" i="48"/>
  <c r="BA19" i="48"/>
  <c r="BA223" i="48"/>
  <c r="BA159" i="48"/>
  <c r="BI155" i="48"/>
  <c r="AG103" i="54"/>
  <c r="AF103" i="54"/>
  <c r="AL224" i="48"/>
  <c r="BI84" i="48"/>
  <c r="BF28" i="48"/>
  <c r="AI168" i="48"/>
  <c r="AF171" i="54"/>
  <c r="AG171" i="54"/>
  <c r="AI147" i="48"/>
  <c r="BF7" i="48"/>
  <c r="BI198" i="48"/>
  <c r="AG136" i="54"/>
  <c r="AF136" i="54"/>
  <c r="AG76" i="54"/>
  <c r="AF76" i="54"/>
  <c r="AF56" i="54"/>
  <c r="AG56" i="54"/>
  <c r="AI247" i="48"/>
  <c r="BF107" i="48"/>
  <c r="BI194" i="48"/>
  <c r="AG214" i="54"/>
  <c r="AF214" i="54"/>
  <c r="AG151" i="54"/>
  <c r="AF151" i="54"/>
  <c r="BI115" i="48"/>
  <c r="AF118" i="54"/>
  <c r="AG118" i="54"/>
  <c r="AL151" i="48"/>
  <c r="BI11" i="48"/>
  <c r="AF124" i="54"/>
  <c r="AG124" i="54"/>
  <c r="AK206" i="48"/>
  <c r="BH66" i="48"/>
  <c r="AG197" i="54"/>
  <c r="AF197" i="54"/>
  <c r="BI119" i="48"/>
  <c r="AI206" i="48"/>
  <c r="BF66" i="48"/>
  <c r="AL243" i="48"/>
  <c r="BI103" i="48"/>
  <c r="AF72" i="54"/>
  <c r="AG72" i="54"/>
  <c r="AL210" i="48"/>
  <c r="BI70" i="48"/>
  <c r="AK237" i="48"/>
  <c r="BH97" i="48"/>
  <c r="AK174" i="48"/>
  <c r="BH34" i="48"/>
  <c r="BI169" i="48"/>
  <c r="AG199" i="54"/>
  <c r="AF199" i="54"/>
  <c r="AK226" i="48"/>
  <c r="BH86" i="48"/>
  <c r="AK181" i="48"/>
  <c r="BH41" i="48"/>
  <c r="BI121" i="48"/>
  <c r="BI162" i="48"/>
  <c r="BA6" i="48"/>
  <c r="BA220" i="48"/>
  <c r="BA229" i="48"/>
  <c r="BA95" i="48"/>
  <c r="BA31" i="48"/>
  <c r="BA176" i="48"/>
  <c r="BA155" i="48"/>
  <c r="BA153" i="48"/>
  <c r="BA278" i="48"/>
  <c r="BA116" i="48"/>
  <c r="AL231" i="48"/>
  <c r="BI91" i="48"/>
  <c r="AF219" i="54"/>
  <c r="AG219" i="54"/>
  <c r="AF170" i="54"/>
  <c r="AG170" i="54"/>
  <c r="AF15" i="54"/>
  <c r="AG15" i="54"/>
  <c r="BI9" i="48"/>
  <c r="AL149" i="48"/>
  <c r="AG107" i="54"/>
  <c r="AF107" i="54"/>
  <c r="AK145" i="48"/>
  <c r="BH5" i="48"/>
  <c r="BI171" i="48"/>
  <c r="AG67" i="54"/>
  <c r="AF67" i="54"/>
  <c r="BH88" i="48"/>
  <c r="AK228" i="48"/>
  <c r="BF110" i="48"/>
  <c r="AI250" i="48"/>
  <c r="AG122" i="54"/>
  <c r="AF122" i="54"/>
  <c r="BI89" i="48"/>
  <c r="AL229" i="48"/>
  <c r="AF132" i="54"/>
  <c r="AG132" i="54"/>
  <c r="AF133" i="54"/>
  <c r="AG133" i="54"/>
  <c r="BH40" i="48"/>
  <c r="AK180" i="48"/>
  <c r="AG42" i="54"/>
  <c r="AF42" i="54"/>
  <c r="BI10" i="48"/>
  <c r="AL150" i="48"/>
  <c r="BI117" i="48"/>
  <c r="AK179" i="48"/>
  <c r="BH39" i="48"/>
  <c r="BF27" i="48"/>
  <c r="AI167" i="48"/>
  <c r="AF111" i="54"/>
  <c r="AG111" i="54"/>
  <c r="AF4" i="54"/>
  <c r="AG4" i="54"/>
  <c r="AG194" i="54"/>
  <c r="AF194" i="54"/>
  <c r="AF80" i="54"/>
  <c r="AG80" i="54"/>
  <c r="AF193" i="54"/>
  <c r="AG193" i="54"/>
  <c r="AF175" i="54"/>
  <c r="AG175" i="54"/>
  <c r="BI130" i="48"/>
  <c r="BI59" i="48"/>
  <c r="AL199" i="48"/>
  <c r="AF188" i="54"/>
  <c r="AG188" i="54"/>
  <c r="BF108" i="48"/>
  <c r="AI248" i="48"/>
  <c r="AF216" i="54"/>
  <c r="AG216" i="54"/>
  <c r="AI203" i="48"/>
  <c r="BF63" i="48"/>
  <c r="AF106" i="54"/>
  <c r="AG106" i="54"/>
  <c r="BI190" i="48"/>
  <c r="AI233" i="48"/>
  <c r="BF93" i="48"/>
  <c r="AF206" i="54"/>
  <c r="AG206" i="54"/>
  <c r="BA59" i="48"/>
  <c r="AI200" i="48"/>
  <c r="BF60" i="48"/>
  <c r="BI127" i="48"/>
  <c r="AI180" i="48"/>
  <c r="BF40" i="48"/>
  <c r="BA219" i="48"/>
  <c r="BA238" i="48"/>
  <c r="AK209" i="48"/>
  <c r="BH69" i="48"/>
  <c r="AL167" i="48"/>
  <c r="BI27" i="48"/>
  <c r="AG6" i="54"/>
  <c r="AF6" i="54"/>
  <c r="AG12" i="54"/>
  <c r="AF12" i="54"/>
  <c r="AG165" i="54"/>
  <c r="AF165" i="54"/>
  <c r="BH104" i="48"/>
  <c r="AK244" i="48"/>
  <c r="AL208" i="48"/>
  <c r="BI68" i="48"/>
  <c r="BI19" i="48"/>
  <c r="AL159" i="48"/>
  <c r="BI74" i="48"/>
  <c r="AL214" i="48"/>
  <c r="BI177" i="48"/>
  <c r="AI194" i="48"/>
  <c r="BF54" i="48"/>
  <c r="AI224" i="48"/>
  <c r="BF84" i="48"/>
  <c r="AL189" i="48"/>
  <c r="BI49" i="48"/>
  <c r="BH77" i="48"/>
  <c r="AK217" i="48"/>
  <c r="AI186" i="48"/>
  <c r="BF46" i="48"/>
  <c r="AL230" i="48"/>
  <c r="BI90" i="48"/>
  <c r="BI120" i="48"/>
  <c r="AG127" i="54"/>
  <c r="AF127" i="54"/>
  <c r="BI185" i="48"/>
  <c r="BF71" i="48"/>
  <c r="AI211" i="48"/>
  <c r="AI158" i="48"/>
  <c r="BF18" i="48"/>
  <c r="BI152" i="48"/>
  <c r="AF88" i="54"/>
  <c r="AG88" i="54"/>
  <c r="AF30" i="54"/>
  <c r="AG30" i="54"/>
  <c r="AK233" i="48"/>
  <c r="BH93" i="48"/>
  <c r="AG164" i="54"/>
  <c r="AF164" i="54"/>
  <c r="BA69" i="48"/>
  <c r="BA201" i="48"/>
  <c r="BA204" i="48"/>
  <c r="BA266" i="48"/>
  <c r="BA273" i="48"/>
  <c r="BA158" i="48"/>
  <c r="BA226" i="48"/>
  <c r="BA156" i="48"/>
  <c r="BA106" i="48"/>
  <c r="BH59" i="48"/>
  <c r="AK199" i="48"/>
  <c r="BI113" i="48"/>
  <c r="BI23" i="48"/>
  <c r="AL163" i="48"/>
  <c r="BF13" i="48"/>
  <c r="AI153" i="48"/>
  <c r="AF140" i="54"/>
  <c r="AG140" i="54"/>
  <c r="AG202" i="54"/>
  <c r="AF202" i="54"/>
  <c r="AK201" i="48"/>
  <c r="BH61" i="48"/>
  <c r="BH106" i="48"/>
  <c r="AK246" i="48"/>
  <c r="AK215" i="48"/>
  <c r="BH75" i="48"/>
  <c r="AI190" i="48"/>
  <c r="BF50" i="48"/>
  <c r="AG113" i="54"/>
  <c r="AF113" i="54"/>
  <c r="BF38" i="48"/>
  <c r="AI178" i="48"/>
  <c r="BF43" i="48"/>
  <c r="AI183" i="48"/>
  <c r="AI144" i="48"/>
  <c r="BF4" i="48"/>
  <c r="AG58" i="54"/>
  <c r="AF58" i="54"/>
  <c r="AF152" i="54"/>
  <c r="AG152" i="54"/>
  <c r="AK162" i="48"/>
  <c r="BH22" i="48"/>
  <c r="AF155" i="54"/>
  <c r="AG155" i="54"/>
  <c r="AI214" i="48"/>
  <c r="BF74" i="48"/>
  <c r="AL176" i="48"/>
  <c r="BI36" i="48"/>
  <c r="AK250" i="48"/>
  <c r="BH110" i="48"/>
  <c r="AK151" i="48"/>
  <c r="BH11" i="48"/>
  <c r="AI204" i="48"/>
  <c r="BF64" i="48"/>
  <c r="BI39" i="48"/>
  <c r="AL179" i="48"/>
  <c r="BA8" i="48"/>
  <c r="BA228" i="48"/>
  <c r="BA104" i="48"/>
  <c r="BA35" i="48"/>
  <c r="BA3" i="48"/>
  <c r="BA43" i="48"/>
  <c r="BH92" i="48"/>
  <c r="AK232" i="48"/>
  <c r="AG92" i="54"/>
  <c r="AF92" i="54"/>
  <c r="AG215" i="54"/>
  <c r="AF215" i="54"/>
  <c r="BI50" i="48"/>
  <c r="AL190" i="48"/>
  <c r="AG168" i="54"/>
  <c r="AF168" i="54"/>
  <c r="AI208" i="48"/>
  <c r="BF68" i="48"/>
  <c r="AK173" i="48"/>
  <c r="BH33" i="48"/>
  <c r="AK146" i="48"/>
  <c r="BH6" i="48"/>
  <c r="BI172" i="48"/>
  <c r="AG38" i="54"/>
  <c r="AF38" i="54"/>
  <c r="BH101" i="48"/>
  <c r="AK241" i="48"/>
  <c r="AI239" i="48"/>
  <c r="BF99" i="48"/>
  <c r="BI125" i="48"/>
  <c r="AF55" i="54"/>
  <c r="AG55" i="54"/>
  <c r="BF42" i="48"/>
  <c r="AI182" i="48"/>
  <c r="BI137" i="48"/>
  <c r="AF93" i="54"/>
  <c r="AG93" i="54"/>
  <c r="BI148" i="48"/>
  <c r="BI150" i="48"/>
  <c r="AG87" i="54"/>
  <c r="AF87" i="54"/>
  <c r="AG27" i="54"/>
  <c r="AF27" i="54"/>
  <c r="AI226" i="48"/>
  <c r="BF86" i="48"/>
  <c r="AG68" i="54"/>
  <c r="AF68" i="54"/>
  <c r="AF74" i="54"/>
  <c r="AG74" i="54"/>
  <c r="AG114" i="54"/>
  <c r="AF114" i="54"/>
  <c r="AL212" i="48"/>
  <c r="BI72" i="48"/>
  <c r="BI116" i="48"/>
  <c r="BI173" i="48"/>
  <c r="AI244" i="48"/>
  <c r="BF104" i="48"/>
  <c r="AF20" i="54"/>
  <c r="AG20" i="54"/>
  <c r="BI166" i="48"/>
  <c r="AF173" i="54"/>
  <c r="AG173" i="54"/>
  <c r="BA148" i="48"/>
  <c r="AI249" i="48"/>
  <c r="BF109" i="48"/>
  <c r="BF100" i="48"/>
  <c r="AI240" i="48"/>
  <c r="BI12" i="48"/>
  <c r="AL152" i="48"/>
  <c r="AL221" i="48"/>
  <c r="BI81" i="48"/>
  <c r="BA265" i="48"/>
  <c r="BI88" i="48"/>
  <c r="AL228" i="48"/>
  <c r="BH50" i="48"/>
  <c r="AK190" i="48"/>
  <c r="BF22" i="48"/>
  <c r="AI162" i="48"/>
  <c r="AI150" i="48"/>
  <c r="BF10" i="48"/>
  <c r="BH3" i="48"/>
  <c r="AK143" i="48"/>
  <c r="AF26" i="54"/>
  <c r="AG26" i="54"/>
  <c r="AI152" i="48"/>
  <c r="BF12" i="48"/>
  <c r="BH15" i="48"/>
  <c r="AK155" i="48"/>
  <c r="AF62" i="54"/>
  <c r="AG62" i="54"/>
  <c r="AF162" i="54"/>
  <c r="AG162" i="54"/>
  <c r="BF91" i="48"/>
  <c r="AI231" i="48"/>
  <c r="BI191" i="48"/>
  <c r="AG65" i="54"/>
  <c r="AF65" i="54"/>
  <c r="AI176" i="48"/>
  <c r="BF36" i="48"/>
  <c r="AG174" i="54"/>
  <c r="AF174" i="54"/>
  <c r="AI187" i="48"/>
  <c r="BF47" i="48"/>
  <c r="AL240" i="48"/>
  <c r="BI100" i="48"/>
  <c r="AL234" i="48"/>
  <c r="BI94" i="48"/>
  <c r="AG198" i="54"/>
  <c r="AF198" i="54"/>
  <c r="BI14" i="48"/>
  <c r="AL154" i="48"/>
  <c r="BI189" i="48"/>
  <c r="AG138" i="54"/>
  <c r="AF138" i="54"/>
  <c r="BA60" i="48"/>
  <c r="BA175" i="48"/>
  <c r="BA53" i="48"/>
  <c r="BA117" i="48"/>
  <c r="BA160" i="48"/>
  <c r="BA48" i="48"/>
  <c r="BA28" i="48"/>
  <c r="BA123" i="48"/>
  <c r="BA195" i="48"/>
  <c r="BA213" i="48"/>
  <c r="BA87" i="48"/>
  <c r="BF5" i="48"/>
  <c r="AI145" i="48"/>
  <c r="BI156" i="48"/>
  <c r="BH108" i="48"/>
  <c r="AK248" i="48"/>
  <c r="BI174" i="48"/>
  <c r="BI123" i="48"/>
  <c r="AF211" i="54"/>
  <c r="AG211" i="54"/>
  <c r="AK240" i="48"/>
  <c r="BH100" i="48"/>
  <c r="AG78" i="54"/>
  <c r="AF78" i="54"/>
  <c r="AF77" i="54"/>
  <c r="AG77" i="54"/>
  <c r="BI157" i="48"/>
  <c r="AG191" i="54"/>
  <c r="AF191" i="54"/>
  <c r="BH67" i="48"/>
  <c r="AK207" i="48"/>
  <c r="AK236" i="48"/>
  <c r="BH96" i="48"/>
  <c r="AK221" i="48"/>
  <c r="BH81" i="48"/>
  <c r="AF208" i="54"/>
  <c r="AG208" i="54"/>
  <c r="AF182" i="54"/>
  <c r="AG182" i="54"/>
  <c r="BI92" i="48"/>
  <c r="AL232" i="48"/>
  <c r="BI135" i="48"/>
  <c r="BF9" i="48"/>
  <c r="AI149" i="48"/>
  <c r="BI160" i="48"/>
  <c r="BH16" i="48"/>
  <c r="AK156" i="48"/>
  <c r="BI6" i="48"/>
  <c r="AL146" i="48"/>
  <c r="BI63" i="48"/>
  <c r="AL203" i="48"/>
  <c r="AI170" i="48"/>
  <c r="BF30" i="48"/>
  <c r="AF22" i="54"/>
  <c r="AG22" i="54"/>
  <c r="AK198" i="48"/>
  <c r="BH58" i="48"/>
  <c r="AK204" i="48"/>
  <c r="BH64" i="48"/>
  <c r="AL193" i="48"/>
  <c r="BI53" i="48"/>
  <c r="AL161" i="48"/>
  <c r="BI21" i="48"/>
  <c r="AI205" i="48"/>
  <c r="BF65" i="48"/>
  <c r="BH13" i="48"/>
  <c r="AK153" i="48"/>
  <c r="BH53" i="48"/>
  <c r="AK193" i="48"/>
  <c r="AG147" i="54"/>
  <c r="AF147" i="54"/>
  <c r="BH60" i="48"/>
  <c r="AK200" i="48"/>
  <c r="BA105" i="48"/>
  <c r="BA264" i="48"/>
  <c r="BI197" i="48"/>
  <c r="AL202" i="48"/>
  <c r="BI62" i="48"/>
  <c r="BI180" i="48"/>
  <c r="AF91" i="54"/>
  <c r="AG91" i="54"/>
  <c r="AK154" i="48"/>
  <c r="BH14" i="48"/>
  <c r="AG99" i="54"/>
  <c r="AF99" i="54"/>
  <c r="BI8" i="48"/>
  <c r="AL148" i="48"/>
  <c r="AI165" i="48"/>
  <c r="BF25" i="48"/>
  <c r="BH27" i="48"/>
  <c r="AK167" i="48"/>
  <c r="BI51" i="48"/>
  <c r="AL191" i="48"/>
  <c r="BF19" i="48"/>
  <c r="AI159" i="48"/>
  <c r="AI191" i="48"/>
  <c r="BF51" i="48"/>
  <c r="AK213" i="48"/>
  <c r="BH73" i="48"/>
  <c r="AF31" i="54"/>
  <c r="AG31" i="54"/>
  <c r="AK224" i="48"/>
  <c r="BH84" i="48"/>
  <c r="AF205" i="54"/>
  <c r="AG205" i="54"/>
  <c r="BI151" i="48"/>
  <c r="AG200" i="54"/>
  <c r="AF200" i="54"/>
  <c r="BI75" i="48"/>
  <c r="AL215" i="48"/>
  <c r="BI142" i="48"/>
  <c r="AK211" i="48"/>
  <c r="BH71" i="48"/>
  <c r="BI83" i="48"/>
  <c r="AL223" i="48"/>
  <c r="BI56" i="48"/>
  <c r="AL196" i="48"/>
  <c r="AI189" i="48"/>
  <c r="BF49" i="48"/>
  <c r="BA142" i="48"/>
  <c r="BA203" i="48"/>
  <c r="BA183" i="48"/>
  <c r="BA108" i="48"/>
  <c r="BA188" i="48"/>
  <c r="BA101" i="48"/>
  <c r="BA130" i="48"/>
  <c r="BA22" i="48"/>
  <c r="BA262" i="48"/>
  <c r="AK147" i="48"/>
  <c r="BH7" i="48"/>
  <c r="AF178" i="54"/>
  <c r="AG178" i="54"/>
  <c r="BF105" i="48"/>
  <c r="AI245" i="48"/>
  <c r="AI246" i="48"/>
  <c r="BF106" i="48"/>
  <c r="AI232" i="48"/>
  <c r="BF92" i="48"/>
  <c r="AF37" i="54"/>
  <c r="AG37" i="54"/>
  <c r="AL182" i="48"/>
  <c r="BI42" i="48"/>
  <c r="AG154" i="54"/>
  <c r="AF154" i="54"/>
  <c r="BI134" i="48"/>
  <c r="BF69" i="48"/>
  <c r="AI209" i="48"/>
  <c r="AI207" i="48"/>
  <c r="BF67" i="48"/>
  <c r="BH36" i="48"/>
  <c r="AK176" i="48"/>
  <c r="BH111" i="48"/>
  <c r="AK251" i="48"/>
  <c r="BF88" i="48"/>
  <c r="AI228" i="48"/>
  <c r="AF54" i="54"/>
  <c r="AG54" i="54"/>
  <c r="BI118" i="48"/>
  <c r="AG29" i="54"/>
  <c r="AF29" i="54"/>
  <c r="AG98" i="54"/>
  <c r="AF98" i="54"/>
  <c r="AF43" i="54"/>
  <c r="AG43" i="54"/>
  <c r="BI16" i="48"/>
  <c r="AL156" i="48"/>
  <c r="BI167" i="48"/>
  <c r="AF116" i="54"/>
  <c r="AG116" i="54"/>
  <c r="BH10" i="48"/>
  <c r="AK150" i="48"/>
  <c r="BI18" i="48"/>
  <c r="AL158" i="48"/>
  <c r="BH9" i="48"/>
  <c r="AK149" i="48"/>
  <c r="AF150" i="54"/>
  <c r="AG150" i="54"/>
  <c r="BI139" i="48"/>
  <c r="AF82" i="54"/>
  <c r="AG82" i="54"/>
  <c r="AF96" i="54"/>
  <c r="AG96" i="54"/>
  <c r="BI24" i="48"/>
  <c r="AL164" i="48"/>
  <c r="AF5" i="54"/>
  <c r="AG5" i="54"/>
  <c r="BI201" i="48"/>
  <c r="BA78" i="48"/>
  <c r="BA66" i="48"/>
  <c r="BA216" i="48"/>
  <c r="BA164" i="48"/>
  <c r="AI235" i="48"/>
  <c r="BF95" i="48"/>
  <c r="BH25" i="48"/>
  <c r="AK165" i="48"/>
  <c r="AG195" i="54"/>
  <c r="AF195" i="54"/>
  <c r="AI219" i="48"/>
  <c r="BF79" i="48"/>
  <c r="AL235" i="48"/>
  <c r="BI95" i="48"/>
  <c r="BI196" i="48"/>
  <c r="AI157" i="48"/>
  <c r="BF17" i="48"/>
  <c r="AG9" i="54"/>
  <c r="AF9" i="54"/>
  <c r="AK239" i="48"/>
  <c r="BH99" i="48"/>
  <c r="AK158" i="48"/>
  <c r="BH18" i="48"/>
  <c r="AK208" i="48"/>
  <c r="BH68" i="48"/>
  <c r="AK242" i="48"/>
  <c r="BH102" i="48"/>
  <c r="AF25" i="54"/>
  <c r="AG25" i="54"/>
  <c r="BH74" i="48"/>
  <c r="AK214" i="48"/>
  <c r="AG100" i="54"/>
  <c r="AF100" i="54"/>
  <c r="BF62" i="48"/>
  <c r="AI202" i="48"/>
  <c r="BH49" i="48"/>
  <c r="AK189" i="48"/>
  <c r="BH35" i="48"/>
  <c r="AK175" i="48"/>
  <c r="AK194" i="48"/>
  <c r="BH54" i="48"/>
  <c r="AI243" i="48"/>
  <c r="BF103" i="48"/>
  <c r="AG64" i="54"/>
  <c r="AF64" i="54"/>
  <c r="BH30" i="48"/>
  <c r="AK170" i="48"/>
  <c r="AI227" i="48"/>
  <c r="BF87" i="48"/>
  <c r="AG95" i="54"/>
  <c r="AF95" i="54"/>
  <c r="BI29" i="48"/>
  <c r="AL169" i="48"/>
  <c r="AK245" i="48"/>
  <c r="BH105" i="48"/>
  <c r="AL175" i="48"/>
  <c r="BI35" i="48"/>
  <c r="AL249" i="48"/>
  <c r="BI109" i="48"/>
  <c r="AG73" i="54"/>
  <c r="AF73" i="54"/>
  <c r="BH8" i="48"/>
  <c r="AK148" i="48"/>
  <c r="BA224" i="48"/>
  <c r="BA167" i="48"/>
  <c r="BA254" i="48"/>
  <c r="BA97" i="48"/>
  <c r="BA55" i="48"/>
  <c r="BA252" i="48"/>
  <c r="BA136" i="48"/>
  <c r="BA12" i="48"/>
  <c r="BA128" i="48"/>
  <c r="BA208" i="48"/>
  <c r="AL147" i="48"/>
  <c r="BI7" i="48"/>
  <c r="AF70" i="54"/>
  <c r="AG70" i="54"/>
  <c r="AI179" i="48"/>
  <c r="BF39" i="48"/>
  <c r="AL172" i="48"/>
  <c r="BI32" i="48"/>
  <c r="AI210" i="48"/>
  <c r="BF70" i="48"/>
  <c r="AK191" i="48"/>
  <c r="BH51" i="48"/>
  <c r="AF2" i="54"/>
  <c r="AG2" i="54"/>
  <c r="BI28" i="48"/>
  <c r="AL168" i="48"/>
  <c r="AF153" i="54"/>
  <c r="AG153" i="54"/>
  <c r="BI37" i="48"/>
  <c r="AL177" i="48"/>
  <c r="AF45" i="54"/>
  <c r="AG45" i="54"/>
  <c r="AF157" i="54"/>
  <c r="AG157" i="54"/>
  <c r="AG176" i="54"/>
  <c r="AF176" i="54"/>
  <c r="AG130" i="54"/>
  <c r="AF130" i="54"/>
  <c r="AF115" i="54"/>
  <c r="AG115" i="54"/>
  <c r="AL242" i="48"/>
  <c r="BI102" i="48"/>
  <c r="AG108" i="54"/>
  <c r="AF108" i="54"/>
  <c r="AI195" i="48"/>
  <c r="BF55" i="48"/>
  <c r="AL197" i="48"/>
  <c r="BI57" i="48"/>
  <c r="AL220" i="48"/>
  <c r="BI80" i="48"/>
  <c r="BI146" i="48"/>
  <c r="AK225" i="48"/>
  <c r="BH85" i="48"/>
  <c r="AG204" i="54"/>
  <c r="AF204" i="54"/>
  <c r="AF51" i="54"/>
  <c r="AG51" i="54"/>
  <c r="BH4" i="48"/>
  <c r="AK144" i="48"/>
  <c r="AI220" i="48"/>
  <c r="BF80" i="48"/>
  <c r="AF33" i="54"/>
  <c r="AG33" i="54"/>
  <c r="BI181" i="48"/>
  <c r="AG131" i="54"/>
  <c r="AF131" i="54"/>
  <c r="AK205" i="48"/>
  <c r="BH65" i="48"/>
  <c r="BA166" i="48"/>
  <c r="AG97" i="54"/>
  <c r="AF97" i="54"/>
  <c r="BI4" i="48"/>
  <c r="AL144" i="48"/>
  <c r="AL153" i="48"/>
  <c r="BI13" i="48"/>
  <c r="BF73" i="48"/>
  <c r="AI213" i="48"/>
  <c r="AK243" i="48"/>
  <c r="BH103" i="48"/>
  <c r="AL233" i="48"/>
  <c r="BI93" i="48"/>
  <c r="BA234" i="48"/>
  <c r="AK182" i="48"/>
  <c r="BH42" i="48"/>
  <c r="BI187" i="48"/>
  <c r="BI44" i="48"/>
  <c r="AL184" i="48"/>
  <c r="AG7" i="54"/>
  <c r="AF7" i="54"/>
  <c r="AM138" i="47"/>
  <c r="AM130" i="47"/>
  <c r="AM108" i="47"/>
  <c r="AM182" i="47"/>
  <c r="AM185" i="47"/>
  <c r="AM105" i="47"/>
  <c r="AM151" i="47"/>
  <c r="AM159" i="47"/>
  <c r="AM143" i="47"/>
  <c r="AM124" i="47"/>
  <c r="AM177" i="47"/>
  <c r="AM153" i="47"/>
  <c r="AM112" i="47"/>
  <c r="AM178" i="47"/>
  <c r="AM131" i="47"/>
  <c r="AM115" i="47"/>
  <c r="AM179" i="47"/>
  <c r="AM109" i="47"/>
  <c r="AM104" i="47"/>
  <c r="AM184" i="47"/>
  <c r="AM120" i="47"/>
  <c r="AM139" i="47"/>
  <c r="AM162" i="47"/>
  <c r="AM180" i="47"/>
  <c r="AM111" i="47"/>
  <c r="AM148" i="47"/>
  <c r="AM119" i="47"/>
  <c r="AM171" i="47"/>
  <c r="AM166" i="47"/>
  <c r="AM181" i="47"/>
  <c r="AM175" i="47"/>
  <c r="AM144" i="47"/>
  <c r="AM165" i="47"/>
  <c r="AM163" i="47"/>
  <c r="AM155" i="47"/>
  <c r="AM145" i="47"/>
  <c r="AM147" i="47"/>
  <c r="AM149" i="47"/>
  <c r="AM133" i="47"/>
  <c r="AM103" i="47"/>
  <c r="AM164" i="47"/>
  <c r="AM110" i="47"/>
  <c r="AM146" i="47"/>
  <c r="AM157" i="47"/>
  <c r="AM169" i="47"/>
  <c r="AM114" i="47"/>
  <c r="AM140" i="47"/>
  <c r="AM134" i="47"/>
  <c r="AM152" i="47"/>
  <c r="AM121" i="47"/>
  <c r="AM167" i="47"/>
  <c r="AM126" i="47"/>
  <c r="AM106" i="47"/>
  <c r="AM174" i="47"/>
  <c r="AM125" i="47"/>
  <c r="AM176" i="47"/>
  <c r="AM127" i="47"/>
  <c r="AM107" i="47"/>
  <c r="AM137" i="47"/>
  <c r="AM170" i="47"/>
  <c r="AM118" i="47"/>
  <c r="AM142" i="47"/>
  <c r="AM128" i="47"/>
  <c r="AM156" i="47"/>
  <c r="AM141" i="47"/>
  <c r="AM116" i="47"/>
  <c r="AM172" i="47"/>
  <c r="AM113" i="47"/>
  <c r="AM136" i="47"/>
  <c r="AM117" i="47"/>
  <c r="AM150" i="47"/>
  <c r="AM173" i="47"/>
  <c r="AM132" i="47"/>
  <c r="AM161" i="47"/>
  <c r="AM183" i="47"/>
  <c r="AM122" i="47"/>
  <c r="AM135" i="47"/>
  <c r="AM160" i="47"/>
  <c r="AM129" i="47"/>
  <c r="AM158" i="47"/>
  <c r="AM123" i="47"/>
  <c r="AM168" i="47"/>
  <c r="AM154" i="47"/>
  <c r="AM186" i="47"/>
  <c r="AM187" i="47"/>
  <c r="AM188" i="47"/>
  <c r="AM320" i="47"/>
  <c r="AM297" i="47"/>
  <c r="AM255" i="47"/>
  <c r="AM326" i="47"/>
  <c r="AM306" i="47"/>
  <c r="AM275" i="47"/>
  <c r="AM238" i="47"/>
  <c r="AM198" i="47"/>
  <c r="AM233" i="47"/>
  <c r="AM252" i="47"/>
  <c r="AM287" i="47"/>
  <c r="AM202" i="47"/>
  <c r="AM262" i="47"/>
  <c r="AM309" i="47"/>
  <c r="AM248" i="47"/>
  <c r="AM244" i="47"/>
  <c r="AM295" i="47"/>
  <c r="AM261" i="47"/>
  <c r="AM220" i="47"/>
  <c r="AM327" i="47"/>
  <c r="AM282" i="47"/>
  <c r="AM316" i="47"/>
  <c r="AM303" i="47"/>
  <c r="AM301" i="47"/>
  <c r="AM268" i="47"/>
  <c r="AM253" i="47"/>
  <c r="AM204" i="47"/>
  <c r="AM247" i="47"/>
  <c r="AM254" i="47"/>
  <c r="AM217" i="47"/>
  <c r="AM311" i="47"/>
  <c r="AM318" i="47"/>
  <c r="AM226" i="47"/>
  <c r="AM305" i="47"/>
  <c r="AM230" i="47"/>
  <c r="AM285" i="47"/>
  <c r="AM215" i="47"/>
  <c r="AM324" i="47"/>
  <c r="AM308" i="47"/>
  <c r="AM304" i="47"/>
  <c r="AM258" i="47"/>
  <c r="AM240" i="47"/>
  <c r="AM196" i="47"/>
  <c r="AM212" i="47"/>
  <c r="AM228" i="47"/>
  <c r="AM242" i="47"/>
  <c r="AM277" i="47"/>
  <c r="AM232" i="47"/>
  <c r="AM319" i="47"/>
  <c r="AM209" i="47"/>
  <c r="AM272" i="47"/>
  <c r="AM223" i="47"/>
  <c r="AM241" i="47"/>
  <c r="AM263" i="47"/>
  <c r="AM315" i="47"/>
  <c r="AM289" i="47"/>
  <c r="AM314" i="47"/>
  <c r="AM256" i="47"/>
  <c r="AM269" i="47"/>
  <c r="AM322" i="47"/>
  <c r="AM299" i="47"/>
  <c r="AM210" i="47"/>
  <c r="AM197" i="47"/>
  <c r="AM279" i="47"/>
  <c r="AM249" i="47"/>
  <c r="AM264" i="47"/>
  <c r="AM200" i="47"/>
  <c r="AM199" i="47"/>
  <c r="AM292" i="47"/>
  <c r="AM302" i="47"/>
  <c r="AM237" i="47"/>
  <c r="AM266" i="47"/>
  <c r="AM205" i="47"/>
  <c r="AM293" i="47"/>
  <c r="AM300" i="47"/>
  <c r="AM313" i="47"/>
  <c r="AM323" i="47"/>
  <c r="AM325" i="47"/>
  <c r="AM227" i="47"/>
  <c r="AM221" i="47"/>
  <c r="AM307" i="47"/>
  <c r="AM312" i="47"/>
  <c r="AM294" i="47"/>
  <c r="AM251" i="47"/>
  <c r="AM224" i="47"/>
  <c r="AM239" i="47"/>
  <c r="AM298" i="47"/>
  <c r="AM203" i="47"/>
  <c r="AM296" i="47"/>
  <c r="AM270" i="47"/>
  <c r="AM290" i="47"/>
  <c r="AM190" i="47"/>
  <c r="AM310" i="47"/>
  <c r="AM281" i="47"/>
  <c r="AM234" i="47"/>
  <c r="AM218" i="47"/>
  <c r="AM191" i="47"/>
  <c r="AM291" i="47"/>
  <c r="AM193" i="47"/>
  <c r="AM195" i="47"/>
  <c r="AM257" i="47"/>
  <c r="AM229" i="47"/>
  <c r="AM286" i="47"/>
  <c r="AM243" i="47"/>
  <c r="AM259" i="47"/>
  <c r="AM317" i="47"/>
  <c r="AM278" i="47"/>
  <c r="AM206" i="47"/>
  <c r="AM214" i="47"/>
  <c r="AM284" i="47"/>
  <c r="AM235" i="47"/>
  <c r="AM236" i="47"/>
  <c r="AM276" i="47"/>
  <c r="AM213" i="47"/>
  <c r="AM260" i="47"/>
  <c r="AM189" i="47"/>
  <c r="AM211" i="47"/>
  <c r="AM283" i="47"/>
  <c r="AM288" i="47"/>
  <c r="AM225" i="47"/>
  <c r="AM271" i="47"/>
  <c r="AM231" i="47"/>
  <c r="AM219" i="47"/>
  <c r="AM250" i="47"/>
  <c r="AM273" i="47"/>
  <c r="AM201" i="47"/>
  <c r="AM192" i="47"/>
  <c r="AM280" i="47"/>
  <c r="AM194" i="47"/>
  <c r="AM222" i="47"/>
  <c r="AM267" i="47"/>
  <c r="AM216" i="47"/>
  <c r="AM208" i="47"/>
  <c r="AM245" i="47"/>
  <c r="AM321" i="47"/>
  <c r="AM207" i="47"/>
  <c r="AM265" i="47"/>
  <c r="AM246" i="47"/>
  <c r="AM274" i="47"/>
  <c r="AI223" i="48"/>
  <c r="BF83" i="48"/>
  <c r="AL201" i="48"/>
  <c r="BI61" i="48"/>
  <c r="AI236" i="48"/>
  <c r="BF96" i="48"/>
  <c r="BI133" i="48"/>
  <c r="AF185" i="54"/>
  <c r="AG185" i="54"/>
  <c r="BJ143" i="48"/>
  <c r="BI143" i="48"/>
  <c r="BI158" i="48"/>
  <c r="BH57" i="48"/>
  <c r="AK197" i="48"/>
  <c r="AG71" i="54"/>
  <c r="AF71" i="54"/>
  <c r="AF221" i="54"/>
  <c r="AG221" i="54"/>
  <c r="AK161" i="48"/>
  <c r="BH21" i="48"/>
  <c r="BH87" i="48"/>
  <c r="AK227" i="48"/>
  <c r="AK247" i="48"/>
  <c r="BH107" i="48"/>
  <c r="BH79" i="48"/>
  <c r="AK219" i="48"/>
  <c r="BI47" i="48"/>
  <c r="AL187" i="48"/>
  <c r="AF101" i="54"/>
  <c r="AG101" i="54"/>
  <c r="BI140" i="48"/>
  <c r="AL246" i="48"/>
  <c r="BI106" i="48"/>
  <c r="BI176" i="48"/>
  <c r="BI30" i="48"/>
  <c r="AL170" i="48"/>
  <c r="AI160" i="48"/>
  <c r="BF20" i="48"/>
  <c r="AF10" i="54"/>
  <c r="AG10" i="54"/>
  <c r="AF89" i="54"/>
  <c r="AG89" i="54"/>
  <c r="AF46" i="54"/>
  <c r="AG46" i="54"/>
  <c r="BA86" i="48"/>
  <c r="BA218" i="48"/>
  <c r="BA30" i="48"/>
  <c r="BA281" i="48"/>
  <c r="BA199" i="48"/>
  <c r="BA146" i="48"/>
  <c r="BA251" i="48"/>
  <c r="BA157" i="48"/>
  <c r="BA205" i="48"/>
  <c r="BA107" i="48"/>
  <c r="BA83" i="48"/>
  <c r="BA67" i="48"/>
  <c r="BA197" i="48"/>
  <c r="BA139" i="48"/>
  <c r="BA245" i="48"/>
  <c r="BA145" i="48"/>
  <c r="AG218" i="54"/>
  <c r="AF218" i="54"/>
  <c r="AG117" i="54"/>
  <c r="AF117" i="54"/>
  <c r="AL162" i="48"/>
  <c r="BI22" i="48"/>
  <c r="AG79" i="54"/>
  <c r="AF79" i="54"/>
  <c r="BF57" i="48"/>
  <c r="AI197" i="48"/>
  <c r="AG172" i="54"/>
  <c r="AF172" i="54"/>
  <c r="AG196" i="54"/>
  <c r="AF196" i="54"/>
  <c r="AL222" i="48"/>
  <c r="BI82" i="48"/>
  <c r="AG137" i="54"/>
  <c r="AF137" i="54"/>
  <c r="AL207" i="48"/>
  <c r="BI67" i="48"/>
  <c r="AG128" i="54"/>
  <c r="AF128" i="54"/>
  <c r="BF111" i="48"/>
  <c r="AI251" i="48"/>
  <c r="BH98" i="48"/>
  <c r="AK238" i="48"/>
  <c r="BI76" i="48"/>
  <c r="AL216" i="48"/>
  <c r="AG184" i="54"/>
  <c r="AF184" i="54"/>
  <c r="AF220" i="54"/>
  <c r="AG220" i="54"/>
  <c r="BI192" i="48"/>
  <c r="BI147" i="48"/>
  <c r="AF144" i="54"/>
  <c r="AG144" i="54"/>
  <c r="BI144" i="48"/>
  <c r="AG135" i="54"/>
  <c r="AF135" i="54"/>
  <c r="BF21" i="48"/>
  <c r="AI161" i="48"/>
  <c r="AF40" i="54"/>
  <c r="AG40" i="54"/>
  <c r="AG69" i="54"/>
  <c r="AF69" i="54"/>
  <c r="AK249" i="48"/>
  <c r="BH109" i="48"/>
  <c r="AK166" i="48"/>
  <c r="BH26" i="48"/>
  <c r="BA247" i="48"/>
  <c r="BA144" i="48"/>
  <c r="BA140" i="48"/>
  <c r="AK235" i="48"/>
  <c r="BH95" i="48"/>
  <c r="AF121" i="54"/>
  <c r="AG121" i="54"/>
  <c r="BA127" i="48"/>
  <c r="BA50" i="48"/>
  <c r="BA135" i="48"/>
  <c r="AG23" i="54"/>
  <c r="AF23" i="54"/>
  <c r="AG126" i="54"/>
  <c r="AF126" i="54"/>
  <c r="AG142" i="54"/>
  <c r="AF142" i="54"/>
  <c r="BH48" i="48"/>
  <c r="AK188" i="48"/>
  <c r="AK220" i="48"/>
  <c r="BH80" i="48"/>
  <c r="BI126" i="48"/>
  <c r="BI34" i="48"/>
  <c r="AL174" i="48"/>
  <c r="BI26" i="48"/>
  <c r="AL166" i="48"/>
  <c r="AG159" i="54"/>
  <c r="AF159" i="54"/>
  <c r="AF143" i="54"/>
  <c r="AG143" i="54"/>
  <c r="AF13" i="54"/>
  <c r="AG13" i="54"/>
  <c r="BH24" i="48"/>
  <c r="AK164" i="48"/>
  <c r="AI155" i="48"/>
  <c r="BF15" i="48"/>
  <c r="AI171" i="48"/>
  <c r="BF31" i="48"/>
  <c r="BI60" i="48"/>
  <c r="AL200" i="48"/>
  <c r="AI242" i="48"/>
  <c r="BF102" i="48"/>
  <c r="AI156" i="48"/>
  <c r="BF16" i="48"/>
  <c r="AG50" i="54"/>
  <c r="AF50" i="54"/>
  <c r="AG167" i="54"/>
  <c r="AF167" i="54"/>
  <c r="AK230" i="48"/>
  <c r="BH90" i="48"/>
  <c r="AF102" i="54"/>
  <c r="AG102" i="54"/>
  <c r="BI175" i="48"/>
  <c r="BF56" i="48"/>
  <c r="AI196" i="48"/>
  <c r="AF105" i="54"/>
  <c r="AG105" i="54"/>
  <c r="AI216" i="48"/>
  <c r="BF76" i="48"/>
  <c r="AI154" i="48"/>
  <c r="BF14" i="48"/>
  <c r="BI38" i="48"/>
  <c r="AL178" i="48"/>
  <c r="AF61" i="54"/>
  <c r="AG61" i="54"/>
  <c r="BH76" i="48"/>
  <c r="AK216" i="48"/>
  <c r="AF161" i="54"/>
  <c r="AG161" i="54"/>
  <c r="AI234" i="48"/>
  <c r="BF94" i="48"/>
  <c r="BF82" i="48"/>
  <c r="AI222" i="48"/>
  <c r="AF134" i="54"/>
  <c r="AG134" i="54"/>
  <c r="AL142" i="48"/>
  <c r="BI2" i="48"/>
  <c r="BA137" i="48"/>
  <c r="BA20" i="48"/>
  <c r="BA274" i="48"/>
  <c r="BA46" i="48"/>
  <c r="BA2" i="48"/>
  <c r="BA44" i="48"/>
  <c r="BA174" i="48"/>
  <c r="BA181" i="48"/>
  <c r="AF169" i="54"/>
  <c r="AG169" i="54"/>
  <c r="BI154" i="48"/>
  <c r="AF90" i="54"/>
  <c r="AG90" i="54"/>
  <c r="AL237" i="48"/>
  <c r="BI97" i="48"/>
  <c r="BF32" i="48"/>
  <c r="AI172" i="48"/>
  <c r="AL251" i="48"/>
  <c r="BI111" i="48"/>
  <c r="BF98" i="48"/>
  <c r="AI238" i="48"/>
  <c r="AK218" i="48"/>
  <c r="BH78" i="48"/>
  <c r="AG210" i="54"/>
  <c r="AF210" i="54"/>
  <c r="BF53" i="48"/>
  <c r="AI193" i="48"/>
  <c r="AK168" i="48"/>
  <c r="BH28" i="48"/>
  <c r="AL244" i="48"/>
  <c r="BI104" i="48"/>
  <c r="BI159" i="48"/>
  <c r="BF24" i="48"/>
  <c r="AI164" i="48"/>
  <c r="AL217" i="48"/>
  <c r="BI77" i="48"/>
  <c r="AG34" i="54"/>
  <c r="AF34" i="54"/>
  <c r="AG189" i="54"/>
  <c r="AF189" i="54"/>
  <c r="AK234" i="48"/>
  <c r="BH94" i="48"/>
  <c r="BF44" i="48"/>
  <c r="AI184" i="48"/>
  <c r="AG84" i="54"/>
  <c r="AF84" i="54"/>
  <c r="AI146" i="48"/>
  <c r="BF6" i="48"/>
  <c r="AI142" i="48"/>
  <c r="BF2" i="48"/>
  <c r="BI43" i="48"/>
  <c r="AL183" i="48"/>
  <c r="AL247" i="48"/>
  <c r="BI107" i="48"/>
  <c r="BI112" i="48"/>
  <c r="BI195" i="48"/>
  <c r="AF66" i="54"/>
  <c r="AG66" i="54"/>
  <c r="AL155" i="48"/>
  <c r="BI15" i="48"/>
  <c r="AF190" i="54"/>
  <c r="AG190" i="54"/>
  <c r="AI163" i="48"/>
  <c r="BF23" i="48"/>
  <c r="AL171" i="48"/>
  <c r="BI31" i="48"/>
  <c r="AK185" i="48"/>
  <c r="BH45" i="48"/>
  <c r="AF112" i="54"/>
  <c r="AG112" i="54"/>
  <c r="BA47" i="48"/>
  <c r="AF53" i="54"/>
  <c r="AG53" i="54"/>
  <c r="BI170" i="48"/>
  <c r="AL160" i="48"/>
  <c r="BI20" i="48"/>
  <c r="BI122" i="48"/>
  <c r="BI71" i="48"/>
  <c r="AL211" i="48"/>
  <c r="BA77" i="48"/>
  <c r="AG83" i="54"/>
  <c r="AF83" i="54"/>
  <c r="AG119" i="54"/>
  <c r="AF119" i="54"/>
  <c r="AF177" i="54"/>
  <c r="AG177" i="54"/>
  <c r="AG207" i="54"/>
  <c r="AF207" i="54"/>
  <c r="AG8" i="54"/>
  <c r="AF8" i="54"/>
  <c r="AI169" i="48"/>
  <c r="BF29" i="48"/>
  <c r="AF32" i="54"/>
  <c r="AG32" i="54"/>
  <c r="AF183" i="54"/>
  <c r="AG183" i="54"/>
  <c r="AG21" i="54"/>
  <c r="AF21" i="54"/>
  <c r="AK157" i="48"/>
  <c r="BH17" i="48"/>
  <c r="AG19" i="54"/>
  <c r="AF19" i="54"/>
  <c r="BF52" i="48"/>
  <c r="AI192" i="48"/>
  <c r="BF8" i="48"/>
  <c r="AI148" i="48"/>
  <c r="BH82" i="48"/>
  <c r="AK222" i="48"/>
  <c r="BF45" i="48"/>
  <c r="AI185" i="48"/>
  <c r="AF158" i="54"/>
  <c r="AG158" i="54"/>
  <c r="AL186" i="48"/>
  <c r="BI46" i="48"/>
  <c r="BF41" i="48"/>
  <c r="AI181" i="48"/>
  <c r="AI237" i="48"/>
  <c r="BF97" i="48"/>
  <c r="AK231" i="48"/>
  <c r="BH91" i="48"/>
  <c r="AL206" i="48"/>
  <c r="BI66" i="48"/>
  <c r="AF75" i="54"/>
  <c r="AG75" i="54"/>
  <c r="AG11" i="54"/>
  <c r="AF11" i="54"/>
  <c r="BI149" i="48"/>
  <c r="AI218" i="48"/>
  <c r="BF78" i="48"/>
  <c r="BI184" i="48"/>
  <c r="AG14" i="54"/>
  <c r="AF14" i="54"/>
  <c r="AF3" i="54"/>
  <c r="AG3" i="54"/>
  <c r="BI182" i="48"/>
  <c r="BA88" i="48"/>
  <c r="BA182" i="48"/>
  <c r="BA129" i="48"/>
  <c r="BA222" i="48"/>
  <c r="BA231" i="48"/>
  <c r="BA209" i="48"/>
  <c r="BA65" i="48"/>
  <c r="BA279" i="48"/>
  <c r="BA143" i="48"/>
  <c r="BA92" i="48"/>
  <c r="BA191" i="48"/>
  <c r="BA141" i="48"/>
  <c r="BA110" i="48"/>
  <c r="BM4" i="48" l="1"/>
  <c r="AX268" i="48"/>
  <c r="AX267" i="48"/>
  <c r="AX266" i="48"/>
  <c r="AX265" i="48"/>
  <c r="AX264" i="48"/>
  <c r="AX263" i="48"/>
  <c r="AX262" i="48"/>
  <c r="AX261" i="48"/>
  <c r="AX260" i="48"/>
  <c r="AX259" i="48"/>
  <c r="AX258" i="48"/>
  <c r="AX257" i="48"/>
  <c r="AX255" i="48"/>
  <c r="AX256" i="48"/>
  <c r="AX254" i="48"/>
  <c r="AX253" i="48"/>
  <c r="AX251" i="48"/>
  <c r="AX241" i="48"/>
  <c r="AX91" i="48"/>
  <c r="AX62" i="48"/>
  <c r="AX94" i="48"/>
  <c r="AX45" i="48"/>
  <c r="AX61" i="48"/>
  <c r="AX60" i="48"/>
  <c r="AX95" i="48"/>
  <c r="AX66" i="48"/>
  <c r="AX90" i="48"/>
  <c r="AX29" i="48"/>
  <c r="AX28" i="48"/>
  <c r="AX103" i="48"/>
  <c r="AX120" i="48"/>
  <c r="AX89" i="48"/>
  <c r="AX119" i="48"/>
  <c r="AX84" i="48"/>
  <c r="AX104" i="48"/>
  <c r="AX65" i="48"/>
  <c r="AX58" i="48"/>
  <c r="AX88" i="48"/>
  <c r="AX33" i="48"/>
  <c r="AX83" i="48"/>
  <c r="AX92" i="48"/>
  <c r="AX76" i="48"/>
  <c r="AX96" i="48"/>
  <c r="AX100" i="48"/>
  <c r="AX86" i="48"/>
  <c r="AX36" i="48"/>
  <c r="AX68" i="48"/>
  <c r="AX74" i="48"/>
  <c r="AX98" i="48"/>
  <c r="AX72" i="48"/>
  <c r="AX9" i="48"/>
  <c r="AX122" i="48"/>
  <c r="AX121" i="48"/>
  <c r="AX174" i="48"/>
  <c r="AX180" i="48"/>
  <c r="AX192" i="48"/>
  <c r="AX133" i="48"/>
  <c r="AX127" i="48"/>
  <c r="AX193" i="48"/>
  <c r="AX134" i="48"/>
  <c r="AX176" i="48"/>
  <c r="AX116" i="48"/>
  <c r="AX181" i="48"/>
  <c r="AX155" i="48"/>
  <c r="AX191" i="48"/>
  <c r="AX148" i="48"/>
  <c r="AX175" i="48"/>
  <c r="AX165" i="48"/>
  <c r="AX198" i="48"/>
  <c r="AX150" i="48"/>
  <c r="AX111" i="48"/>
  <c r="AX164" i="48"/>
  <c r="AX129" i="48"/>
  <c r="AX136" i="48"/>
  <c r="AX183" i="48"/>
  <c r="AX182" i="48"/>
  <c r="AX177" i="48"/>
  <c r="AX202" i="48"/>
  <c r="AX147" i="48"/>
  <c r="AX161" i="48"/>
  <c r="AX154" i="48"/>
  <c r="AX242" i="48"/>
  <c r="AX152" i="48"/>
  <c r="AX245" i="48"/>
  <c r="AX215" i="48"/>
  <c r="AX188" i="48"/>
  <c r="AX178" i="48"/>
  <c r="AX157" i="48"/>
  <c r="AX142" i="48"/>
  <c r="AX243" i="48"/>
  <c r="AX233" i="48"/>
  <c r="AX194" i="48"/>
  <c r="AX244" i="48"/>
  <c r="AX206" i="48"/>
  <c r="AX197" i="48"/>
  <c r="AX232" i="48"/>
  <c r="AX38" i="48"/>
  <c r="AX225" i="48"/>
  <c r="AX247" i="48"/>
  <c r="AX214" i="48"/>
  <c r="AX234" i="48"/>
  <c r="AX205" i="48"/>
  <c r="AX226" i="48"/>
  <c r="AX24" i="48"/>
  <c r="AX229" i="48"/>
  <c r="AX145" i="48"/>
  <c r="AX248" i="48"/>
  <c r="AX238" i="48"/>
  <c r="AX211" i="48"/>
  <c r="AX246" i="48"/>
  <c r="AX239" i="48"/>
  <c r="AX112" i="48"/>
  <c r="AX236" i="48"/>
  <c r="AX70" i="48"/>
  <c r="AX138" i="48"/>
  <c r="AX34" i="48"/>
  <c r="AX189" i="48"/>
  <c r="AX54" i="48"/>
  <c r="AX13" i="48"/>
  <c r="AX47" i="48"/>
  <c r="AX113" i="48"/>
  <c r="AX117" i="48"/>
  <c r="AX167" i="48"/>
  <c r="AX140" i="48"/>
  <c r="AX16" i="48"/>
  <c r="AX19" i="48"/>
  <c r="AX235" i="48"/>
  <c r="AX105" i="48"/>
  <c r="AX125" i="48"/>
  <c r="AX97" i="48"/>
  <c r="AX163" i="48"/>
  <c r="AX170" i="48"/>
  <c r="AX50" i="48"/>
  <c r="AX249" i="48"/>
  <c r="AX207" i="48"/>
  <c r="AX2" i="48"/>
  <c r="AX128" i="48"/>
  <c r="AX101" i="48"/>
  <c r="AX43" i="48"/>
  <c r="AX199" i="48"/>
  <c r="AX21" i="48"/>
  <c r="AX212" i="48"/>
  <c r="AX102" i="48"/>
  <c r="AX209" i="48"/>
  <c r="AX130" i="48"/>
  <c r="AX12" i="48"/>
  <c r="AX4" i="48"/>
  <c r="AX219" i="48"/>
  <c r="AX75" i="48"/>
  <c r="AX110" i="48"/>
  <c r="AX221" i="48"/>
  <c r="AX20" i="48"/>
  <c r="AX168" i="48"/>
  <c r="AX146" i="48"/>
  <c r="AX31" i="48"/>
  <c r="AX27" i="48"/>
  <c r="AX230" i="48"/>
  <c r="AX78" i="48"/>
  <c r="AX135" i="48"/>
  <c r="AX223" i="48"/>
  <c r="AX6" i="48"/>
  <c r="AX141" i="48"/>
  <c r="AX48" i="48"/>
  <c r="AX158" i="48"/>
  <c r="AX132" i="48"/>
  <c r="AX79" i="48"/>
  <c r="AX118" i="48"/>
  <c r="AX162" i="48"/>
  <c r="AX52" i="48"/>
  <c r="AX169" i="48"/>
  <c r="AX57" i="48"/>
  <c r="AX25" i="48"/>
  <c r="AX71" i="48"/>
  <c r="AX149" i="48"/>
  <c r="AX137" i="48"/>
  <c r="AX11" i="48"/>
  <c r="AX203" i="48"/>
  <c r="AX37" i="48"/>
  <c r="AX108" i="48"/>
  <c r="AX3" i="48"/>
  <c r="AX139" i="48"/>
  <c r="AX49" i="48"/>
  <c r="AX39" i="48"/>
  <c r="AX22" i="48"/>
  <c r="AX81" i="48"/>
  <c r="AX218" i="48"/>
  <c r="AX77" i="48"/>
  <c r="AX59" i="48"/>
  <c r="AX107" i="48"/>
  <c r="AX151" i="48"/>
  <c r="AX131" i="48"/>
  <c r="AX187" i="48"/>
  <c r="AX44" i="48"/>
  <c r="AX159" i="48"/>
  <c r="AX18" i="48"/>
  <c r="AX195" i="48"/>
  <c r="AX240" i="48"/>
  <c r="AX73" i="48"/>
  <c r="AX69" i="48"/>
  <c r="AX216" i="48"/>
  <c r="AX17" i="48"/>
  <c r="AX23" i="48"/>
  <c r="AX80" i="48"/>
  <c r="AX115" i="48"/>
  <c r="AX144" i="48"/>
  <c r="AX228" i="48"/>
  <c r="AX237" i="48"/>
  <c r="AX93" i="48"/>
  <c r="AX173" i="48"/>
  <c r="AX123" i="48"/>
  <c r="AX217" i="48"/>
  <c r="AX204" i="48"/>
  <c r="AX179" i="48"/>
  <c r="AX64" i="48"/>
  <c r="AX224" i="48"/>
  <c r="AX153" i="48"/>
  <c r="AX99" i="48"/>
  <c r="AX172" i="48"/>
  <c r="AX250" i="48"/>
  <c r="AX200" i="48"/>
  <c r="AX53" i="48"/>
  <c r="AX55" i="48"/>
  <c r="AX143" i="48"/>
  <c r="AX32" i="48"/>
  <c r="AX222" i="48"/>
  <c r="AX208" i="48"/>
  <c r="AX85" i="48"/>
  <c r="AX231" i="48"/>
  <c r="AX185" i="48"/>
  <c r="AX42" i="48"/>
  <c r="AX186" i="48"/>
  <c r="AX171" i="48"/>
  <c r="BJ65" i="48"/>
  <c r="AM205" i="48"/>
  <c r="AM157" i="48"/>
  <c r="BJ17" i="48"/>
  <c r="BJ42" i="48"/>
  <c r="AM182" i="48"/>
  <c r="BJ10" i="48"/>
  <c r="AM150" i="48"/>
  <c r="AM227" i="48"/>
  <c r="BJ87" i="48"/>
  <c r="AM177" i="48"/>
  <c r="BJ37" i="48"/>
  <c r="AM156" i="48"/>
  <c r="BJ16" i="48"/>
  <c r="AM210" i="48"/>
  <c r="BJ70" i="48"/>
  <c r="BJ110" i="48"/>
  <c r="AM250" i="48"/>
  <c r="AM189" i="48"/>
  <c r="BJ49" i="48"/>
  <c r="AM149" i="48"/>
  <c r="BJ9" i="48"/>
  <c r="BJ107" i="48"/>
  <c r="AM247" i="48"/>
  <c r="BJ67" i="48"/>
  <c r="AM207" i="48"/>
  <c r="AM162" i="48"/>
  <c r="BJ22" i="48"/>
  <c r="AX41" i="48"/>
  <c r="AM153" i="48"/>
  <c r="BJ13" i="48"/>
  <c r="BJ6" i="48"/>
  <c r="AM146" i="48"/>
  <c r="BJ30" i="48"/>
  <c r="AM170" i="48"/>
  <c r="BJ53" i="48"/>
  <c r="AM193" i="48"/>
  <c r="BJ59" i="48"/>
  <c r="AM199" i="48"/>
  <c r="AM173" i="48"/>
  <c r="BJ33" i="48"/>
  <c r="AM248" i="48"/>
  <c r="BJ108" i="48"/>
  <c r="AX30" i="48"/>
  <c r="AM197" i="48"/>
  <c r="BJ57" i="48"/>
  <c r="AX82" i="48"/>
  <c r="AM196" i="48"/>
  <c r="BJ56" i="48"/>
  <c r="AX40" i="48"/>
  <c r="BJ27" i="48"/>
  <c r="AM167" i="48"/>
  <c r="AM192" i="48"/>
  <c r="BJ52" i="48"/>
  <c r="BJ66" i="48"/>
  <c r="AM206" i="48"/>
  <c r="AX5" i="48"/>
  <c r="AX156" i="48"/>
  <c r="AM176" i="48"/>
  <c r="BJ36" i="48"/>
  <c r="AM225" i="48"/>
  <c r="BJ85" i="48"/>
  <c r="AM217" i="48"/>
  <c r="BJ77" i="48"/>
  <c r="AM161" i="48"/>
  <c r="BJ21" i="48"/>
  <c r="BJ11" i="48"/>
  <c r="AM151" i="48"/>
  <c r="BJ61" i="48"/>
  <c r="AM201" i="48"/>
  <c r="AX126" i="48"/>
  <c r="BJ95" i="48"/>
  <c r="AM235" i="48"/>
  <c r="AX166" i="48"/>
  <c r="BJ18" i="48"/>
  <c r="AM158" i="48"/>
  <c r="AX210" i="48"/>
  <c r="BJ91" i="48"/>
  <c r="AM231" i="48"/>
  <c r="AM195" i="48"/>
  <c r="BJ55" i="48"/>
  <c r="AX184" i="48"/>
  <c r="AM226" i="48"/>
  <c r="BJ86" i="48"/>
  <c r="AM142" i="48"/>
  <c r="BJ2" i="48"/>
  <c r="AM147" i="48"/>
  <c r="BJ7" i="48"/>
  <c r="AM234" i="48"/>
  <c r="BJ94" i="48"/>
  <c r="BJ43" i="48"/>
  <c r="AM183" i="48"/>
  <c r="BJ111" i="48"/>
  <c r="AM251" i="48"/>
  <c r="AM244" i="48"/>
  <c r="BJ104" i="48"/>
  <c r="AM246" i="48"/>
  <c r="BJ106" i="48"/>
  <c r="AX63" i="48"/>
  <c r="BJ4" i="48"/>
  <c r="AM144" i="48"/>
  <c r="BJ83" i="48"/>
  <c r="AM223" i="48"/>
  <c r="AM190" i="48"/>
  <c r="BJ50" i="48"/>
  <c r="BJ73" i="48"/>
  <c r="AM213" i="48"/>
  <c r="AM194" i="48"/>
  <c r="BJ54" i="48"/>
  <c r="AM236" i="48"/>
  <c r="BJ96" i="48"/>
  <c r="BJ80" i="48"/>
  <c r="AM220" i="48"/>
  <c r="AM239" i="48"/>
  <c r="BJ99" i="48"/>
  <c r="AX196" i="48"/>
  <c r="BJ44" i="48"/>
  <c r="AM184" i="48"/>
  <c r="BJ32" i="48"/>
  <c r="AM172" i="48"/>
  <c r="AX46" i="48"/>
  <c r="AM228" i="48"/>
  <c r="BJ88" i="48"/>
  <c r="AX14" i="48"/>
  <c r="BJ89" i="48"/>
  <c r="AM229" i="48"/>
  <c r="AX160" i="48"/>
  <c r="AM245" i="48"/>
  <c r="BJ105" i="48"/>
  <c r="AM181" i="48"/>
  <c r="BJ41" i="48"/>
  <c r="BJ38" i="48"/>
  <c r="AM178" i="48"/>
  <c r="AX213" i="48"/>
  <c r="AX8" i="48"/>
  <c r="AM249" i="48"/>
  <c r="BJ109" i="48"/>
  <c r="BJ74" i="48"/>
  <c r="AM214" i="48"/>
  <c r="AM224" i="48"/>
  <c r="BJ84" i="48"/>
  <c r="BJ45" i="48"/>
  <c r="AM185" i="48"/>
  <c r="AM218" i="48"/>
  <c r="BJ78" i="48"/>
  <c r="AM237" i="48"/>
  <c r="BJ97" i="48"/>
  <c r="AM216" i="48"/>
  <c r="BJ76" i="48"/>
  <c r="BJ51" i="48"/>
  <c r="AM191" i="48"/>
  <c r="AX35" i="48"/>
  <c r="AX106" i="48"/>
  <c r="BJ26" i="48"/>
  <c r="AM166" i="48"/>
  <c r="AX227" i="48"/>
  <c r="AX7" i="48"/>
  <c r="AX252" i="48"/>
  <c r="BJ28" i="48"/>
  <c r="AM168" i="48"/>
  <c r="BJ35" i="48"/>
  <c r="AM175" i="48"/>
  <c r="AX114" i="48"/>
  <c r="BJ101" i="48"/>
  <c r="AM241" i="48"/>
  <c r="BJ47" i="48"/>
  <c r="AM187" i="48"/>
  <c r="AM240" i="48"/>
  <c r="BJ100" i="48"/>
  <c r="AX124" i="48"/>
  <c r="BJ64" i="48"/>
  <c r="AM204" i="48"/>
  <c r="BJ71" i="48"/>
  <c r="AM211" i="48"/>
  <c r="AX87" i="48"/>
  <c r="AM212" i="48"/>
  <c r="BJ72" i="48"/>
  <c r="BJ14" i="48"/>
  <c r="AM154" i="48"/>
  <c r="AM143" i="48"/>
  <c r="BJ3" i="48"/>
  <c r="BJ34" i="48"/>
  <c r="AM174" i="48"/>
  <c r="AX10" i="48"/>
  <c r="AM179" i="48"/>
  <c r="BJ39" i="48"/>
  <c r="AM243" i="48"/>
  <c r="BJ103" i="48"/>
  <c r="AX15" i="48"/>
  <c r="AM148" i="48"/>
  <c r="BJ8" i="48"/>
  <c r="BJ90" i="48"/>
  <c r="AM230" i="48"/>
  <c r="AM198" i="48"/>
  <c r="BJ58" i="48"/>
  <c r="AX109" i="48"/>
  <c r="AM219" i="48"/>
  <c r="BJ79" i="48"/>
  <c r="BJ60" i="48"/>
  <c r="AM200" i="48"/>
  <c r="BJ69" i="48"/>
  <c r="AM209" i="48"/>
  <c r="BJ63" i="48"/>
  <c r="AM203" i="48"/>
  <c r="AM238" i="48"/>
  <c r="BJ98" i="48"/>
  <c r="AX26" i="48"/>
  <c r="BJ15" i="48"/>
  <c r="AM155" i="48"/>
  <c r="BJ40" i="48"/>
  <c r="AM180" i="48"/>
  <c r="AX220" i="48"/>
  <c r="AM145" i="48"/>
  <c r="BJ5" i="48"/>
  <c r="BJ75" i="48"/>
  <c r="AM215" i="48"/>
  <c r="AM188" i="48"/>
  <c r="BJ48" i="48"/>
  <c r="BJ20" i="48"/>
  <c r="AM160" i="48"/>
  <c r="AX190" i="48"/>
  <c r="AX67" i="48"/>
  <c r="AM221" i="48"/>
  <c r="BJ81" i="48"/>
  <c r="AM163" i="48"/>
  <c r="BJ23" i="48"/>
  <c r="BJ19" i="48"/>
  <c r="AM159" i="48"/>
  <c r="AM186" i="48"/>
  <c r="BJ46" i="48"/>
  <c r="BJ31" i="48"/>
  <c r="AM171" i="48"/>
  <c r="AM222" i="48"/>
  <c r="BJ82" i="48"/>
  <c r="AM242" i="48"/>
  <c r="BJ102" i="48"/>
  <c r="AM164" i="48"/>
  <c r="BJ24" i="48"/>
  <c r="AM232" i="48"/>
  <c r="BJ92" i="48"/>
  <c r="AM152" i="48"/>
  <c r="BJ12" i="48"/>
  <c r="BJ68" i="48"/>
  <c r="AM208" i="48"/>
  <c r="AX51" i="48"/>
  <c r="AM233" i="48"/>
  <c r="BJ93" i="48"/>
  <c r="AX56" i="48"/>
  <c r="BJ29" i="48"/>
  <c r="AM169" i="48"/>
  <c r="AM202" i="48"/>
  <c r="BJ62" i="48"/>
  <c r="AM165" i="48"/>
  <c r="BJ25" i="48"/>
  <c r="AX201" i="48"/>
  <c r="BE168" i="48" l="1"/>
  <c r="BE113" i="48"/>
  <c r="BE82" i="48"/>
  <c r="BE184" i="48"/>
  <c r="BE199" i="48"/>
  <c r="BE44" i="48"/>
  <c r="BE137" i="48"/>
  <c r="BE7" i="48"/>
  <c r="BE85" i="48"/>
  <c r="BE128" i="48"/>
  <c r="BE179" i="48"/>
  <c r="BE107" i="48"/>
  <c r="BE117" i="48"/>
  <c r="BE38" i="48"/>
  <c r="BE153" i="48"/>
  <c r="BE169" i="48"/>
  <c r="BE75" i="48"/>
  <c r="BE90" i="48"/>
  <c r="BE144" i="48"/>
  <c r="BE84" i="48"/>
  <c r="BE105" i="48"/>
  <c r="BE160" i="48"/>
  <c r="BE200" i="48"/>
  <c r="BE66" i="48"/>
  <c r="BE162" i="48"/>
  <c r="BE167" i="48"/>
  <c r="BE98" i="48"/>
  <c r="BE31" i="48"/>
  <c r="BE172" i="48"/>
  <c r="BE201" i="48"/>
  <c r="BE9" i="48"/>
  <c r="BE17" i="48"/>
  <c r="BE48" i="48"/>
  <c r="BE131" i="48"/>
  <c r="BE72" i="48"/>
  <c r="BE41" i="48"/>
  <c r="BE141" i="48"/>
  <c r="BE18" i="48"/>
  <c r="BE71" i="48"/>
  <c r="BE115" i="48"/>
  <c r="BE194" i="48"/>
  <c r="BE80" i="48"/>
  <c r="BE236" i="48"/>
  <c r="BE260" i="48"/>
  <c r="BE232" i="48"/>
  <c r="BE220" i="48"/>
  <c r="BE248" i="48"/>
  <c r="BE249" i="48"/>
  <c r="BE259" i="48"/>
  <c r="BE214" i="48"/>
  <c r="BE226" i="48"/>
  <c r="BE233" i="48"/>
  <c r="BE204" i="48"/>
  <c r="BE271" i="48"/>
  <c r="BE255" i="48"/>
  <c r="BE269" i="48"/>
  <c r="BE227" i="48"/>
  <c r="BE239" i="48"/>
  <c r="BE244" i="48"/>
  <c r="BE234" i="48"/>
  <c r="BE235" i="48"/>
  <c r="BE265" i="48"/>
  <c r="BE224" i="48"/>
  <c r="BE206" i="48"/>
  <c r="BE264" i="48"/>
  <c r="BE261" i="48"/>
  <c r="BE240" i="48"/>
  <c r="BE253" i="48"/>
  <c r="BE252" i="48"/>
  <c r="BE273" i="48"/>
  <c r="BE281" i="48"/>
  <c r="BE222" i="48"/>
  <c r="BE242" i="48"/>
  <c r="BE268" i="48"/>
  <c r="BE241" i="48"/>
  <c r="BE246" i="48"/>
  <c r="BE278" i="48"/>
  <c r="BE229" i="48"/>
  <c r="BE280" i="48"/>
  <c r="BE203" i="48"/>
  <c r="BE215" i="48"/>
  <c r="BE257" i="48"/>
  <c r="BE238" i="48"/>
  <c r="BE250" i="48"/>
  <c r="BE279" i="48"/>
  <c r="BE202" i="48"/>
  <c r="BE216" i="48"/>
  <c r="BE218" i="48"/>
  <c r="BE277" i="48"/>
  <c r="BE213" i="48"/>
  <c r="BE275" i="48"/>
  <c r="BE2" i="48"/>
  <c r="BE270" i="48"/>
  <c r="BE263" i="48"/>
  <c r="BE254" i="48"/>
  <c r="BE256" i="48"/>
  <c r="BE267" i="48"/>
  <c r="BE231" i="48"/>
  <c r="BE211" i="48"/>
  <c r="BE208" i="48"/>
  <c r="BE221" i="48"/>
  <c r="BE272" i="48"/>
  <c r="BE219" i="48"/>
  <c r="BE237" i="48"/>
  <c r="BE209" i="48"/>
  <c r="BE247" i="48"/>
  <c r="BE217" i="48"/>
  <c r="BE262" i="48"/>
  <c r="BE243" i="48"/>
  <c r="BE212" i="48"/>
  <c r="BE266" i="48"/>
  <c r="BE251" i="48"/>
  <c r="BE258" i="48"/>
  <c r="BE228" i="48"/>
  <c r="BE225" i="48"/>
  <c r="BE274" i="48"/>
  <c r="BE210" i="48"/>
  <c r="BE205" i="48"/>
  <c r="BE245" i="48"/>
  <c r="BE276" i="48"/>
  <c r="BE230" i="48"/>
  <c r="BE207" i="48"/>
  <c r="BE223" i="48"/>
  <c r="BE95" i="48"/>
  <c r="BE59" i="48"/>
  <c r="BE68" i="48"/>
  <c r="BE138" i="48"/>
  <c r="BE145" i="48"/>
  <c r="BE189" i="48"/>
  <c r="BE165" i="48"/>
  <c r="BE112" i="48"/>
  <c r="BE52" i="48"/>
  <c r="BE127" i="48"/>
  <c r="BE133" i="48"/>
  <c r="BE5" i="48"/>
  <c r="BE69" i="48"/>
  <c r="BE132" i="48"/>
  <c r="BE190" i="48"/>
  <c r="BE96" i="48"/>
  <c r="BE86" i="48"/>
  <c r="BE49" i="48"/>
  <c r="BE78" i="48"/>
  <c r="BE125" i="48"/>
  <c r="BE148" i="48"/>
  <c r="BE180" i="48"/>
  <c r="BE51" i="48"/>
  <c r="BE171" i="48"/>
  <c r="BE4" i="48"/>
  <c r="BE36" i="48"/>
  <c r="BE121" i="48"/>
  <c r="BE53" i="48"/>
  <c r="BE65" i="48"/>
  <c r="BE45" i="48"/>
  <c r="BE74" i="48"/>
  <c r="BE61" i="48"/>
  <c r="BE12" i="48"/>
  <c r="BE35" i="48"/>
  <c r="BE116" i="48"/>
  <c r="BE54" i="48"/>
  <c r="BE106" i="48"/>
  <c r="BE176" i="48"/>
  <c r="BE70" i="48"/>
  <c r="BE161" i="48"/>
  <c r="BE126" i="48"/>
  <c r="BE182" i="48"/>
  <c r="BE152" i="48"/>
  <c r="BE185" i="48"/>
  <c r="BE55" i="48"/>
  <c r="BE123" i="48"/>
  <c r="BE118" i="48"/>
  <c r="BE6" i="48"/>
  <c r="BE16" i="48"/>
  <c r="BE146" i="48"/>
  <c r="BE197" i="48"/>
  <c r="BE187" i="48"/>
  <c r="BE76" i="48"/>
  <c r="BE104" i="48"/>
  <c r="BE56" i="48"/>
  <c r="BE151" i="48"/>
  <c r="BE163" i="48"/>
  <c r="BE108" i="48"/>
  <c r="BE155" i="48"/>
  <c r="BE63" i="48"/>
  <c r="BE157" i="48"/>
  <c r="BE27" i="48"/>
  <c r="BE93" i="48"/>
  <c r="BE34" i="48"/>
  <c r="BE47" i="48"/>
  <c r="BE129" i="48"/>
  <c r="BE13" i="48"/>
  <c r="BE195" i="48"/>
  <c r="BE183" i="48"/>
  <c r="BE8" i="48"/>
  <c r="BE60" i="48"/>
  <c r="BE89" i="48"/>
  <c r="BE110" i="48"/>
  <c r="BE192" i="48"/>
  <c r="BE92" i="48"/>
  <c r="BE122" i="48"/>
  <c r="BE28" i="48"/>
  <c r="BE109" i="48"/>
  <c r="BE40" i="48"/>
  <c r="BE3" i="48"/>
  <c r="BE136" i="48"/>
  <c r="BE97" i="48"/>
  <c r="BE73" i="48"/>
  <c r="BE178" i="48"/>
  <c r="BE21" i="48"/>
  <c r="BE196" i="48"/>
  <c r="BE154" i="48"/>
  <c r="BE67" i="48"/>
  <c r="BE103" i="48"/>
  <c r="BE99" i="48"/>
  <c r="BE83" i="48"/>
  <c r="BE33" i="48"/>
  <c r="BE62" i="48"/>
  <c r="BE46" i="48"/>
  <c r="BE166" i="48"/>
  <c r="BE100" i="48"/>
  <c r="BE173" i="48"/>
  <c r="BE81" i="48"/>
  <c r="BE191" i="48"/>
  <c r="BE188" i="48"/>
  <c r="BE170" i="48"/>
  <c r="BE140" i="48"/>
  <c r="BE158" i="48"/>
  <c r="BE124" i="48"/>
  <c r="BE111" i="48"/>
  <c r="BE181" i="48"/>
  <c r="BE57" i="48"/>
  <c r="BE87" i="48"/>
  <c r="BE177" i="48"/>
  <c r="BE150" i="48"/>
  <c r="BE30" i="48"/>
  <c r="BE29" i="48"/>
  <c r="BE156" i="48"/>
  <c r="BE25" i="48"/>
  <c r="BE120" i="48"/>
  <c r="BE143" i="48"/>
  <c r="BE77" i="48"/>
  <c r="BE22" i="48"/>
  <c r="BE164" i="48"/>
  <c r="BE175" i="48"/>
  <c r="BE39" i="48"/>
  <c r="BE142" i="48"/>
  <c r="BE139" i="48"/>
  <c r="BE174" i="48"/>
  <c r="BE134" i="48"/>
  <c r="BE79" i="48"/>
  <c r="BE101" i="48"/>
  <c r="BE147" i="48"/>
  <c r="BE43" i="48"/>
  <c r="BE91" i="48"/>
  <c r="BE198" i="48"/>
  <c r="BE42" i="48"/>
  <c r="BE119" i="48"/>
  <c r="BE193" i="48"/>
  <c r="BE135" i="48"/>
  <c r="BE64" i="48"/>
  <c r="BE114" i="48"/>
  <c r="BE19" i="48"/>
  <c r="BE23" i="48"/>
  <c r="BE88" i="48"/>
  <c r="BE11" i="48"/>
  <c r="BE37" i="48"/>
  <c r="BE24" i="48"/>
  <c r="BE102" i="48"/>
  <c r="BE15" i="48"/>
  <c r="BE58" i="48"/>
  <c r="BE20" i="48"/>
  <c r="BE149" i="48"/>
  <c r="BE14" i="48"/>
  <c r="BE186" i="48"/>
  <c r="BE26" i="48"/>
  <c r="BE32" i="48"/>
  <c r="BE50" i="48"/>
  <c r="BE94" i="48"/>
  <c r="BE130" i="48"/>
  <c r="BE159" i="48"/>
  <c r="BE10" i="48"/>
  <c r="E2" i="32"/>
  <c r="F2" i="32" l="1"/>
  <c r="G2" i="33" s="1"/>
  <c r="G11" i="55" s="1"/>
  <c r="E32" i="32"/>
  <c r="H39" i="32" s="1"/>
  <c r="F2" i="33"/>
  <c r="F11" i="55" s="1"/>
  <c r="H2" i="32"/>
  <c r="I2" i="33" s="1"/>
  <c r="I11" i="55" s="1"/>
  <c r="I34" i="55" l="1"/>
  <c r="I10" i="55"/>
  <c r="F34" i="55"/>
  <c r="F10" i="55"/>
  <c r="G34" i="55"/>
  <c r="G10" i="55"/>
  <c r="F32" i="32"/>
  <c r="I39" i="32" s="1"/>
  <c r="G32" i="32" l="1"/>
  <c r="J39" i="32" s="1"/>
  <c r="H2" i="33"/>
  <c r="H9" i="55" s="1"/>
  <c r="H10" i="55" l="1"/>
  <c r="H11" i="55"/>
  <c r="H34" i="55"/>
  <c r="M2" i="33"/>
  <c r="N2" i="33"/>
  <c r="M9" i="55" s="1"/>
  <c r="M10" i="55" l="1"/>
  <c r="M11" i="55"/>
  <c r="M34" i="55"/>
  <c r="F3" i="47"/>
  <c r="A42" i="47" l="1"/>
  <c r="A67" i="47"/>
  <c r="A30" i="47"/>
  <c r="A89" i="47"/>
  <c r="A54" i="47"/>
  <c r="A46" i="47"/>
  <c r="A92" i="47"/>
  <c r="A65" i="47"/>
  <c r="A93" i="47"/>
  <c r="A76" i="47"/>
  <c r="A86" i="47"/>
  <c r="A22" i="47"/>
  <c r="A55" i="47"/>
  <c r="A90" i="47"/>
  <c r="A4" i="47"/>
  <c r="A56" i="47"/>
  <c r="A60" i="47"/>
  <c r="A62" i="47"/>
  <c r="A8" i="47"/>
  <c r="A33" i="47"/>
  <c r="A87" i="47"/>
  <c r="A49" i="47"/>
  <c r="A98" i="47"/>
  <c r="A13" i="47"/>
  <c r="A47" i="47"/>
  <c r="A59" i="47"/>
  <c r="A74" i="47"/>
  <c r="A99" i="47"/>
  <c r="A95" i="47"/>
  <c r="A18" i="47"/>
  <c r="A11" i="47"/>
  <c r="A7" i="47"/>
  <c r="A35" i="47"/>
  <c r="A88" i="47"/>
  <c r="A14" i="47"/>
  <c r="A34" i="47"/>
  <c r="A63" i="47"/>
  <c r="A17" i="47"/>
  <c r="A44" i="47"/>
  <c r="A50" i="47"/>
  <c r="A51" i="47"/>
  <c r="A78" i="47"/>
  <c r="A6" i="47"/>
  <c r="A31" i="47"/>
  <c r="A23" i="47"/>
  <c r="A43" i="47"/>
  <c r="A12" i="47"/>
  <c r="A72" i="47"/>
  <c r="A21" i="47"/>
  <c r="A73" i="47"/>
  <c r="A77" i="47"/>
  <c r="A58" i="47"/>
  <c r="A61" i="47"/>
  <c r="A27" i="47"/>
  <c r="A91" i="47"/>
  <c r="A45" i="47"/>
  <c r="A97" i="47"/>
  <c r="A24" i="47"/>
  <c r="A82" i="47"/>
  <c r="A25" i="47"/>
  <c r="A94" i="47"/>
  <c r="A5" i="47"/>
  <c r="A48" i="47"/>
  <c r="A75" i="47"/>
  <c r="A52" i="47"/>
  <c r="A10" i="47"/>
  <c r="A38" i="47"/>
  <c r="A36" i="47"/>
  <c r="A71" i="47"/>
  <c r="A29" i="47"/>
  <c r="A84" i="47"/>
  <c r="A15" i="47"/>
  <c r="A9" i="47"/>
  <c r="A32" i="47"/>
  <c r="A57" i="47"/>
  <c r="A68" i="47"/>
  <c r="A100" i="47"/>
  <c r="A39" i="47"/>
  <c r="A83" i="47"/>
  <c r="A81" i="47"/>
  <c r="A41" i="47"/>
  <c r="A64" i="47"/>
  <c r="A102" i="47"/>
  <c r="A69" i="47"/>
  <c r="A37" i="47"/>
  <c r="A40" i="47"/>
  <c r="A20" i="47"/>
  <c r="A19" i="47"/>
  <c r="A96" i="47"/>
  <c r="A70" i="47"/>
  <c r="A3" i="47"/>
  <c r="A26" i="47"/>
  <c r="A28" i="47"/>
  <c r="A53" i="47"/>
  <c r="A80" i="47"/>
  <c r="A66" i="47"/>
  <c r="A101" i="47"/>
  <c r="A85" i="47"/>
  <c r="A16" i="47"/>
  <c r="A79" i="47"/>
  <c r="B66" i="54" l="1"/>
  <c r="M2" i="54"/>
  <c r="B30" i="44"/>
  <c r="D55" i="48"/>
  <c r="D32" i="48"/>
  <c r="AK32" i="48" s="1"/>
  <c r="B78" i="48"/>
  <c r="D12" i="44"/>
  <c r="C52" i="44"/>
  <c r="D6" i="44"/>
  <c r="B49" i="54"/>
  <c r="E25" i="44"/>
  <c r="B25" i="48"/>
  <c r="AI25" i="48" s="1"/>
  <c r="B7" i="54"/>
  <c r="D99" i="48"/>
  <c r="B48" i="44"/>
  <c r="C26" i="48"/>
  <c r="B12" i="48"/>
  <c r="AI12" i="48" s="1"/>
  <c r="B47" i="48"/>
  <c r="B35" i="48"/>
  <c r="AI35" i="48" s="1"/>
  <c r="B11" i="48"/>
  <c r="AI11" i="48" s="1"/>
  <c r="E29" i="48"/>
  <c r="M58" i="54"/>
  <c r="E43" i="48"/>
  <c r="B43" i="48"/>
  <c r="E2" i="48"/>
  <c r="B47" i="54"/>
  <c r="C92" i="48"/>
  <c r="E53" i="48"/>
  <c r="E89" i="48"/>
  <c r="D31" i="44"/>
  <c r="C28" i="48"/>
  <c r="B96" i="48"/>
  <c r="B91" i="48"/>
  <c r="E71" i="48"/>
  <c r="E54" i="44"/>
  <c r="D54" i="48"/>
  <c r="B72" i="44"/>
  <c r="D3" i="44"/>
  <c r="E32" i="44"/>
  <c r="B58" i="54"/>
  <c r="C20" i="44"/>
  <c r="C83" i="48"/>
  <c r="B46" i="44"/>
  <c r="C27" i="48"/>
  <c r="C80" i="44"/>
  <c r="B42" i="44"/>
  <c r="C18" i="48"/>
  <c r="M43" i="54"/>
  <c r="B10" i="48"/>
  <c r="AI10" i="48" s="1"/>
  <c r="M21" i="54"/>
  <c r="B13" i="48"/>
  <c r="AI13" i="48" s="1"/>
  <c r="C20" i="48"/>
  <c r="C75" i="48"/>
  <c r="D97" i="48"/>
  <c r="E5" i="44"/>
  <c r="M47" i="54"/>
  <c r="C32" i="48"/>
  <c r="E64" i="48"/>
  <c r="B56" i="44"/>
  <c r="M15" i="54"/>
  <c r="C2" i="48"/>
  <c r="C38" i="44"/>
  <c r="D79" i="48"/>
  <c r="D16" i="48"/>
  <c r="AK16" i="48" s="1"/>
  <c r="E70" i="44"/>
  <c r="E83" i="48"/>
  <c r="C91" i="48"/>
  <c r="D82" i="48"/>
  <c r="B60" i="54"/>
  <c r="M16" i="54"/>
  <c r="B54" i="54"/>
  <c r="E75" i="48"/>
  <c r="E94" i="48"/>
  <c r="E16" i="48"/>
  <c r="B79" i="44"/>
  <c r="M44" i="54"/>
  <c r="E78" i="48"/>
  <c r="B5" i="44"/>
  <c r="E81" i="48"/>
  <c r="C31" i="48"/>
  <c r="M41" i="54"/>
  <c r="B25" i="54"/>
  <c r="B12" i="54"/>
  <c r="B6" i="54"/>
  <c r="C43" i="44"/>
  <c r="B33" i="54"/>
  <c r="E6" i="48"/>
  <c r="C48" i="44"/>
  <c r="E21" i="44"/>
  <c r="D27" i="48"/>
  <c r="AK27" i="48" s="1"/>
  <c r="M40" i="54"/>
  <c r="B74" i="54"/>
  <c r="B78" i="44"/>
  <c r="C54" i="48"/>
  <c r="E36" i="48"/>
  <c r="E74" i="48"/>
  <c r="D39" i="44"/>
  <c r="B2" i="54"/>
  <c r="B68" i="54"/>
  <c r="E42" i="44"/>
  <c r="C61" i="48"/>
  <c r="B8" i="54"/>
  <c r="M8" i="54"/>
  <c r="D23" i="44"/>
  <c r="D73" i="48"/>
  <c r="B17" i="54"/>
  <c r="B72" i="48"/>
  <c r="C40" i="48"/>
  <c r="C36" i="44"/>
  <c r="C68" i="44"/>
  <c r="M49" i="54"/>
  <c r="D28" i="48"/>
  <c r="AK28" i="48" s="1"/>
  <c r="E5" i="48"/>
  <c r="C98" i="48"/>
  <c r="C33" i="48"/>
  <c r="B42" i="54"/>
  <c r="C79" i="44"/>
  <c r="E24" i="44"/>
  <c r="C86" i="48"/>
  <c r="M74" i="54"/>
  <c r="B6" i="48"/>
  <c r="AI6" i="48" s="1"/>
  <c r="B18" i="48"/>
  <c r="AI18" i="48" s="1"/>
  <c r="D76" i="48"/>
  <c r="M19" i="54"/>
  <c r="M50" i="54"/>
  <c r="C73" i="44"/>
  <c r="C40" i="44"/>
  <c r="M31" i="54"/>
  <c r="B79" i="54"/>
  <c r="E63" i="44"/>
  <c r="B14" i="44"/>
  <c r="B61" i="54"/>
  <c r="M62" i="54"/>
  <c r="B41" i="44"/>
  <c r="B25" i="44"/>
  <c r="E60" i="48"/>
  <c r="D24" i="44"/>
  <c r="D65" i="48"/>
  <c r="C93" i="48"/>
  <c r="B65" i="48"/>
  <c r="D58" i="44"/>
  <c r="B52" i="44"/>
  <c r="C41" i="48"/>
  <c r="C62" i="48"/>
  <c r="C78" i="44"/>
  <c r="D75" i="44"/>
  <c r="C60" i="48"/>
  <c r="B32" i="48"/>
  <c r="AI32" i="48" s="1"/>
  <c r="B54" i="44"/>
  <c r="C35" i="48"/>
  <c r="E47" i="44"/>
  <c r="E58" i="44"/>
  <c r="D29" i="44"/>
  <c r="D29" i="48"/>
  <c r="AK29" i="48" s="1"/>
  <c r="C76" i="48"/>
  <c r="C44" i="44"/>
  <c r="B82" i="48"/>
  <c r="C62" i="44"/>
  <c r="E22" i="44"/>
  <c r="B73" i="44"/>
  <c r="D95" i="48"/>
  <c r="C22" i="48"/>
  <c r="B29" i="48"/>
  <c r="AI29" i="48" s="1"/>
  <c r="C67" i="48"/>
  <c r="E23" i="48"/>
  <c r="C23" i="44"/>
  <c r="E43" i="44"/>
  <c r="C43" i="48"/>
  <c r="E67" i="44"/>
  <c r="D2" i="44"/>
  <c r="D75" i="48"/>
  <c r="C30" i="48"/>
  <c r="B76" i="48"/>
  <c r="C22" i="44"/>
  <c r="B27" i="44"/>
  <c r="B21" i="54"/>
  <c r="C46" i="44"/>
  <c r="B83" i="48"/>
  <c r="M80" i="54"/>
  <c r="E6" i="44"/>
  <c r="E14" i="48"/>
  <c r="B71" i="54"/>
  <c r="D73" i="44"/>
  <c r="B31" i="44"/>
  <c r="B61" i="44"/>
  <c r="D2" i="48"/>
  <c r="AK2" i="48" s="1"/>
  <c r="E16" i="44"/>
  <c r="E96" i="48"/>
  <c r="C79" i="48"/>
  <c r="E13" i="48"/>
  <c r="C6" i="44"/>
  <c r="D5" i="48"/>
  <c r="AK5" i="48" s="1"/>
  <c r="C69" i="44"/>
  <c r="M72" i="54"/>
  <c r="C57" i="44"/>
  <c r="D55" i="44"/>
  <c r="E69" i="44"/>
  <c r="D54" i="44"/>
  <c r="C74" i="44"/>
  <c r="B11" i="44"/>
  <c r="D50" i="44"/>
  <c r="B24" i="48"/>
  <c r="AI24" i="48" s="1"/>
  <c r="E25" i="48"/>
  <c r="D14" i="48"/>
  <c r="AK14" i="48" s="1"/>
  <c r="E8" i="48"/>
  <c r="B45" i="44"/>
  <c r="D65" i="44"/>
  <c r="B74" i="48"/>
  <c r="D90" i="48"/>
  <c r="C58" i="44"/>
  <c r="B66" i="48"/>
  <c r="D94" i="48"/>
  <c r="D40" i="48"/>
  <c r="AK40" i="48" s="1"/>
  <c r="D53" i="48"/>
  <c r="C29" i="48"/>
  <c r="D45" i="44"/>
  <c r="E60" i="44"/>
  <c r="M3" i="54"/>
  <c r="M28" i="54"/>
  <c r="C88" i="48"/>
  <c r="C65" i="44"/>
  <c r="B87" i="48"/>
  <c r="D30" i="48"/>
  <c r="AK30" i="48" s="1"/>
  <c r="B95" i="48"/>
  <c r="C78" i="48"/>
  <c r="B13" i="54"/>
  <c r="D68" i="48"/>
  <c r="D63" i="44"/>
  <c r="C15" i="48"/>
  <c r="D60" i="48"/>
  <c r="C63" i="48"/>
  <c r="C55" i="48"/>
  <c r="B19" i="54"/>
  <c r="D46" i="44"/>
  <c r="D14" i="44"/>
  <c r="E28" i="48"/>
  <c r="C70" i="44"/>
  <c r="M53" i="54"/>
  <c r="B79" i="48"/>
  <c r="C66" i="44"/>
  <c r="C61" i="44"/>
  <c r="B13" i="44"/>
  <c r="B69" i="44"/>
  <c r="M24" i="54"/>
  <c r="D72" i="48"/>
  <c r="E11" i="48"/>
  <c r="B70" i="44"/>
  <c r="E80" i="48"/>
  <c r="B71" i="44"/>
  <c r="B19" i="44"/>
  <c r="D67" i="48"/>
  <c r="D66" i="48"/>
  <c r="C74" i="48"/>
  <c r="B67" i="48"/>
  <c r="B98" i="48"/>
  <c r="C56" i="48"/>
  <c r="M23" i="54"/>
  <c r="D80" i="48"/>
  <c r="B62" i="44"/>
  <c r="B8" i="44"/>
  <c r="E17" i="44"/>
  <c r="B24" i="44"/>
  <c r="B12" i="44"/>
  <c r="B51" i="54"/>
  <c r="D15" i="48"/>
  <c r="AK15" i="48" s="1"/>
  <c r="B33" i="44"/>
  <c r="D19" i="44"/>
  <c r="B21" i="44"/>
  <c r="D61" i="48"/>
  <c r="C39" i="44"/>
  <c r="E92" i="48"/>
  <c r="B15" i="54"/>
  <c r="B41" i="54"/>
  <c r="D7" i="48"/>
  <c r="AK7" i="48" s="1"/>
  <c r="M56" i="54"/>
  <c r="D41" i="48"/>
  <c r="AK41" i="48" s="1"/>
  <c r="E50" i="44"/>
  <c r="B51" i="48"/>
  <c r="B9" i="44"/>
  <c r="M30" i="54"/>
  <c r="M73" i="54"/>
  <c r="E93" i="48"/>
  <c r="C44" i="48"/>
  <c r="C32" i="44"/>
  <c r="M52" i="54"/>
  <c r="D44" i="48"/>
  <c r="M38" i="54"/>
  <c r="C36" i="48"/>
  <c r="E4" i="44"/>
  <c r="D22" i="44"/>
  <c r="B62" i="54"/>
  <c r="B7" i="48"/>
  <c r="AI7" i="48" s="1"/>
  <c r="B41" i="48"/>
  <c r="AI41" i="48" s="1"/>
  <c r="E27" i="44"/>
  <c r="B31" i="48"/>
  <c r="AI31" i="48" s="1"/>
  <c r="C71" i="44"/>
  <c r="D87" i="48"/>
  <c r="B2" i="48"/>
  <c r="AI2" i="48" s="1"/>
  <c r="B97" i="48"/>
  <c r="C69" i="48"/>
  <c r="B32" i="54"/>
  <c r="B90" i="48"/>
  <c r="D50" i="48"/>
  <c r="M68" i="54"/>
  <c r="B75" i="54"/>
  <c r="C87" i="48"/>
  <c r="B71" i="48"/>
  <c r="E79" i="48"/>
  <c r="B20" i="54"/>
  <c r="B65" i="54"/>
  <c r="C81" i="48"/>
  <c r="C80" i="48"/>
  <c r="M32" i="54"/>
  <c r="M18" i="54"/>
  <c r="C68" i="48"/>
  <c r="E9" i="48"/>
  <c r="C12" i="44"/>
  <c r="E76" i="44"/>
  <c r="E95" i="48"/>
  <c r="D10" i="48"/>
  <c r="AK10" i="48" s="1"/>
  <c r="B3" i="54"/>
  <c r="E68" i="44"/>
  <c r="E75" i="44"/>
  <c r="D22" i="48"/>
  <c r="AK22" i="48" s="1"/>
  <c r="D67" i="44"/>
  <c r="D9" i="48"/>
  <c r="AK9" i="48" s="1"/>
  <c r="D30" i="44"/>
  <c r="C50" i="44"/>
  <c r="D71" i="44"/>
  <c r="B57" i="44"/>
  <c r="D21" i="44"/>
  <c r="E14" i="44"/>
  <c r="C9" i="44"/>
  <c r="M27" i="54"/>
  <c r="E91" i="48"/>
  <c r="B27" i="48"/>
  <c r="AI27" i="48" s="1"/>
  <c r="B48" i="48"/>
  <c r="B31" i="54"/>
  <c r="E62" i="48"/>
  <c r="M10" i="54"/>
  <c r="C41" i="44"/>
  <c r="M25" i="54"/>
  <c r="B34" i="48"/>
  <c r="AI34" i="48" s="1"/>
  <c r="B33" i="48"/>
  <c r="AI33" i="48" s="1"/>
  <c r="E78" i="44"/>
  <c r="B36" i="44"/>
  <c r="B50" i="48"/>
  <c r="B50" i="54"/>
  <c r="B37" i="48"/>
  <c r="AI37" i="48" s="1"/>
  <c r="E55" i="44"/>
  <c r="D5" i="44"/>
  <c r="B53" i="48"/>
  <c r="E18" i="44"/>
  <c r="M48" i="54"/>
  <c r="B23" i="48"/>
  <c r="AI23" i="48" s="1"/>
  <c r="E66" i="44"/>
  <c r="E30" i="48"/>
  <c r="M9" i="54"/>
  <c r="E26" i="48"/>
  <c r="D26" i="44"/>
  <c r="D78" i="48"/>
  <c r="B73" i="48"/>
  <c r="D88" i="48"/>
  <c r="D39" i="48"/>
  <c r="AK39" i="48" s="1"/>
  <c r="D17" i="48"/>
  <c r="AK17" i="48" s="1"/>
  <c r="B72" i="54"/>
  <c r="C51" i="48"/>
  <c r="E40" i="48"/>
  <c r="B16" i="48"/>
  <c r="AI16" i="48" s="1"/>
  <c r="B35" i="54"/>
  <c r="E34" i="44"/>
  <c r="E24" i="48"/>
  <c r="B67" i="44"/>
  <c r="E86" i="48"/>
  <c r="B75" i="44"/>
  <c r="D93" i="48"/>
  <c r="C90" i="48"/>
  <c r="B76" i="44"/>
  <c r="B77" i="44"/>
  <c r="B66" i="44"/>
  <c r="C35" i="44"/>
  <c r="B70" i="54"/>
  <c r="D31" i="48"/>
  <c r="AK31" i="48" s="1"/>
  <c r="C33" i="44"/>
  <c r="B21" i="48"/>
  <c r="AI21" i="48" s="1"/>
  <c r="C17" i="48"/>
  <c r="D34" i="44"/>
  <c r="E69" i="48"/>
  <c r="C55" i="44"/>
  <c r="C7" i="44"/>
  <c r="B27" i="54"/>
  <c r="B77" i="54"/>
  <c r="B81" i="48"/>
  <c r="B38" i="44"/>
  <c r="B46" i="48"/>
  <c r="M12" i="54"/>
  <c r="E29" i="44"/>
  <c r="B93" i="48"/>
  <c r="C100" i="48"/>
  <c r="C76" i="44"/>
  <c r="C71" i="48"/>
  <c r="B32" i="44"/>
  <c r="D52" i="48"/>
  <c r="E44" i="44"/>
  <c r="E77" i="48"/>
  <c r="D69" i="44"/>
  <c r="B26" i="48"/>
  <c r="AI26" i="48" s="1"/>
  <c r="D25" i="44"/>
  <c r="B45" i="48"/>
  <c r="D49" i="44"/>
  <c r="B52" i="54"/>
  <c r="D27" i="44"/>
  <c r="C42" i="48"/>
  <c r="M59" i="54"/>
  <c r="C85" i="48"/>
  <c r="B10" i="54"/>
  <c r="M35" i="54"/>
  <c r="M69" i="54"/>
  <c r="D37" i="48"/>
  <c r="AK37" i="48" s="1"/>
  <c r="C63" i="44"/>
  <c r="B40" i="54"/>
  <c r="E33" i="48"/>
  <c r="M55" i="54"/>
  <c r="B16" i="44"/>
  <c r="B68" i="44"/>
  <c r="C50" i="48"/>
  <c r="B86" i="48"/>
  <c r="B23" i="54"/>
  <c r="D45" i="48"/>
  <c r="B17" i="48"/>
  <c r="AI17" i="48" s="1"/>
  <c r="D98" i="48"/>
  <c r="B78" i="54"/>
  <c r="C84" i="48"/>
  <c r="C25" i="44"/>
  <c r="E42" i="48"/>
  <c r="C72" i="44"/>
  <c r="C64" i="48"/>
  <c r="B74" i="44"/>
  <c r="C66" i="48"/>
  <c r="D84" i="48"/>
  <c r="D47" i="44"/>
  <c r="E59" i="44"/>
  <c r="D13" i="48"/>
  <c r="AK13" i="48" s="1"/>
  <c r="E41" i="44"/>
  <c r="E68" i="48"/>
  <c r="B58" i="44"/>
  <c r="C16" i="44"/>
  <c r="B59" i="48"/>
  <c r="B18" i="44"/>
  <c r="B100" i="48"/>
  <c r="C24" i="48"/>
  <c r="E64" i="44"/>
  <c r="D91" i="48"/>
  <c r="E20" i="48"/>
  <c r="B60" i="44"/>
  <c r="C10" i="44"/>
  <c r="C58" i="48"/>
  <c r="C5" i="48"/>
  <c r="E45" i="44"/>
  <c r="M26" i="54"/>
  <c r="D28" i="44"/>
  <c r="C95" i="48"/>
  <c r="D79" i="44"/>
  <c r="B39" i="48"/>
  <c r="AI39" i="48" s="1"/>
  <c r="C21" i="48"/>
  <c r="E73" i="48"/>
  <c r="B77" i="48"/>
  <c r="C53" i="44"/>
  <c r="B64" i="54"/>
  <c r="B28" i="48"/>
  <c r="AI28" i="48" s="1"/>
  <c r="C46" i="48"/>
  <c r="B26" i="54"/>
  <c r="C4" i="48"/>
  <c r="E49" i="48"/>
  <c r="D18" i="48"/>
  <c r="AK18" i="48" s="1"/>
  <c r="D17" i="44"/>
  <c r="D74" i="44"/>
  <c r="M42" i="54"/>
  <c r="E99" i="48"/>
  <c r="E74" i="44"/>
  <c r="E3" i="48"/>
  <c r="D59" i="44"/>
  <c r="E17" i="48"/>
  <c r="B69" i="54"/>
  <c r="B29" i="44"/>
  <c r="E76" i="48"/>
  <c r="B6" i="44"/>
  <c r="B57" i="54"/>
  <c r="E41" i="48"/>
  <c r="E57" i="48"/>
  <c r="B20" i="44"/>
  <c r="B64" i="44"/>
  <c r="D56" i="48"/>
  <c r="B40" i="44"/>
  <c r="C89" i="48"/>
  <c r="E34" i="48"/>
  <c r="B59" i="44"/>
  <c r="E33" i="44"/>
  <c r="E46" i="44"/>
  <c r="E77" i="44"/>
  <c r="D89" i="48"/>
  <c r="B52" i="48"/>
  <c r="C5" i="44"/>
  <c r="B84" i="48"/>
  <c r="E44" i="48"/>
  <c r="E85" i="48"/>
  <c r="E21" i="48"/>
  <c r="E15" i="44"/>
  <c r="B9" i="54"/>
  <c r="D49" i="48"/>
  <c r="B43" i="44"/>
  <c r="M51" i="54"/>
  <c r="E53" i="44"/>
  <c r="B76" i="54"/>
  <c r="C42" i="44"/>
  <c r="B44" i="44"/>
  <c r="C38" i="48"/>
  <c r="B99" i="48"/>
  <c r="D56" i="44"/>
  <c r="E97" i="48"/>
  <c r="D53" i="44"/>
  <c r="E52" i="44"/>
  <c r="D57" i="44"/>
  <c r="D18" i="44"/>
  <c r="B68" i="48"/>
  <c r="D76" i="44"/>
  <c r="D4" i="44"/>
  <c r="D52" i="44"/>
  <c r="E59" i="48"/>
  <c r="M63" i="54"/>
  <c r="D21" i="48"/>
  <c r="AK21" i="48" s="1"/>
  <c r="D86" i="48"/>
  <c r="D42" i="48"/>
  <c r="E57" i="44"/>
  <c r="C23" i="48"/>
  <c r="M75" i="54"/>
  <c r="D51" i="44"/>
  <c r="E50" i="48"/>
  <c r="E28" i="44"/>
  <c r="B57" i="48"/>
  <c r="E10" i="48"/>
  <c r="D6" i="48"/>
  <c r="AK6" i="48" s="1"/>
  <c r="B49" i="44"/>
  <c r="D51" i="48"/>
  <c r="B63" i="48"/>
  <c r="M77" i="54"/>
  <c r="D38" i="44"/>
  <c r="M14" i="54"/>
  <c r="C29" i="44"/>
  <c r="B24" i="54"/>
  <c r="E72" i="48"/>
  <c r="B43" i="54"/>
  <c r="C64" i="44"/>
  <c r="M33" i="54"/>
  <c r="B16" i="54"/>
  <c r="E90" i="48"/>
  <c r="B55" i="44"/>
  <c r="D26" i="48"/>
  <c r="AK26" i="48" s="1"/>
  <c r="C28" i="44"/>
  <c r="E45" i="48"/>
  <c r="E63" i="48"/>
  <c r="C3" i="44"/>
  <c r="E38" i="44"/>
  <c r="E7" i="44"/>
  <c r="C99" i="48"/>
  <c r="B69" i="48"/>
  <c r="B89" i="48"/>
  <c r="M45" i="54"/>
  <c r="D33" i="48"/>
  <c r="AK33" i="48" s="1"/>
  <c r="E65" i="44"/>
  <c r="D8" i="44"/>
  <c r="D32" i="44"/>
  <c r="B94" i="48"/>
  <c r="D48" i="44"/>
  <c r="D36" i="48"/>
  <c r="AK36" i="48" s="1"/>
  <c r="B36" i="54"/>
  <c r="D63" i="48"/>
  <c r="D44" i="44"/>
  <c r="C11" i="44"/>
  <c r="D64" i="48"/>
  <c r="D48" i="48"/>
  <c r="D37" i="44"/>
  <c r="B26" i="44"/>
  <c r="D15" i="44"/>
  <c r="B80" i="44"/>
  <c r="D59" i="48"/>
  <c r="D38" i="48"/>
  <c r="AK38" i="48" s="1"/>
  <c r="B80" i="48"/>
  <c r="E18" i="48"/>
  <c r="B5" i="54"/>
  <c r="C82" i="48"/>
  <c r="D10" i="44"/>
  <c r="D64" i="44"/>
  <c r="E3" i="44"/>
  <c r="M61" i="54"/>
  <c r="B45" i="54"/>
  <c r="E84" i="48"/>
  <c r="E66" i="48"/>
  <c r="D25" i="48"/>
  <c r="AK25" i="48" s="1"/>
  <c r="E2" i="44"/>
  <c r="D11" i="48"/>
  <c r="AK11" i="48" s="1"/>
  <c r="E37" i="44"/>
  <c r="B36" i="48"/>
  <c r="AI36" i="48" s="1"/>
  <c r="D100" i="48"/>
  <c r="C11" i="48"/>
  <c r="C19" i="44"/>
  <c r="M64" i="54"/>
  <c r="B34" i="54"/>
  <c r="C49" i="44"/>
  <c r="B20" i="48"/>
  <c r="AI20" i="48" s="1"/>
  <c r="C31" i="44"/>
  <c r="E79" i="44"/>
  <c r="E39" i="44"/>
  <c r="D47" i="48"/>
  <c r="C97" i="48"/>
  <c r="C34" i="44"/>
  <c r="E22" i="48"/>
  <c r="C47" i="48"/>
  <c r="B60" i="48"/>
  <c r="C6" i="48"/>
  <c r="B5" i="48"/>
  <c r="AI5" i="48" s="1"/>
  <c r="C25" i="48"/>
  <c r="E48" i="48"/>
  <c r="D70" i="48"/>
  <c r="M70" i="54"/>
  <c r="B22" i="44"/>
  <c r="D81" i="48"/>
  <c r="D77" i="44"/>
  <c r="D23" i="48"/>
  <c r="AK23" i="48" s="1"/>
  <c r="B3" i="44"/>
  <c r="B17" i="44"/>
  <c r="E100" i="48"/>
  <c r="E87" i="48"/>
  <c r="E88" i="48"/>
  <c r="E35" i="44"/>
  <c r="C14" i="44"/>
  <c r="D7" i="44"/>
  <c r="E37" i="48"/>
  <c r="D19" i="48"/>
  <c r="AK19" i="48" s="1"/>
  <c r="B56" i="54"/>
  <c r="B4" i="48"/>
  <c r="AI4" i="48" s="1"/>
  <c r="E8" i="44"/>
  <c r="M22" i="54"/>
  <c r="C48" i="48"/>
  <c r="E49" i="44"/>
  <c r="D11" i="44"/>
  <c r="M37" i="54"/>
  <c r="C19" i="48"/>
  <c r="C8" i="44"/>
  <c r="E13" i="44"/>
  <c r="B18" i="54"/>
  <c r="D9" i="44"/>
  <c r="C16" i="48"/>
  <c r="B51" i="44"/>
  <c r="C10" i="48"/>
  <c r="C77" i="44"/>
  <c r="D33" i="44"/>
  <c r="E36" i="44"/>
  <c r="E65" i="48"/>
  <c r="E30" i="44"/>
  <c r="D69" i="48"/>
  <c r="D62" i="44"/>
  <c r="M71" i="54"/>
  <c r="B39" i="54"/>
  <c r="B39" i="44"/>
  <c r="D80" i="44"/>
  <c r="M11" i="54"/>
  <c r="D3" i="48"/>
  <c r="AK3" i="48" s="1"/>
  <c r="M54" i="54"/>
  <c r="C14" i="48"/>
  <c r="M36" i="54"/>
  <c r="D96" i="48"/>
  <c r="M34" i="54"/>
  <c r="D58" i="48"/>
  <c r="D78" i="44"/>
  <c r="C45" i="44"/>
  <c r="D85" i="48"/>
  <c r="E48" i="44"/>
  <c r="M60" i="54"/>
  <c r="B22" i="54"/>
  <c r="M4" i="54"/>
  <c r="B38" i="48"/>
  <c r="AI38" i="48" s="1"/>
  <c r="E72" i="44"/>
  <c r="B19" i="48"/>
  <c r="AI19" i="48" s="1"/>
  <c r="C30" i="44"/>
  <c r="C96" i="48"/>
  <c r="M57" i="54"/>
  <c r="D83" i="48"/>
  <c r="E7" i="48"/>
  <c r="C51" i="44"/>
  <c r="E9" i="44"/>
  <c r="D101" i="48"/>
  <c r="E35" i="48"/>
  <c r="E20" i="44"/>
  <c r="D8" i="48"/>
  <c r="AK8" i="48" s="1"/>
  <c r="B70" i="48"/>
  <c r="D92" i="48"/>
  <c r="C8" i="48"/>
  <c r="E55" i="48"/>
  <c r="B63" i="44"/>
  <c r="D40" i="44"/>
  <c r="C73" i="48"/>
  <c r="E32" i="48"/>
  <c r="D4" i="48"/>
  <c r="AK4" i="48" s="1"/>
  <c r="C101" i="48"/>
  <c r="B55" i="48"/>
  <c r="D66" i="44"/>
  <c r="B4" i="44"/>
  <c r="D74" i="48"/>
  <c r="B101" i="48"/>
  <c r="C17" i="44"/>
  <c r="B49" i="48"/>
  <c r="E31" i="48"/>
  <c r="E61" i="48"/>
  <c r="C72" i="48"/>
  <c r="M6" i="54"/>
  <c r="D24" i="48"/>
  <c r="AK24" i="48" s="1"/>
  <c r="B40" i="48"/>
  <c r="AI40" i="48" s="1"/>
  <c r="E73" i="44"/>
  <c r="C13" i="48"/>
  <c r="M29" i="54"/>
  <c r="D12" i="48"/>
  <c r="AK12" i="48" s="1"/>
  <c r="C47" i="44"/>
  <c r="B48" i="54"/>
  <c r="B4" i="54"/>
  <c r="B30" i="54"/>
  <c r="C7" i="48"/>
  <c r="D35" i="48"/>
  <c r="AK35" i="48" s="1"/>
  <c r="M66" i="54"/>
  <c r="E61" i="44"/>
  <c r="B37" i="54"/>
  <c r="B44" i="54"/>
  <c r="M76" i="54"/>
  <c r="E51" i="48"/>
  <c r="B92" i="48"/>
  <c r="E23" i="44"/>
  <c r="B53" i="54"/>
  <c r="C12" i="48"/>
  <c r="E70" i="48"/>
  <c r="D34" i="48"/>
  <c r="AK34" i="48" s="1"/>
  <c r="E15" i="48"/>
  <c r="B47" i="44"/>
  <c r="C94" i="48"/>
  <c r="B28" i="44"/>
  <c r="B15" i="44"/>
  <c r="C52" i="48"/>
  <c r="D70" i="44"/>
  <c r="C4" i="44"/>
  <c r="C15" i="44"/>
  <c r="E4" i="48"/>
  <c r="B62" i="48"/>
  <c r="B38" i="54"/>
  <c r="E12" i="48"/>
  <c r="B55" i="54"/>
  <c r="B63" i="54"/>
  <c r="B65" i="44"/>
  <c r="B23" i="44"/>
  <c r="E82" i="48"/>
  <c r="B15" i="48"/>
  <c r="AI15" i="48" s="1"/>
  <c r="C21" i="44"/>
  <c r="E56" i="44"/>
  <c r="B29" i="54"/>
  <c r="D77" i="48"/>
  <c r="C34" i="48"/>
  <c r="D61" i="44"/>
  <c r="B75" i="48"/>
  <c r="C9" i="48"/>
  <c r="C70" i="48"/>
  <c r="D42" i="44"/>
  <c r="B10" i="44"/>
  <c r="M39" i="54"/>
  <c r="C37" i="48"/>
  <c r="E40" i="44"/>
  <c r="D20" i="44"/>
  <c r="B42" i="48"/>
  <c r="B58" i="48"/>
  <c r="E80" i="44"/>
  <c r="B54" i="48"/>
  <c r="E54" i="48"/>
  <c r="E12" i="44"/>
  <c r="C37" i="44"/>
  <c r="C27" i="44"/>
  <c r="C65" i="48"/>
  <c r="E19" i="44"/>
  <c r="C18" i="44"/>
  <c r="C13" i="44"/>
  <c r="D43" i="48"/>
  <c r="M65" i="54"/>
  <c r="E31" i="44"/>
  <c r="M5" i="54"/>
  <c r="B8" i="48"/>
  <c r="AI8" i="48" s="1"/>
  <c r="D13" i="44"/>
  <c r="M78" i="54"/>
  <c r="M67" i="54"/>
  <c r="D35" i="44"/>
  <c r="E47" i="48"/>
  <c r="B11" i="54"/>
  <c r="B59" i="54"/>
  <c r="B50" i="44"/>
  <c r="E10" i="44"/>
  <c r="C67" i="44"/>
  <c r="B35" i="44"/>
  <c r="E39" i="48"/>
  <c r="D16" i="44"/>
  <c r="M79" i="54"/>
  <c r="C60" i="44"/>
  <c r="C2" i="44"/>
  <c r="C53" i="48"/>
  <c r="B37" i="44"/>
  <c r="C45" i="48"/>
  <c r="B9" i="48"/>
  <c r="AI9" i="48" s="1"/>
  <c r="B61" i="48"/>
  <c r="C57" i="48"/>
  <c r="C56" i="44"/>
  <c r="C54" i="44"/>
  <c r="B88" i="48"/>
  <c r="C59" i="48"/>
  <c r="C3" i="48"/>
  <c r="M20" i="54"/>
  <c r="B22" i="48"/>
  <c r="AI22" i="48" s="1"/>
  <c r="B30" i="48"/>
  <c r="AI30" i="48" s="1"/>
  <c r="B85" i="48"/>
  <c r="D72" i="44"/>
  <c r="B14" i="54"/>
  <c r="D68" i="44"/>
  <c r="E38" i="48"/>
  <c r="B3" i="48"/>
  <c r="AI3" i="48" s="1"/>
  <c r="M7" i="54"/>
  <c r="E51" i="44"/>
  <c r="B64" i="48"/>
  <c r="C39" i="48"/>
  <c r="E101" i="48"/>
  <c r="E71" i="44"/>
  <c r="E11" i="44"/>
  <c r="E52" i="48"/>
  <c r="E27" i="48"/>
  <c r="E56" i="48"/>
  <c r="C24" i="44"/>
  <c r="D62" i="48"/>
  <c r="B73" i="54"/>
  <c r="M17" i="54"/>
  <c r="E46" i="48"/>
  <c r="B2" i="44"/>
  <c r="B80" i="54"/>
  <c r="B44" i="48"/>
  <c r="B67" i="54"/>
  <c r="B53" i="44"/>
  <c r="D20" i="48"/>
  <c r="AK20" i="48" s="1"/>
  <c r="E98" i="48"/>
  <c r="C49" i="48"/>
  <c r="M46" i="54"/>
  <c r="C26" i="44"/>
  <c r="B14" i="48"/>
  <c r="AI14" i="48" s="1"/>
  <c r="C59" i="44"/>
  <c r="B56" i="48"/>
  <c r="E26" i="44"/>
  <c r="M13" i="54"/>
  <c r="E19" i="48"/>
  <c r="C77" i="48"/>
  <c r="C75" i="44"/>
  <c r="D36" i="44"/>
  <c r="B7" i="44"/>
  <c r="E58" i="48"/>
  <c r="D57" i="48"/>
  <c r="B46" i="54"/>
  <c r="B34" i="44"/>
  <c r="E67" i="48"/>
  <c r="B28" i="54"/>
  <c r="D71" i="48"/>
  <c r="D60" i="44"/>
  <c r="D43" i="44"/>
  <c r="E62" i="44"/>
  <c r="D41" i="44"/>
  <c r="D46" i="48"/>
  <c r="F59" i="48" l="1"/>
  <c r="H34" i="54"/>
  <c r="K34" i="54"/>
  <c r="G34" i="54"/>
  <c r="I34" i="54"/>
  <c r="E34" i="54"/>
  <c r="J34" i="54"/>
  <c r="F34" i="54"/>
  <c r="L34" i="54"/>
  <c r="E36" i="54"/>
  <c r="H36" i="54"/>
  <c r="I36" i="54"/>
  <c r="K36" i="54"/>
  <c r="G36" i="54"/>
  <c r="L36" i="54"/>
  <c r="F36" i="54"/>
  <c r="J36" i="54"/>
  <c r="F43" i="54"/>
  <c r="I43" i="54"/>
  <c r="J43" i="54"/>
  <c r="K43" i="54"/>
  <c r="G43" i="54"/>
  <c r="E43" i="54"/>
  <c r="H43" i="54"/>
  <c r="L43" i="54"/>
  <c r="K78" i="54"/>
  <c r="G78" i="54"/>
  <c r="J78" i="54"/>
  <c r="H78" i="54"/>
  <c r="F78" i="54"/>
  <c r="L78" i="54"/>
  <c r="I78" i="54"/>
  <c r="E78" i="54"/>
  <c r="G51" i="54"/>
  <c r="J51" i="54"/>
  <c r="E51" i="54"/>
  <c r="L51" i="54"/>
  <c r="H51" i="54"/>
  <c r="F51" i="54"/>
  <c r="I51" i="54"/>
  <c r="K51" i="54"/>
  <c r="K54" i="54"/>
  <c r="G54" i="54"/>
  <c r="E54" i="54"/>
  <c r="J54" i="54"/>
  <c r="H54" i="54"/>
  <c r="I54" i="54"/>
  <c r="L54" i="54"/>
  <c r="F54" i="54"/>
  <c r="E38" i="54"/>
  <c r="L38" i="54"/>
  <c r="H38" i="54"/>
  <c r="F38" i="54"/>
  <c r="G38" i="54"/>
  <c r="K38" i="54"/>
  <c r="J38" i="54"/>
  <c r="I38" i="54"/>
  <c r="J24" i="54"/>
  <c r="K24" i="54"/>
  <c r="G24" i="54"/>
  <c r="E24" i="54"/>
  <c r="H24" i="54"/>
  <c r="L24" i="54"/>
  <c r="I24" i="54"/>
  <c r="F24" i="54"/>
  <c r="F70" i="54"/>
  <c r="I70" i="54"/>
  <c r="G70" i="54"/>
  <c r="E70" i="54"/>
  <c r="K70" i="54"/>
  <c r="J70" i="54"/>
  <c r="H70" i="54"/>
  <c r="L70" i="54"/>
  <c r="I65" i="54"/>
  <c r="L65" i="54"/>
  <c r="K65" i="54"/>
  <c r="G65" i="54"/>
  <c r="E65" i="54"/>
  <c r="F65" i="54"/>
  <c r="H65" i="54"/>
  <c r="J65" i="54"/>
  <c r="I20" i="54"/>
  <c r="F20" i="54"/>
  <c r="H20" i="54"/>
  <c r="L20" i="54"/>
  <c r="J20" i="54"/>
  <c r="K20" i="54"/>
  <c r="E20" i="54"/>
  <c r="G20" i="54"/>
  <c r="E60" i="54"/>
  <c r="H60" i="54"/>
  <c r="K60" i="54"/>
  <c r="I60" i="54"/>
  <c r="G60" i="54"/>
  <c r="J60" i="54"/>
  <c r="L60" i="54"/>
  <c r="F60" i="54"/>
  <c r="E14" i="54"/>
  <c r="H14" i="54"/>
  <c r="L14" i="54"/>
  <c r="J14" i="54"/>
  <c r="F14" i="54"/>
  <c r="K14" i="54"/>
  <c r="G14" i="54"/>
  <c r="I14" i="54"/>
  <c r="F46" i="54"/>
  <c r="H46" i="54"/>
  <c r="J46" i="54"/>
  <c r="L46" i="54"/>
  <c r="G46" i="54"/>
  <c r="E46" i="54"/>
  <c r="I46" i="54"/>
  <c r="K46" i="54"/>
  <c r="F45" i="54"/>
  <c r="I45" i="54"/>
  <c r="H45" i="54"/>
  <c r="L45" i="54"/>
  <c r="J45" i="54"/>
  <c r="G45" i="54"/>
  <c r="E45" i="54"/>
  <c r="K45" i="54"/>
  <c r="J23" i="54"/>
  <c r="F23" i="54"/>
  <c r="E23" i="54"/>
  <c r="H23" i="54"/>
  <c r="L23" i="54"/>
  <c r="I23" i="54"/>
  <c r="G23" i="54"/>
  <c r="K23" i="54"/>
  <c r="I42" i="54"/>
  <c r="L42" i="54"/>
  <c r="J42" i="54"/>
  <c r="F42" i="54"/>
  <c r="G42" i="54"/>
  <c r="H42" i="54"/>
  <c r="E42" i="54"/>
  <c r="K42" i="54"/>
  <c r="G74" i="54"/>
  <c r="J74" i="54"/>
  <c r="L74" i="54"/>
  <c r="H74" i="54"/>
  <c r="F74" i="54"/>
  <c r="K74" i="54"/>
  <c r="E74" i="54"/>
  <c r="I74" i="54"/>
  <c r="H10" i="54"/>
  <c r="K10" i="54"/>
  <c r="L10" i="54"/>
  <c r="F10" i="54"/>
  <c r="I10" i="54"/>
  <c r="G10" i="54"/>
  <c r="J10" i="54"/>
  <c r="E10" i="54"/>
  <c r="J73" i="54"/>
  <c r="F73" i="54"/>
  <c r="I73" i="54"/>
  <c r="K73" i="54"/>
  <c r="H73" i="54"/>
  <c r="G73" i="54"/>
  <c r="E73" i="54"/>
  <c r="L73" i="54"/>
  <c r="G29" i="54"/>
  <c r="I29" i="54"/>
  <c r="K29" i="54"/>
  <c r="E29" i="54"/>
  <c r="H29" i="54"/>
  <c r="L29" i="54"/>
  <c r="J29" i="54"/>
  <c r="F29" i="54"/>
  <c r="G53" i="54"/>
  <c r="H53" i="54"/>
  <c r="E53" i="54"/>
  <c r="J53" i="54"/>
  <c r="L53" i="54"/>
  <c r="I53" i="54"/>
  <c r="K53" i="54"/>
  <c r="F53" i="54"/>
  <c r="G75" i="54"/>
  <c r="J75" i="54"/>
  <c r="L75" i="54"/>
  <c r="H75" i="54"/>
  <c r="F75" i="54"/>
  <c r="K75" i="54"/>
  <c r="I75" i="54"/>
  <c r="E75" i="54"/>
  <c r="F19" i="54"/>
  <c r="I19" i="54"/>
  <c r="H19" i="54"/>
  <c r="J19" i="54"/>
  <c r="L19" i="54"/>
  <c r="E19" i="54"/>
  <c r="K19" i="54"/>
  <c r="G19" i="54"/>
  <c r="E39" i="54"/>
  <c r="L39" i="54"/>
  <c r="F39" i="54"/>
  <c r="K39" i="54"/>
  <c r="J39" i="54"/>
  <c r="G39" i="54"/>
  <c r="I39" i="54"/>
  <c r="H39" i="54"/>
  <c r="K56" i="54"/>
  <c r="E56" i="54"/>
  <c r="J56" i="54"/>
  <c r="F56" i="54"/>
  <c r="I56" i="54"/>
  <c r="G56" i="54"/>
  <c r="L56" i="54"/>
  <c r="H56" i="54"/>
  <c r="G26" i="54"/>
  <c r="J26" i="54"/>
  <c r="K26" i="54"/>
  <c r="E26" i="54"/>
  <c r="F26" i="54"/>
  <c r="I26" i="54"/>
  <c r="L26" i="54"/>
  <c r="H26" i="54"/>
  <c r="H58" i="54"/>
  <c r="K58" i="54"/>
  <c r="I58" i="54"/>
  <c r="G58" i="54"/>
  <c r="E58" i="54"/>
  <c r="L58" i="54"/>
  <c r="J58" i="54"/>
  <c r="F58" i="54"/>
  <c r="G5" i="54"/>
  <c r="I5" i="54"/>
  <c r="E5" i="54"/>
  <c r="L5" i="54"/>
  <c r="H5" i="54"/>
  <c r="K5" i="54"/>
  <c r="J5" i="54"/>
  <c r="F5" i="54"/>
  <c r="J71" i="54"/>
  <c r="F71" i="54"/>
  <c r="I71" i="54"/>
  <c r="G71" i="54"/>
  <c r="H71" i="54"/>
  <c r="E71" i="54"/>
  <c r="L71" i="54"/>
  <c r="K71" i="54"/>
  <c r="H33" i="54"/>
  <c r="K33" i="54"/>
  <c r="G33" i="54"/>
  <c r="I33" i="54"/>
  <c r="F33" i="54"/>
  <c r="E33" i="54"/>
  <c r="J33" i="54"/>
  <c r="L33" i="54"/>
  <c r="I64" i="54"/>
  <c r="E64" i="54"/>
  <c r="L64" i="54"/>
  <c r="K64" i="54"/>
  <c r="G64" i="54"/>
  <c r="H64" i="54"/>
  <c r="J64" i="54"/>
  <c r="F64" i="54"/>
  <c r="K32" i="54"/>
  <c r="G32" i="54"/>
  <c r="I32" i="54"/>
  <c r="H32" i="54"/>
  <c r="F32" i="54"/>
  <c r="E32" i="54"/>
  <c r="J32" i="54"/>
  <c r="L32" i="54"/>
  <c r="K7" i="54"/>
  <c r="G7" i="54"/>
  <c r="I7" i="54"/>
  <c r="H7" i="54"/>
  <c r="L7" i="54"/>
  <c r="J7" i="54"/>
  <c r="F7" i="54"/>
  <c r="E7" i="54"/>
  <c r="I40" i="54"/>
  <c r="E40" i="54"/>
  <c r="L40" i="54"/>
  <c r="F40" i="54"/>
  <c r="J40" i="54"/>
  <c r="G40" i="54"/>
  <c r="H40" i="54"/>
  <c r="K40" i="54"/>
  <c r="F44" i="54"/>
  <c r="I44" i="54"/>
  <c r="L44" i="54"/>
  <c r="J44" i="54"/>
  <c r="K44" i="54"/>
  <c r="H44" i="54"/>
  <c r="G44" i="54"/>
  <c r="E44" i="54"/>
  <c r="G50" i="54"/>
  <c r="J50" i="54"/>
  <c r="E50" i="54"/>
  <c r="F50" i="54"/>
  <c r="H50" i="54"/>
  <c r="L50" i="54"/>
  <c r="I50" i="54"/>
  <c r="K50" i="54"/>
  <c r="L61" i="54"/>
  <c r="E61" i="54"/>
  <c r="H61" i="54"/>
  <c r="K61" i="54"/>
  <c r="I61" i="54"/>
  <c r="G61" i="54"/>
  <c r="J61" i="54"/>
  <c r="F61" i="54"/>
  <c r="K6" i="54"/>
  <c r="G6" i="54"/>
  <c r="I6" i="54"/>
  <c r="E6" i="54"/>
  <c r="L6" i="54"/>
  <c r="F6" i="54"/>
  <c r="J6" i="54"/>
  <c r="H6" i="54"/>
  <c r="E12" i="54"/>
  <c r="H12" i="54"/>
  <c r="J12" i="54"/>
  <c r="F12" i="54"/>
  <c r="L12" i="54"/>
  <c r="I12" i="54"/>
  <c r="K12" i="54"/>
  <c r="G12" i="54"/>
  <c r="K55" i="54"/>
  <c r="J55" i="54"/>
  <c r="E55" i="54"/>
  <c r="F55" i="54"/>
  <c r="H55" i="54"/>
  <c r="I55" i="54"/>
  <c r="G55" i="54"/>
  <c r="L55" i="54"/>
  <c r="G76" i="54"/>
  <c r="J76" i="54"/>
  <c r="L76" i="54"/>
  <c r="H76" i="54"/>
  <c r="F76" i="54"/>
  <c r="K76" i="54"/>
  <c r="I76" i="54"/>
  <c r="E76" i="54"/>
  <c r="H35" i="54"/>
  <c r="K35" i="54"/>
  <c r="I35" i="54"/>
  <c r="G35" i="54"/>
  <c r="E35" i="54"/>
  <c r="F35" i="54"/>
  <c r="J35" i="54"/>
  <c r="L35" i="54"/>
  <c r="L13" i="54"/>
  <c r="E13" i="54"/>
  <c r="H13" i="54"/>
  <c r="J13" i="54"/>
  <c r="F13" i="54"/>
  <c r="K13" i="54"/>
  <c r="G13" i="54"/>
  <c r="I13" i="54"/>
  <c r="I17" i="54"/>
  <c r="L17" i="54"/>
  <c r="H17" i="54"/>
  <c r="F17" i="54"/>
  <c r="J17" i="54"/>
  <c r="K17" i="54"/>
  <c r="G17" i="54"/>
  <c r="E17" i="54"/>
  <c r="J25" i="54"/>
  <c r="K25" i="54"/>
  <c r="G25" i="54"/>
  <c r="E25" i="54"/>
  <c r="L25" i="54"/>
  <c r="H25" i="54"/>
  <c r="I25" i="54"/>
  <c r="F25" i="54"/>
  <c r="J49" i="54"/>
  <c r="F49" i="54"/>
  <c r="H49" i="54"/>
  <c r="L49" i="54"/>
  <c r="K49" i="54"/>
  <c r="E49" i="54"/>
  <c r="G49" i="54"/>
  <c r="I49" i="54"/>
  <c r="G3" i="54"/>
  <c r="J3" i="54"/>
  <c r="K3" i="54"/>
  <c r="I3" i="54"/>
  <c r="H3" i="54"/>
  <c r="F3" i="54"/>
  <c r="E3" i="54"/>
  <c r="L3" i="54"/>
  <c r="I41" i="54"/>
  <c r="L41" i="54"/>
  <c r="J41" i="54"/>
  <c r="F41" i="54"/>
  <c r="G41" i="54"/>
  <c r="E41" i="54"/>
  <c r="H41" i="54"/>
  <c r="K41" i="54"/>
  <c r="K79" i="54"/>
  <c r="E79" i="54"/>
  <c r="H79" i="54"/>
  <c r="J79" i="54"/>
  <c r="L79" i="54"/>
  <c r="F79" i="54"/>
  <c r="G79" i="54"/>
  <c r="I79" i="54"/>
  <c r="E15" i="54"/>
  <c r="L15" i="54"/>
  <c r="H15" i="54"/>
  <c r="J15" i="54"/>
  <c r="F15" i="54"/>
  <c r="I15" i="54"/>
  <c r="K15" i="54"/>
  <c r="G15" i="54"/>
  <c r="I21" i="54"/>
  <c r="F21" i="54"/>
  <c r="E21" i="54"/>
  <c r="L21" i="54"/>
  <c r="H21" i="54"/>
  <c r="J21" i="54"/>
  <c r="K21" i="54"/>
  <c r="G21" i="54"/>
  <c r="G27" i="54"/>
  <c r="J27" i="54"/>
  <c r="E27" i="54"/>
  <c r="K27" i="54"/>
  <c r="L27" i="54"/>
  <c r="F27" i="54"/>
  <c r="I27" i="54"/>
  <c r="H27" i="54"/>
  <c r="H57" i="54"/>
  <c r="K57" i="54"/>
  <c r="E57" i="54"/>
  <c r="L57" i="54"/>
  <c r="J57" i="54"/>
  <c r="G57" i="54"/>
  <c r="F57" i="54"/>
  <c r="I57" i="54"/>
  <c r="F67" i="54"/>
  <c r="I67" i="54"/>
  <c r="K67" i="54"/>
  <c r="G67" i="54"/>
  <c r="L67" i="54"/>
  <c r="H67" i="54"/>
  <c r="E67" i="54"/>
  <c r="J67" i="54"/>
  <c r="H59" i="54"/>
  <c r="K59" i="54"/>
  <c r="I59" i="54"/>
  <c r="G59" i="54"/>
  <c r="E59" i="54"/>
  <c r="F59" i="54"/>
  <c r="L59" i="54"/>
  <c r="J59" i="54"/>
  <c r="K30" i="54"/>
  <c r="G30" i="54"/>
  <c r="I30" i="54"/>
  <c r="E30" i="54"/>
  <c r="J30" i="54"/>
  <c r="F30" i="54"/>
  <c r="L30" i="54"/>
  <c r="H30" i="54"/>
  <c r="J72" i="54"/>
  <c r="F72" i="54"/>
  <c r="I72" i="54"/>
  <c r="G72" i="54"/>
  <c r="E72" i="54"/>
  <c r="L72" i="54"/>
  <c r="H72" i="54"/>
  <c r="K72" i="54"/>
  <c r="K8" i="54"/>
  <c r="L8" i="54"/>
  <c r="F8" i="54"/>
  <c r="G8" i="54"/>
  <c r="I8" i="54"/>
  <c r="J8" i="54"/>
  <c r="H8" i="54"/>
  <c r="E8" i="54"/>
  <c r="H11" i="54"/>
  <c r="J11" i="54"/>
  <c r="L11" i="54"/>
  <c r="F11" i="54"/>
  <c r="I11" i="54"/>
  <c r="G11" i="54"/>
  <c r="K11" i="54"/>
  <c r="E11" i="54"/>
  <c r="G4" i="54"/>
  <c r="J4" i="54"/>
  <c r="I4" i="54"/>
  <c r="K4" i="54"/>
  <c r="H4" i="54"/>
  <c r="E4" i="54"/>
  <c r="L4" i="54"/>
  <c r="F4" i="54"/>
  <c r="L63" i="54"/>
  <c r="E63" i="54"/>
  <c r="G63" i="54"/>
  <c r="K63" i="54"/>
  <c r="I63" i="54"/>
  <c r="H63" i="54"/>
  <c r="F63" i="54"/>
  <c r="J63" i="54"/>
  <c r="H9" i="54"/>
  <c r="K9" i="54"/>
  <c r="L9" i="54"/>
  <c r="F9" i="54"/>
  <c r="G9" i="54"/>
  <c r="E9" i="54"/>
  <c r="J9" i="54"/>
  <c r="I9" i="54"/>
  <c r="G28" i="54"/>
  <c r="J28" i="54"/>
  <c r="I28" i="54"/>
  <c r="E28" i="54"/>
  <c r="K28" i="54"/>
  <c r="H28" i="54"/>
  <c r="L28" i="54"/>
  <c r="F28" i="54"/>
  <c r="K80" i="54"/>
  <c r="E80" i="54"/>
  <c r="J80" i="54"/>
  <c r="F80" i="54"/>
  <c r="L80" i="54"/>
  <c r="H80" i="54"/>
  <c r="G80" i="54"/>
  <c r="I80" i="54"/>
  <c r="J48" i="54"/>
  <c r="L48" i="54"/>
  <c r="F48" i="54"/>
  <c r="H48" i="54"/>
  <c r="I48" i="54"/>
  <c r="E48" i="54"/>
  <c r="G48" i="54"/>
  <c r="K48" i="54"/>
  <c r="F69" i="54"/>
  <c r="I69" i="54"/>
  <c r="K69" i="54"/>
  <c r="E69" i="54"/>
  <c r="J69" i="54"/>
  <c r="L69" i="54"/>
  <c r="H69" i="54"/>
  <c r="G69" i="54"/>
  <c r="I18" i="54"/>
  <c r="L18" i="54"/>
  <c r="H18" i="54"/>
  <c r="J18" i="54"/>
  <c r="K18" i="54"/>
  <c r="E18" i="54"/>
  <c r="G18" i="54"/>
  <c r="F18" i="54"/>
  <c r="I16" i="54"/>
  <c r="L16" i="54"/>
  <c r="E16" i="54"/>
  <c r="H16" i="54"/>
  <c r="F16" i="54"/>
  <c r="J16" i="54"/>
  <c r="K16" i="54"/>
  <c r="G16" i="54"/>
  <c r="G52" i="54"/>
  <c r="J52" i="54"/>
  <c r="E52" i="54"/>
  <c r="H52" i="54"/>
  <c r="L52" i="54"/>
  <c r="K52" i="54"/>
  <c r="I52" i="54"/>
  <c r="F52" i="54"/>
  <c r="L62" i="54"/>
  <c r="E62" i="54"/>
  <c r="I62" i="54"/>
  <c r="K62" i="54"/>
  <c r="G62" i="54"/>
  <c r="F62" i="54"/>
  <c r="J62" i="54"/>
  <c r="H62" i="54"/>
  <c r="F68" i="54"/>
  <c r="I68" i="54"/>
  <c r="K68" i="54"/>
  <c r="E68" i="54"/>
  <c r="L68" i="54"/>
  <c r="H68" i="54"/>
  <c r="J68" i="54"/>
  <c r="G68" i="54"/>
  <c r="G77" i="54"/>
  <c r="J77" i="54"/>
  <c r="L77" i="54"/>
  <c r="H77" i="54"/>
  <c r="F77" i="54"/>
  <c r="I77" i="54"/>
  <c r="K77" i="54"/>
  <c r="E77" i="54"/>
  <c r="K31" i="54"/>
  <c r="G31" i="54"/>
  <c r="I31" i="54"/>
  <c r="J31" i="54"/>
  <c r="L31" i="54"/>
  <c r="E31" i="54"/>
  <c r="F31" i="54"/>
  <c r="H31" i="54"/>
  <c r="G2" i="54"/>
  <c r="J2" i="54"/>
  <c r="I2" i="54"/>
  <c r="K2" i="54"/>
  <c r="H2" i="54"/>
  <c r="F2" i="54"/>
  <c r="E2" i="54"/>
  <c r="L2" i="54"/>
  <c r="J47" i="54"/>
  <c r="F47" i="54"/>
  <c r="H47" i="54"/>
  <c r="L47" i="54"/>
  <c r="I47" i="54"/>
  <c r="K47" i="54"/>
  <c r="G47" i="54"/>
  <c r="E47" i="54"/>
  <c r="L37" i="54"/>
  <c r="E37" i="54"/>
  <c r="H37" i="54"/>
  <c r="F37" i="54"/>
  <c r="I37" i="54"/>
  <c r="K37" i="54"/>
  <c r="G37" i="54"/>
  <c r="J37" i="54"/>
  <c r="F22" i="54"/>
  <c r="E22" i="54"/>
  <c r="H22" i="54"/>
  <c r="L22" i="54"/>
  <c r="K22" i="54"/>
  <c r="G22" i="54"/>
  <c r="J22" i="54"/>
  <c r="I22" i="54"/>
  <c r="I66" i="54"/>
  <c r="L66" i="54"/>
  <c r="F66" i="54"/>
  <c r="G66" i="54"/>
  <c r="K66" i="54"/>
  <c r="E66" i="54"/>
  <c r="H66" i="54"/>
  <c r="J66" i="54"/>
  <c r="F44" i="48"/>
  <c r="F58" i="48"/>
  <c r="F50" i="48"/>
  <c r="F88" i="48"/>
  <c r="F98" i="48"/>
  <c r="F45" i="48"/>
  <c r="F101" i="48"/>
  <c r="F100" i="48"/>
  <c r="F48" i="48"/>
  <c r="F56" i="48"/>
  <c r="F52" i="48"/>
  <c r="F70" i="48"/>
  <c r="F61" i="48"/>
  <c r="F97" i="48"/>
  <c r="F54" i="48"/>
  <c r="F72" i="48"/>
  <c r="F66" i="48"/>
  <c r="F84" i="48"/>
  <c r="F77" i="48"/>
  <c r="F91" i="48"/>
  <c r="F93" i="48"/>
  <c r="F68" i="48"/>
  <c r="F49" i="48"/>
  <c r="F82" i="48"/>
  <c r="F51" i="48"/>
  <c r="F65" i="48"/>
  <c r="F57" i="48"/>
  <c r="F73" i="48"/>
  <c r="F87" i="48"/>
  <c r="F63" i="48"/>
  <c r="F90" i="48"/>
  <c r="F55" i="48"/>
  <c r="F42" i="48"/>
  <c r="F47" i="48"/>
  <c r="F67" i="48"/>
  <c r="F46" i="48"/>
  <c r="F85" i="48"/>
  <c r="F80" i="48"/>
  <c r="AL15" i="48"/>
  <c r="F15" i="48"/>
  <c r="D36" i="54"/>
  <c r="C36" i="54"/>
  <c r="D2" i="54"/>
  <c r="C2" i="54"/>
  <c r="F16" i="48"/>
  <c r="AL16" i="48"/>
  <c r="D47" i="54"/>
  <c r="C47" i="54"/>
  <c r="AL38" i="48"/>
  <c r="F38" i="48"/>
  <c r="D73" i="54"/>
  <c r="C73" i="54"/>
  <c r="D43" i="54"/>
  <c r="C43" i="54"/>
  <c r="D78" i="54"/>
  <c r="C78" i="54"/>
  <c r="F99" i="48"/>
  <c r="AL26" i="48"/>
  <c r="F26" i="48"/>
  <c r="C51" i="54"/>
  <c r="D51" i="54"/>
  <c r="F94" i="48"/>
  <c r="AL2" i="48"/>
  <c r="F2" i="48"/>
  <c r="F74" i="48"/>
  <c r="F75" i="48"/>
  <c r="AL36" i="48"/>
  <c r="F36" i="48"/>
  <c r="C54" i="54"/>
  <c r="D54" i="54"/>
  <c r="F43" i="48"/>
  <c r="D45" i="54"/>
  <c r="C45" i="54"/>
  <c r="C23" i="54"/>
  <c r="D23" i="54"/>
  <c r="C20" i="54"/>
  <c r="D20" i="54"/>
  <c r="AL23" i="48"/>
  <c r="F23" i="48"/>
  <c r="C24" i="54"/>
  <c r="D24" i="54"/>
  <c r="F79" i="48"/>
  <c r="AL28" i="48"/>
  <c r="F28" i="48"/>
  <c r="F96" i="48"/>
  <c r="C60" i="54"/>
  <c r="D60" i="54"/>
  <c r="AL29" i="48"/>
  <c r="F29" i="48"/>
  <c r="AL30" i="48"/>
  <c r="F30" i="48"/>
  <c r="AL13" i="48"/>
  <c r="F13" i="48"/>
  <c r="C42" i="54"/>
  <c r="D42" i="54"/>
  <c r="C53" i="54"/>
  <c r="D53" i="54"/>
  <c r="AL31" i="48"/>
  <c r="F31" i="48"/>
  <c r="AL7" i="48"/>
  <c r="F7" i="48"/>
  <c r="AL22" i="48"/>
  <c r="F22" i="48"/>
  <c r="AL19" i="48"/>
  <c r="F19" i="48"/>
  <c r="C39" i="54"/>
  <c r="D39" i="54"/>
  <c r="C56" i="54"/>
  <c r="D56" i="54"/>
  <c r="AL34" i="48"/>
  <c r="F34" i="48"/>
  <c r="C26" i="54"/>
  <c r="D26" i="54"/>
  <c r="C75" i="54"/>
  <c r="D75" i="54"/>
  <c r="D19" i="54"/>
  <c r="C19" i="54"/>
  <c r="F83" i="48"/>
  <c r="AL20" i="48"/>
  <c r="F20" i="48"/>
  <c r="D65" i="54"/>
  <c r="C65" i="54"/>
  <c r="D74" i="54"/>
  <c r="C74" i="54"/>
  <c r="F60" i="48"/>
  <c r="AL5" i="48"/>
  <c r="F5" i="48"/>
  <c r="AL27" i="48"/>
  <c r="F27" i="48"/>
  <c r="C29" i="54"/>
  <c r="D29" i="54"/>
  <c r="AL37" i="48"/>
  <c r="F37" i="48"/>
  <c r="D5" i="54"/>
  <c r="C5" i="54"/>
  <c r="F33" i="48"/>
  <c r="AL33" i="48"/>
  <c r="F86" i="48"/>
  <c r="D58" i="54"/>
  <c r="C58" i="54"/>
  <c r="AL18" i="48"/>
  <c r="F18" i="48"/>
  <c r="C64" i="54"/>
  <c r="D64" i="54"/>
  <c r="D40" i="54"/>
  <c r="C40" i="54"/>
  <c r="D71" i="54"/>
  <c r="C71" i="54"/>
  <c r="AL6" i="48"/>
  <c r="F6" i="48"/>
  <c r="AL10" i="48"/>
  <c r="F10" i="48"/>
  <c r="D44" i="54"/>
  <c r="C44" i="54"/>
  <c r="AL24" i="48"/>
  <c r="F24" i="48"/>
  <c r="C50" i="54"/>
  <c r="D50" i="54"/>
  <c r="C32" i="54"/>
  <c r="D32" i="54"/>
  <c r="AL8" i="48"/>
  <c r="F8" i="48"/>
  <c r="AL14" i="48"/>
  <c r="F14" i="48"/>
  <c r="D33" i="54"/>
  <c r="C33" i="54"/>
  <c r="C7" i="54"/>
  <c r="D7" i="54"/>
  <c r="AL39" i="48"/>
  <c r="F39" i="48"/>
  <c r="C76" i="54"/>
  <c r="D76" i="54"/>
  <c r="D35" i="54"/>
  <c r="C35" i="54"/>
  <c r="AL25" i="48"/>
  <c r="F25" i="48"/>
  <c r="D6" i="54"/>
  <c r="C6" i="54"/>
  <c r="AL35" i="48"/>
  <c r="F35" i="48"/>
  <c r="D37" i="54"/>
  <c r="C37" i="54"/>
  <c r="D61" i="54"/>
  <c r="C61" i="54"/>
  <c r="AL12" i="48"/>
  <c r="F12" i="48"/>
  <c r="AL41" i="48"/>
  <c r="F41" i="48"/>
  <c r="D13" i="54"/>
  <c r="C13" i="54"/>
  <c r="D66" i="54"/>
  <c r="C66" i="54"/>
  <c r="D12" i="54"/>
  <c r="C12" i="54"/>
  <c r="C70" i="54"/>
  <c r="D70" i="54"/>
  <c r="D57" i="54"/>
  <c r="C57" i="54"/>
  <c r="D10" i="54"/>
  <c r="C10" i="54"/>
  <c r="C3" i="54"/>
  <c r="D3" i="54"/>
  <c r="D41" i="54"/>
  <c r="C41" i="54"/>
  <c r="D17" i="54"/>
  <c r="C17" i="54"/>
  <c r="C25" i="54"/>
  <c r="D25" i="54"/>
  <c r="F64" i="48"/>
  <c r="F71" i="48"/>
  <c r="D49" i="54"/>
  <c r="C49" i="54"/>
  <c r="C77" i="54"/>
  <c r="D77" i="54"/>
  <c r="F32" i="48"/>
  <c r="AL32" i="48"/>
  <c r="D27" i="54"/>
  <c r="C27" i="54"/>
  <c r="D15" i="54"/>
  <c r="C15" i="54"/>
  <c r="D21" i="54"/>
  <c r="C21" i="54"/>
  <c r="C79" i="54"/>
  <c r="D79" i="54"/>
  <c r="D34" i="54"/>
  <c r="C34" i="54"/>
  <c r="AL40" i="48"/>
  <c r="F40" i="48"/>
  <c r="D30" i="54"/>
  <c r="C30" i="54"/>
  <c r="F76" i="48"/>
  <c r="D72" i="54"/>
  <c r="C72" i="54"/>
  <c r="F95" i="48"/>
  <c r="F92" i="48"/>
  <c r="D14" i="54"/>
  <c r="C14" i="54"/>
  <c r="C22" i="54"/>
  <c r="D22" i="54"/>
  <c r="D67" i="54"/>
  <c r="C67" i="54"/>
  <c r="D59" i="54"/>
  <c r="C59" i="54"/>
  <c r="C11" i="54"/>
  <c r="D11" i="54"/>
  <c r="C4" i="54"/>
  <c r="D4" i="54"/>
  <c r="C9" i="54"/>
  <c r="D9" i="54"/>
  <c r="AL11" i="48"/>
  <c r="F11" i="48"/>
  <c r="F81" i="48"/>
  <c r="D63" i="54"/>
  <c r="C63" i="54"/>
  <c r="F4" i="48"/>
  <c r="AL4" i="48"/>
  <c r="D28" i="54"/>
  <c r="C28" i="54"/>
  <c r="D80" i="54"/>
  <c r="C80" i="54"/>
  <c r="C48" i="54"/>
  <c r="D48" i="54"/>
  <c r="C69" i="54"/>
  <c r="D69" i="54"/>
  <c r="F69" i="48"/>
  <c r="D8" i="54"/>
  <c r="C8" i="54"/>
  <c r="C38" i="54"/>
  <c r="D38" i="54"/>
  <c r="D18" i="54"/>
  <c r="C18" i="54"/>
  <c r="D16" i="54"/>
  <c r="C16" i="54"/>
  <c r="AL21" i="48"/>
  <c r="F21" i="48"/>
  <c r="AL17" i="48"/>
  <c r="F17" i="48"/>
  <c r="C52" i="54"/>
  <c r="D52" i="54"/>
  <c r="AL9" i="48"/>
  <c r="F9" i="48"/>
  <c r="F78" i="48"/>
  <c r="F89" i="48"/>
  <c r="F62" i="48"/>
  <c r="C62" i="54"/>
  <c r="D62" i="54"/>
  <c r="F53" i="48"/>
  <c r="C55" i="54"/>
  <c r="D55" i="54"/>
  <c r="D46" i="54"/>
  <c r="C46" i="54"/>
  <c r="F3" i="48"/>
  <c r="AL3" i="48"/>
  <c r="D31" i="54"/>
  <c r="C31" i="54"/>
  <c r="C68" i="54"/>
  <c r="D68" i="54"/>
  <c r="BM2" i="48" l="1"/>
  <c r="BM6" i="48" s="1"/>
  <c r="AM18" i="48"/>
  <c r="AM12" i="48"/>
  <c r="AM9" i="48"/>
  <c r="AM15" i="48"/>
  <c r="AM34" i="48"/>
  <c r="AM35" i="48"/>
  <c r="AM21" i="48"/>
  <c r="AM11" i="48"/>
  <c r="AM26" i="48"/>
  <c r="AM30" i="48"/>
  <c r="AM8" i="48"/>
  <c r="AM40" i="48"/>
  <c r="AM19" i="48"/>
  <c r="AM25" i="48"/>
  <c r="AM6" i="48"/>
  <c r="AM36" i="48"/>
  <c r="AM29" i="48"/>
  <c r="AM4" i="48"/>
  <c r="AM13" i="48"/>
  <c r="AM14" i="48"/>
  <c r="AM24" i="48"/>
  <c r="AM10" i="48"/>
  <c r="AM5" i="48"/>
  <c r="AM31" i="48"/>
  <c r="AM39" i="48"/>
  <c r="AM38" i="48"/>
  <c r="AM41" i="48"/>
  <c r="AM33" i="48"/>
  <c r="AM37" i="48"/>
  <c r="AM23" i="48"/>
  <c r="AM16" i="48"/>
  <c r="AM17" i="48"/>
  <c r="AM28" i="48"/>
  <c r="AM27" i="48"/>
  <c r="AM3" i="48"/>
  <c r="AM20" i="48"/>
  <c r="AM22" i="48"/>
  <c r="AM7" i="48"/>
  <c r="AM32" i="48"/>
  <c r="AM2" i="48"/>
  <c r="F52" i="44" l="1"/>
  <c r="AB18" i="54"/>
  <c r="AB18" i="55" s="1"/>
  <c r="F66" i="44"/>
  <c r="N80" i="54"/>
  <c r="N80" i="55" s="1"/>
  <c r="F72" i="44"/>
  <c r="F55" i="44"/>
  <c r="N17" i="54"/>
  <c r="N17" i="55" s="1"/>
  <c r="F54" i="44"/>
  <c r="N57" i="54"/>
  <c r="N57" i="55" s="1"/>
  <c r="F37" i="44"/>
  <c r="N39" i="54"/>
  <c r="N39" i="55" s="1"/>
  <c r="F5" i="44"/>
  <c r="F64" i="44"/>
  <c r="F53" i="44"/>
  <c r="F7" i="44"/>
  <c r="F73" i="44"/>
  <c r="N37" i="54"/>
  <c r="N37" i="55" s="1"/>
  <c r="N76" i="54"/>
  <c r="N76" i="55" s="1"/>
  <c r="F4" i="44"/>
  <c r="F30" i="44"/>
  <c r="N78" i="54"/>
  <c r="N78" i="55" s="1"/>
  <c r="F48" i="44"/>
  <c r="F70" i="44"/>
  <c r="N29" i="54"/>
  <c r="N29" i="55" s="1"/>
  <c r="N62" i="54"/>
  <c r="N62" i="55" s="1"/>
  <c r="N27" i="54"/>
  <c r="N27" i="55" s="1"/>
  <c r="N74" i="54"/>
  <c r="N74" i="55" s="1"/>
  <c r="F29" i="44"/>
  <c r="F62" i="44"/>
  <c r="N33" i="54"/>
  <c r="N33" i="55" s="1"/>
  <c r="F43" i="44"/>
  <c r="F27" i="44"/>
  <c r="F33" i="44"/>
  <c r="N71" i="54"/>
  <c r="N71" i="55" s="1"/>
  <c r="N54" i="54"/>
  <c r="N54" i="55" s="1"/>
  <c r="N32" i="54"/>
  <c r="N32" i="55" s="1"/>
  <c r="N72" i="54"/>
  <c r="N72" i="55" s="1"/>
  <c r="N36" i="54"/>
  <c r="N36" i="55" s="1"/>
  <c r="F28" i="44"/>
  <c r="N67" i="54"/>
  <c r="N67" i="55" s="1"/>
  <c r="F36" i="44"/>
  <c r="F21" i="44"/>
  <c r="N28" i="54"/>
  <c r="N28" i="55" s="1"/>
  <c r="N41" i="54"/>
  <c r="N41" i="55" s="1"/>
  <c r="N66" i="54"/>
  <c r="N66" i="55" s="1"/>
  <c r="N21" i="54"/>
  <c r="N21" i="55" s="1"/>
  <c r="N48" i="54"/>
  <c r="N48" i="55" s="1"/>
  <c r="F32" i="44"/>
  <c r="F41" i="44"/>
  <c r="N53" i="54"/>
  <c r="N53" i="55" s="1"/>
  <c r="F68" i="44"/>
  <c r="F45" i="44"/>
  <c r="N45" i="54"/>
  <c r="N45" i="55" s="1"/>
  <c r="N35" i="54"/>
  <c r="N35" i="55" s="1"/>
  <c r="F35" i="44"/>
  <c r="N19" i="54"/>
  <c r="N19" i="55" s="1"/>
  <c r="N34" i="54"/>
  <c r="N34" i="55" s="1"/>
  <c r="F34" i="44"/>
  <c r="F39" i="44"/>
  <c r="N31" i="54"/>
  <c r="N31" i="55" s="1"/>
  <c r="F67" i="44"/>
  <c r="F19" i="44"/>
  <c r="F31" i="44"/>
  <c r="F80" i="44"/>
  <c r="F47" i="44"/>
  <c r="N64" i="54"/>
  <c r="N64" i="55" s="1"/>
  <c r="N40" i="54"/>
  <c r="N40" i="55" s="1"/>
  <c r="N15" i="54"/>
  <c r="N15" i="55" s="1"/>
  <c r="N55" i="54"/>
  <c r="N55" i="55" s="1"/>
  <c r="N69" i="54"/>
  <c r="N69" i="55" s="1"/>
  <c r="N13" i="54"/>
  <c r="N13" i="55" s="1"/>
  <c r="F40" i="44"/>
  <c r="F15" i="44"/>
  <c r="F17" i="44"/>
  <c r="N7" i="54"/>
  <c r="N7" i="55" s="1"/>
  <c r="F22" i="44"/>
  <c r="N22" i="54"/>
  <c r="N22" i="55" s="1"/>
  <c r="F13" i="44"/>
  <c r="F23" i="44"/>
  <c r="F10" i="44"/>
  <c r="N8" i="54"/>
  <c r="N8" i="55" s="1"/>
  <c r="N9" i="54"/>
  <c r="N9" i="55" s="1"/>
  <c r="F79" i="44"/>
  <c r="F57" i="44"/>
  <c r="N5" i="54"/>
  <c r="N5" i="55" s="1"/>
  <c r="N47" i="54"/>
  <c r="N47" i="55" s="1"/>
  <c r="N60" i="54"/>
  <c r="N60" i="55" s="1"/>
  <c r="F60" i="44"/>
  <c r="N61" i="54"/>
  <c r="N61" i="55" s="1"/>
  <c r="N10" i="54"/>
  <c r="N10" i="55" s="1"/>
  <c r="N3" i="54"/>
  <c r="N3" i="55" s="1"/>
  <c r="N56" i="54"/>
  <c r="N56" i="55" s="1"/>
  <c r="N24" i="54"/>
  <c r="N24" i="55" s="1"/>
  <c r="N46" i="54"/>
  <c r="N46" i="55" s="1"/>
  <c r="F42" i="44"/>
  <c r="N23" i="54"/>
  <c r="N23" i="55" s="1"/>
  <c r="F50" i="44"/>
  <c r="F46" i="44"/>
  <c r="F8" i="44"/>
  <c r="F3" i="44"/>
  <c r="F56" i="44"/>
  <c r="N4" i="54"/>
  <c r="N4" i="55" s="1"/>
  <c r="N30" i="54"/>
  <c r="N30" i="55" s="1"/>
  <c r="N42" i="54"/>
  <c r="N42" i="55" s="1"/>
  <c r="F24" i="44"/>
  <c r="N70" i="54"/>
  <c r="N70" i="55" s="1"/>
  <c r="F61" i="44"/>
  <c r="N16" i="54"/>
  <c r="N16" i="55" s="1"/>
  <c r="N75" i="54"/>
  <c r="N75" i="55" s="1"/>
  <c r="F78" i="44"/>
  <c r="N63" i="54"/>
  <c r="N63" i="55" s="1"/>
  <c r="AZ19" i="54"/>
  <c r="AZ19" i="55" s="1"/>
  <c r="AZ43" i="54"/>
  <c r="AZ43" i="55" s="1"/>
  <c r="AZ67" i="54"/>
  <c r="AZ67" i="55" s="1"/>
  <c r="AZ91" i="54"/>
  <c r="AZ91" i="55" s="1"/>
  <c r="AO19" i="54"/>
  <c r="AO19" i="55" s="1"/>
  <c r="AO43" i="54"/>
  <c r="AO43" i="55" s="1"/>
  <c r="AO67" i="54"/>
  <c r="AO67" i="55" s="1"/>
  <c r="AO91" i="54"/>
  <c r="AO91" i="55" s="1"/>
  <c r="AO115" i="54"/>
  <c r="AO115" i="55" s="1"/>
  <c r="AO139" i="54"/>
  <c r="AO139" i="55" s="1"/>
  <c r="AO163" i="54"/>
  <c r="AO163" i="55" s="1"/>
  <c r="AO187" i="54"/>
  <c r="AO187" i="55" s="1"/>
  <c r="AO211" i="54"/>
  <c r="AO211" i="55" s="1"/>
  <c r="AZ20" i="54"/>
  <c r="AZ20" i="55" s="1"/>
  <c r="AZ44" i="54"/>
  <c r="AZ44" i="55" s="1"/>
  <c r="AZ68" i="54"/>
  <c r="AZ68" i="55" s="1"/>
  <c r="AZ92" i="54"/>
  <c r="AZ92" i="55" s="1"/>
  <c r="AO20" i="54"/>
  <c r="AO20" i="55" s="1"/>
  <c r="AO44" i="54"/>
  <c r="AO44" i="55" s="1"/>
  <c r="AO68" i="54"/>
  <c r="AO68" i="55" s="1"/>
  <c r="AO92" i="54"/>
  <c r="AO92" i="55" s="1"/>
  <c r="AO116" i="54"/>
  <c r="AO116" i="55" s="1"/>
  <c r="AO140" i="54"/>
  <c r="AO140" i="55" s="1"/>
  <c r="AO164" i="54"/>
  <c r="AO164" i="55" s="1"/>
  <c r="AO188" i="54"/>
  <c r="AO188" i="55" s="1"/>
  <c r="AO212" i="54"/>
  <c r="AO212" i="55" s="1"/>
  <c r="AZ22" i="54"/>
  <c r="AZ22" i="55" s="1"/>
  <c r="AZ46" i="54"/>
  <c r="AZ46" i="55" s="1"/>
  <c r="AZ70" i="54"/>
  <c r="AZ70" i="55" s="1"/>
  <c r="AZ94" i="54"/>
  <c r="AZ94" i="55" s="1"/>
  <c r="AO22" i="54"/>
  <c r="AO22" i="55" s="1"/>
  <c r="AO46" i="54"/>
  <c r="AO46" i="55" s="1"/>
  <c r="AO70" i="54"/>
  <c r="AO70" i="55" s="1"/>
  <c r="AO94" i="54"/>
  <c r="AO94" i="55" s="1"/>
  <c r="AO118" i="54"/>
  <c r="AO118" i="55" s="1"/>
  <c r="AO142" i="54"/>
  <c r="AO142" i="55" s="1"/>
  <c r="AO166" i="54"/>
  <c r="AO166" i="55" s="1"/>
  <c r="AO190" i="54"/>
  <c r="AO190" i="55" s="1"/>
  <c r="AO214" i="54"/>
  <c r="AO214" i="55" s="1"/>
  <c r="AZ23" i="54"/>
  <c r="AZ23" i="55" s="1"/>
  <c r="AZ47" i="54"/>
  <c r="AZ47" i="55" s="1"/>
  <c r="AZ71" i="54"/>
  <c r="AZ71" i="55" s="1"/>
  <c r="AZ95" i="54"/>
  <c r="AZ95" i="55" s="1"/>
  <c r="AO23" i="54"/>
  <c r="AO23" i="55" s="1"/>
  <c r="AO47" i="54"/>
  <c r="AO47" i="55" s="1"/>
  <c r="AO71" i="54"/>
  <c r="AO71" i="55" s="1"/>
  <c r="AO95" i="54"/>
  <c r="AO95" i="55" s="1"/>
  <c r="AO119" i="54"/>
  <c r="AO119" i="55" s="1"/>
  <c r="AO143" i="54"/>
  <c r="AO143" i="55" s="1"/>
  <c r="AO167" i="54"/>
  <c r="AO167" i="55" s="1"/>
  <c r="AO191" i="54"/>
  <c r="AO191" i="55" s="1"/>
  <c r="AO215" i="54"/>
  <c r="AO215" i="55" s="1"/>
  <c r="AZ24" i="54"/>
  <c r="AZ24" i="55" s="1"/>
  <c r="AZ48" i="54"/>
  <c r="AZ48" i="55" s="1"/>
  <c r="AZ72" i="54"/>
  <c r="AZ72" i="55" s="1"/>
  <c r="AZ96" i="54"/>
  <c r="AZ96" i="55" s="1"/>
  <c r="AO24" i="54"/>
  <c r="AO24" i="55" s="1"/>
  <c r="AO48" i="54"/>
  <c r="AO48" i="55" s="1"/>
  <c r="AO72" i="54"/>
  <c r="AO72" i="55" s="1"/>
  <c r="AO96" i="54"/>
  <c r="AO96" i="55" s="1"/>
  <c r="AO120" i="54"/>
  <c r="AO120" i="55" s="1"/>
  <c r="AO144" i="54"/>
  <c r="AO144" i="55" s="1"/>
  <c r="AO168" i="54"/>
  <c r="AO168" i="55" s="1"/>
  <c r="AO192" i="54"/>
  <c r="AO192" i="55" s="1"/>
  <c r="AO216" i="54"/>
  <c r="AO216" i="55" s="1"/>
  <c r="AO217" i="54"/>
  <c r="AO217" i="55" s="1"/>
  <c r="AZ25" i="54"/>
  <c r="AZ25" i="55" s="1"/>
  <c r="AZ49" i="54"/>
  <c r="AZ49" i="55" s="1"/>
  <c r="AZ73" i="54"/>
  <c r="AZ73" i="55" s="1"/>
  <c r="AZ97" i="54"/>
  <c r="AZ97" i="55" s="1"/>
  <c r="AO25" i="54"/>
  <c r="AO25" i="55" s="1"/>
  <c r="AO49" i="54"/>
  <c r="AO49" i="55" s="1"/>
  <c r="AO73" i="54"/>
  <c r="AO73" i="55" s="1"/>
  <c r="AO97" i="54"/>
  <c r="AO97" i="55" s="1"/>
  <c r="AO121" i="54"/>
  <c r="AO121" i="55" s="1"/>
  <c r="AO145" i="54"/>
  <c r="AO145" i="55" s="1"/>
  <c r="AO169" i="54"/>
  <c r="AO169" i="55" s="1"/>
  <c r="AO193" i="54"/>
  <c r="AO193" i="55" s="1"/>
  <c r="AZ2" i="54"/>
  <c r="AZ2" i="55" s="1"/>
  <c r="AZ26" i="54"/>
  <c r="AZ26" i="55" s="1"/>
  <c r="AZ50" i="54"/>
  <c r="AZ50" i="55" s="1"/>
  <c r="AZ74" i="54"/>
  <c r="AZ74" i="55" s="1"/>
  <c r="AZ98" i="54"/>
  <c r="AZ98" i="55" s="1"/>
  <c r="AO2" i="54"/>
  <c r="AO2" i="55" s="1"/>
  <c r="AO26" i="54"/>
  <c r="AO26" i="55" s="1"/>
  <c r="AO50" i="54"/>
  <c r="AO50" i="55" s="1"/>
  <c r="AO74" i="54"/>
  <c r="AO74" i="55" s="1"/>
  <c r="AO98" i="54"/>
  <c r="AO98" i="55" s="1"/>
  <c r="AO122" i="54"/>
  <c r="AO122" i="55" s="1"/>
  <c r="AO146" i="54"/>
  <c r="AO146" i="55" s="1"/>
  <c r="AO170" i="54"/>
  <c r="AO170" i="55" s="1"/>
  <c r="AO194" i="54"/>
  <c r="AO194" i="55" s="1"/>
  <c r="AO218" i="54"/>
  <c r="AO218" i="55" s="1"/>
  <c r="AZ5" i="54"/>
  <c r="AZ5" i="55" s="1"/>
  <c r="AZ6" i="54"/>
  <c r="AZ6" i="55" s="1"/>
  <c r="AZ10" i="54"/>
  <c r="AZ10" i="55" s="1"/>
  <c r="AZ12" i="54"/>
  <c r="AZ12" i="55" s="1"/>
  <c r="AZ17" i="54"/>
  <c r="AZ17" i="55" s="1"/>
  <c r="AZ18" i="54"/>
  <c r="AZ18" i="55" s="1"/>
  <c r="AZ31" i="54"/>
  <c r="AZ31" i="55" s="1"/>
  <c r="AZ62" i="54"/>
  <c r="AZ62" i="55" s="1"/>
  <c r="AZ100" i="54"/>
  <c r="AZ100" i="55" s="1"/>
  <c r="AO5" i="54"/>
  <c r="AO5" i="55" s="1"/>
  <c r="AO36" i="54"/>
  <c r="AO36" i="55" s="1"/>
  <c r="AO69" i="54"/>
  <c r="AO69" i="55" s="1"/>
  <c r="AO105" i="54"/>
  <c r="AO105" i="55" s="1"/>
  <c r="AO136" i="54"/>
  <c r="AO136" i="55" s="1"/>
  <c r="AO174" i="54"/>
  <c r="AO174" i="55" s="1"/>
  <c r="AO205" i="54"/>
  <c r="AO205" i="55" s="1"/>
  <c r="AZ32" i="54"/>
  <c r="AZ32" i="55" s="1"/>
  <c r="AZ63" i="54"/>
  <c r="AZ63" i="55" s="1"/>
  <c r="AZ101" i="54"/>
  <c r="AZ101" i="55" s="1"/>
  <c r="AO6" i="54"/>
  <c r="AO6" i="55" s="1"/>
  <c r="AO37" i="54"/>
  <c r="AO37" i="55" s="1"/>
  <c r="AO75" i="54"/>
  <c r="AO75" i="55" s="1"/>
  <c r="AO106" i="54"/>
  <c r="AO106" i="55" s="1"/>
  <c r="AO175" i="54"/>
  <c r="AO175" i="55" s="1"/>
  <c r="AO206" i="54"/>
  <c r="AO206" i="55" s="1"/>
  <c r="AO137" i="54"/>
  <c r="AO137" i="55" s="1"/>
  <c r="AZ33" i="54"/>
  <c r="AZ33" i="55" s="1"/>
  <c r="AZ64" i="54"/>
  <c r="AZ64" i="55" s="1"/>
  <c r="AO7" i="54"/>
  <c r="AO7" i="55" s="1"/>
  <c r="AO38" i="54"/>
  <c r="AO38" i="55" s="1"/>
  <c r="AO76" i="54"/>
  <c r="AO76" i="55" s="1"/>
  <c r="AO107" i="54"/>
  <c r="AO107" i="55" s="1"/>
  <c r="AO138" i="54"/>
  <c r="AO138" i="55" s="1"/>
  <c r="AO176" i="54"/>
  <c r="AO176" i="55" s="1"/>
  <c r="AO207" i="54"/>
  <c r="AO207" i="55" s="1"/>
  <c r="AZ34" i="54"/>
  <c r="AZ34" i="55" s="1"/>
  <c r="AZ65" i="54"/>
  <c r="AZ65" i="55" s="1"/>
  <c r="AO8" i="54"/>
  <c r="AO8" i="55" s="1"/>
  <c r="AO39" i="54"/>
  <c r="AO39" i="55" s="1"/>
  <c r="AO77" i="54"/>
  <c r="AO77" i="55" s="1"/>
  <c r="AO108" i="54"/>
  <c r="AO108" i="55" s="1"/>
  <c r="AO141" i="54"/>
  <c r="AO141" i="55" s="1"/>
  <c r="AO177" i="54"/>
  <c r="AO177" i="55" s="1"/>
  <c r="AO208" i="54"/>
  <c r="AO208" i="55" s="1"/>
  <c r="AZ35" i="54"/>
  <c r="AZ35" i="55" s="1"/>
  <c r="AZ66" i="54"/>
  <c r="AZ66" i="55" s="1"/>
  <c r="AO9" i="54"/>
  <c r="AO9" i="55" s="1"/>
  <c r="AO40" i="54"/>
  <c r="AO40" i="55" s="1"/>
  <c r="AO78" i="54"/>
  <c r="AO78" i="55" s="1"/>
  <c r="AO109" i="54"/>
  <c r="AO109" i="55" s="1"/>
  <c r="AO147" i="54"/>
  <c r="AO147" i="55" s="1"/>
  <c r="AO178" i="54"/>
  <c r="AO178" i="55" s="1"/>
  <c r="AO209" i="54"/>
  <c r="AO209" i="55" s="1"/>
  <c r="AZ9" i="54"/>
  <c r="AZ9" i="55" s="1"/>
  <c r="AZ51" i="54"/>
  <c r="AZ51" i="55" s="1"/>
  <c r="AZ82" i="54"/>
  <c r="AZ82" i="55" s="1"/>
  <c r="AO18" i="54"/>
  <c r="AO18" i="55" s="1"/>
  <c r="AO56" i="54"/>
  <c r="AO56" i="55" s="1"/>
  <c r="AO87" i="54"/>
  <c r="AO87" i="55" s="1"/>
  <c r="AO125" i="54"/>
  <c r="AO125" i="55" s="1"/>
  <c r="AO156" i="54"/>
  <c r="AO156" i="55" s="1"/>
  <c r="AO189" i="54"/>
  <c r="AO189" i="55" s="1"/>
  <c r="AZ11" i="54"/>
  <c r="AZ11" i="55" s="1"/>
  <c r="AZ52" i="54"/>
  <c r="AZ52" i="55" s="1"/>
  <c r="AZ83" i="54"/>
  <c r="AZ83" i="55" s="1"/>
  <c r="AO21" i="54"/>
  <c r="AO21" i="55" s="1"/>
  <c r="AO57" i="54"/>
  <c r="AO57" i="55" s="1"/>
  <c r="AO88" i="54"/>
  <c r="AO88" i="55" s="1"/>
  <c r="AO126" i="54"/>
  <c r="AO126" i="55" s="1"/>
  <c r="AO157" i="54"/>
  <c r="AO157" i="55" s="1"/>
  <c r="AO195" i="54"/>
  <c r="AO195" i="55" s="1"/>
  <c r="AZ27" i="54"/>
  <c r="AZ27" i="55" s="1"/>
  <c r="AZ77" i="54"/>
  <c r="AZ77" i="55" s="1"/>
  <c r="AO31" i="54"/>
  <c r="AO31" i="55" s="1"/>
  <c r="AO81" i="54"/>
  <c r="AO81" i="55" s="1"/>
  <c r="AO128" i="54"/>
  <c r="AO128" i="55" s="1"/>
  <c r="AO173" i="54"/>
  <c r="AO173" i="55" s="1"/>
  <c r="AZ80" i="54"/>
  <c r="AZ80" i="55" s="1"/>
  <c r="AZ28" i="54"/>
  <c r="AZ28" i="55" s="1"/>
  <c r="AZ78" i="54"/>
  <c r="AZ78" i="55" s="1"/>
  <c r="AO32" i="54"/>
  <c r="AO32" i="55" s="1"/>
  <c r="AO82" i="54"/>
  <c r="AO82" i="55" s="1"/>
  <c r="AO129" i="54"/>
  <c r="AO129" i="55" s="1"/>
  <c r="AO179" i="54"/>
  <c r="AO179" i="55" s="1"/>
  <c r="AZ30" i="54"/>
  <c r="AZ30" i="55" s="1"/>
  <c r="AZ29" i="54"/>
  <c r="AZ29" i="55" s="1"/>
  <c r="AZ79" i="54"/>
  <c r="AZ79" i="55" s="1"/>
  <c r="AO33" i="54"/>
  <c r="AO33" i="55" s="1"/>
  <c r="AO83" i="54"/>
  <c r="AO83" i="55" s="1"/>
  <c r="AO130" i="54"/>
  <c r="AO130" i="55" s="1"/>
  <c r="AO180" i="54"/>
  <c r="AO180" i="55" s="1"/>
  <c r="AO84" i="54"/>
  <c r="AO84" i="55" s="1"/>
  <c r="AO131" i="54"/>
  <c r="AO131" i="55" s="1"/>
  <c r="AO181" i="54"/>
  <c r="AO181" i="55" s="1"/>
  <c r="AO34" i="54"/>
  <c r="AO34" i="55" s="1"/>
  <c r="AZ36" i="54"/>
  <c r="AZ36" i="55" s="1"/>
  <c r="AZ81" i="54"/>
  <c r="AZ81" i="55" s="1"/>
  <c r="AO35" i="54"/>
  <c r="AO35" i="55" s="1"/>
  <c r="AO85" i="54"/>
  <c r="AO85" i="55" s="1"/>
  <c r="AO132" i="54"/>
  <c r="AO132" i="55" s="1"/>
  <c r="AO182" i="54"/>
  <c r="AO182" i="55" s="1"/>
  <c r="AZ38" i="54"/>
  <c r="AZ38" i="55" s="1"/>
  <c r="AZ85" i="54"/>
  <c r="AZ85" i="55" s="1"/>
  <c r="AO42" i="54"/>
  <c r="AO42" i="55" s="1"/>
  <c r="AO134" i="54"/>
  <c r="AO134" i="55" s="1"/>
  <c r="AO184" i="54"/>
  <c r="AO184" i="55" s="1"/>
  <c r="AZ37" i="54"/>
  <c r="AZ37" i="55" s="1"/>
  <c r="AZ84" i="54"/>
  <c r="AZ84" i="55" s="1"/>
  <c r="AO41" i="54"/>
  <c r="AO41" i="55" s="1"/>
  <c r="AO86" i="54"/>
  <c r="AO86" i="55" s="1"/>
  <c r="AO133" i="54"/>
  <c r="AO133" i="55" s="1"/>
  <c r="AO183" i="54"/>
  <c r="AO183" i="55" s="1"/>
  <c r="AO89" i="54"/>
  <c r="AO89" i="55" s="1"/>
  <c r="AZ40" i="54"/>
  <c r="AZ40" i="55" s="1"/>
  <c r="AZ87" i="54"/>
  <c r="AZ87" i="55" s="1"/>
  <c r="AO51" i="54"/>
  <c r="AO51" i="55" s="1"/>
  <c r="AO93" i="54"/>
  <c r="AO93" i="55" s="1"/>
  <c r="AO148" i="54"/>
  <c r="AO148" i="55" s="1"/>
  <c r="AO186" i="54"/>
  <c r="AO186" i="55" s="1"/>
  <c r="AZ41" i="54"/>
  <c r="AZ41" i="55" s="1"/>
  <c r="AZ88" i="54"/>
  <c r="AZ88" i="55" s="1"/>
  <c r="AO52" i="54"/>
  <c r="AO52" i="55" s="1"/>
  <c r="AZ53" i="54"/>
  <c r="AZ53" i="55" s="1"/>
  <c r="AZ93" i="54"/>
  <c r="AZ93" i="55" s="1"/>
  <c r="AO10" i="54"/>
  <c r="AO10" i="55" s="1"/>
  <c r="AO55" i="54"/>
  <c r="AO55" i="55" s="1"/>
  <c r="AO102" i="54"/>
  <c r="AO102" i="55" s="1"/>
  <c r="AO152" i="54"/>
  <c r="AO152" i="55" s="1"/>
  <c r="AO199" i="54"/>
  <c r="AO199" i="55" s="1"/>
  <c r="AZ57" i="54"/>
  <c r="AZ57" i="55" s="1"/>
  <c r="AO158" i="54"/>
  <c r="AO158" i="55" s="1"/>
  <c r="AZ54" i="54"/>
  <c r="AZ54" i="55" s="1"/>
  <c r="AZ99" i="54"/>
  <c r="AZ99" i="55" s="1"/>
  <c r="AO11" i="54"/>
  <c r="AO11" i="55" s="1"/>
  <c r="AO58" i="54"/>
  <c r="AO58" i="55" s="1"/>
  <c r="AO103" i="54"/>
  <c r="AO103" i="55" s="1"/>
  <c r="AO153" i="54"/>
  <c r="AO153" i="55" s="1"/>
  <c r="AO200" i="54"/>
  <c r="AO200" i="55" s="1"/>
  <c r="AZ55" i="54"/>
  <c r="AZ55" i="55" s="1"/>
  <c r="AO12" i="54"/>
  <c r="AO12" i="55" s="1"/>
  <c r="AO59" i="54"/>
  <c r="AO59" i="55" s="1"/>
  <c r="AO104" i="54"/>
  <c r="AO104" i="55" s="1"/>
  <c r="AO154" i="54"/>
  <c r="AO154" i="55" s="1"/>
  <c r="AO201" i="54"/>
  <c r="AO201" i="55" s="1"/>
  <c r="AZ56" i="54"/>
  <c r="AZ56" i="55" s="1"/>
  <c r="AO60" i="54"/>
  <c r="AO60" i="55" s="1"/>
  <c r="AO110" i="54"/>
  <c r="AO110" i="55" s="1"/>
  <c r="AO155" i="54"/>
  <c r="AO155" i="55" s="1"/>
  <c r="AZ4" i="54"/>
  <c r="AZ4" i="55" s="1"/>
  <c r="AO14" i="54"/>
  <c r="AO14" i="55" s="1"/>
  <c r="AO61" i="54"/>
  <c r="AO61" i="55" s="1"/>
  <c r="AO111" i="54"/>
  <c r="AO111" i="55" s="1"/>
  <c r="AO203" i="54"/>
  <c r="AO203" i="55" s="1"/>
  <c r="AZ3" i="54"/>
  <c r="AZ3" i="55" s="1"/>
  <c r="AO13" i="54"/>
  <c r="AO13" i="55" s="1"/>
  <c r="AO202" i="54"/>
  <c r="AO202" i="55" s="1"/>
  <c r="AZ7" i="54"/>
  <c r="AZ7" i="55" s="1"/>
  <c r="AZ58" i="54"/>
  <c r="AZ58" i="55" s="1"/>
  <c r="AO29" i="54"/>
  <c r="AO29" i="55" s="1"/>
  <c r="AO149" i="54"/>
  <c r="AO149" i="55" s="1"/>
  <c r="AO30" i="54"/>
  <c r="AO30" i="55" s="1"/>
  <c r="AO150" i="54"/>
  <c r="AO150" i="55" s="1"/>
  <c r="AO45" i="54"/>
  <c r="AO45" i="55" s="1"/>
  <c r="AO151" i="54"/>
  <c r="AO151" i="55" s="1"/>
  <c r="AZ15" i="54"/>
  <c r="AZ15" i="55" s="1"/>
  <c r="AO63" i="54"/>
  <c r="AO63" i="55" s="1"/>
  <c r="AO162" i="54"/>
  <c r="AO162" i="55" s="1"/>
  <c r="AZ21" i="54"/>
  <c r="AZ21" i="55" s="1"/>
  <c r="AO65" i="54"/>
  <c r="AO65" i="55" s="1"/>
  <c r="AO171" i="54"/>
  <c r="AO171" i="55" s="1"/>
  <c r="AZ39" i="54"/>
  <c r="AZ39" i="55" s="1"/>
  <c r="AO66" i="54"/>
  <c r="AO66" i="55" s="1"/>
  <c r="AZ42" i="54"/>
  <c r="AZ42" i="55" s="1"/>
  <c r="AO172" i="54"/>
  <c r="AO172" i="55" s="1"/>
  <c r="AZ8" i="54"/>
  <c r="AZ8" i="55" s="1"/>
  <c r="AO53" i="54"/>
  <c r="AO53" i="55" s="1"/>
  <c r="AO159" i="54"/>
  <c r="AO159" i="55" s="1"/>
  <c r="AZ13" i="54"/>
  <c r="AZ13" i="55" s="1"/>
  <c r="AO54" i="54"/>
  <c r="AO54" i="55" s="1"/>
  <c r="AO160" i="54"/>
  <c r="AO160" i="55" s="1"/>
  <c r="AO161" i="54"/>
  <c r="AO161" i="55" s="1"/>
  <c r="AZ14" i="54"/>
  <c r="AZ14" i="55" s="1"/>
  <c r="AO62" i="54"/>
  <c r="AO62" i="55" s="1"/>
  <c r="AZ16" i="54"/>
  <c r="AZ16" i="55" s="1"/>
  <c r="AO64" i="54"/>
  <c r="AO64" i="55" s="1"/>
  <c r="AO165" i="54"/>
  <c r="AO165" i="55" s="1"/>
  <c r="AZ60" i="54"/>
  <c r="AZ60" i="55" s="1"/>
  <c r="AO99" i="54"/>
  <c r="AO99" i="55" s="1"/>
  <c r="AO198" i="54"/>
  <c r="AO198" i="55" s="1"/>
  <c r="AZ61" i="54"/>
  <c r="AZ61" i="55" s="1"/>
  <c r="AO100" i="54"/>
  <c r="AO100" i="55" s="1"/>
  <c r="AO204" i="54"/>
  <c r="AO204" i="55" s="1"/>
  <c r="AZ69" i="54"/>
  <c r="AZ69" i="55" s="1"/>
  <c r="AO101" i="54"/>
  <c r="AO101" i="55" s="1"/>
  <c r="AO210" i="54"/>
  <c r="AO210" i="55" s="1"/>
  <c r="AZ86" i="54"/>
  <c r="AZ86" i="55" s="1"/>
  <c r="AO213" i="54"/>
  <c r="AO213" i="55" s="1"/>
  <c r="AZ75" i="54"/>
  <c r="AZ75" i="55" s="1"/>
  <c r="AO112" i="54"/>
  <c r="AO112" i="55" s="1"/>
  <c r="AZ76" i="54"/>
  <c r="AZ76" i="55" s="1"/>
  <c r="AO3" i="54"/>
  <c r="AO3" i="55" s="1"/>
  <c r="AO113" i="54"/>
  <c r="AO113" i="55" s="1"/>
  <c r="AO219" i="54"/>
  <c r="AO219" i="55" s="1"/>
  <c r="AZ45" i="54"/>
  <c r="AZ45" i="55" s="1"/>
  <c r="AO4" i="54"/>
  <c r="AO4" i="55" s="1"/>
  <c r="AZ90" i="54"/>
  <c r="AZ90" i="55" s="1"/>
  <c r="AO17" i="54"/>
  <c r="AO17" i="55" s="1"/>
  <c r="AO27" i="54"/>
  <c r="AO27" i="55" s="1"/>
  <c r="AO28" i="54"/>
  <c r="AO28" i="55" s="1"/>
  <c r="AO79" i="54"/>
  <c r="AO79" i="55" s="1"/>
  <c r="AO114" i="54"/>
  <c r="AO114" i="55" s="1"/>
  <c r="AO117" i="54"/>
  <c r="AO117" i="55" s="1"/>
  <c r="AO123" i="54"/>
  <c r="AO123" i="55" s="1"/>
  <c r="AO124" i="54"/>
  <c r="AO124" i="55" s="1"/>
  <c r="AZ59" i="54"/>
  <c r="AZ59" i="55" s="1"/>
  <c r="AO15" i="54"/>
  <c r="AO15" i="55" s="1"/>
  <c r="AZ89" i="54"/>
  <c r="AZ89" i="55" s="1"/>
  <c r="AO16" i="54"/>
  <c r="AO16" i="55" s="1"/>
  <c r="AO80" i="54"/>
  <c r="AO80" i="55" s="1"/>
  <c r="AO90" i="54"/>
  <c r="AO90" i="55" s="1"/>
  <c r="AO127" i="54"/>
  <c r="AO127" i="55" s="1"/>
  <c r="AO135" i="54"/>
  <c r="AO135" i="55" s="1"/>
  <c r="AO220" i="54"/>
  <c r="AO220" i="55" s="1"/>
  <c r="AO185" i="54"/>
  <c r="AO185" i="55" s="1"/>
  <c r="AO196" i="54"/>
  <c r="AO196" i="55" s="1"/>
  <c r="AO197" i="54"/>
  <c r="AO197" i="55" s="1"/>
  <c r="AO221" i="54"/>
  <c r="AO221" i="55" s="1"/>
  <c r="AB84" i="54"/>
  <c r="AB84" i="55" s="1"/>
  <c r="AB125" i="54"/>
  <c r="AB125" i="55" s="1"/>
  <c r="AB29" i="54"/>
  <c r="AB29" i="55" s="1"/>
  <c r="AB127" i="54"/>
  <c r="AB127" i="55" s="1"/>
  <c r="AB56" i="54"/>
  <c r="AB56" i="55" s="1"/>
  <c r="AB170" i="54"/>
  <c r="AB170" i="55" s="1"/>
  <c r="AB60" i="54"/>
  <c r="AB60" i="55" s="1"/>
  <c r="AB82" i="54"/>
  <c r="AB82" i="55" s="1"/>
  <c r="AB27" i="54"/>
  <c r="AB27" i="55" s="1"/>
  <c r="AB70" i="54"/>
  <c r="AB70" i="55" s="1"/>
  <c r="AB80" i="54"/>
  <c r="AB80" i="55" s="1"/>
  <c r="AB75" i="54"/>
  <c r="AB75" i="55" s="1"/>
  <c r="AB115" i="54"/>
  <c r="AB115" i="55" s="1"/>
  <c r="AB5" i="54"/>
  <c r="AB5" i="55" s="1"/>
  <c r="AB140" i="54"/>
  <c r="AB140" i="55" s="1"/>
  <c r="AB10" i="54"/>
  <c r="AB10" i="55" s="1"/>
  <c r="AB37" i="54"/>
  <c r="AB37" i="55" s="1"/>
  <c r="AB68" i="54"/>
  <c r="AB68" i="55" s="1"/>
  <c r="AB25" i="54"/>
  <c r="AB25" i="55" s="1"/>
  <c r="AB64" i="54"/>
  <c r="AB64" i="55" s="1"/>
  <c r="AB138" i="54"/>
  <c r="AB138" i="55" s="1"/>
  <c r="AB58" i="54"/>
  <c r="AB58" i="55" s="1"/>
  <c r="AB72" i="54"/>
  <c r="AB72" i="55" s="1"/>
  <c r="AB165" i="54"/>
  <c r="AB165" i="55" s="1"/>
  <c r="AB57" i="54"/>
  <c r="AB57" i="55" s="1"/>
  <c r="AB17" i="54"/>
  <c r="AB17" i="55" s="1"/>
  <c r="AB159" i="54"/>
  <c r="AB159" i="55" s="1"/>
  <c r="AB40" i="54"/>
  <c r="AB40" i="55" s="1"/>
  <c r="AB49" i="54"/>
  <c r="AB49" i="55" s="1"/>
  <c r="AB31" i="54"/>
  <c r="AB31" i="55" s="1"/>
  <c r="AB47" i="54"/>
  <c r="AB47" i="55" s="1"/>
  <c r="AB103" i="54"/>
  <c r="AB103" i="55" s="1"/>
  <c r="AB77" i="54"/>
  <c r="AB77" i="55" s="1"/>
  <c r="AB11" i="54"/>
  <c r="AB11" i="55" s="1"/>
  <c r="AB41" i="54"/>
  <c r="AB41" i="55" s="1"/>
  <c r="AB48" i="54"/>
  <c r="AB48" i="55" s="1"/>
  <c r="AB52" i="54"/>
  <c r="AB52" i="55" s="1"/>
  <c r="AB109" i="54"/>
  <c r="AB109" i="55" s="1"/>
  <c r="AB161" i="54"/>
  <c r="AB161" i="55" s="1"/>
  <c r="AB86" i="54"/>
  <c r="AB86" i="55" s="1"/>
  <c r="AB87" i="54"/>
  <c r="AB87" i="55" s="1"/>
  <c r="AB59" i="54"/>
  <c r="AB59" i="55" s="1"/>
  <c r="AB34" i="54"/>
  <c r="AB34" i="55" s="1"/>
  <c r="AB14" i="54"/>
  <c r="AB14" i="55" s="1"/>
  <c r="AB79" i="54"/>
  <c r="AB79" i="55" s="1"/>
  <c r="AB106" i="54"/>
  <c r="AB106" i="55" s="1"/>
  <c r="AB158" i="54"/>
  <c r="AB158" i="55" s="1"/>
  <c r="AB134" i="54"/>
  <c r="AB134" i="55" s="1"/>
  <c r="AB36" i="54"/>
  <c r="AB36" i="55" s="1"/>
  <c r="AB39" i="54"/>
  <c r="AB39" i="55" s="1"/>
  <c r="AB92" i="54"/>
  <c r="AB92" i="55" s="1"/>
  <c r="AB46" i="54"/>
  <c r="AB46" i="55" s="1"/>
  <c r="AB126" i="54"/>
  <c r="AB126" i="55" s="1"/>
  <c r="AB13" i="54"/>
  <c r="AB13" i="55" s="1"/>
  <c r="AB133" i="54"/>
  <c r="AB133" i="55" s="1"/>
  <c r="AB130" i="54"/>
  <c r="AB130" i="55" s="1"/>
  <c r="AB42" i="54"/>
  <c r="AB42" i="55" s="1"/>
  <c r="AB66" i="54"/>
  <c r="AB66" i="55" s="1"/>
  <c r="AB113" i="54"/>
  <c r="AB113" i="55" s="1"/>
  <c r="AB88" i="54"/>
  <c r="AB88" i="55" s="1"/>
  <c r="AB83" i="54"/>
  <c r="AB83" i="55" s="1"/>
  <c r="AB16" i="54"/>
  <c r="AB16" i="55" s="1"/>
  <c r="AB155" i="54"/>
  <c r="AB155" i="55" s="1"/>
  <c r="AB122" i="54"/>
  <c r="AB122" i="55" s="1"/>
  <c r="AB93" i="54"/>
  <c r="AB93" i="55" s="1"/>
  <c r="AB154" i="54"/>
  <c r="AB154" i="55" s="1"/>
  <c r="AB97" i="54"/>
  <c r="AB97" i="55" s="1"/>
  <c r="AB160" i="54"/>
  <c r="AB160" i="55" s="1"/>
  <c r="AB105" i="54"/>
  <c r="AB105" i="55" s="1"/>
  <c r="AB30" i="54"/>
  <c r="AB30" i="55" s="1"/>
  <c r="AB143" i="54"/>
  <c r="AB143" i="55" s="1"/>
  <c r="AB147" i="54"/>
  <c r="AB147" i="55" s="1"/>
  <c r="AB95" i="54"/>
  <c r="AB95" i="55" s="1"/>
  <c r="AB32" i="54"/>
  <c r="AB32" i="55" s="1"/>
  <c r="AB19" i="54"/>
  <c r="AB19" i="55" s="1"/>
  <c r="AB162" i="54"/>
  <c r="AB162" i="55" s="1"/>
  <c r="AB164" i="54"/>
  <c r="AB164" i="55" s="1"/>
  <c r="AB6" i="54"/>
  <c r="AB6" i="55" s="1"/>
  <c r="AB119" i="54"/>
  <c r="AB119" i="55" s="1"/>
  <c r="AB23" i="54"/>
  <c r="AB23" i="55" s="1"/>
  <c r="AB33" i="54"/>
  <c r="AB33" i="55" s="1"/>
  <c r="AB120" i="54"/>
  <c r="AB120" i="55" s="1"/>
  <c r="AB12" i="54"/>
  <c r="AB12" i="55" s="1"/>
  <c r="AB73" i="54"/>
  <c r="AB73" i="55" s="1"/>
  <c r="AB22" i="54"/>
  <c r="AB22" i="55" s="1"/>
  <c r="AB53" i="54"/>
  <c r="AB53" i="55" s="1"/>
  <c r="AB51" i="54"/>
  <c r="AB51" i="55" s="1"/>
  <c r="AB89" i="54"/>
  <c r="AB89" i="55" s="1"/>
  <c r="AB78" i="54"/>
  <c r="AB78" i="55" s="1"/>
  <c r="AB45" i="54"/>
  <c r="AB45" i="55" s="1"/>
  <c r="AB129" i="54"/>
  <c r="AB129" i="55" s="1"/>
  <c r="AB71" i="54"/>
  <c r="AB71" i="55" s="1"/>
  <c r="AB131" i="54"/>
  <c r="AB131" i="55" s="1"/>
  <c r="AB141" i="54"/>
  <c r="AB141" i="55" s="1"/>
  <c r="AB137" i="54"/>
  <c r="AB137" i="55" s="1"/>
  <c r="AB61" i="54"/>
  <c r="AB61" i="55" s="1"/>
  <c r="AB139" i="54"/>
  <c r="AB139" i="55" s="1"/>
  <c r="AB123" i="54"/>
  <c r="AB123" i="55" s="1"/>
  <c r="AB2" i="54"/>
  <c r="AB2" i="55" s="1"/>
  <c r="AB7" i="54"/>
  <c r="AB7" i="55" s="1"/>
  <c r="AB24" i="54"/>
  <c r="AB24" i="55" s="1"/>
  <c r="AB156" i="54"/>
  <c r="AB156" i="55" s="1"/>
  <c r="AB117" i="54"/>
  <c r="AB117" i="55" s="1"/>
  <c r="AB55" i="54"/>
  <c r="AB55" i="55" s="1"/>
  <c r="AB128" i="54"/>
  <c r="AB128" i="55" s="1"/>
  <c r="AB76" i="54"/>
  <c r="AB76" i="55" s="1"/>
  <c r="AB135" i="54"/>
  <c r="AB135" i="55" s="1"/>
  <c r="AB114" i="54"/>
  <c r="AB114" i="55" s="1"/>
  <c r="AB98" i="54"/>
  <c r="AB98" i="55" s="1"/>
  <c r="AB85" i="54"/>
  <c r="AB85" i="55" s="1"/>
  <c r="AB100" i="54"/>
  <c r="AB100" i="55" s="1"/>
  <c r="AB43" i="54"/>
  <c r="AB43" i="55" s="1"/>
  <c r="AB35" i="54"/>
  <c r="AB35" i="55" s="1"/>
  <c r="AB9" i="54"/>
  <c r="AB9" i="55" s="1"/>
  <c r="AB15" i="54"/>
  <c r="AB15" i="55" s="1"/>
  <c r="AB163" i="54"/>
  <c r="AB163" i="55" s="1"/>
  <c r="AB152" i="54"/>
  <c r="AB152" i="55" s="1"/>
  <c r="AB20" i="54"/>
  <c r="AB20" i="55" s="1"/>
  <c r="AB104" i="54"/>
  <c r="AB104" i="55" s="1"/>
  <c r="AB132" i="54"/>
  <c r="AB132" i="55" s="1"/>
  <c r="AB99" i="54"/>
  <c r="AB99" i="55" s="1"/>
  <c r="AB150" i="54"/>
  <c r="AB150" i="55" s="1"/>
  <c r="AB50" i="54"/>
  <c r="AB50" i="55" s="1"/>
  <c r="AB136" i="54"/>
  <c r="AB136" i="55" s="1"/>
  <c r="AB67" i="54"/>
  <c r="AB67" i="55" s="1"/>
  <c r="AB54" i="54"/>
  <c r="AB54" i="55" s="1"/>
  <c r="AB168" i="54"/>
  <c r="AB168" i="55" s="1"/>
  <c r="AB63" i="54"/>
  <c r="AB63" i="55" s="1"/>
  <c r="AB111" i="54"/>
  <c r="AB111" i="55" s="1"/>
  <c r="AB157" i="54"/>
  <c r="AB157" i="55" s="1"/>
  <c r="AB8" i="54"/>
  <c r="AB8" i="55" s="1"/>
  <c r="AB38" i="54"/>
  <c r="AB38" i="55" s="1"/>
  <c r="AB108" i="54"/>
  <c r="AB108" i="55" s="1"/>
  <c r="AB90" i="54"/>
  <c r="AB90" i="55" s="1"/>
  <c r="AB44" i="54"/>
  <c r="AB44" i="55" s="1"/>
  <c r="AB94" i="54"/>
  <c r="AB94" i="55" s="1"/>
  <c r="AB171" i="54"/>
  <c r="AB171" i="55" s="1"/>
  <c r="AB169" i="54"/>
  <c r="AB169" i="55" s="1"/>
  <c r="AB28" i="54"/>
  <c r="AB28" i="55" s="1"/>
  <c r="AB142" i="54"/>
  <c r="AB142" i="55" s="1"/>
  <c r="AB3" i="54"/>
  <c r="AB3" i="55" s="1"/>
  <c r="AB144" i="54"/>
  <c r="AB144" i="55" s="1"/>
  <c r="AB26" i="54"/>
  <c r="AB26" i="55" s="1"/>
  <c r="AB102" i="54"/>
  <c r="AB102" i="55" s="1"/>
  <c r="AB4" i="54"/>
  <c r="AB4" i="55" s="1"/>
  <c r="AB101" i="54"/>
  <c r="AB101" i="55" s="1"/>
  <c r="AB107" i="54"/>
  <c r="AB107" i="55" s="1"/>
  <c r="AB21" i="54"/>
  <c r="AB21" i="55" s="1"/>
  <c r="AB146" i="54"/>
  <c r="AB146" i="55" s="1"/>
  <c r="AB153" i="54"/>
  <c r="AB153" i="55" s="1"/>
  <c r="AB151" i="54"/>
  <c r="AB151" i="55" s="1"/>
  <c r="AB62" i="54"/>
  <c r="AB62" i="55" s="1"/>
  <c r="AB166" i="54"/>
  <c r="AB166" i="55" s="1"/>
  <c r="AB121" i="54"/>
  <c r="AB121" i="55" s="1"/>
  <c r="AB118" i="54"/>
  <c r="AB118" i="55" s="1"/>
  <c r="AB110" i="54"/>
  <c r="AB110" i="55" s="1"/>
  <c r="AB167" i="54"/>
  <c r="AB167" i="55" s="1"/>
  <c r="AB145" i="54"/>
  <c r="AB145" i="55" s="1"/>
  <c r="AB81" i="54"/>
  <c r="AB81" i="55" s="1"/>
  <c r="AB74" i="54"/>
  <c r="AB74" i="55" s="1"/>
  <c r="AB116" i="54"/>
  <c r="AB116" i="55" s="1"/>
  <c r="AB69" i="54"/>
  <c r="AB69" i="55" s="1"/>
  <c r="AB96" i="54"/>
  <c r="AB96" i="55" s="1"/>
  <c r="AB148" i="54"/>
  <c r="AB148" i="55" s="1"/>
  <c r="AB65" i="54"/>
  <c r="AB65" i="55" s="1"/>
  <c r="AB91" i="54"/>
  <c r="AB91" i="55" s="1"/>
  <c r="AB112" i="54"/>
  <c r="AB112" i="55" s="1"/>
  <c r="AB149" i="54"/>
  <c r="AB149" i="55" s="1"/>
  <c r="AB124" i="54"/>
  <c r="AB124" i="55" s="1"/>
  <c r="F59" i="44"/>
  <c r="N59" i="54"/>
  <c r="N59" i="55" s="1"/>
  <c r="F12" i="44"/>
  <c r="F16" i="44"/>
  <c r="N52" i="54"/>
  <c r="N52" i="55" s="1"/>
  <c r="N77" i="54"/>
  <c r="N77" i="55" s="1"/>
  <c r="AH40" i="48"/>
  <c r="F44" i="44"/>
  <c r="F65" i="44"/>
  <c r="F69" i="44"/>
  <c r="F75" i="44"/>
  <c r="F6" i="44"/>
  <c r="F26" i="44"/>
  <c r="N2" i="54"/>
  <c r="N2" i="55" s="1"/>
  <c r="N73" i="54"/>
  <c r="N73" i="55" s="1"/>
  <c r="F58" i="44"/>
  <c r="N6" i="54"/>
  <c r="N6" i="55" s="1"/>
  <c r="N20" i="54"/>
  <c r="N20" i="55" s="1"/>
  <c r="N65" i="54"/>
  <c r="N65" i="55" s="1"/>
  <c r="F76" i="44"/>
  <c r="F74" i="44"/>
  <c r="N18" i="54"/>
  <c r="N18" i="55" s="1"/>
  <c r="N58" i="54"/>
  <c r="N58" i="55" s="1"/>
  <c r="F63" i="44"/>
  <c r="N12" i="54"/>
  <c r="N12" i="55" s="1"/>
  <c r="F2" i="44"/>
  <c r="F77" i="44"/>
  <c r="F20" i="44"/>
  <c r="F49" i="44"/>
  <c r="N51" i="54"/>
  <c r="N51" i="55" s="1"/>
  <c r="N38" i="54"/>
  <c r="N38" i="55" s="1"/>
  <c r="N79" i="54"/>
  <c r="N79" i="55" s="1"/>
  <c r="N14" i="54"/>
  <c r="N14" i="55" s="1"/>
  <c r="N25" i="54"/>
  <c r="N25" i="55" s="1"/>
  <c r="N11" i="54"/>
  <c r="N11" i="55" s="1"/>
  <c r="F18" i="44"/>
  <c r="F9" i="44"/>
  <c r="N68" i="54"/>
  <c r="N68" i="55" s="1"/>
  <c r="N26" i="54"/>
  <c r="N26" i="55" s="1"/>
  <c r="N49" i="54"/>
  <c r="N49" i="55" s="1"/>
  <c r="N44" i="54"/>
  <c r="N44" i="55" s="1"/>
  <c r="N43" i="54"/>
  <c r="N43" i="55" s="1"/>
  <c r="N50" i="54"/>
  <c r="N50" i="55" s="1"/>
  <c r="F51" i="44"/>
  <c r="F38" i="44"/>
  <c r="F71" i="44"/>
  <c r="F14" i="44"/>
  <c r="F25" i="44"/>
  <c r="F11" i="44"/>
  <c r="AH4" i="48"/>
  <c r="AH21" i="48"/>
  <c r="AH37" i="48"/>
  <c r="AH15" i="48"/>
  <c r="AH10" i="48"/>
  <c r="AH33" i="48"/>
  <c r="AH11" i="48"/>
  <c r="AH22" i="48"/>
  <c r="AH19" i="48"/>
  <c r="AH128" i="48"/>
  <c r="AH255" i="48"/>
  <c r="AH93" i="48"/>
  <c r="AH174" i="48"/>
  <c r="AH118" i="48"/>
  <c r="AH76" i="48"/>
  <c r="AH94" i="48"/>
  <c r="AH82" i="48"/>
  <c r="AH212" i="48"/>
  <c r="AH171" i="48"/>
  <c r="AH271" i="48"/>
  <c r="AH101" i="48"/>
  <c r="AH262" i="48"/>
  <c r="AH293" i="48"/>
  <c r="AH88" i="48"/>
  <c r="AH223" i="48"/>
  <c r="AH86" i="48"/>
  <c r="AH288" i="48"/>
  <c r="AH291" i="48"/>
  <c r="AH259" i="48"/>
  <c r="AH154" i="48"/>
  <c r="AH122" i="48"/>
  <c r="AH58" i="48"/>
  <c r="AH72" i="48"/>
  <c r="AH243" i="48"/>
  <c r="AH2" i="48"/>
  <c r="AH221" i="48"/>
  <c r="AH159" i="48"/>
  <c r="AH182" i="48"/>
  <c r="AH91" i="48"/>
  <c r="AH186" i="48"/>
  <c r="AH198" i="48"/>
  <c r="AH189" i="48"/>
  <c r="AH73" i="48"/>
  <c r="AH112" i="48"/>
  <c r="AH127" i="48"/>
  <c r="AH136" i="48"/>
  <c r="AH270" i="48"/>
  <c r="AH89" i="48"/>
  <c r="AH219" i="48"/>
  <c r="AH211" i="48"/>
  <c r="AH179" i="48"/>
  <c r="AH50" i="48"/>
  <c r="AH202" i="48"/>
  <c r="AH295" i="48"/>
  <c r="AH148" i="48"/>
  <c r="AH44" i="48"/>
  <c r="AH256" i="48"/>
  <c r="AH85" i="48"/>
  <c r="AH280" i="48"/>
  <c r="AH239" i="48"/>
  <c r="AH105" i="48"/>
  <c r="AH281" i="48"/>
  <c r="AH183" i="48"/>
  <c r="AH244" i="48"/>
  <c r="AH245" i="48"/>
  <c r="AH253" i="48"/>
  <c r="AH56" i="48"/>
  <c r="AH234" i="48"/>
  <c r="AH181" i="48"/>
  <c r="AH69" i="48"/>
  <c r="AH120" i="48"/>
  <c r="AH48" i="48"/>
  <c r="AH265" i="48"/>
  <c r="AH140" i="48"/>
  <c r="AH151" i="48"/>
  <c r="AH65" i="48"/>
  <c r="AH260" i="48"/>
  <c r="AH164" i="48"/>
  <c r="AH106" i="48"/>
  <c r="AH301" i="48"/>
  <c r="AH180" i="48"/>
  <c r="AH45" i="48"/>
  <c r="AH218" i="48"/>
  <c r="AH276" i="48"/>
  <c r="AH285" i="48"/>
  <c r="AH261" i="48"/>
  <c r="AH110" i="48"/>
  <c r="AH68" i="48"/>
  <c r="AH258" i="48"/>
  <c r="AH67" i="48"/>
  <c r="AH300" i="48"/>
  <c r="AH51" i="48"/>
  <c r="AH131" i="48"/>
  <c r="AH43" i="48"/>
  <c r="AH197" i="48"/>
  <c r="AH79" i="48"/>
  <c r="AH284" i="48"/>
  <c r="AH249" i="48"/>
  <c r="AH187" i="48"/>
  <c r="AH135" i="48"/>
  <c r="AH215" i="48"/>
  <c r="AH297" i="48"/>
  <c r="AH286" i="48"/>
  <c r="AH292" i="48"/>
  <c r="AH123" i="48"/>
  <c r="AH277" i="48"/>
  <c r="AH235" i="48"/>
  <c r="AH193" i="48"/>
  <c r="AH287" i="48"/>
  <c r="AH47" i="48"/>
  <c r="AH126" i="48"/>
  <c r="AH195" i="48"/>
  <c r="AH254" i="48"/>
  <c r="AH210" i="48"/>
  <c r="AH196" i="48"/>
  <c r="AH107" i="48"/>
  <c r="AH46" i="48"/>
  <c r="AH184" i="48"/>
  <c r="AH62" i="48"/>
  <c r="AH250" i="48"/>
  <c r="AH74" i="48"/>
  <c r="AH229" i="48"/>
  <c r="AH205" i="48"/>
  <c r="AH114" i="48"/>
  <c r="AH252" i="48"/>
  <c r="AH268" i="48"/>
  <c r="AH175" i="48"/>
  <c r="AH185" i="48"/>
  <c r="AH298" i="48"/>
  <c r="AH236" i="48"/>
  <c r="AH104" i="48"/>
  <c r="AH143" i="48"/>
  <c r="AH158" i="48"/>
  <c r="AH141" i="48"/>
  <c r="AH273" i="48"/>
  <c r="AH71" i="48"/>
  <c r="AH264" i="48"/>
  <c r="AH204" i="48"/>
  <c r="AH194" i="48"/>
  <c r="AH266" i="48"/>
  <c r="AH165" i="48"/>
  <c r="AH53" i="48"/>
  <c r="AH296" i="48"/>
  <c r="AH257" i="48"/>
  <c r="AH134" i="48"/>
  <c r="AH248" i="48"/>
  <c r="AH84" i="48"/>
  <c r="AH77" i="48"/>
  <c r="AH80" i="48"/>
  <c r="AH95" i="48"/>
  <c r="AH283" i="48"/>
  <c r="AH251" i="48"/>
  <c r="AH57" i="48"/>
  <c r="AH278" i="48"/>
  <c r="AH147" i="48"/>
  <c r="AH170" i="48"/>
  <c r="AH242" i="48"/>
  <c r="AH87" i="48"/>
  <c r="AH92" i="48"/>
  <c r="AH224" i="48"/>
  <c r="AH137" i="48"/>
  <c r="AH163" i="48"/>
  <c r="AH139" i="48"/>
  <c r="AH177" i="48"/>
  <c r="AH172" i="48"/>
  <c r="AH113" i="48"/>
  <c r="AH102" i="48"/>
  <c r="AH146" i="48"/>
  <c r="AH282" i="48"/>
  <c r="AH208" i="48"/>
  <c r="AH299" i="48"/>
  <c r="AH49" i="48"/>
  <c r="AH96" i="48"/>
  <c r="AH156" i="48"/>
  <c r="AH267" i="48"/>
  <c r="AH78" i="48"/>
  <c r="AH216" i="48"/>
  <c r="AH90" i="48"/>
  <c r="AH60" i="48"/>
  <c r="AH149" i="48"/>
  <c r="AH209" i="48"/>
  <c r="AH129" i="48"/>
  <c r="AH99" i="48"/>
  <c r="AH169" i="48"/>
  <c r="AH98" i="48"/>
  <c r="AH138" i="48"/>
  <c r="AH61" i="48"/>
  <c r="AH119" i="48"/>
  <c r="AH144" i="48"/>
  <c r="AH150" i="48"/>
  <c r="AH238" i="48"/>
  <c r="AH161" i="48"/>
  <c r="AH52" i="48"/>
  <c r="AH220" i="48"/>
  <c r="AH222" i="48"/>
  <c r="AH200" i="48"/>
  <c r="AH247" i="48"/>
  <c r="AH192" i="48"/>
  <c r="AH109" i="48"/>
  <c r="AH167" i="48"/>
  <c r="AH103" i="48"/>
  <c r="AH233" i="48"/>
  <c r="AH290" i="48"/>
  <c r="AH190" i="48"/>
  <c r="AH63" i="48"/>
  <c r="AH294" i="48"/>
  <c r="AH66" i="48"/>
  <c r="AH207" i="48"/>
  <c r="AH246" i="48"/>
  <c r="AH188" i="48"/>
  <c r="AH81" i="48"/>
  <c r="AH201" i="48"/>
  <c r="AH121" i="48"/>
  <c r="AH166" i="48"/>
  <c r="AH289" i="48"/>
  <c r="AH55" i="48"/>
  <c r="AH230" i="48"/>
  <c r="AH279" i="48"/>
  <c r="AH64" i="48"/>
  <c r="AH162" i="48"/>
  <c r="AH226" i="48"/>
  <c r="AH116" i="48"/>
  <c r="AH203" i="48"/>
  <c r="AH152" i="48"/>
  <c r="AH214" i="48"/>
  <c r="AH115" i="48"/>
  <c r="AH117" i="48"/>
  <c r="AH199" i="48"/>
  <c r="AH132" i="48"/>
  <c r="AH42" i="48"/>
  <c r="AH70" i="48"/>
  <c r="AH59" i="48"/>
  <c r="AH191" i="48"/>
  <c r="AH155" i="48"/>
  <c r="AH241" i="48"/>
  <c r="AH54" i="48"/>
  <c r="AH227" i="48"/>
  <c r="AH213" i="48"/>
  <c r="AH145" i="48"/>
  <c r="AH275" i="48"/>
  <c r="AH111" i="48"/>
  <c r="AH228" i="48"/>
  <c r="AH206" i="48"/>
  <c r="AH237" i="48"/>
  <c r="AH108" i="48"/>
  <c r="AH240" i="48"/>
  <c r="AH217" i="48"/>
  <c r="AH75" i="48"/>
  <c r="AH142" i="48"/>
  <c r="AH124" i="48"/>
  <c r="AH274" i="48"/>
  <c r="AH97" i="48"/>
  <c r="AH160" i="48"/>
  <c r="AH173" i="48"/>
  <c r="AH231" i="48"/>
  <c r="AH157" i="48"/>
  <c r="AH100" i="48"/>
  <c r="AH263" i="48"/>
  <c r="AH168" i="48"/>
  <c r="AH178" i="48"/>
  <c r="AH225" i="48"/>
  <c r="AH130" i="48"/>
  <c r="AH272" i="48"/>
  <c r="AH176" i="48"/>
  <c r="AH153" i="48"/>
  <c r="AH125" i="48"/>
  <c r="AH133" i="48"/>
  <c r="AH269" i="48"/>
  <c r="AH232" i="48"/>
  <c r="AH83" i="48"/>
  <c r="AH27" i="48"/>
  <c r="AH35" i="48"/>
  <c r="AH14" i="48"/>
  <c r="T29" i="44"/>
  <c r="T85" i="44"/>
  <c r="M36" i="44"/>
  <c r="M117" i="44"/>
  <c r="T73" i="44"/>
  <c r="AA32" i="44"/>
  <c r="T107" i="44"/>
  <c r="T208" i="44"/>
  <c r="AA23" i="44"/>
  <c r="T171" i="44"/>
  <c r="M27" i="44"/>
  <c r="M151" i="44"/>
  <c r="T164" i="44"/>
  <c r="T70" i="44"/>
  <c r="M145" i="44"/>
  <c r="T200" i="44"/>
  <c r="T187" i="44"/>
  <c r="M35" i="44"/>
  <c r="T77" i="44"/>
  <c r="AA44" i="44"/>
  <c r="AA21" i="44"/>
  <c r="T204" i="44"/>
  <c r="M126" i="44"/>
  <c r="T159" i="44"/>
  <c r="M85" i="44"/>
  <c r="M66" i="44"/>
  <c r="M46" i="44"/>
  <c r="AA16" i="44"/>
  <c r="T119" i="44"/>
  <c r="T115" i="44"/>
  <c r="M128" i="44"/>
  <c r="M47" i="44"/>
  <c r="M82" i="44"/>
  <c r="AA68" i="44"/>
  <c r="M29" i="44"/>
  <c r="M57" i="44"/>
  <c r="M60" i="44"/>
  <c r="T80" i="44"/>
  <c r="T81" i="44"/>
  <c r="T211" i="44"/>
  <c r="T17" i="44"/>
  <c r="M108" i="44"/>
  <c r="AA89" i="44"/>
  <c r="T157" i="44"/>
  <c r="T145" i="44"/>
  <c r="T194" i="44"/>
  <c r="T50" i="44"/>
  <c r="AA94" i="44"/>
  <c r="T110" i="44"/>
  <c r="T152" i="44"/>
  <c r="AA20" i="44"/>
  <c r="M131" i="44"/>
  <c r="M152" i="44"/>
  <c r="T126" i="44"/>
  <c r="AA101" i="44"/>
  <c r="M116" i="44"/>
  <c r="T30" i="44"/>
  <c r="M18" i="44"/>
  <c r="AA78" i="44"/>
  <c r="M21" i="44"/>
  <c r="M149" i="44"/>
  <c r="T154" i="44"/>
  <c r="T65" i="44"/>
  <c r="M166" i="44"/>
  <c r="M162" i="44"/>
  <c r="T174" i="44"/>
  <c r="M161" i="44"/>
  <c r="T91" i="44"/>
  <c r="M51" i="44"/>
  <c r="AA73" i="44"/>
  <c r="T156" i="44"/>
  <c r="AA49" i="44"/>
  <c r="M160" i="44"/>
  <c r="M99" i="44"/>
  <c r="M24" i="44"/>
  <c r="T57" i="44"/>
  <c r="M157" i="44"/>
  <c r="AA82" i="44"/>
  <c r="M68" i="44"/>
  <c r="M10" i="44"/>
  <c r="AA84" i="44"/>
  <c r="AA62" i="44"/>
  <c r="AA85" i="44"/>
  <c r="M155" i="44"/>
  <c r="AA11" i="44"/>
  <c r="AA39" i="44"/>
  <c r="AA79" i="44"/>
  <c r="T78" i="44"/>
  <c r="AA99" i="44"/>
  <c r="M92" i="44"/>
  <c r="M59" i="44"/>
  <c r="T14" i="44"/>
  <c r="AA92" i="44"/>
  <c r="M106" i="44"/>
  <c r="AA15" i="44"/>
  <c r="T108" i="44"/>
  <c r="M165" i="44"/>
  <c r="M123" i="44"/>
  <c r="T55" i="44"/>
  <c r="M84" i="44"/>
  <c r="T199" i="44"/>
  <c r="M141" i="44"/>
  <c r="T71" i="44"/>
  <c r="T212" i="44"/>
  <c r="M124" i="44"/>
  <c r="M101" i="44"/>
  <c r="M17" i="44"/>
  <c r="M127" i="44"/>
  <c r="AA13" i="44"/>
  <c r="T28" i="44"/>
  <c r="T103" i="44"/>
  <c r="T99" i="44"/>
  <c r="M26" i="44"/>
  <c r="T196" i="44"/>
  <c r="T58" i="44"/>
  <c r="T76" i="44"/>
  <c r="T101" i="44"/>
  <c r="M103" i="44"/>
  <c r="M54" i="44"/>
  <c r="AA87" i="44"/>
  <c r="T51" i="44"/>
  <c r="T2" i="44"/>
  <c r="T9" i="44"/>
  <c r="T56" i="44"/>
  <c r="AA18" i="44"/>
  <c r="M33" i="44"/>
  <c r="T54" i="44"/>
  <c r="AA48" i="44"/>
  <c r="M6" i="44"/>
  <c r="T141" i="44"/>
  <c r="AA93" i="44"/>
  <c r="M96" i="44"/>
  <c r="M79" i="44"/>
  <c r="T155" i="44"/>
  <c r="AA61" i="44"/>
  <c r="T53" i="44"/>
  <c r="AA51" i="44"/>
  <c r="T123" i="44"/>
  <c r="T102" i="44"/>
  <c r="M15" i="44"/>
  <c r="T61" i="44"/>
  <c r="M135" i="44"/>
  <c r="M70" i="44"/>
  <c r="M69" i="44"/>
  <c r="T189" i="44"/>
  <c r="M72" i="44"/>
  <c r="T25" i="44"/>
  <c r="AA33" i="44"/>
  <c r="T74" i="44"/>
  <c r="M146" i="44"/>
  <c r="T146" i="44"/>
  <c r="T186" i="44"/>
  <c r="M107" i="44"/>
  <c r="T129" i="44"/>
  <c r="T100" i="44"/>
  <c r="T111" i="44"/>
  <c r="AA86" i="44"/>
  <c r="M129" i="44"/>
  <c r="T90" i="44"/>
  <c r="M55" i="44"/>
  <c r="AA5" i="44"/>
  <c r="AA14" i="44"/>
  <c r="T168" i="44"/>
  <c r="T33" i="44"/>
  <c r="M20" i="44"/>
  <c r="M118" i="44"/>
  <c r="M163" i="44"/>
  <c r="AA41" i="44"/>
  <c r="M144" i="44"/>
  <c r="T140" i="44"/>
  <c r="M83" i="44"/>
  <c r="T180" i="44"/>
  <c r="M49" i="44"/>
  <c r="AA12" i="44"/>
  <c r="M158" i="44"/>
  <c r="AA67" i="44"/>
  <c r="T8" i="44"/>
  <c r="T178" i="44"/>
  <c r="M7" i="44"/>
  <c r="T62" i="44"/>
  <c r="AA81" i="44"/>
  <c r="M97" i="44"/>
  <c r="T35" i="44"/>
  <c r="T88" i="44"/>
  <c r="T209" i="44"/>
  <c r="M78" i="44"/>
  <c r="T36" i="44"/>
  <c r="M156" i="44"/>
  <c r="M164" i="44"/>
  <c r="M169" i="44"/>
  <c r="M45" i="44"/>
  <c r="AA52" i="44"/>
  <c r="T19" i="44"/>
  <c r="AA28" i="44"/>
  <c r="T149" i="44"/>
  <c r="M167" i="44"/>
  <c r="T221" i="44"/>
  <c r="T69" i="44"/>
  <c r="T202" i="44"/>
  <c r="T79" i="44"/>
  <c r="M100" i="44"/>
  <c r="AA25" i="44"/>
  <c r="AA10" i="44"/>
  <c r="AA66" i="44"/>
  <c r="T169" i="44"/>
  <c r="T106" i="44"/>
  <c r="T24" i="44"/>
  <c r="T170" i="44"/>
  <c r="M133" i="44"/>
  <c r="M81" i="44"/>
  <c r="AA55" i="44"/>
  <c r="T148" i="44"/>
  <c r="T66" i="44"/>
  <c r="AA36" i="44"/>
  <c r="T16" i="44"/>
  <c r="M30" i="44"/>
  <c r="AA91" i="44"/>
  <c r="AA2" i="44"/>
  <c r="M42" i="44"/>
  <c r="T3" i="44"/>
  <c r="T138" i="44"/>
  <c r="M3" i="44"/>
  <c r="AA26" i="44"/>
  <c r="T96" i="44"/>
  <c r="M12" i="44"/>
  <c r="T93" i="44"/>
  <c r="T136" i="44"/>
  <c r="M119" i="44"/>
  <c r="T131" i="44"/>
  <c r="T49" i="44"/>
  <c r="AA88" i="44"/>
  <c r="T166" i="44"/>
  <c r="M147" i="44"/>
  <c r="M77" i="44"/>
  <c r="M43" i="44"/>
  <c r="T134" i="44"/>
  <c r="T105" i="44"/>
  <c r="T42" i="44"/>
  <c r="T182" i="44"/>
  <c r="T163" i="44"/>
  <c r="T150" i="44"/>
  <c r="M134" i="44"/>
  <c r="AA17" i="44"/>
  <c r="T193" i="44"/>
  <c r="T173" i="44"/>
  <c r="AA71" i="44"/>
  <c r="M140" i="44"/>
  <c r="T104" i="44"/>
  <c r="AA77" i="44"/>
  <c r="M31" i="44"/>
  <c r="AA50" i="44"/>
  <c r="M154" i="44"/>
  <c r="AA70" i="44"/>
  <c r="AA4" i="44"/>
  <c r="M37" i="44"/>
  <c r="AA100" i="44"/>
  <c r="M120" i="44"/>
  <c r="M153" i="44"/>
  <c r="M87" i="44"/>
  <c r="M61" i="44"/>
  <c r="AA64" i="44"/>
  <c r="AA27" i="44"/>
  <c r="AA63" i="44"/>
  <c r="M130" i="44"/>
  <c r="T175" i="44"/>
  <c r="AA30" i="44"/>
  <c r="AA97" i="44"/>
  <c r="AA24" i="44"/>
  <c r="T10" i="44"/>
  <c r="T82" i="44"/>
  <c r="T95" i="44"/>
  <c r="M136" i="44"/>
  <c r="T112" i="44"/>
  <c r="AA98" i="44"/>
  <c r="AA35" i="44"/>
  <c r="AA83" i="44"/>
  <c r="M16" i="44"/>
  <c r="T22" i="44"/>
  <c r="M62" i="44"/>
  <c r="T87" i="44"/>
  <c r="M11" i="44"/>
  <c r="T27" i="44"/>
  <c r="AA46" i="44"/>
  <c r="T217" i="44"/>
  <c r="M90" i="44"/>
  <c r="T117" i="44"/>
  <c r="M171" i="44"/>
  <c r="T165" i="44"/>
  <c r="T118" i="44"/>
  <c r="T43" i="44"/>
  <c r="T122" i="44"/>
  <c r="AA42" i="44"/>
  <c r="M159" i="44"/>
  <c r="T162" i="44"/>
  <c r="M71" i="44"/>
  <c r="T68" i="44"/>
  <c r="T98" i="44"/>
  <c r="T72" i="44"/>
  <c r="T191" i="44"/>
  <c r="M86" i="44"/>
  <c r="T192" i="44"/>
  <c r="M52" i="44"/>
  <c r="M39" i="44"/>
  <c r="M63" i="44"/>
  <c r="M94" i="44"/>
  <c r="M73" i="44"/>
  <c r="M5" i="44"/>
  <c r="M115" i="44"/>
  <c r="M114" i="44"/>
  <c r="T214" i="44"/>
  <c r="M132" i="44"/>
  <c r="M40" i="44"/>
  <c r="M48" i="44"/>
  <c r="T32" i="44"/>
  <c r="T183" i="44"/>
  <c r="T6" i="44"/>
  <c r="T179" i="44"/>
  <c r="AA80" i="44"/>
  <c r="T46" i="44"/>
  <c r="M4" i="44"/>
  <c r="M104" i="44"/>
  <c r="AA34" i="44"/>
  <c r="T124" i="44"/>
  <c r="M139" i="44"/>
  <c r="M122" i="44"/>
  <c r="AA9" i="44"/>
  <c r="M170" i="44"/>
  <c r="T135" i="44"/>
  <c r="M41" i="44"/>
  <c r="T184" i="44"/>
  <c r="T177" i="44"/>
  <c r="T142" i="44"/>
  <c r="M9" i="44"/>
  <c r="AA3" i="44"/>
  <c r="AA37" i="44"/>
  <c r="AA47" i="44"/>
  <c r="T92" i="44"/>
  <c r="M76" i="44"/>
  <c r="M113" i="44"/>
  <c r="T40" i="44"/>
  <c r="M150" i="44"/>
  <c r="T44" i="44"/>
  <c r="M138" i="44"/>
  <c r="M8" i="44"/>
  <c r="T130" i="44"/>
  <c r="AA57" i="44"/>
  <c r="T20" i="44"/>
  <c r="T203" i="44"/>
  <c r="T86" i="44"/>
  <c r="T207" i="44"/>
  <c r="T210" i="44"/>
  <c r="AA45" i="44"/>
  <c r="AA56" i="44"/>
  <c r="T59" i="44"/>
  <c r="T201" i="44"/>
  <c r="M98" i="44"/>
  <c r="T116" i="44"/>
  <c r="T34" i="44"/>
  <c r="AA29" i="44"/>
  <c r="M80" i="44"/>
  <c r="T18" i="44"/>
  <c r="AA75" i="44"/>
  <c r="T11" i="44"/>
  <c r="T176" i="44"/>
  <c r="T4" i="44"/>
  <c r="T13" i="44"/>
  <c r="M112" i="44"/>
  <c r="T147" i="44"/>
  <c r="M32" i="44"/>
  <c r="T206" i="44"/>
  <c r="T94" i="44"/>
  <c r="M89" i="44"/>
  <c r="T41" i="44"/>
  <c r="T216" i="44"/>
  <c r="M125" i="44"/>
  <c r="M75" i="44"/>
  <c r="T161" i="44"/>
  <c r="M121" i="44"/>
  <c r="M168" i="44"/>
  <c r="M142" i="44"/>
  <c r="T114" i="44"/>
  <c r="AA31" i="44"/>
  <c r="M34" i="44"/>
  <c r="AA6" i="44"/>
  <c r="T39" i="44"/>
  <c r="T60" i="44"/>
  <c r="T52" i="44"/>
  <c r="T188" i="44"/>
  <c r="T64" i="44"/>
  <c r="M93" i="44"/>
  <c r="T121" i="44"/>
  <c r="T133" i="44"/>
  <c r="T198" i="44"/>
  <c r="M105" i="44"/>
  <c r="M74" i="44"/>
  <c r="T47" i="44"/>
  <c r="T219" i="44"/>
  <c r="T128" i="44"/>
  <c r="M44" i="44"/>
  <c r="T139" i="44"/>
  <c r="AA95" i="44"/>
  <c r="T113" i="44"/>
  <c r="AA22" i="44"/>
  <c r="M14" i="44"/>
  <c r="T31" i="44"/>
  <c r="AA72" i="44"/>
  <c r="AA19" i="44"/>
  <c r="M67" i="44"/>
  <c r="T218" i="44"/>
  <c r="M109" i="44"/>
  <c r="M25" i="44"/>
  <c r="M95" i="44"/>
  <c r="M88" i="44"/>
  <c r="M91" i="44"/>
  <c r="T197" i="44"/>
  <c r="T63" i="44"/>
  <c r="T75" i="44"/>
  <c r="T48" i="44"/>
  <c r="T185" i="44"/>
  <c r="AA54" i="44"/>
  <c r="T89" i="44"/>
  <c r="T125" i="44"/>
  <c r="T158" i="44"/>
  <c r="T23" i="44"/>
  <c r="AA69" i="44"/>
  <c r="T190" i="44"/>
  <c r="T172" i="44"/>
  <c r="AA43" i="44"/>
  <c r="M148" i="44"/>
  <c r="T137" i="44"/>
  <c r="AA74" i="44"/>
  <c r="AA58" i="44"/>
  <c r="T160" i="44"/>
  <c r="AA76" i="44"/>
  <c r="T37" i="44"/>
  <c r="T181" i="44"/>
  <c r="AA59" i="44"/>
  <c r="T7" i="44"/>
  <c r="T205" i="44"/>
  <c r="T109" i="44"/>
  <c r="T195" i="44"/>
  <c r="M64" i="44"/>
  <c r="AA96" i="44"/>
  <c r="T215" i="44"/>
  <c r="M143" i="44"/>
  <c r="T167" i="44"/>
  <c r="T97" i="44"/>
  <c r="T21" i="44"/>
  <c r="T67" i="44"/>
  <c r="T26" i="44"/>
  <c r="T83" i="44"/>
  <c r="M102" i="44"/>
  <c r="M23" i="44"/>
  <c r="T38" i="44"/>
  <c r="AA7" i="44"/>
  <c r="T151" i="44"/>
  <c r="AA8" i="44"/>
  <c r="M22" i="44"/>
  <c r="M110" i="44"/>
  <c r="T127" i="44"/>
  <c r="M137" i="44"/>
  <c r="M19" i="44"/>
  <c r="M65" i="44"/>
  <c r="M2" i="44"/>
  <c r="T143" i="44"/>
  <c r="M58" i="44"/>
  <c r="T120" i="44"/>
  <c r="AA60" i="44"/>
  <c r="T213" i="44"/>
  <c r="T132" i="44"/>
  <c r="M50" i="44"/>
  <c r="AA65" i="44"/>
  <c r="M13" i="44"/>
  <c r="M56" i="44"/>
  <c r="T15" i="44"/>
  <c r="AA53" i="44"/>
  <c r="AA40" i="44"/>
  <c r="T144" i="44"/>
  <c r="T5" i="44"/>
  <c r="AA38" i="44"/>
  <c r="T153" i="44"/>
  <c r="T220" i="44"/>
  <c r="M53" i="44"/>
  <c r="M38" i="44"/>
  <c r="T84" i="44"/>
  <c r="M28" i="44"/>
  <c r="AA90" i="44"/>
  <c r="T12" i="44"/>
  <c r="M111" i="44"/>
  <c r="T45" i="44"/>
  <c r="AH30" i="48"/>
  <c r="AH28" i="48"/>
  <c r="AH26" i="48"/>
  <c r="AH38" i="48"/>
  <c r="AH39" i="48"/>
  <c r="AH7" i="48"/>
  <c r="AH24" i="48"/>
  <c r="AH29" i="48"/>
  <c r="AH32" i="48"/>
  <c r="AH41" i="48"/>
  <c r="AH36" i="48"/>
  <c r="AH23" i="48"/>
  <c r="AH34" i="48"/>
  <c r="AH31" i="48"/>
  <c r="AH8" i="48"/>
  <c r="AH17" i="48"/>
  <c r="AH20" i="48"/>
  <c r="AH6" i="48"/>
  <c r="AH25" i="48"/>
  <c r="AH12" i="48"/>
  <c r="AH3" i="48"/>
  <c r="AH18" i="48"/>
  <c r="AH13" i="48"/>
  <c r="AH16" i="48"/>
  <c r="AH5" i="48"/>
  <c r="AH9" i="48"/>
  <c r="AP21" i="48" l="1"/>
  <c r="AP262" i="48"/>
  <c r="AP98" i="48"/>
  <c r="AP214" i="48"/>
  <c r="AP131" i="48"/>
  <c r="AP14" i="48"/>
  <c r="AP167" i="48"/>
  <c r="AP146" i="48"/>
  <c r="AP186" i="48"/>
  <c r="AP71" i="48"/>
  <c r="AP22" i="48"/>
  <c r="AP91" i="48"/>
  <c r="AP109" i="48"/>
  <c r="AP11" i="48"/>
  <c r="AP280" i="48"/>
  <c r="AP100" i="48"/>
  <c r="AP277" i="48"/>
  <c r="AP211" i="48"/>
  <c r="AP246" i="48"/>
  <c r="AP271" i="48"/>
  <c r="AP101" i="48"/>
  <c r="AP47" i="48"/>
  <c r="AP212" i="48"/>
  <c r="AP136" i="48"/>
  <c r="AP30" i="48"/>
  <c r="AP235" i="48"/>
  <c r="AP268" i="48"/>
  <c r="AP119" i="48"/>
  <c r="AP124" i="48"/>
  <c r="AP210" i="48"/>
  <c r="AP80" i="48"/>
  <c r="AP257" i="48"/>
  <c r="AP222" i="48"/>
  <c r="AP292" i="48"/>
  <c r="AP59" i="48"/>
  <c r="AP85" i="48"/>
  <c r="AP126" i="48"/>
  <c r="AP51" i="48"/>
  <c r="AP203" i="48"/>
  <c r="AP153" i="48"/>
  <c r="AP162" i="48"/>
  <c r="AP198" i="48"/>
  <c r="AP258" i="48"/>
  <c r="AP182" i="48"/>
  <c r="AP286" i="48"/>
  <c r="AP108" i="48"/>
  <c r="AP24" i="48"/>
  <c r="AP132" i="48"/>
  <c r="AP113" i="48"/>
  <c r="AP287" i="48"/>
  <c r="AP217" i="48"/>
  <c r="AP137" i="48"/>
  <c r="AP32" i="48"/>
  <c r="AP55" i="48"/>
  <c r="AP89" i="48"/>
  <c r="AP225" i="48"/>
  <c r="AP31" i="48"/>
  <c r="AP70" i="48"/>
  <c r="AP156" i="48"/>
  <c r="AP5" i="48"/>
  <c r="AP107" i="48"/>
  <c r="AP112" i="48"/>
  <c r="AP197" i="48"/>
  <c r="AP299" i="48"/>
  <c r="AP38" i="48"/>
  <c r="AP103" i="48"/>
  <c r="AP97" i="48"/>
  <c r="AP165" i="48"/>
  <c r="AP176" i="48"/>
  <c r="AP40" i="48"/>
  <c r="AP244" i="48"/>
  <c r="AP7" i="48"/>
  <c r="AP158" i="48"/>
  <c r="AP208" i="48"/>
  <c r="AP90" i="48"/>
  <c r="AP253" i="48"/>
  <c r="AP39" i="48"/>
  <c r="AP139" i="48"/>
  <c r="AP135" i="48"/>
  <c r="AP117" i="48"/>
  <c r="AP251" i="48"/>
  <c r="AP96" i="48"/>
  <c r="AP240" i="48"/>
  <c r="AP188" i="48"/>
  <c r="AP194" i="48"/>
  <c r="AP42" i="48"/>
  <c r="AP140" i="48"/>
  <c r="AP289" i="48"/>
  <c r="AP263" i="48"/>
  <c r="AP270" i="48"/>
  <c r="AP43" i="48"/>
  <c r="AP12" i="48"/>
  <c r="AP105" i="48"/>
  <c r="AP265" i="48"/>
  <c r="AP17" i="48"/>
  <c r="AP127" i="48"/>
  <c r="AP254" i="48"/>
  <c r="AP69" i="48"/>
  <c r="AP128" i="48"/>
  <c r="AP159" i="48"/>
  <c r="AP142" i="48"/>
  <c r="AP20" i="48"/>
  <c r="AP163" i="48"/>
  <c r="AP245" i="48"/>
  <c r="AP115" i="48"/>
  <c r="AP191" i="48"/>
  <c r="AP6" i="48"/>
  <c r="AP273" i="48"/>
  <c r="AP56" i="48"/>
  <c r="AP200" i="48"/>
  <c r="AP15" i="48"/>
  <c r="AP229" i="48"/>
  <c r="AP296" i="48"/>
  <c r="AP77" i="48"/>
  <c r="AP199" i="48"/>
  <c r="AP67" i="48"/>
  <c r="AP18" i="48"/>
  <c r="AP160" i="48"/>
  <c r="AP193" i="48"/>
  <c r="AP181" i="48"/>
  <c r="AP278" i="48"/>
  <c r="AP133" i="48"/>
  <c r="AP63" i="48"/>
  <c r="AP216" i="48"/>
  <c r="AP178" i="48"/>
  <c r="AP227" i="48"/>
  <c r="AP196" i="48"/>
  <c r="AP9" i="48"/>
  <c r="AP81" i="48"/>
  <c r="AP48" i="48"/>
  <c r="AP281" i="48"/>
  <c r="AP234" i="48"/>
  <c r="AP68" i="48"/>
  <c r="AP88" i="48"/>
  <c r="AP52" i="48"/>
  <c r="AP141" i="48"/>
  <c r="AP218" i="48"/>
  <c r="AP147" i="48"/>
  <c r="AP57" i="48"/>
  <c r="AP300" i="48"/>
  <c r="AP259" i="48"/>
  <c r="AP116" i="48"/>
  <c r="AP50" i="48"/>
  <c r="AP231" i="48"/>
  <c r="AP207" i="48"/>
  <c r="AP150" i="48"/>
  <c r="AP184" i="48"/>
  <c r="AP29" i="48"/>
  <c r="AP13" i="48"/>
  <c r="AP185" i="48"/>
  <c r="AP209" i="48"/>
  <c r="AP2" i="48"/>
  <c r="AP54" i="48"/>
  <c r="AP264" i="48"/>
  <c r="AP123" i="48"/>
  <c r="AP237" i="48"/>
  <c r="AP60" i="48"/>
  <c r="AP285" i="48"/>
  <c r="AP129" i="48"/>
  <c r="AP27" i="48"/>
  <c r="AP8" i="48"/>
  <c r="AP84" i="48"/>
  <c r="AP174" i="48"/>
  <c r="AP266" i="48"/>
  <c r="AP294" i="48"/>
  <c r="AP232" i="48"/>
  <c r="AP44" i="48"/>
  <c r="AP223" i="48"/>
  <c r="AP260" i="48"/>
  <c r="AP169" i="48"/>
  <c r="AP45" i="48"/>
  <c r="AP130" i="48"/>
  <c r="AP106" i="48"/>
  <c r="AP298" i="48"/>
  <c r="AP187" i="48"/>
  <c r="AP73" i="48"/>
  <c r="AP93" i="48"/>
  <c r="AP279" i="48"/>
  <c r="AP28" i="48"/>
  <c r="AP53" i="48"/>
  <c r="AP301" i="48"/>
  <c r="AP168" i="48"/>
  <c r="AP110" i="48"/>
  <c r="AP125" i="48"/>
  <c r="AP62" i="48"/>
  <c r="AP66" i="48"/>
  <c r="AP41" i="48"/>
  <c r="AP248" i="48"/>
  <c r="AP74" i="48"/>
  <c r="AP25" i="48"/>
  <c r="AP34" i="48"/>
  <c r="AP252" i="48"/>
  <c r="AP206" i="48"/>
  <c r="AP26" i="48"/>
  <c r="AP274" i="48"/>
  <c r="AP173" i="48"/>
  <c r="AP255" i="48"/>
  <c r="AP164" i="48"/>
  <c r="AP283" i="48"/>
  <c r="AP79" i="48"/>
  <c r="AP152" i="48"/>
  <c r="AP247" i="48"/>
  <c r="AP46" i="48"/>
  <c r="AP83" i="48"/>
  <c r="AP19" i="48"/>
  <c r="AP121" i="48"/>
  <c r="AP290" i="48"/>
  <c r="AP249" i="48"/>
  <c r="AP284" i="48"/>
  <c r="AP241" i="48"/>
  <c r="AP204" i="48"/>
  <c r="AP161" i="48"/>
  <c r="AP213" i="48"/>
  <c r="AP190" i="48"/>
  <c r="AP205" i="48"/>
  <c r="AP154" i="48"/>
  <c r="AP220" i="48"/>
  <c r="AP175" i="48"/>
  <c r="AP104" i="48"/>
  <c r="AP78" i="48"/>
  <c r="AP148" i="48"/>
  <c r="AP172" i="48"/>
  <c r="AP179" i="48"/>
  <c r="AP282" i="48"/>
  <c r="AP65" i="48"/>
  <c r="AP64" i="48"/>
  <c r="AP92" i="48"/>
  <c r="AP75" i="48"/>
  <c r="AP170" i="48"/>
  <c r="AP228" i="48"/>
  <c r="AP94" i="48"/>
  <c r="AP288" i="48"/>
  <c r="AP295" i="48"/>
  <c r="AP35" i="48"/>
  <c r="AP122" i="48"/>
  <c r="AP166" i="48"/>
  <c r="AP111" i="48"/>
  <c r="AP58" i="48"/>
  <c r="AP4" i="48"/>
  <c r="AP36" i="48"/>
  <c r="AP243" i="48"/>
  <c r="AP224" i="48"/>
  <c r="AP272" i="48"/>
  <c r="AP256" i="48"/>
  <c r="AP143" i="48"/>
  <c r="AP118" i="48"/>
  <c r="AP114" i="48"/>
  <c r="AP102" i="48"/>
  <c r="AP226" i="48"/>
  <c r="AP10" i="48"/>
  <c r="AP3" i="48"/>
  <c r="AP72" i="48"/>
  <c r="AP145" i="48"/>
  <c r="AP219" i="48"/>
  <c r="AP177" i="48"/>
  <c r="AP76" i="48"/>
  <c r="AP297" i="48"/>
  <c r="AP221" i="48"/>
  <c r="AP23" i="48"/>
  <c r="AP195" i="48"/>
  <c r="AP134" i="48"/>
  <c r="AP236" i="48"/>
  <c r="AP276" i="48"/>
  <c r="AP239" i="48"/>
  <c r="AP250" i="48"/>
  <c r="AP87" i="48"/>
  <c r="AP16" i="48"/>
  <c r="AP37" i="48"/>
  <c r="AP238" i="48"/>
  <c r="AP99" i="48"/>
  <c r="AP233" i="48"/>
  <c r="AP171" i="48"/>
  <c r="AP61" i="48"/>
  <c r="AP202" i="48"/>
  <c r="AP215" i="48"/>
  <c r="AP49" i="48"/>
  <c r="AP149" i="48"/>
  <c r="AP242" i="48"/>
  <c r="AP86" i="48"/>
  <c r="AP180" i="48"/>
  <c r="AP138" i="48"/>
  <c r="AP33" i="48"/>
  <c r="AP95" i="48"/>
  <c r="AP267" i="48"/>
  <c r="AP230" i="48"/>
  <c r="AP183" i="48"/>
  <c r="AP269" i="48"/>
  <c r="AP192" i="48"/>
  <c r="AP293" i="48"/>
  <c r="AP82" i="48"/>
  <c r="AP151" i="48"/>
  <c r="AP155" i="48"/>
  <c r="AP157" i="48"/>
  <c r="AP144" i="48"/>
  <c r="AP189" i="48"/>
  <c r="AP201" i="48"/>
  <c r="AP275" i="48"/>
  <c r="AP291" i="48"/>
  <c r="AP261" i="48"/>
  <c r="AP120" i="48"/>
  <c r="AR223" i="48" l="1"/>
  <c r="AQ223" i="48"/>
  <c r="AT223" i="48"/>
  <c r="AS223" i="48"/>
  <c r="AQ44" i="48"/>
  <c r="AS44" i="48"/>
  <c r="AR44" i="48"/>
  <c r="AT44" i="48"/>
  <c r="AS25" i="48"/>
  <c r="AR25" i="48"/>
  <c r="AQ25" i="48"/>
  <c r="AT25" i="48"/>
  <c r="AR286" i="48"/>
  <c r="AQ286" i="48"/>
  <c r="AT286" i="48"/>
  <c r="AS286" i="48"/>
  <c r="AQ95" i="48"/>
  <c r="AT95" i="48"/>
  <c r="AS95" i="48"/>
  <c r="AR95" i="48"/>
  <c r="AR97" i="48"/>
  <c r="AS97" i="48"/>
  <c r="AT97" i="48"/>
  <c r="AQ97" i="48"/>
  <c r="AS263" i="48"/>
  <c r="AR263" i="48"/>
  <c r="AT263" i="48"/>
  <c r="AQ263" i="48"/>
  <c r="AT38" i="48"/>
  <c r="AR38" i="48"/>
  <c r="AQ38" i="48"/>
  <c r="AS38" i="48"/>
  <c r="AR162" i="48"/>
  <c r="AT162" i="48"/>
  <c r="AS162" i="48"/>
  <c r="AQ162" i="48"/>
  <c r="AQ277" i="48"/>
  <c r="AT277" i="48"/>
  <c r="AR277" i="48"/>
  <c r="AS277" i="48"/>
  <c r="AS132" i="48"/>
  <c r="AT132" i="48"/>
  <c r="AR132" i="48"/>
  <c r="AQ132" i="48"/>
  <c r="AR265" i="48"/>
  <c r="AQ265" i="48"/>
  <c r="AT265" i="48"/>
  <c r="AS265" i="48"/>
  <c r="AR195" i="48"/>
  <c r="AS195" i="48"/>
  <c r="AT195" i="48"/>
  <c r="AQ195" i="48"/>
  <c r="AR122" i="48"/>
  <c r="AS122" i="48"/>
  <c r="AT122" i="48"/>
  <c r="AQ122" i="48"/>
  <c r="AQ84" i="48"/>
  <c r="AR84" i="48"/>
  <c r="AT84" i="48"/>
  <c r="AS84" i="48"/>
  <c r="AT27" i="48"/>
  <c r="AR27" i="48"/>
  <c r="AQ27" i="48"/>
  <c r="AS27" i="48"/>
  <c r="AQ141" i="48"/>
  <c r="AR141" i="48"/>
  <c r="AT141" i="48"/>
  <c r="AS141" i="48"/>
  <c r="AT229" i="48"/>
  <c r="AQ229" i="48"/>
  <c r="AR229" i="48"/>
  <c r="AS229" i="48"/>
  <c r="AR289" i="48"/>
  <c r="AT289" i="48"/>
  <c r="AQ289" i="48"/>
  <c r="AS289" i="48"/>
  <c r="AS299" i="48"/>
  <c r="AR299" i="48"/>
  <c r="AQ299" i="48"/>
  <c r="AT299" i="48"/>
  <c r="AR153" i="48"/>
  <c r="AT153" i="48"/>
  <c r="AQ153" i="48"/>
  <c r="AS153" i="48"/>
  <c r="AQ100" i="48"/>
  <c r="AS100" i="48"/>
  <c r="AR100" i="48"/>
  <c r="AT100" i="48"/>
  <c r="AR154" i="48"/>
  <c r="AS154" i="48"/>
  <c r="AQ154" i="48"/>
  <c r="AT154" i="48"/>
  <c r="AQ24" i="48"/>
  <c r="AR24" i="48"/>
  <c r="AT24" i="48"/>
  <c r="AS24" i="48"/>
  <c r="AT259" i="48"/>
  <c r="AQ259" i="48"/>
  <c r="AR259" i="48"/>
  <c r="AS259" i="48"/>
  <c r="AQ12" i="48"/>
  <c r="AR12" i="48"/>
  <c r="AT12" i="48"/>
  <c r="AS12" i="48"/>
  <c r="AT241" i="48"/>
  <c r="AS241" i="48"/>
  <c r="AQ241" i="48"/>
  <c r="AR241" i="48"/>
  <c r="AR138" i="48"/>
  <c r="AS138" i="48"/>
  <c r="AQ138" i="48"/>
  <c r="AT138" i="48"/>
  <c r="AR52" i="48"/>
  <c r="AQ52" i="48"/>
  <c r="AS52" i="48"/>
  <c r="AT52" i="48"/>
  <c r="AQ15" i="48"/>
  <c r="AT15" i="48"/>
  <c r="AS15" i="48"/>
  <c r="AR15" i="48"/>
  <c r="AS140" i="48"/>
  <c r="AR140" i="48"/>
  <c r="AT140" i="48"/>
  <c r="AQ140" i="48"/>
  <c r="AS197" i="48"/>
  <c r="AQ197" i="48"/>
  <c r="AR197" i="48"/>
  <c r="AT197" i="48"/>
  <c r="AQ203" i="48"/>
  <c r="AS203" i="48"/>
  <c r="AT203" i="48"/>
  <c r="AR203" i="48"/>
  <c r="AR280" i="48"/>
  <c r="AT280" i="48"/>
  <c r="AQ280" i="48"/>
  <c r="AS280" i="48"/>
  <c r="AR239" i="48"/>
  <c r="AT239" i="48"/>
  <c r="AQ239" i="48"/>
  <c r="AS239" i="48"/>
  <c r="AR17" i="48"/>
  <c r="AT17" i="48"/>
  <c r="AQ17" i="48"/>
  <c r="AS17" i="48"/>
  <c r="AS105" i="48"/>
  <c r="AQ105" i="48"/>
  <c r="AT105" i="48"/>
  <c r="AR105" i="48"/>
  <c r="AT199" i="48"/>
  <c r="AQ199" i="48"/>
  <c r="AR199" i="48"/>
  <c r="AS199" i="48"/>
  <c r="AT228" i="48"/>
  <c r="AS228" i="48"/>
  <c r="AQ228" i="48"/>
  <c r="AR228" i="48"/>
  <c r="AT121" i="48"/>
  <c r="AR121" i="48"/>
  <c r="AS121" i="48"/>
  <c r="AQ121" i="48"/>
  <c r="AS168" i="48"/>
  <c r="AQ168" i="48"/>
  <c r="AR168" i="48"/>
  <c r="AT168" i="48"/>
  <c r="AR285" i="48"/>
  <c r="AS285" i="48"/>
  <c r="AQ285" i="48"/>
  <c r="AT285" i="48"/>
  <c r="AQ88" i="48"/>
  <c r="AS88" i="48"/>
  <c r="AR88" i="48"/>
  <c r="AT88" i="48"/>
  <c r="AQ200" i="48"/>
  <c r="AS200" i="48"/>
  <c r="AR200" i="48"/>
  <c r="AT200" i="48"/>
  <c r="AT42" i="48"/>
  <c r="AR42" i="48"/>
  <c r="AQ42" i="48"/>
  <c r="AS42" i="48"/>
  <c r="AT112" i="48"/>
  <c r="AR112" i="48"/>
  <c r="AS112" i="48"/>
  <c r="AQ112" i="48"/>
  <c r="AR51" i="48"/>
  <c r="AS51" i="48"/>
  <c r="AT51" i="48"/>
  <c r="AQ51" i="48"/>
  <c r="AQ11" i="48"/>
  <c r="AR11" i="48"/>
  <c r="AS11" i="48"/>
  <c r="AT11" i="48"/>
  <c r="AR181" i="48"/>
  <c r="AQ181" i="48"/>
  <c r="AS181" i="48"/>
  <c r="AT181" i="48"/>
  <c r="AT4" i="48"/>
  <c r="AQ4" i="48"/>
  <c r="AS4" i="48"/>
  <c r="AR4" i="48"/>
  <c r="AQ47" i="48"/>
  <c r="AR47" i="48"/>
  <c r="AT47" i="48"/>
  <c r="AS47" i="48"/>
  <c r="AT248" i="48"/>
  <c r="AS248" i="48"/>
  <c r="AQ248" i="48"/>
  <c r="AR248" i="48"/>
  <c r="AQ270" i="48"/>
  <c r="AS270" i="48"/>
  <c r="AT270" i="48"/>
  <c r="AR270" i="48"/>
  <c r="AS249" i="48"/>
  <c r="AR249" i="48"/>
  <c r="AT249" i="48"/>
  <c r="AQ249" i="48"/>
  <c r="AQ145" i="48"/>
  <c r="AT145" i="48"/>
  <c r="AR145" i="48"/>
  <c r="AS145" i="48"/>
  <c r="AR170" i="48"/>
  <c r="AQ170" i="48"/>
  <c r="AS170" i="48"/>
  <c r="AT170" i="48"/>
  <c r="AQ19" i="48"/>
  <c r="AS19" i="48"/>
  <c r="AT19" i="48"/>
  <c r="AR19" i="48"/>
  <c r="AT301" i="48"/>
  <c r="AR301" i="48"/>
  <c r="AQ301" i="48"/>
  <c r="AS301" i="48"/>
  <c r="AS60" i="48"/>
  <c r="AQ60" i="48"/>
  <c r="AT60" i="48"/>
  <c r="AR60" i="48"/>
  <c r="AQ68" i="48"/>
  <c r="AR68" i="48"/>
  <c r="AT68" i="48"/>
  <c r="AS68" i="48"/>
  <c r="AR56" i="48"/>
  <c r="AS56" i="48"/>
  <c r="AQ56" i="48"/>
  <c r="AT56" i="48"/>
  <c r="AS194" i="48"/>
  <c r="AR194" i="48"/>
  <c r="AQ194" i="48"/>
  <c r="AT194" i="48"/>
  <c r="AR107" i="48"/>
  <c r="AQ107" i="48"/>
  <c r="AT107" i="48"/>
  <c r="AS107" i="48"/>
  <c r="AS126" i="48"/>
  <c r="AQ126" i="48"/>
  <c r="AT126" i="48"/>
  <c r="AR126" i="48"/>
  <c r="AR109" i="48"/>
  <c r="AQ109" i="48"/>
  <c r="AT109" i="48"/>
  <c r="AS109" i="48"/>
  <c r="AS192" i="48"/>
  <c r="AR192" i="48"/>
  <c r="AT192" i="48"/>
  <c r="AQ192" i="48"/>
  <c r="AR236" i="48"/>
  <c r="AQ236" i="48"/>
  <c r="AT236" i="48"/>
  <c r="AS236" i="48"/>
  <c r="AR108" i="48"/>
  <c r="AS108" i="48"/>
  <c r="AT108" i="48"/>
  <c r="AQ108" i="48"/>
  <c r="AT182" i="48"/>
  <c r="AQ182" i="48"/>
  <c r="AS182" i="48"/>
  <c r="AR182" i="48"/>
  <c r="AR198" i="48"/>
  <c r="AT198" i="48"/>
  <c r="AQ198" i="48"/>
  <c r="AS198" i="48"/>
  <c r="AS94" i="48"/>
  <c r="AQ94" i="48"/>
  <c r="AT94" i="48"/>
  <c r="AR94" i="48"/>
  <c r="AQ75" i="48"/>
  <c r="AR75" i="48"/>
  <c r="AS75" i="48"/>
  <c r="AT75" i="48"/>
  <c r="AS83" i="48"/>
  <c r="AQ83" i="48"/>
  <c r="AR83" i="48"/>
  <c r="AT83" i="48"/>
  <c r="AT53" i="48"/>
  <c r="AQ53" i="48"/>
  <c r="AR53" i="48"/>
  <c r="AS53" i="48"/>
  <c r="AQ237" i="48"/>
  <c r="AT237" i="48"/>
  <c r="AR237" i="48"/>
  <c r="AS237" i="48"/>
  <c r="AR234" i="48"/>
  <c r="AS234" i="48"/>
  <c r="AT234" i="48"/>
  <c r="AQ234" i="48"/>
  <c r="AQ273" i="48"/>
  <c r="AS273" i="48"/>
  <c r="AR273" i="48"/>
  <c r="AT273" i="48"/>
  <c r="AQ188" i="48"/>
  <c r="AS188" i="48"/>
  <c r="AR188" i="48"/>
  <c r="AT188" i="48"/>
  <c r="AT5" i="48"/>
  <c r="AR5" i="48"/>
  <c r="AS5" i="48"/>
  <c r="AQ5" i="48"/>
  <c r="AS85" i="48"/>
  <c r="AR85" i="48"/>
  <c r="AT85" i="48"/>
  <c r="AQ85" i="48"/>
  <c r="AT91" i="48"/>
  <c r="AR91" i="48"/>
  <c r="AQ91" i="48"/>
  <c r="AS91" i="48"/>
  <c r="AQ205" i="48"/>
  <c r="AS205" i="48"/>
  <c r="AT205" i="48"/>
  <c r="AR205" i="48"/>
  <c r="AT116" i="48"/>
  <c r="AS116" i="48"/>
  <c r="AR116" i="48"/>
  <c r="AQ116" i="48"/>
  <c r="AQ111" i="48"/>
  <c r="AR111" i="48"/>
  <c r="AT111" i="48"/>
  <c r="AS111" i="48"/>
  <c r="AT67" i="48"/>
  <c r="AS67" i="48"/>
  <c r="AR67" i="48"/>
  <c r="AQ67" i="48"/>
  <c r="AT23" i="48"/>
  <c r="AQ23" i="48"/>
  <c r="AR23" i="48"/>
  <c r="AS23" i="48"/>
  <c r="AT147" i="48"/>
  <c r="AQ147" i="48"/>
  <c r="AS147" i="48"/>
  <c r="AR147" i="48"/>
  <c r="AR177" i="48"/>
  <c r="AQ177" i="48"/>
  <c r="AT177" i="48"/>
  <c r="AS177" i="48"/>
  <c r="AT261" i="48"/>
  <c r="AQ261" i="48"/>
  <c r="AR261" i="48"/>
  <c r="AS261" i="48"/>
  <c r="AT215" i="48"/>
  <c r="AS215" i="48"/>
  <c r="AR215" i="48"/>
  <c r="AQ215" i="48"/>
  <c r="AR3" i="48"/>
  <c r="AT3" i="48"/>
  <c r="AQ3" i="48"/>
  <c r="AS3" i="48"/>
  <c r="AR92" i="48"/>
  <c r="AQ92" i="48"/>
  <c r="AT92" i="48"/>
  <c r="AS92" i="48"/>
  <c r="AT46" i="48"/>
  <c r="AQ46" i="48"/>
  <c r="AS46" i="48"/>
  <c r="AR46" i="48"/>
  <c r="AS28" i="48"/>
  <c r="AQ28" i="48"/>
  <c r="AT28" i="48"/>
  <c r="AR28" i="48"/>
  <c r="AQ123" i="48"/>
  <c r="AT123" i="48"/>
  <c r="AS123" i="48"/>
  <c r="AR123" i="48"/>
  <c r="AQ281" i="48"/>
  <c r="AT281" i="48"/>
  <c r="AS281" i="48"/>
  <c r="AR281" i="48"/>
  <c r="AQ6" i="48"/>
  <c r="AR6" i="48"/>
  <c r="AT6" i="48"/>
  <c r="AS6" i="48"/>
  <c r="AS240" i="48"/>
  <c r="AR240" i="48"/>
  <c r="AQ240" i="48"/>
  <c r="AT240" i="48"/>
  <c r="AT156" i="48"/>
  <c r="AR156" i="48"/>
  <c r="AS156" i="48"/>
  <c r="AQ156" i="48"/>
  <c r="AT59" i="48"/>
  <c r="AS59" i="48"/>
  <c r="AR59" i="48"/>
  <c r="AQ59" i="48"/>
  <c r="AR22" i="48"/>
  <c r="AS22" i="48"/>
  <c r="AT22" i="48"/>
  <c r="AQ22" i="48"/>
  <c r="AR276" i="48"/>
  <c r="AT276" i="48"/>
  <c r="AQ276" i="48"/>
  <c r="AS276" i="48"/>
  <c r="AR232" i="48"/>
  <c r="AQ232" i="48"/>
  <c r="AS232" i="48"/>
  <c r="AT232" i="48"/>
  <c r="AS74" i="48"/>
  <c r="AT74" i="48"/>
  <c r="AQ74" i="48"/>
  <c r="AR74" i="48"/>
  <c r="AS166" i="48"/>
  <c r="AR166" i="48"/>
  <c r="AQ166" i="48"/>
  <c r="AT166" i="48"/>
  <c r="AS41" i="48"/>
  <c r="AT41" i="48"/>
  <c r="AR41" i="48"/>
  <c r="AQ41" i="48"/>
  <c r="AS35" i="48"/>
  <c r="AT35" i="48"/>
  <c r="AQ35" i="48"/>
  <c r="AR35" i="48"/>
  <c r="AS8" i="48"/>
  <c r="AR8" i="48"/>
  <c r="AT8" i="48"/>
  <c r="AQ8" i="48"/>
  <c r="AQ86" i="48"/>
  <c r="AR86" i="48"/>
  <c r="AT86" i="48"/>
  <c r="AS86" i="48"/>
  <c r="AR202" i="48"/>
  <c r="AS202" i="48"/>
  <c r="AT202" i="48"/>
  <c r="AQ202" i="48"/>
  <c r="AT10" i="48"/>
  <c r="AS10" i="48"/>
  <c r="AR10" i="48"/>
  <c r="AQ10" i="48"/>
  <c r="AR64" i="48"/>
  <c r="AQ64" i="48"/>
  <c r="AT64" i="48"/>
  <c r="AS64" i="48"/>
  <c r="AR247" i="48"/>
  <c r="AS247" i="48"/>
  <c r="AT247" i="48"/>
  <c r="AQ247" i="48"/>
  <c r="AS279" i="48"/>
  <c r="AT279" i="48"/>
  <c r="AQ279" i="48"/>
  <c r="AR279" i="48"/>
  <c r="AR264" i="48"/>
  <c r="AT264" i="48"/>
  <c r="AS264" i="48"/>
  <c r="AQ264" i="48"/>
  <c r="AQ48" i="48"/>
  <c r="AT48" i="48"/>
  <c r="AR48" i="48"/>
  <c r="AS48" i="48"/>
  <c r="AR191" i="48"/>
  <c r="AS191" i="48"/>
  <c r="AT191" i="48"/>
  <c r="AQ191" i="48"/>
  <c r="AT96" i="48"/>
  <c r="AS96" i="48"/>
  <c r="AQ96" i="48"/>
  <c r="AR96" i="48"/>
  <c r="AQ70" i="48"/>
  <c r="AS70" i="48"/>
  <c r="AT70" i="48"/>
  <c r="AR70" i="48"/>
  <c r="AQ292" i="48"/>
  <c r="AT292" i="48"/>
  <c r="AS292" i="48"/>
  <c r="AR292" i="48"/>
  <c r="AR71" i="48"/>
  <c r="AQ71" i="48"/>
  <c r="AT71" i="48"/>
  <c r="AS71" i="48"/>
  <c r="AS231" i="48"/>
  <c r="AQ231" i="48"/>
  <c r="AT231" i="48"/>
  <c r="AR231" i="48"/>
  <c r="AR50" i="48"/>
  <c r="AQ50" i="48"/>
  <c r="AT50" i="48"/>
  <c r="AS50" i="48"/>
  <c r="AS134" i="48"/>
  <c r="AQ134" i="48"/>
  <c r="AR134" i="48"/>
  <c r="AT134" i="48"/>
  <c r="AR101" i="48"/>
  <c r="AT101" i="48"/>
  <c r="AQ101" i="48"/>
  <c r="AS101" i="48"/>
  <c r="AQ258" i="48"/>
  <c r="AS258" i="48"/>
  <c r="AR258" i="48"/>
  <c r="AT258" i="48"/>
  <c r="AR218" i="48"/>
  <c r="AT218" i="48"/>
  <c r="AQ218" i="48"/>
  <c r="AS218" i="48"/>
  <c r="AS120" i="48"/>
  <c r="AT120" i="48"/>
  <c r="AQ120" i="48"/>
  <c r="AR120" i="48"/>
  <c r="AR226" i="48"/>
  <c r="AS226" i="48"/>
  <c r="AT226" i="48"/>
  <c r="AQ226" i="48"/>
  <c r="AR65" i="48"/>
  <c r="AQ65" i="48"/>
  <c r="AS65" i="48"/>
  <c r="AT65" i="48"/>
  <c r="AT152" i="48"/>
  <c r="AR152" i="48"/>
  <c r="AS152" i="48"/>
  <c r="AQ152" i="48"/>
  <c r="AS93" i="48"/>
  <c r="AT93" i="48"/>
  <c r="AQ93" i="48"/>
  <c r="AR93" i="48"/>
  <c r="AS54" i="48"/>
  <c r="AR54" i="48"/>
  <c r="AQ54" i="48"/>
  <c r="AT54" i="48"/>
  <c r="AQ81" i="48"/>
  <c r="AT81" i="48"/>
  <c r="AR81" i="48"/>
  <c r="AS81" i="48"/>
  <c r="AS115" i="48"/>
  <c r="AQ115" i="48"/>
  <c r="AR115" i="48"/>
  <c r="AT115" i="48"/>
  <c r="AR251" i="48"/>
  <c r="AS251" i="48"/>
  <c r="AQ251" i="48"/>
  <c r="AT251" i="48"/>
  <c r="AT31" i="48"/>
  <c r="AR31" i="48"/>
  <c r="AS31" i="48"/>
  <c r="AQ31" i="48"/>
  <c r="AS222" i="48"/>
  <c r="AQ222" i="48"/>
  <c r="AR222" i="48"/>
  <c r="AT222" i="48"/>
  <c r="AQ186" i="48"/>
  <c r="AR186" i="48"/>
  <c r="AT186" i="48"/>
  <c r="AS186" i="48"/>
  <c r="AS244" i="48"/>
  <c r="AT244" i="48"/>
  <c r="AR244" i="48"/>
  <c r="AQ244" i="48"/>
  <c r="AS294" i="48"/>
  <c r="AQ294" i="48"/>
  <c r="AT294" i="48"/>
  <c r="AR294" i="48"/>
  <c r="AR211" i="48"/>
  <c r="AQ211" i="48"/>
  <c r="AT211" i="48"/>
  <c r="AS211" i="48"/>
  <c r="AS110" i="48"/>
  <c r="AQ110" i="48"/>
  <c r="AR110" i="48"/>
  <c r="AT110" i="48"/>
  <c r="AS282" i="48"/>
  <c r="AR282" i="48"/>
  <c r="AQ282" i="48"/>
  <c r="AT282" i="48"/>
  <c r="AT73" i="48"/>
  <c r="AS73" i="48"/>
  <c r="AQ73" i="48"/>
  <c r="AR73" i="48"/>
  <c r="AR2" i="48"/>
  <c r="AQ2" i="48"/>
  <c r="AS2" i="48"/>
  <c r="AT2" i="48"/>
  <c r="AS9" i="48"/>
  <c r="AQ9" i="48"/>
  <c r="AT9" i="48"/>
  <c r="AR9" i="48"/>
  <c r="AT245" i="48"/>
  <c r="AR245" i="48"/>
  <c r="AQ245" i="48"/>
  <c r="AS245" i="48"/>
  <c r="AS117" i="48"/>
  <c r="AT117" i="48"/>
  <c r="AR117" i="48"/>
  <c r="AQ117" i="48"/>
  <c r="AQ225" i="48"/>
  <c r="AT225" i="48"/>
  <c r="AR225" i="48"/>
  <c r="AS225" i="48"/>
  <c r="AR257" i="48"/>
  <c r="AQ257" i="48"/>
  <c r="AS257" i="48"/>
  <c r="AT257" i="48"/>
  <c r="AS146" i="48"/>
  <c r="AR146" i="48"/>
  <c r="AT146" i="48"/>
  <c r="AQ146" i="48"/>
  <c r="AR127" i="48"/>
  <c r="AT127" i="48"/>
  <c r="AQ127" i="48"/>
  <c r="AS127" i="48"/>
  <c r="AQ34" i="48"/>
  <c r="AS34" i="48"/>
  <c r="AR34" i="48"/>
  <c r="AT34" i="48"/>
  <c r="AQ190" i="48"/>
  <c r="AT190" i="48"/>
  <c r="AR190" i="48"/>
  <c r="AS190" i="48"/>
  <c r="AR18" i="48"/>
  <c r="AS18" i="48"/>
  <c r="AQ18" i="48"/>
  <c r="AT18" i="48"/>
  <c r="AT300" i="48"/>
  <c r="AR300" i="48"/>
  <c r="AS300" i="48"/>
  <c r="AQ300" i="48"/>
  <c r="AR57" i="48"/>
  <c r="AT57" i="48"/>
  <c r="AQ57" i="48"/>
  <c r="AS57" i="48"/>
  <c r="AR77" i="48"/>
  <c r="AQ77" i="48"/>
  <c r="AS77" i="48"/>
  <c r="AT77" i="48"/>
  <c r="AQ62" i="48"/>
  <c r="AR62" i="48"/>
  <c r="AS62" i="48"/>
  <c r="AT62" i="48"/>
  <c r="AT125" i="48"/>
  <c r="AS125" i="48"/>
  <c r="AR125" i="48"/>
  <c r="AQ125" i="48"/>
  <c r="AR49" i="48"/>
  <c r="AQ49" i="48"/>
  <c r="AS49" i="48"/>
  <c r="AT49" i="48"/>
  <c r="AT79" i="48"/>
  <c r="AR79" i="48"/>
  <c r="AS79" i="48"/>
  <c r="AQ79" i="48"/>
  <c r="AQ189" i="48"/>
  <c r="AS189" i="48"/>
  <c r="AR189" i="48"/>
  <c r="AT189" i="48"/>
  <c r="AR233" i="48"/>
  <c r="AQ233" i="48"/>
  <c r="AT233" i="48"/>
  <c r="AS233" i="48"/>
  <c r="AQ114" i="48"/>
  <c r="AS114" i="48"/>
  <c r="AT114" i="48"/>
  <c r="AR114" i="48"/>
  <c r="AS179" i="48"/>
  <c r="AR179" i="48"/>
  <c r="AT179" i="48"/>
  <c r="AQ179" i="48"/>
  <c r="AT283" i="48"/>
  <c r="AQ283" i="48"/>
  <c r="AR283" i="48"/>
  <c r="AS283" i="48"/>
  <c r="AS187" i="48"/>
  <c r="AR187" i="48"/>
  <c r="AT187" i="48"/>
  <c r="AQ187" i="48"/>
  <c r="AR209" i="48"/>
  <c r="AS209" i="48"/>
  <c r="AT209" i="48"/>
  <c r="AQ209" i="48"/>
  <c r="AT196" i="48"/>
  <c r="AR196" i="48"/>
  <c r="AQ196" i="48"/>
  <c r="AS196" i="48"/>
  <c r="AQ163" i="48"/>
  <c r="AR163" i="48"/>
  <c r="AT163" i="48"/>
  <c r="AS163" i="48"/>
  <c r="AR135" i="48"/>
  <c r="AS135" i="48"/>
  <c r="AQ135" i="48"/>
  <c r="AT135" i="48"/>
  <c r="AR89" i="48"/>
  <c r="AS89" i="48"/>
  <c r="AQ89" i="48"/>
  <c r="AT89" i="48"/>
  <c r="AT80" i="48"/>
  <c r="AS80" i="48"/>
  <c r="AQ80" i="48"/>
  <c r="AR80" i="48"/>
  <c r="AS167" i="48"/>
  <c r="AT167" i="48"/>
  <c r="AR167" i="48"/>
  <c r="AQ167" i="48"/>
  <c r="AS252" i="48"/>
  <c r="AR252" i="48"/>
  <c r="AQ252" i="48"/>
  <c r="AT252" i="48"/>
  <c r="AQ271" i="48"/>
  <c r="AS271" i="48"/>
  <c r="AR271" i="48"/>
  <c r="AT271" i="48"/>
  <c r="AR221" i="48"/>
  <c r="AT221" i="48"/>
  <c r="AQ221" i="48"/>
  <c r="AS221" i="48"/>
  <c r="AT296" i="48"/>
  <c r="AR296" i="48"/>
  <c r="AQ296" i="48"/>
  <c r="AS296" i="48"/>
  <c r="AS219" i="48"/>
  <c r="AT219" i="48"/>
  <c r="AR219" i="48"/>
  <c r="AQ219" i="48"/>
  <c r="AT201" i="48"/>
  <c r="AQ201" i="48"/>
  <c r="AR201" i="48"/>
  <c r="AS201" i="48"/>
  <c r="AS144" i="48"/>
  <c r="AT144" i="48"/>
  <c r="AQ144" i="48"/>
  <c r="AR144" i="48"/>
  <c r="AS99" i="48"/>
  <c r="AQ99" i="48"/>
  <c r="AR99" i="48"/>
  <c r="AT99" i="48"/>
  <c r="AQ118" i="48"/>
  <c r="AT118" i="48"/>
  <c r="AS118" i="48"/>
  <c r="AR118" i="48"/>
  <c r="AQ172" i="48"/>
  <c r="AR172" i="48"/>
  <c r="AS172" i="48"/>
  <c r="AT172" i="48"/>
  <c r="AT164" i="48"/>
  <c r="AR164" i="48"/>
  <c r="AS164" i="48"/>
  <c r="AQ164" i="48"/>
  <c r="AR298" i="48"/>
  <c r="AS298" i="48"/>
  <c r="AT298" i="48"/>
  <c r="AQ298" i="48"/>
  <c r="AS185" i="48"/>
  <c r="AT185" i="48"/>
  <c r="AQ185" i="48"/>
  <c r="AR185" i="48"/>
  <c r="AR227" i="48"/>
  <c r="AQ227" i="48"/>
  <c r="AS227" i="48"/>
  <c r="AT227" i="48"/>
  <c r="AT20" i="48"/>
  <c r="AR20" i="48"/>
  <c r="AS20" i="48"/>
  <c r="AQ20" i="48"/>
  <c r="AQ139" i="48"/>
  <c r="AR139" i="48"/>
  <c r="AS139" i="48"/>
  <c r="AT139" i="48"/>
  <c r="AT55" i="48"/>
  <c r="AS55" i="48"/>
  <c r="AQ55" i="48"/>
  <c r="AR55" i="48"/>
  <c r="AS210" i="48"/>
  <c r="AR210" i="48"/>
  <c r="AT210" i="48"/>
  <c r="AQ210" i="48"/>
  <c r="AT14" i="48"/>
  <c r="AS14" i="48"/>
  <c r="AQ14" i="48"/>
  <c r="AR14" i="48"/>
  <c r="AS36" i="48"/>
  <c r="AT36" i="48"/>
  <c r="AR36" i="48"/>
  <c r="AQ36" i="48"/>
  <c r="AT212" i="48"/>
  <c r="AS212" i="48"/>
  <c r="AQ212" i="48"/>
  <c r="AR212" i="48"/>
  <c r="AQ213" i="48"/>
  <c r="AT213" i="48"/>
  <c r="AR213" i="48"/>
  <c r="AS213" i="48"/>
  <c r="AR266" i="48"/>
  <c r="AS266" i="48"/>
  <c r="AQ266" i="48"/>
  <c r="AT266" i="48"/>
  <c r="AS43" i="48"/>
  <c r="AR43" i="48"/>
  <c r="AT43" i="48"/>
  <c r="AQ43" i="48"/>
  <c r="AR284" i="48"/>
  <c r="AT284" i="48"/>
  <c r="AQ284" i="48"/>
  <c r="AS284" i="48"/>
  <c r="AS290" i="48"/>
  <c r="AT290" i="48"/>
  <c r="AR290" i="48"/>
  <c r="AQ290" i="48"/>
  <c r="AS275" i="48"/>
  <c r="AQ275" i="48"/>
  <c r="AT275" i="48"/>
  <c r="AR275" i="48"/>
  <c r="AR238" i="48"/>
  <c r="AS238" i="48"/>
  <c r="AT238" i="48"/>
  <c r="AQ238" i="48"/>
  <c r="AR143" i="48"/>
  <c r="AQ143" i="48"/>
  <c r="AT143" i="48"/>
  <c r="AS143" i="48"/>
  <c r="AT148" i="48"/>
  <c r="AQ148" i="48"/>
  <c r="AR148" i="48"/>
  <c r="AS148" i="48"/>
  <c r="AT255" i="48"/>
  <c r="AR255" i="48"/>
  <c r="AQ255" i="48"/>
  <c r="AS255" i="48"/>
  <c r="AQ106" i="48"/>
  <c r="AS106" i="48"/>
  <c r="AT106" i="48"/>
  <c r="AR106" i="48"/>
  <c r="AS13" i="48"/>
  <c r="AR13" i="48"/>
  <c r="AT13" i="48"/>
  <c r="AQ13" i="48"/>
  <c r="AT178" i="48"/>
  <c r="AS178" i="48"/>
  <c r="AQ178" i="48"/>
  <c r="AR178" i="48"/>
  <c r="AT142" i="48"/>
  <c r="AS142" i="48"/>
  <c r="AR142" i="48"/>
  <c r="AQ142" i="48"/>
  <c r="AS39" i="48"/>
  <c r="AT39" i="48"/>
  <c r="AQ39" i="48"/>
  <c r="AR39" i="48"/>
  <c r="AR32" i="48"/>
  <c r="AQ32" i="48"/>
  <c r="AT32" i="48"/>
  <c r="AS32" i="48"/>
  <c r="AT124" i="48"/>
  <c r="AS124" i="48"/>
  <c r="AR124" i="48"/>
  <c r="AQ124" i="48"/>
  <c r="AS131" i="48"/>
  <c r="AT131" i="48"/>
  <c r="AQ131" i="48"/>
  <c r="AR131" i="48"/>
  <c r="AS7" i="48"/>
  <c r="AQ7" i="48"/>
  <c r="AR7" i="48"/>
  <c r="AT7" i="48"/>
  <c r="AR183" i="48"/>
  <c r="AQ183" i="48"/>
  <c r="AS183" i="48"/>
  <c r="AT183" i="48"/>
  <c r="AQ40" i="48"/>
  <c r="AS40" i="48"/>
  <c r="AR40" i="48"/>
  <c r="AT40" i="48"/>
  <c r="AT165" i="48"/>
  <c r="AQ165" i="48"/>
  <c r="AS165" i="48"/>
  <c r="AR165" i="48"/>
  <c r="AR103" i="48"/>
  <c r="AT103" i="48"/>
  <c r="AS103" i="48"/>
  <c r="AQ103" i="48"/>
  <c r="AQ76" i="48"/>
  <c r="AR76" i="48"/>
  <c r="AS76" i="48"/>
  <c r="AT76" i="48"/>
  <c r="AT72" i="48"/>
  <c r="AR72" i="48"/>
  <c r="AS72" i="48"/>
  <c r="AQ72" i="48"/>
  <c r="AT102" i="48"/>
  <c r="AR102" i="48"/>
  <c r="AQ102" i="48"/>
  <c r="AS102" i="48"/>
  <c r="AT37" i="48"/>
  <c r="AR37" i="48"/>
  <c r="AQ37" i="48"/>
  <c r="AS37" i="48"/>
  <c r="AS256" i="48"/>
  <c r="AR256" i="48"/>
  <c r="AQ256" i="48"/>
  <c r="AT256" i="48"/>
  <c r="AR78" i="48"/>
  <c r="AS78" i="48"/>
  <c r="AT78" i="48"/>
  <c r="AQ78" i="48"/>
  <c r="AT173" i="48"/>
  <c r="AR173" i="48"/>
  <c r="AQ173" i="48"/>
  <c r="AS173" i="48"/>
  <c r="AS130" i="48"/>
  <c r="AQ130" i="48"/>
  <c r="AR130" i="48"/>
  <c r="AT130" i="48"/>
  <c r="AQ29" i="48"/>
  <c r="AT29" i="48"/>
  <c r="AR29" i="48"/>
  <c r="AS29" i="48"/>
  <c r="AS216" i="48"/>
  <c r="AQ216" i="48"/>
  <c r="AT216" i="48"/>
  <c r="AR216" i="48"/>
  <c r="AS159" i="48"/>
  <c r="AR159" i="48"/>
  <c r="AT159" i="48"/>
  <c r="AQ159" i="48"/>
  <c r="AR253" i="48"/>
  <c r="AQ253" i="48"/>
  <c r="AS253" i="48"/>
  <c r="AT253" i="48"/>
  <c r="AT137" i="48"/>
  <c r="AR137" i="48"/>
  <c r="AS137" i="48"/>
  <c r="AQ137" i="48"/>
  <c r="AT119" i="48"/>
  <c r="AR119" i="48"/>
  <c r="AS119" i="48"/>
  <c r="AQ119" i="48"/>
  <c r="AR214" i="48"/>
  <c r="AQ214" i="48"/>
  <c r="AS214" i="48"/>
  <c r="AT214" i="48"/>
  <c r="AT193" i="48"/>
  <c r="AR193" i="48"/>
  <c r="AQ193" i="48"/>
  <c r="AS193" i="48"/>
  <c r="AQ176" i="48"/>
  <c r="AR176" i="48"/>
  <c r="AS176" i="48"/>
  <c r="AT176" i="48"/>
  <c r="AQ246" i="48"/>
  <c r="AR246" i="48"/>
  <c r="AS246" i="48"/>
  <c r="AT246" i="48"/>
  <c r="AS295" i="48"/>
  <c r="AR295" i="48"/>
  <c r="AQ295" i="48"/>
  <c r="AT295" i="48"/>
  <c r="AS288" i="48"/>
  <c r="AT288" i="48"/>
  <c r="AQ288" i="48"/>
  <c r="AR288" i="48"/>
  <c r="AR149" i="48"/>
  <c r="AS149" i="48"/>
  <c r="AQ149" i="48"/>
  <c r="AT149" i="48"/>
  <c r="AR171" i="48"/>
  <c r="AS171" i="48"/>
  <c r="AQ171" i="48"/>
  <c r="AT171" i="48"/>
  <c r="AQ151" i="48"/>
  <c r="AR151" i="48"/>
  <c r="AS151" i="48"/>
  <c r="AT151" i="48"/>
  <c r="AT272" i="48"/>
  <c r="AR272" i="48"/>
  <c r="AS272" i="48"/>
  <c r="AQ272" i="48"/>
  <c r="AQ104" i="48"/>
  <c r="AT104" i="48"/>
  <c r="AR104" i="48"/>
  <c r="AS104" i="48"/>
  <c r="AT274" i="48"/>
  <c r="AS274" i="48"/>
  <c r="AQ274" i="48"/>
  <c r="AR274" i="48"/>
  <c r="AT45" i="48"/>
  <c r="AQ45" i="48"/>
  <c r="AR45" i="48"/>
  <c r="AS45" i="48"/>
  <c r="AQ184" i="48"/>
  <c r="AT184" i="48"/>
  <c r="AS184" i="48"/>
  <c r="AR184" i="48"/>
  <c r="AQ63" i="48"/>
  <c r="AS63" i="48"/>
  <c r="AT63" i="48"/>
  <c r="AR63" i="48"/>
  <c r="AS128" i="48"/>
  <c r="AT128" i="48"/>
  <c r="AR128" i="48"/>
  <c r="AQ128" i="48"/>
  <c r="AS90" i="48"/>
  <c r="AT90" i="48"/>
  <c r="AQ90" i="48"/>
  <c r="AR90" i="48"/>
  <c r="AQ217" i="48"/>
  <c r="AR217" i="48"/>
  <c r="AS217" i="48"/>
  <c r="AT217" i="48"/>
  <c r="AQ268" i="48"/>
  <c r="AS268" i="48"/>
  <c r="AT268" i="48"/>
  <c r="AR268" i="48"/>
  <c r="AT98" i="48"/>
  <c r="AS98" i="48"/>
  <c r="AR98" i="48"/>
  <c r="AQ98" i="48"/>
  <c r="AR136" i="48"/>
  <c r="AQ136" i="48"/>
  <c r="AT136" i="48"/>
  <c r="AS136" i="48"/>
  <c r="AR58" i="48"/>
  <c r="AT58" i="48"/>
  <c r="AQ58" i="48"/>
  <c r="AS58" i="48"/>
  <c r="AS230" i="48"/>
  <c r="AT230" i="48"/>
  <c r="AQ230" i="48"/>
  <c r="AR230" i="48"/>
  <c r="AT161" i="48"/>
  <c r="AR161" i="48"/>
  <c r="AS161" i="48"/>
  <c r="AQ161" i="48"/>
  <c r="AQ204" i="48"/>
  <c r="AS204" i="48"/>
  <c r="AR204" i="48"/>
  <c r="AT204" i="48"/>
  <c r="AR66" i="48"/>
  <c r="AQ66" i="48"/>
  <c r="AT66" i="48"/>
  <c r="AS66" i="48"/>
  <c r="AQ180" i="48"/>
  <c r="AT180" i="48"/>
  <c r="AR180" i="48"/>
  <c r="AS180" i="48"/>
  <c r="AT242" i="48"/>
  <c r="AS242" i="48"/>
  <c r="AR242" i="48"/>
  <c r="AQ242" i="48"/>
  <c r="AS61" i="48"/>
  <c r="AT61" i="48"/>
  <c r="AQ61" i="48"/>
  <c r="AR61" i="48"/>
  <c r="AS155" i="48"/>
  <c r="AQ155" i="48"/>
  <c r="AR155" i="48"/>
  <c r="AT155" i="48"/>
  <c r="AQ16" i="48"/>
  <c r="AS16" i="48"/>
  <c r="AR16" i="48"/>
  <c r="AT16" i="48"/>
  <c r="AS82" i="48"/>
  <c r="AR82" i="48"/>
  <c r="AQ82" i="48"/>
  <c r="AT82" i="48"/>
  <c r="AS87" i="48"/>
  <c r="AT87" i="48"/>
  <c r="AR87" i="48"/>
  <c r="AQ87" i="48"/>
  <c r="AT224" i="48"/>
  <c r="AR224" i="48"/>
  <c r="AQ224" i="48"/>
  <c r="AS224" i="48"/>
  <c r="AS175" i="48"/>
  <c r="AR175" i="48"/>
  <c r="AT175" i="48"/>
  <c r="AQ175" i="48"/>
  <c r="AT26" i="48"/>
  <c r="AR26" i="48"/>
  <c r="AQ26" i="48"/>
  <c r="AS26" i="48"/>
  <c r="AQ169" i="48"/>
  <c r="AT169" i="48"/>
  <c r="AR169" i="48"/>
  <c r="AS169" i="48"/>
  <c r="AQ150" i="48"/>
  <c r="AR150" i="48"/>
  <c r="AS150" i="48"/>
  <c r="AT150" i="48"/>
  <c r="AS133" i="48"/>
  <c r="AQ133" i="48"/>
  <c r="AR133" i="48"/>
  <c r="AT133" i="48"/>
  <c r="AT69" i="48"/>
  <c r="AR69" i="48"/>
  <c r="AQ69" i="48"/>
  <c r="AS69" i="48"/>
  <c r="AS208" i="48"/>
  <c r="AT208" i="48"/>
  <c r="AR208" i="48"/>
  <c r="AQ208" i="48"/>
  <c r="AQ287" i="48"/>
  <c r="AT287" i="48"/>
  <c r="AR287" i="48"/>
  <c r="AS287" i="48"/>
  <c r="AR235" i="48"/>
  <c r="AS235" i="48"/>
  <c r="AQ235" i="48"/>
  <c r="AT235" i="48"/>
  <c r="AT262" i="48"/>
  <c r="AS262" i="48"/>
  <c r="AQ262" i="48"/>
  <c r="AR262" i="48"/>
  <c r="AQ269" i="48"/>
  <c r="AT269" i="48"/>
  <c r="AS269" i="48"/>
  <c r="AR269" i="48"/>
  <c r="AS160" i="48"/>
  <c r="AR160" i="48"/>
  <c r="AT160" i="48"/>
  <c r="AQ160" i="48"/>
  <c r="AT267" i="48"/>
  <c r="AS267" i="48"/>
  <c r="AQ267" i="48"/>
  <c r="AR267" i="48"/>
  <c r="AS174" i="48"/>
  <c r="AR174" i="48"/>
  <c r="AQ174" i="48"/>
  <c r="AT174" i="48"/>
  <c r="AQ33" i="48"/>
  <c r="AS33" i="48"/>
  <c r="AT33" i="48"/>
  <c r="AR33" i="48"/>
  <c r="AQ297" i="48"/>
  <c r="AS297" i="48"/>
  <c r="AR297" i="48"/>
  <c r="AT297" i="48"/>
  <c r="AR129" i="48"/>
  <c r="AT129" i="48"/>
  <c r="AQ129" i="48"/>
  <c r="AS129" i="48"/>
  <c r="AS291" i="48"/>
  <c r="AQ291" i="48"/>
  <c r="AT291" i="48"/>
  <c r="AR291" i="48"/>
  <c r="AR157" i="48"/>
  <c r="AS157" i="48"/>
  <c r="AT157" i="48"/>
  <c r="AQ157" i="48"/>
  <c r="AS293" i="48"/>
  <c r="AQ293" i="48"/>
  <c r="AR293" i="48"/>
  <c r="AT293" i="48"/>
  <c r="AS250" i="48"/>
  <c r="AT250" i="48"/>
  <c r="AQ250" i="48"/>
  <c r="AR250" i="48"/>
  <c r="AS243" i="48"/>
  <c r="AT243" i="48"/>
  <c r="AR243" i="48"/>
  <c r="AQ243" i="48"/>
  <c r="AS220" i="48"/>
  <c r="AQ220" i="48"/>
  <c r="AT220" i="48"/>
  <c r="AR220" i="48"/>
  <c r="AS206" i="48"/>
  <c r="AQ206" i="48"/>
  <c r="AT206" i="48"/>
  <c r="AR206" i="48"/>
  <c r="AS260" i="48"/>
  <c r="AT260" i="48"/>
  <c r="AQ260" i="48"/>
  <c r="AR260" i="48"/>
  <c r="AT207" i="48"/>
  <c r="AR207" i="48"/>
  <c r="AQ207" i="48"/>
  <c r="AS207" i="48"/>
  <c r="AQ278" i="48"/>
  <c r="AT278" i="48"/>
  <c r="AS278" i="48"/>
  <c r="AR278" i="48"/>
  <c r="AS254" i="48"/>
  <c r="AQ254" i="48"/>
  <c r="AR254" i="48"/>
  <c r="AT254" i="48"/>
  <c r="AT158" i="48"/>
  <c r="AR158" i="48"/>
  <c r="AQ158" i="48"/>
  <c r="AS158" i="48"/>
  <c r="AQ113" i="48"/>
  <c r="AS113" i="48"/>
  <c r="AT113" i="48"/>
  <c r="AR113" i="48"/>
  <c r="AQ30" i="48"/>
  <c r="AT30" i="48"/>
  <c r="AR30" i="48"/>
  <c r="AS30" i="48"/>
  <c r="AT21" i="48"/>
  <c r="AQ21" i="48"/>
  <c r="AR21" i="48"/>
  <c r="AS21" i="48"/>
</calcChain>
</file>

<file path=xl/sharedStrings.xml><?xml version="1.0" encoding="utf-8"?>
<sst xmlns="http://schemas.openxmlformats.org/spreadsheetml/2006/main" count="5973" uniqueCount="708">
  <si>
    <t>PLAYER</t>
  </si>
  <si>
    <t>COMP</t>
  </si>
  <si>
    <t>INT</t>
  </si>
  <si>
    <t>TGT</t>
  </si>
  <si>
    <t>REC</t>
  </si>
  <si>
    <t>Christian McCaffrey</t>
  </si>
  <si>
    <t>Curtis Samuel</t>
  </si>
  <si>
    <t>Ian Thomas</t>
  </si>
  <si>
    <t>POS</t>
  </si>
  <si>
    <t>QB</t>
  </si>
  <si>
    <t>TE</t>
  </si>
  <si>
    <t>Jimmy Garoppolo</t>
  </si>
  <si>
    <t>Deebo Samuel</t>
  </si>
  <si>
    <t>George Kittle</t>
  </si>
  <si>
    <t>Austin Ekeler</t>
  </si>
  <si>
    <t>Keenan Allen</t>
  </si>
  <si>
    <t>Mike Williams</t>
  </si>
  <si>
    <t>Hunter Henry</t>
  </si>
  <si>
    <t>Austin Hooper</t>
  </si>
  <si>
    <t>Lamar Jackson</t>
  </si>
  <si>
    <t>Gus Edwards</t>
  </si>
  <si>
    <t>Marquise Brown</t>
  </si>
  <si>
    <t>Mark Andrews</t>
  </si>
  <si>
    <t>Hayden Hurst</t>
  </si>
  <si>
    <t>Dawson Knox</t>
  </si>
  <si>
    <t>Devin Singletary</t>
  </si>
  <si>
    <t>Josh Allen</t>
  </si>
  <si>
    <t>David Montgomery</t>
  </si>
  <si>
    <t>Cordarrelle Patterson</t>
  </si>
  <si>
    <t>Joe Mixon</t>
  </si>
  <si>
    <t>Andy Dalton</t>
  </si>
  <si>
    <t>Nick Chubb</t>
  </si>
  <si>
    <t>David Njoku</t>
  </si>
  <si>
    <t>Amari Cooper</t>
  </si>
  <si>
    <t>Ezekiel Elliott</t>
  </si>
  <si>
    <t>Tony Pollard</t>
  </si>
  <si>
    <t>Dak Prescott</t>
  </si>
  <si>
    <t>Courtland Sutton</t>
  </si>
  <si>
    <t>Noah Fant</t>
  </si>
  <si>
    <t>T.J. Hockenson</t>
  </si>
  <si>
    <t>Matthew Stafford</t>
  </si>
  <si>
    <t>Aaron Rodgers</t>
  </si>
  <si>
    <t>Aaron Jones</t>
  </si>
  <si>
    <t>Davante Adams</t>
  </si>
  <si>
    <t>Deshaun Watson</t>
  </si>
  <si>
    <t>Patrick Mahomes</t>
  </si>
  <si>
    <t>Tyreek Hill</t>
  </si>
  <si>
    <t>Travis Kelce</t>
  </si>
  <si>
    <t>Gerald Everett</t>
  </si>
  <si>
    <t>Tyler Higbee</t>
  </si>
  <si>
    <t>Brandin Cooks</t>
  </si>
  <si>
    <t>Robert Woods</t>
  </si>
  <si>
    <t>Cooper Kupp</t>
  </si>
  <si>
    <t>Josh Reynolds</t>
  </si>
  <si>
    <t>Jared Goff</t>
  </si>
  <si>
    <t>Mike Gesicki</t>
  </si>
  <si>
    <t>Terry McLaurin</t>
  </si>
  <si>
    <t>Derrick Henry</t>
  </si>
  <si>
    <t>A.J. Brown</t>
  </si>
  <si>
    <t>Jonnu Smith</t>
  </si>
  <si>
    <t>Mike Evans</t>
  </si>
  <si>
    <t>Chris Godwin</t>
  </si>
  <si>
    <t>Russell Wilson</t>
  </si>
  <si>
    <t>Tyler Lockett</t>
  </si>
  <si>
    <t>Will Dissly</t>
  </si>
  <si>
    <t>James Conner</t>
  </si>
  <si>
    <t>Miles Sanders</t>
  </si>
  <si>
    <t>Nelson Agholor</t>
  </si>
  <si>
    <t>Zach Ertz</t>
  </si>
  <si>
    <t>Dallas Goedert</t>
  </si>
  <si>
    <t>Derek Carr</t>
  </si>
  <si>
    <t>Foster Moreau</t>
  </si>
  <si>
    <t>Josh Jacobs</t>
  </si>
  <si>
    <t>Sam Darnold</t>
  </si>
  <si>
    <t>Evan Engram</t>
  </si>
  <si>
    <t>Darius Slayton</t>
  </si>
  <si>
    <t>Saquon Barkley</t>
  </si>
  <si>
    <t>Daniel Jones</t>
  </si>
  <si>
    <t>Taysom Hill</t>
  </si>
  <si>
    <t>Alvin Kamara</t>
  </si>
  <si>
    <t>Kirk Cousins</t>
  </si>
  <si>
    <t>Alexander Mattison</t>
  </si>
  <si>
    <t>Adam Thielen</t>
  </si>
  <si>
    <t>Stefon Diggs</t>
  </si>
  <si>
    <t>Christian Kirk</t>
  </si>
  <si>
    <t>Kyler Murray</t>
  </si>
  <si>
    <t>TM</t>
  </si>
  <si>
    <t>ARI</t>
  </si>
  <si>
    <t>ATL</t>
  </si>
  <si>
    <t>BAL</t>
  </si>
  <si>
    <t>BUF</t>
  </si>
  <si>
    <t>CAR</t>
  </si>
  <si>
    <t>CHI</t>
  </si>
  <si>
    <t>CIN</t>
  </si>
  <si>
    <t>CLE</t>
  </si>
  <si>
    <t>DAL</t>
  </si>
  <si>
    <t>DEN</t>
  </si>
  <si>
    <t>DET</t>
  </si>
  <si>
    <t>GB</t>
  </si>
  <si>
    <t>HOU</t>
  </si>
  <si>
    <t>IND</t>
  </si>
  <si>
    <t>Mo Alie-Cox</t>
  </si>
  <si>
    <t>KC</t>
  </si>
  <si>
    <t>LAC</t>
  </si>
  <si>
    <t>LAR</t>
  </si>
  <si>
    <t>MIA</t>
  </si>
  <si>
    <t>MIN</t>
  </si>
  <si>
    <t>NE</t>
  </si>
  <si>
    <t>NO</t>
  </si>
  <si>
    <t>NYG</t>
  </si>
  <si>
    <t>NYJ</t>
  </si>
  <si>
    <t>PHI</t>
  </si>
  <si>
    <t>PIT</t>
  </si>
  <si>
    <t>SEA</t>
  </si>
  <si>
    <t>SF</t>
  </si>
  <si>
    <t>TB</t>
  </si>
  <si>
    <t>TEN</t>
  </si>
  <si>
    <t>FPS</t>
  </si>
  <si>
    <t>JAX</t>
  </si>
  <si>
    <t>WSH</t>
  </si>
  <si>
    <t>HALF</t>
  </si>
  <si>
    <t>PPR</t>
  </si>
  <si>
    <t>BYE</t>
  </si>
  <si>
    <t>Jacoby Brissett</t>
  </si>
  <si>
    <t>PATT</t>
  </si>
  <si>
    <t>CMP</t>
  </si>
  <si>
    <t>PAYD</t>
  </si>
  <si>
    <t>PATD</t>
  </si>
  <si>
    <t>RUAT</t>
  </si>
  <si>
    <t>RUYD</t>
  </si>
  <si>
    <t>RUTD</t>
  </si>
  <si>
    <t>Raheem Mostert</t>
  </si>
  <si>
    <t>Jakobi Meyers</t>
  </si>
  <si>
    <t>Diontae Johnson</t>
  </si>
  <si>
    <t>Kendrick Bourne</t>
  </si>
  <si>
    <t>Dalton Schultz</t>
  </si>
  <si>
    <t>RK</t>
  </si>
  <si>
    <t>TD</t>
  </si>
  <si>
    <t>RCYD</t>
  </si>
  <si>
    <t>RCTD</t>
  </si>
  <si>
    <t>Devin Duvernay</t>
  </si>
  <si>
    <t>Cole Kmet</t>
  </si>
  <si>
    <t>Joe Burrow</t>
  </si>
  <si>
    <t>Tee Higgins</t>
  </si>
  <si>
    <t>CeeDee Lamb</t>
  </si>
  <si>
    <t>Drew Lock</t>
  </si>
  <si>
    <t>Jerry Jeudy</t>
  </si>
  <si>
    <t>Allen Lazard</t>
  </si>
  <si>
    <t>Jordan Love</t>
  </si>
  <si>
    <t>Jordan Akins</t>
  </si>
  <si>
    <t>Jonathan Taylor</t>
  </si>
  <si>
    <t>Clyde Edwards-Helaire</t>
  </si>
  <si>
    <t>Justin Herbert</t>
  </si>
  <si>
    <t>Van Jefferson</t>
  </si>
  <si>
    <t>Tua Tagovailoa</t>
  </si>
  <si>
    <t>Durham Smythe</t>
  </si>
  <si>
    <t>Justin Jefferson</t>
  </si>
  <si>
    <t>Adam Trautman</t>
  </si>
  <si>
    <t>Jalen Hurts</t>
  </si>
  <si>
    <t>Brandon Aiyuk</t>
  </si>
  <si>
    <t>Antonio Gibson</t>
  </si>
  <si>
    <t>DeeJay Dallas</t>
  </si>
  <si>
    <t>LV</t>
  </si>
  <si>
    <t>D'Ernest Johnson</t>
  </si>
  <si>
    <t>D'Andre Swift</t>
  </si>
  <si>
    <t>Jamaal Williams</t>
  </si>
  <si>
    <t>DeAndre Hopkins</t>
  </si>
  <si>
    <t>Harrison Bryant</t>
  </si>
  <si>
    <t>Albert Okwuegbunam</t>
  </si>
  <si>
    <t>DK Metcalf</t>
  </si>
  <si>
    <t>TEAM</t>
  </si>
  <si>
    <t>Braxton Berrios</t>
  </si>
  <si>
    <t>Justin Fields</t>
  </si>
  <si>
    <t>Trevor Lawrence</t>
  </si>
  <si>
    <t>Marcus Mariota</t>
  </si>
  <si>
    <t>Mac Jones</t>
  </si>
  <si>
    <t>Jameis Winston</t>
  </si>
  <si>
    <t>Geno Smith</t>
  </si>
  <si>
    <t>Taylor Heinicke</t>
  </si>
  <si>
    <t>Kyle Pitts</t>
  </si>
  <si>
    <t>Tommy Tremble</t>
  </si>
  <si>
    <t>Brevin Jordan</t>
  </si>
  <si>
    <t>Kylen Granson</t>
  </si>
  <si>
    <t>Pat Freiermuth</t>
  </si>
  <si>
    <t>Colby Parkinson</t>
  </si>
  <si>
    <t>Charlie Woerner</t>
  </si>
  <si>
    <t>Chuba Hubbard</t>
  </si>
  <si>
    <t>Khalil Herbert</t>
  </si>
  <si>
    <t>Samaje Perine</t>
  </si>
  <si>
    <t>Javonte Williams</t>
  </si>
  <si>
    <t>Rhamondre Stevenson</t>
  </si>
  <si>
    <t>Najee Harris</t>
  </si>
  <si>
    <t>Rashod Bateman</t>
  </si>
  <si>
    <t>DJ Moore</t>
  </si>
  <si>
    <t>Darnell Mooney</t>
  </si>
  <si>
    <t>Ja'Marr Chase</t>
  </si>
  <si>
    <t>Cedrick Wilson</t>
  </si>
  <si>
    <t>Amon-Ra St. Brown</t>
  </si>
  <si>
    <t>Nico Collins</t>
  </si>
  <si>
    <t>Tutu Atwell</t>
  </si>
  <si>
    <t>Jaylen Waddle</t>
  </si>
  <si>
    <t>Elijah Moore</t>
  </si>
  <si>
    <t>DeVonta Smith</t>
  </si>
  <si>
    <t>Nick Westbrook-Ikhine</t>
  </si>
  <si>
    <t>Dyami Brown</t>
  </si>
  <si>
    <t>TD%</t>
  </si>
  <si>
    <t>Trent Sherfield</t>
  </si>
  <si>
    <t>RB</t>
  </si>
  <si>
    <t>WR</t>
  </si>
  <si>
    <t>INT%</t>
  </si>
  <si>
    <t>PASS ATT</t>
  </si>
  <si>
    <t>COMPLETIONS</t>
  </si>
  <si>
    <t>PASS ATTEMPTS</t>
  </si>
  <si>
    <t>PASS YARDS</t>
  </si>
  <si>
    <t>PASS TDS</t>
  </si>
  <si>
    <t>INTERCEPTIONS</t>
  </si>
  <si>
    <t>RUSH ATTEMPTS</t>
  </si>
  <si>
    <t>RUSH YARDS</t>
  </si>
  <si>
    <t>RUSH TDS</t>
  </si>
  <si>
    <t>TARGETS</t>
  </si>
  <si>
    <t>RECEPTIONS (RB)</t>
  </si>
  <si>
    <t>RECEPTIONS (WR)</t>
  </si>
  <si>
    <t>RECEPTIONS (TE)</t>
  </si>
  <si>
    <t>RECV YARDS</t>
  </si>
  <si>
    <t>RECV TDS</t>
  </si>
  <si>
    <t>SACKS</t>
  </si>
  <si>
    <t>SAFETIES</t>
  </si>
  <si>
    <t>DEF TD</t>
  </si>
  <si>
    <t>PASS TD</t>
  </si>
  <si>
    <t>RUSH ATT</t>
  </si>
  <si>
    <t>RUSH TD</t>
  </si>
  <si>
    <t>RECV TD</t>
  </si>
  <si>
    <t>COMP%</t>
  </si>
  <si>
    <t>TD PER CAR%</t>
  </si>
  <si>
    <t>RECP%</t>
  </si>
  <si>
    <t>YD PER RECP</t>
  </si>
  <si>
    <t>TGT SHARE</t>
  </si>
  <si>
    <t>MKT SHARE</t>
  </si>
  <si>
    <t>PTS PER GAME</t>
  </si>
  <si>
    <t>YD PER GAME</t>
  </si>
  <si>
    <t>RECOV'D FUMBLE</t>
  </si>
  <si>
    <t>FORCED FUMBLE</t>
  </si>
  <si>
    <t>DEF SACKS</t>
  </si>
  <si>
    <t>DEF INT</t>
  </si>
  <si>
    <t>DEF SAFETIES</t>
  </si>
  <si>
    <t>DEF TOUCHDOWN</t>
  </si>
  <si>
    <t>DEF 0 PTS ALLOW</t>
  </si>
  <si>
    <t>DEF 1-6 PTS ALLOW</t>
  </si>
  <si>
    <t>DEF 7-13 PTS ALLOW</t>
  </si>
  <si>
    <t>DEF 14-21 PTS ALLOW</t>
  </si>
  <si>
    <t>DEF 22-27 PTS ALLOW</t>
  </si>
  <si>
    <t>DEF 28-35 PTS ALLOW</t>
  </si>
  <si>
    <t>DEF RECOVER FUMBLE</t>
  </si>
  <si>
    <t>DEF FORCE FUMBLE</t>
  </si>
  <si>
    <t>DEF 35+ PTS ALLOW</t>
  </si>
  <si>
    <t>0 PT GAMES</t>
  </si>
  <si>
    <t>1-6 PT GAMES</t>
  </si>
  <si>
    <t>7-13 PT GAMES</t>
  </si>
  <si>
    <t>14-21 PT GAMES</t>
  </si>
  <si>
    <t>35+ PT GAMES</t>
  </si>
  <si>
    <t>22-26 PT GAMES</t>
  </si>
  <si>
    <t>27-34 PT GAMES</t>
  </si>
  <si>
    <t>TD SHARE</t>
  </si>
  <si>
    <t>YDS</t>
  </si>
  <si>
    <t>TOT SHR</t>
  </si>
  <si>
    <t>TEAM NUMBERS</t>
  </si>
  <si>
    <t>PASS%</t>
  </si>
  <si>
    <t>RUSH%</t>
  </si>
  <si>
    <t>RUTD%</t>
  </si>
  <si>
    <t>PLAYS</t>
  </si>
  <si>
    <t>TM RUSH</t>
  </si>
  <si>
    <t>TM TGT</t>
  </si>
  <si>
    <t>TM REC</t>
  </si>
  <si>
    <t>TM RUSH ATT</t>
  </si>
  <si>
    <t>TM RUSH YD</t>
  </si>
  <si>
    <t>TM RUSH TD</t>
  </si>
  <si>
    <t>TM REC YD</t>
  </si>
  <si>
    <t>TM REC TD</t>
  </si>
  <si>
    <t>TM PASS</t>
  </si>
  <si>
    <t>TEAM TOTAL DIFFERENCES</t>
  </si>
  <si>
    <t>YD PER CARRY</t>
  </si>
  <si>
    <t>PASS SHARE</t>
  </si>
  <si>
    <t>RUSH SHARE</t>
  </si>
  <si>
    <t>EDIT PASS SHARE</t>
  </si>
  <si>
    <t>EDIT RUSH SHARE</t>
  </si>
  <si>
    <t>EDIT TGT SHARE</t>
  </si>
  <si>
    <t>RU YPC</t>
  </si>
  <si>
    <t>TEAMS</t>
  </si>
  <si>
    <t>STARTING QB</t>
  </si>
  <si>
    <t>STARTING RB</t>
  </si>
  <si>
    <t>STARTING WR</t>
  </si>
  <si>
    <t>STARTING TE</t>
  </si>
  <si>
    <t>STARTING DST</t>
  </si>
  <si>
    <t>STARTING FLEX</t>
  </si>
  <si>
    <t>STARTING SUPERFLEX</t>
  </si>
  <si>
    <t>AUC$</t>
  </si>
  <si>
    <t>STATS TO EDIT</t>
  </si>
  <si>
    <t>STAT TOTALS</t>
  </si>
  <si>
    <t>Columns AE-AH should total 100% or less (recommend 98-99% or less, as there are always a few random players) - the calcuations will still adjust to 98% (Columns W, AA, AC), but it's forcing the numbers if you're over 100% and/or inflating them if way low</t>
  </si>
  <si>
    <t>CELLS</t>
  </si>
  <si>
    <t>POSITION DIFFERENCES</t>
  </si>
  <si>
    <t>QB attempt total can't be manipulated manually - you must change TEAM PLAYS, TEAM PASS% and/or QB PASS SHARE</t>
  </si>
  <si>
    <t>League average for TD% per COMP is around 7.1-7.2 with Aaron Rodgers at 12.9% last year and Matthew Stafford at 7.7%</t>
  </si>
  <si>
    <t>BENCHMARKS QB</t>
  </si>
  <si>
    <t>BENCHMARKS RB</t>
  </si>
  <si>
    <t>League average for TD% per RUSH ATT is around 3.8 with Alvin Kamara blowing away everyone at 8.6%, Derrick Henry at 4.5% and Nyheim Hines at 3.4%</t>
  </si>
  <si>
    <t>BENCHMARKS WR</t>
  </si>
  <si>
    <t>League average for TGT% is around 9.0 with Davante Adams leading at 29.7% last year, Tee Higgins at 19.1% (30th overall) and Henry Ruggs at 8.2 (98th) - this is based on FULL SEASON total targets</t>
  </si>
  <si>
    <t>BENCHMARKS TE</t>
  </si>
  <si>
    <t>League average for TGT% is around 5.5 with Darren Waller tops at 27.7% last year, Dallas Goedert 20th with 11.6% and Durham Smythe 5.3 (49th)</t>
  </si>
  <si>
    <t>BENCHMARKS RECV TD SHARE</t>
  </si>
  <si>
    <t>Chris Carson's 4 recv TDs accounted for 10% of SEA passing TD, DK Metcalf and Tyler Lockett's 10 TDs each accounted for 25%, T.J. Hockenson's 7 accounted for 22.2% of the Lions 27 passing TDs</t>
  </si>
  <si>
    <t>MORE TEAM STATS/TOTALS</t>
  </si>
  <si>
    <t>There are cells all the way to the right, up to Column AH - make sure you see/use all of them if changing numbers</t>
  </si>
  <si>
    <t>Only change stats in YELLOW - the rest will auto-calculate after you make changes</t>
  </si>
  <si>
    <t>You can only edit PASS% (RUSH% auto adjusts to equal 100). Also, TEAM YPC and TD% affect "available" rushing yards and TDs - QB YPA and PASS TD% affect "available" targets, receptions (yards and TDs)</t>
  </si>
  <si>
    <t>Jeff Wilson</t>
  </si>
  <si>
    <t>LINK TO THE SITE WITH STEP-BY-STEP DEEPER INSTRUCTIONS AND PICTURES</t>
  </si>
  <si>
    <t>OPEN IN EXCEL</t>
  </si>
  <si>
    <t>If you don't have Excel, you can access Office 365 online (just have to create an account if you don't have one), so…</t>
  </si>
  <si>
    <t>GO HERE to access Excel online and open the file</t>
  </si>
  <si>
    <t>Custom</t>
  </si>
  <si>
    <t>Catergoy</t>
  </si>
  <si>
    <t>Points</t>
  </si>
  <si>
    <t>Category</t>
  </si>
  <si>
    <t>Player</t>
  </si>
  <si>
    <t>Ref</t>
  </si>
  <si>
    <t>DST1</t>
  </si>
  <si>
    <t>DST6</t>
  </si>
  <si>
    <t>DST8</t>
  </si>
  <si>
    <t>DST7</t>
  </si>
  <si>
    <t>DST9</t>
  </si>
  <si>
    <t>DST2</t>
  </si>
  <si>
    <t>DST3</t>
  </si>
  <si>
    <t>DST4</t>
  </si>
  <si>
    <t>DST5</t>
  </si>
  <si>
    <t>DST10</t>
  </si>
  <si>
    <t>DST11</t>
  </si>
  <si>
    <t>DST12</t>
  </si>
  <si>
    <t>DST13</t>
  </si>
  <si>
    <t>DST14</t>
  </si>
  <si>
    <t>DST15</t>
  </si>
  <si>
    <t>DST16</t>
  </si>
  <si>
    <t>DST17</t>
  </si>
  <si>
    <t>DST18</t>
  </si>
  <si>
    <t>DST19</t>
  </si>
  <si>
    <t>DST20</t>
  </si>
  <si>
    <t>DST21</t>
  </si>
  <si>
    <t>DST22</t>
  </si>
  <si>
    <t>DST23</t>
  </si>
  <si>
    <t>DST24</t>
  </si>
  <si>
    <t>DST25</t>
  </si>
  <si>
    <t>DST26</t>
  </si>
  <si>
    <t>DST27</t>
  </si>
  <si>
    <t>DST28</t>
  </si>
  <si>
    <t>DST29</t>
  </si>
  <si>
    <t>DST30</t>
  </si>
  <si>
    <t>DST31</t>
  </si>
  <si>
    <t>DST32</t>
  </si>
  <si>
    <t>AUCTION BUDGET</t>
  </si>
  <si>
    <t>QBRef</t>
  </si>
  <si>
    <t>RBRef</t>
  </si>
  <si>
    <t>WRRef</t>
  </si>
  <si>
    <t>TERef</t>
  </si>
  <si>
    <t>DSTRef</t>
  </si>
  <si>
    <t>Value</t>
  </si>
  <si>
    <t>SFLEX</t>
  </si>
  <si>
    <t>FLEX</t>
  </si>
  <si>
    <t>VORP</t>
  </si>
  <si>
    <t>WR and TE COMBINED</t>
  </si>
  <si>
    <t>OVERALL PLAYER</t>
  </si>
  <si>
    <t>TIGHT END</t>
  </si>
  <si>
    <t>WIDE RECEIVER</t>
  </si>
  <si>
    <t>RUNNING BACK</t>
  </si>
  <si>
    <t>QUARTERBACK</t>
  </si>
  <si>
    <t>Pos</t>
  </si>
  <si>
    <t>Calc</t>
  </si>
  <si>
    <t>OVR RK</t>
  </si>
  <si>
    <t>DO NOT EDIT THIS SHEET</t>
  </si>
  <si>
    <t>POS RK</t>
  </si>
  <si>
    <t>POSRef</t>
  </si>
  <si>
    <t>WRTE</t>
  </si>
  <si>
    <t>Gardner Minshew</t>
  </si>
  <si>
    <t>Jauan Jennings</t>
  </si>
  <si>
    <t>Mike White</t>
  </si>
  <si>
    <t>Juwan Johnson</t>
  </si>
  <si>
    <t>K.J. Osborn</t>
  </si>
  <si>
    <t>Mack Hollins</t>
  </si>
  <si>
    <t>Drake London</t>
  </si>
  <si>
    <t>KhaDarel Hodge</t>
  </si>
  <si>
    <t>J.K. Dobbins</t>
  </si>
  <si>
    <t>Jameson Williams</t>
  </si>
  <si>
    <t>Brock Wright</t>
  </si>
  <si>
    <t>Travis Etienne</t>
  </si>
  <si>
    <t>Nick Mullens</t>
  </si>
  <si>
    <t>Jahan Dotson</t>
  </si>
  <si>
    <t>Treylon Burks</t>
  </si>
  <si>
    <t>Kenny Pickett</t>
  </si>
  <si>
    <t>Garrett Wilson</t>
  </si>
  <si>
    <t>Chris Olave</t>
  </si>
  <si>
    <t>Deonte Harty</t>
  </si>
  <si>
    <t>Tyler Allgeier</t>
  </si>
  <si>
    <t>Charlie Kolar</t>
  </si>
  <si>
    <t>Isaiah Likely</t>
  </si>
  <si>
    <t>Khalil Shakir</t>
  </si>
  <si>
    <t>Jerome Ford</t>
  </si>
  <si>
    <t>Jake Ferguson</t>
  </si>
  <si>
    <t>Romeo Doubs</t>
  </si>
  <si>
    <t>Dameon Pierce</t>
  </si>
  <si>
    <t>Zamir White</t>
  </si>
  <si>
    <t>Breece Hall</t>
  </si>
  <si>
    <t>Jeremy Ruckert</t>
  </si>
  <si>
    <t>George Pickens</t>
  </si>
  <si>
    <t>Calvin Austin</t>
  </si>
  <si>
    <t>Sam Howell</t>
  </si>
  <si>
    <t>Brian Robinson</t>
  </si>
  <si>
    <t>Kyle Philips</t>
  </si>
  <si>
    <t>Cade Otton</t>
  </si>
  <si>
    <t>Rachaad White</t>
  </si>
  <si>
    <t>Danny Gray</t>
  </si>
  <si>
    <t>Kyren Williams</t>
  </si>
  <si>
    <t>Skyy Moore</t>
  </si>
  <si>
    <t>Alec Pierce</t>
  </si>
  <si>
    <t>John Metchie</t>
  </si>
  <si>
    <t>Christian Watson</t>
  </si>
  <si>
    <t>Greg Dulcich</t>
  </si>
  <si>
    <t>Jalen Tolbert</t>
  </si>
  <si>
    <t>David Bell</t>
  </si>
  <si>
    <t>Velus Jones</t>
  </si>
  <si>
    <t>James Cook</t>
  </si>
  <si>
    <t>Daniel Bellinger</t>
  </si>
  <si>
    <t>Wan'Dale Robinson</t>
  </si>
  <si>
    <t>WAS</t>
  </si>
  <si>
    <t>Kyle Trask</t>
  </si>
  <si>
    <t>Tyrod Taylor</t>
  </si>
  <si>
    <t>Jarrett Stidham</t>
  </si>
  <si>
    <t>JAC</t>
  </si>
  <si>
    <t>Team</t>
  </si>
  <si>
    <t>Kenneth Gainwell</t>
  </si>
  <si>
    <t>Ty Chandler</t>
  </si>
  <si>
    <t>Zach Pascal</t>
  </si>
  <si>
    <t>Jalen Nailor</t>
  </si>
  <si>
    <t>Laviska Shenault</t>
  </si>
  <si>
    <t>Michael Pittman</t>
  </si>
  <si>
    <t>Chigoziem Okonkwo</t>
  </si>
  <si>
    <t>Ko Kieft</t>
  </si>
  <si>
    <t>Tyler Conklin</t>
  </si>
  <si>
    <t>Luke Farrell</t>
  </si>
  <si>
    <t>Trey McBride</t>
  </si>
  <si>
    <t>James Mitchell</t>
  </si>
  <si>
    <t>EDIT TD PER REC</t>
  </si>
  <si>
    <t>YDS PER COMP</t>
  </si>
  <si>
    <t>ABBREV</t>
  </si>
  <si>
    <t>TGTS</t>
  </si>
  <si>
    <t>Name</t>
  </si>
  <si>
    <t>Position</t>
  </si>
  <si>
    <t>Baker Mayfield</t>
  </si>
  <si>
    <t>Isiah Pacheco</t>
  </si>
  <si>
    <t>Jaylen Warren</t>
  </si>
  <si>
    <t>Tim Jones</t>
  </si>
  <si>
    <t>Quintin Morris</t>
  </si>
  <si>
    <t>Gunner Olszewski</t>
  </si>
  <si>
    <t>Jordan Mason</t>
  </si>
  <si>
    <t>Greg Dortch</t>
  </si>
  <si>
    <t>Raheem Blackshear</t>
  </si>
  <si>
    <t>Calvin Ridley</t>
  </si>
  <si>
    <t>Easton Stick</t>
  </si>
  <si>
    <t>Brock Purdy</t>
  </si>
  <si>
    <t>Rashid Shaheed</t>
  </si>
  <si>
    <t>Josh Oliver</t>
  </si>
  <si>
    <t>Odell Beckham</t>
  </si>
  <si>
    <t>KaVontae Turpin</t>
  </si>
  <si>
    <t>Michael Wilson</t>
  </si>
  <si>
    <t>Bijan Robinson</t>
  </si>
  <si>
    <t>Zay Flowers</t>
  </si>
  <si>
    <t>Gabe Davis</t>
  </si>
  <si>
    <t>Dalton Kincaid</t>
  </si>
  <si>
    <t>Bryce Young</t>
  </si>
  <si>
    <t>Jonathan Mingo</t>
  </si>
  <si>
    <t>Tyler Scott</t>
  </si>
  <si>
    <t>Chase Brown</t>
  </si>
  <si>
    <t>Charlie Jones</t>
  </si>
  <si>
    <t>Cedric Tillman</t>
  </si>
  <si>
    <t>Deuce Vaughn</t>
  </si>
  <si>
    <t>Luke Schoonmaker</t>
  </si>
  <si>
    <t>Marvin Mims</t>
  </si>
  <si>
    <t>Jahmyr Gibbs</t>
  </si>
  <si>
    <t>Antoine Green</t>
  </si>
  <si>
    <t>Sam LaPorta</t>
  </si>
  <si>
    <t>Sean Clifford</t>
  </si>
  <si>
    <t>Jayden Reed</t>
  </si>
  <si>
    <t>Luke Musgrave</t>
  </si>
  <si>
    <t>Tucker Kraft</t>
  </si>
  <si>
    <t>C.J. Stroud</t>
  </si>
  <si>
    <t>Xavier Hutchinson</t>
  </si>
  <si>
    <t>Anthony Richardson</t>
  </si>
  <si>
    <t>Josh Downs</t>
  </si>
  <si>
    <t>Tank Bigsby</t>
  </si>
  <si>
    <t>Parker Washington</t>
  </si>
  <si>
    <t>Brenton Strange</t>
  </si>
  <si>
    <t>Rashee Rice</t>
  </si>
  <si>
    <t>Tre Tucker</t>
  </si>
  <si>
    <t>Michael Mayer</t>
  </si>
  <si>
    <t>Quentin Johnston</t>
  </si>
  <si>
    <t>Derius Davis</t>
  </si>
  <si>
    <t>Puka Nacua</t>
  </si>
  <si>
    <t>Jordan Addison</t>
  </si>
  <si>
    <t>Kendre Miller</t>
  </si>
  <si>
    <t>A.T. Perry</t>
  </si>
  <si>
    <t>Eric Gray</t>
  </si>
  <si>
    <t>Jalin Hyatt</t>
  </si>
  <si>
    <t>Israel Abanikanda</t>
  </si>
  <si>
    <t>Darnell Washington</t>
  </si>
  <si>
    <t>Zach Charbonnet</t>
  </si>
  <si>
    <t>Jaxon Smith-Njigba</t>
  </si>
  <si>
    <t>Sean Tucker</t>
  </si>
  <si>
    <t>Trey Palmer</t>
  </si>
  <si>
    <t>Payne Durham</t>
  </si>
  <si>
    <t>Will Levis</t>
  </si>
  <si>
    <t>Tyjae Spears</t>
  </si>
  <si>
    <t>Josh Whyle</t>
  </si>
  <si>
    <t>Roschon Johnson</t>
  </si>
  <si>
    <t>Kenneth Walker</t>
  </si>
  <si>
    <t>Tank Dell</t>
  </si>
  <si>
    <t>De'Von Achane</t>
  </si>
  <si>
    <t>Demario Douglas</t>
  </si>
  <si>
    <t xml:space="preserve"> </t>
  </si>
  <si>
    <t>Kenny McIntosh</t>
  </si>
  <si>
    <t>Joshua Palmer</t>
  </si>
  <si>
    <t>Trayveon Williams</t>
  </si>
  <si>
    <t>Keaton Mitchell</t>
  </si>
  <si>
    <t>Rico Dowdle</t>
  </si>
  <si>
    <t>Jason Brownlee</t>
  </si>
  <si>
    <t>Tiers</t>
  </si>
  <si>
    <t>Mitch Trubisky</t>
  </si>
  <si>
    <t>Jaleel McLaughlin</t>
  </si>
  <si>
    <t>Chris Moore</t>
  </si>
  <si>
    <t>Zack Moss</t>
  </si>
  <si>
    <t>Tyson Bagent</t>
  </si>
  <si>
    <t>Andrei Iosivas</t>
  </si>
  <si>
    <t>Trey Lance</t>
  </si>
  <si>
    <t>Chris Manhertz</t>
  </si>
  <si>
    <t>Ronnie Bell</t>
  </si>
  <si>
    <t>Brandon Powell</t>
  </si>
  <si>
    <t>Justice Hill</t>
  </si>
  <si>
    <t>Jake Browning</t>
  </si>
  <si>
    <t>Jake Bobo</t>
  </si>
  <si>
    <t>Craig Reynolds</t>
  </si>
  <si>
    <t>Elijah Higgins</t>
  </si>
  <si>
    <t>Ray-Ray McCloud</t>
  </si>
  <si>
    <t>Josh Johnson</t>
  </si>
  <si>
    <t>Ty Johnson</t>
  </si>
  <si>
    <t>David Moore</t>
  </si>
  <si>
    <t>Caleb Williams</t>
  </si>
  <si>
    <t>Tanner Hudson</t>
  </si>
  <si>
    <t>Tim Patrick</t>
  </si>
  <si>
    <t>Hendon Hooker</t>
  </si>
  <si>
    <t>Kalif Raymond</t>
  </si>
  <si>
    <t>Dontayvion Wicks</t>
  </si>
  <si>
    <t>Bo Melton</t>
  </si>
  <si>
    <t>Joe Flacco</t>
  </si>
  <si>
    <t>Trey Sermon</t>
  </si>
  <si>
    <t>Justin Watson</t>
  </si>
  <si>
    <t>Aidan O'Connell</t>
  </si>
  <si>
    <t>Demarcus Robinson</t>
  </si>
  <si>
    <t>Stanley Morgan</t>
  </si>
  <si>
    <t>Xavier Gipson</t>
  </si>
  <si>
    <t>Josh Dobbs</t>
  </si>
  <si>
    <t>Mason Rudolph</t>
  </si>
  <si>
    <t>Jayden Daniels</t>
  </si>
  <si>
    <t>Jamison Crowder</t>
  </si>
  <si>
    <t>Carson Wentz</t>
  </si>
  <si>
    <t>Julian Hill</t>
  </si>
  <si>
    <t>Hassan Haskins</t>
  </si>
  <si>
    <t>Olamide Zaccheaus</t>
  </si>
  <si>
    <t>Rome Odunze</t>
  </si>
  <si>
    <t>Drake Maye</t>
  </si>
  <si>
    <t>Marvin Harrison</t>
  </si>
  <si>
    <t>Malik Nabers</t>
  </si>
  <si>
    <t>Michael Penix</t>
  </si>
  <si>
    <t>Bo Nix</t>
  </si>
  <si>
    <t>Zach Wilson</t>
  </si>
  <si>
    <t>Brock Bowers</t>
  </si>
  <si>
    <t>Brian Thomas</t>
  </si>
  <si>
    <t>Xavier Worthy</t>
  </si>
  <si>
    <t>Ricky Pearsall</t>
  </si>
  <si>
    <t>Xavier Legette</t>
  </si>
  <si>
    <t>Keon Coleman</t>
  </si>
  <si>
    <t>Ladd McConkey</t>
  </si>
  <si>
    <t>Ja'Lynn Polk</t>
  </si>
  <si>
    <t>Jonathon Brooks</t>
  </si>
  <si>
    <t>Adonai Mitchell</t>
  </si>
  <si>
    <t>Ben Sinnott</t>
  </si>
  <si>
    <t>Tip Reiman</t>
  </si>
  <si>
    <t>Trey Benson</t>
  </si>
  <si>
    <t>Casey Washington</t>
  </si>
  <si>
    <t>Jase McClellan</t>
  </si>
  <si>
    <t>Devontez Walker</t>
  </si>
  <si>
    <t>Ray Davis</t>
  </si>
  <si>
    <t>Ja'Tavion Sanders</t>
  </si>
  <si>
    <t>Jermaine Burton</t>
  </si>
  <si>
    <t>Erick All</t>
  </si>
  <si>
    <t>Jamari Thrash</t>
  </si>
  <si>
    <t>Ryan Flournoy</t>
  </si>
  <si>
    <t>Troy Franklin</t>
  </si>
  <si>
    <t>Audric Estime</t>
  </si>
  <si>
    <t>MarShawn Lloyd</t>
  </si>
  <si>
    <t>Case Keenum</t>
  </si>
  <si>
    <t>Cade Stover</t>
  </si>
  <si>
    <t>Anthony Gould</t>
  </si>
  <si>
    <t>Jared Wiley</t>
  </si>
  <si>
    <t>Dylan Laube</t>
  </si>
  <si>
    <t>Kimani Vidal</t>
  </si>
  <si>
    <t>Brenden Rice</t>
  </si>
  <si>
    <t>Blake Corum</t>
  </si>
  <si>
    <t>Jordan Whittington</t>
  </si>
  <si>
    <t>Jaylen Wright</t>
  </si>
  <si>
    <t>Malik Washington</t>
  </si>
  <si>
    <t>Javon Baker</t>
  </si>
  <si>
    <t>Bub Means</t>
  </si>
  <si>
    <t>Theo Johnson</t>
  </si>
  <si>
    <t>Tyrone Tracy</t>
  </si>
  <si>
    <t>Braelon Allen</t>
  </si>
  <si>
    <t>Isaiah Davis</t>
  </si>
  <si>
    <t>Malachi Corley</t>
  </si>
  <si>
    <t>Will Shipley</t>
  </si>
  <si>
    <t>Johnny Wilson</t>
  </si>
  <si>
    <t>Roman Wilson</t>
  </si>
  <si>
    <t>Isaac Guerendo</t>
  </si>
  <si>
    <t>Jacob Cowing</t>
  </si>
  <si>
    <t>AJ Barner</t>
  </si>
  <si>
    <t>Jalen McMillan</t>
  </si>
  <si>
    <t>Bucky Irving</t>
  </si>
  <si>
    <t>Jha'Quan Jackson</t>
  </si>
  <si>
    <t>Luke McCaffrey</t>
  </si>
  <si>
    <t>Jalen Guyton</t>
  </si>
  <si>
    <t>DeMario Douglas</t>
  </si>
  <si>
    <t>Rasheen Ali</t>
  </si>
  <si>
    <t>Tyler Boyd</t>
  </si>
  <si>
    <t>Keillan Robinson</t>
  </si>
  <si>
    <t>Pharaoh Brown</t>
  </si>
  <si>
    <t>Zay Jones</t>
  </si>
  <si>
    <t>Britain Covey</t>
  </si>
  <si>
    <t>Marquez Valdes-Scantling</t>
  </si>
  <si>
    <t>Trenton Irwin</t>
  </si>
  <si>
    <t>DJ Chark</t>
  </si>
  <si>
    <t>River Cracraft</t>
  </si>
  <si>
    <t>Robert Tonyan</t>
  </si>
  <si>
    <t>Logan Thomas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</si>
  <si>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</si>
  <si>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</si>
  <si>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</si>
  <si>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</si>
  <si>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</si>
  <si>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</si>
  <si>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Cincinnati Bengals</t>
  </si>
  <si>
    <t>Cleveland Browns</t>
  </si>
  <si>
    <t>Dallas Cowboys</t>
  </si>
  <si>
    <t>Denver Broncos</t>
  </si>
  <si>
    <t>Detroit Lions</t>
  </si>
  <si>
    <t>Green Bay Packers</t>
  </si>
  <si>
    <t>Houston Texans</t>
  </si>
  <si>
    <t>Indianapolis Colts</t>
  </si>
  <si>
    <t>Jacksonville Jaguars</t>
  </si>
  <si>
    <t>Kansas City Chiefs</t>
  </si>
  <si>
    <t>Las Vegas Raiders</t>
  </si>
  <si>
    <t>Los Angeles Chargers</t>
  </si>
  <si>
    <t>Los Angeles Rams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</si>
  <si>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</si>
  <si>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</si>
  <si>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</si>
  <si>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</si>
  <si>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</si>
  <si>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</si>
  <si>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Philadelphia Eagles</t>
  </si>
  <si>
    <t>Pittsburgh Steelers</t>
  </si>
  <si>
    <t>San Francisco 49ers</t>
  </si>
  <si>
    <t>Seattle Seahawks</t>
  </si>
  <si>
    <t>Tampa Bay Buccaneers</t>
  </si>
  <si>
    <t>Tennessee Titans</t>
  </si>
  <si>
    <t>Washington Commanders</t>
  </si>
  <si>
    <t>DJ Turner</t>
  </si>
  <si>
    <t>Jaret Patterson</t>
  </si>
  <si>
    <t>Devaughn Vele</t>
  </si>
  <si>
    <t>Spencer Rattler</t>
  </si>
  <si>
    <t>Tyquan Thornton</t>
  </si>
  <si>
    <t>Carson Steele</t>
  </si>
  <si>
    <t>Jalen Brooks</t>
  </si>
  <si>
    <t>JuJu Smith-Schuster</t>
  </si>
  <si>
    <t>Pierre Strong</t>
  </si>
  <si>
    <t>Drew Ogletree</t>
  </si>
  <si>
    <t>Clayton Tune</t>
  </si>
  <si>
    <t>Dez Fitzpatrick</t>
  </si>
  <si>
    <t>Jordan Mims</t>
  </si>
  <si>
    <t>Emanuel Wilson</t>
  </si>
  <si>
    <t>JaMycal Hasty</t>
  </si>
  <si>
    <t>Grant Calcaterra</t>
  </si>
  <si>
    <t>Kameron Johnson</t>
  </si>
  <si>
    <t>Jeremy McNichols</t>
  </si>
  <si>
    <t>Ronnie Rivers</t>
  </si>
  <si>
    <t>Tyler Goodson</t>
  </si>
  <si>
    <t>Cam Akers</t>
  </si>
  <si>
    <t>Dalvin Cook</t>
  </si>
  <si>
    <t>D'Onta Foreman</t>
  </si>
  <si>
    <t>Emari Demercado</t>
  </si>
  <si>
    <t>Noah Brown</t>
  </si>
  <si>
    <t>Leonard Fournette</t>
  </si>
  <si>
    <t>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</si>
</sst>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0.0"/>
    <numFmt numFmtId="165" formatCode="0.0%"/>
    <numFmt numFmtId="166" formatCode="0.0000"/>
    <numFmt numFmtId="167" formatCode="&quot;$&quot;#,##0.0"/>
    <numFmt numFmtId="168" formatCode="&quot;$&quot;#,##0"/>
  </numFmts>
  <fonts count="27" x14ac:knownFonts="1"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</font>
    <font>
      <i/>
      <sz val="10"/>
      <color indexed="8"/>
      <name val="Calibri"/>
      <family val="2"/>
    </font>
    <font>
      <sz val="10"/>
      <color indexed="8"/>
      <name val="Calibri"/>
      <family val="2"/>
    </font>
    <font>
      <b/>
      <i/>
      <sz val="10"/>
      <color theme="1"/>
      <name val="Calibri"/>
      <family val="2"/>
    </font>
    <font>
      <b/>
      <i/>
      <sz val="10"/>
      <color indexed="8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0"/>
      <color theme="10"/>
      <name val="Calibri"/>
      <family val="2"/>
    </font>
    <font>
      <b/>
      <u/>
      <sz val="14"/>
      <color theme="10"/>
      <name val="Calibri"/>
      <family val="2"/>
    </font>
    <font>
      <sz val="8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b/>
      <sz val="11"/>
      <color theme="9"/>
      <name val="Calibri"/>
      <family val="2"/>
    </font>
    <font>
      <sz val="11"/>
      <color theme="1"/>
      <name val="Calibri"/>
      <family val="2"/>
    </font>
    <font>
      <b/>
      <sz val="1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111111"/>
        <bgColor indexed="64"/>
      </patternFill>
    </fill>
    <fill>
      <patternFill patternType="solid">
        <fgColor rgb="FF1C1C1C"/>
        <bgColor indexed="64"/>
      </patternFill>
    </fill>
    <fill>
      <patternFill patternType="solid">
        <fgColor rgb="FFFFF5DC"/>
        <bgColor indexed="64"/>
      </patternFill>
    </fill>
    <fill>
      <patternFill patternType="solid">
        <fgColor rgb="FFFFC8C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D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rgb="FFFFEBD7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rgb="FFFFD69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192">
    <xf numFmtId="0" fontId="0" fillId="0" borderId="0" xfId="0"/>
    <xf numFmtId="165" fontId="0" fillId="2" borderId="1" xfId="1" applyNumberFormat="1" applyFont="1" applyFill="1" applyBorder="1" applyAlignment="1" applyProtection="1">
      <alignment horizontal="center"/>
    </xf>
    <xf numFmtId="165" fontId="11" fillId="0" borderId="1" xfId="1" applyNumberFormat="1" applyFont="1" applyBorder="1" applyAlignment="1" applyProtection="1">
      <alignment horizontal="center"/>
    </xf>
    <xf numFmtId="165" fontId="0" fillId="0" borderId="0" xfId="1" applyNumberFormat="1" applyFont="1" applyAlignment="1" applyProtection="1">
      <alignment horizontal="center"/>
    </xf>
    <xf numFmtId="165" fontId="5" fillId="0" borderId="0" xfId="1" applyNumberFormat="1" applyFont="1" applyAlignment="1" applyProtection="1">
      <alignment horizontal="center"/>
    </xf>
    <xf numFmtId="164" fontId="11" fillId="0" borderId="1" xfId="1" applyNumberFormat="1" applyFont="1" applyBorder="1" applyAlignment="1" applyProtection="1">
      <alignment horizontal="center"/>
    </xf>
    <xf numFmtId="0" fontId="0" fillId="0" borderId="0" xfId="0" applyAlignment="1">
      <alignment horizontal="center"/>
    </xf>
    <xf numFmtId="165" fontId="0" fillId="0" borderId="1" xfId="1" applyNumberFormat="1" applyFont="1" applyBorder="1" applyAlignment="1" applyProtection="1">
      <alignment horizontal="center"/>
    </xf>
    <xf numFmtId="165" fontId="6" fillId="0" borderId="1" xfId="1" applyNumberFormat="1" applyFont="1" applyBorder="1" applyAlignment="1" applyProtection="1">
      <alignment horizontal="center"/>
    </xf>
    <xf numFmtId="165" fontId="7" fillId="0" borderId="1" xfId="1" applyNumberFormat="1" applyFont="1" applyBorder="1" applyAlignment="1" applyProtection="1">
      <alignment horizontal="center"/>
    </xf>
    <xf numFmtId="165" fontId="7" fillId="0" borderId="1" xfId="1" applyNumberFormat="1" applyFont="1" applyBorder="1" applyAlignment="1" applyProtection="1">
      <alignment horizontal="center" vertical="center" wrapText="1"/>
    </xf>
    <xf numFmtId="165" fontId="0" fillId="0" borderId="0" xfId="1" applyNumberFormat="1" applyFont="1" applyFill="1" applyBorder="1" applyAlignment="1" applyProtection="1">
      <alignment horizontal="center"/>
    </xf>
    <xf numFmtId="165" fontId="14" fillId="0" borderId="1" xfId="1" applyNumberFormat="1" applyFont="1" applyBorder="1" applyAlignment="1" applyProtection="1">
      <alignment horizontal="center"/>
    </xf>
    <xf numFmtId="165" fontId="0" fillId="3" borderId="1" xfId="1" applyNumberFormat="1" applyFont="1" applyFill="1" applyBorder="1" applyAlignment="1" applyProtection="1">
      <alignment horizontal="center"/>
    </xf>
    <xf numFmtId="165" fontId="6" fillId="0" borderId="1" xfId="1" applyNumberFormat="1" applyFont="1" applyBorder="1" applyAlignment="1" applyProtection="1">
      <alignment horizontal="center" vertical="center" wrapText="1"/>
    </xf>
    <xf numFmtId="0" fontId="7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165" fontId="0" fillId="4" borderId="1" xfId="1" applyNumberFormat="1" applyFont="1" applyFill="1" applyBorder="1" applyAlignment="1" applyProtection="1">
      <alignment horizontal="center"/>
      <protection locked="0"/>
    </xf>
    <xf numFmtId="2" fontId="0" fillId="4" borderId="1" xfId="0" applyNumberFormat="1" applyFill="1" applyBorder="1" applyAlignment="1" applyProtection="1">
      <alignment horizontal="center"/>
      <protection locked="0"/>
    </xf>
    <xf numFmtId="165" fontId="0" fillId="2" borderId="1" xfId="1" applyNumberFormat="1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5" fontId="5" fillId="0" borderId="0" xfId="1" applyNumberFormat="1" applyFont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center"/>
      <protection locked="0"/>
    </xf>
    <xf numFmtId="164" fontId="10" fillId="0" borderId="0" xfId="0" applyNumberFormat="1" applyFont="1" applyAlignment="1" applyProtection="1">
      <alignment horizontal="center"/>
      <protection locked="0"/>
    </xf>
    <xf numFmtId="165" fontId="10" fillId="0" borderId="0" xfId="1" applyNumberFormat="1" applyFont="1" applyAlignment="1" applyProtection="1">
      <alignment horizontal="center"/>
      <protection locked="0"/>
    </xf>
    <xf numFmtId="2" fontId="10" fillId="0" borderId="0" xfId="0" applyNumberFormat="1" applyFont="1" applyAlignment="1" applyProtection="1">
      <alignment horizontal="center"/>
      <protection locked="0"/>
    </xf>
    <xf numFmtId="165" fontId="6" fillId="0" borderId="5" xfId="1" applyNumberFormat="1" applyFont="1" applyBorder="1" applyAlignment="1" applyProtection="1">
      <alignment horizontal="center"/>
      <protection locked="0"/>
    </xf>
    <xf numFmtId="0" fontId="13" fillId="0" borderId="0" xfId="0" applyFont="1" applyProtection="1">
      <protection locked="0"/>
    </xf>
    <xf numFmtId="164" fontId="13" fillId="4" borderId="1" xfId="0" applyNumberFormat="1" applyFont="1" applyFill="1" applyBorder="1" applyAlignment="1" applyProtection="1">
      <alignment horizontal="center"/>
      <protection locked="0"/>
    </xf>
    <xf numFmtId="165" fontId="0" fillId="0" borderId="5" xfId="0" applyNumberFormat="1" applyBorder="1" applyAlignment="1" applyProtection="1">
      <alignment horizontal="center"/>
      <protection locked="0"/>
    </xf>
    <xf numFmtId="0" fontId="13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165" fontId="0" fillId="0" borderId="0" xfId="1" applyNumberFormat="1" applyFont="1" applyAlignment="1" applyProtection="1">
      <alignment horizontal="center" vertical="center" wrapText="1"/>
      <protection locked="0"/>
    </xf>
    <xf numFmtId="164" fontId="0" fillId="0" borderId="0" xfId="0" applyNumberFormat="1" applyAlignment="1" applyProtection="1">
      <alignment horizontal="center" vertical="center" wrapText="1"/>
      <protection locked="0"/>
    </xf>
    <xf numFmtId="2" fontId="0" fillId="0" borderId="0" xfId="0" applyNumberFormat="1" applyAlignment="1" applyProtection="1">
      <alignment horizontal="center" vertical="center" wrapText="1"/>
      <protection locked="0"/>
    </xf>
    <xf numFmtId="0" fontId="12" fillId="0" borderId="0" xfId="0" applyFont="1" applyProtection="1">
      <protection locked="0"/>
    </xf>
    <xf numFmtId="0" fontId="11" fillId="0" borderId="0" xfId="0" applyFont="1" applyProtection="1">
      <protection locked="0"/>
    </xf>
    <xf numFmtId="165" fontId="7" fillId="0" borderId="5" xfId="1" applyNumberFormat="1" applyFont="1" applyBorder="1" applyAlignment="1" applyProtection="1">
      <alignment horizontal="center"/>
      <protection locked="0"/>
    </xf>
    <xf numFmtId="0" fontId="14" fillId="0" borderId="0" xfId="0" applyFont="1" applyProtection="1">
      <protection locked="0"/>
    </xf>
    <xf numFmtId="1" fontId="11" fillId="4" borderId="1" xfId="0" applyNumberFormat="1" applyFont="1" applyFill="1" applyBorder="1" applyAlignment="1" applyProtection="1">
      <alignment horizontal="center"/>
      <protection locked="0"/>
    </xf>
    <xf numFmtId="165" fontId="11" fillId="4" borderId="1" xfId="1" applyNumberFormat="1" applyFont="1" applyFill="1" applyBorder="1" applyAlignment="1" applyProtection="1">
      <alignment horizontal="center"/>
      <protection locked="0"/>
    </xf>
    <xf numFmtId="0" fontId="14" fillId="0" borderId="0" xfId="0" applyFont="1" applyAlignment="1" applyProtection="1">
      <alignment vertical="center" wrapText="1"/>
      <protection locked="0"/>
    </xf>
    <xf numFmtId="165" fontId="0" fillId="0" borderId="0" xfId="1" applyNumberFormat="1" applyFont="1" applyFill="1" applyBorder="1" applyProtection="1">
      <protection locked="0"/>
    </xf>
    <xf numFmtId="165" fontId="0" fillId="0" borderId="0" xfId="1" applyNumberFormat="1" applyFont="1" applyProtection="1">
      <protection locked="0"/>
    </xf>
    <xf numFmtId="165" fontId="0" fillId="0" borderId="0" xfId="1" applyNumberFormat="1" applyFont="1" applyFill="1" applyBorder="1" applyAlignment="1" applyProtection="1">
      <alignment horizontal="center"/>
      <protection locked="0"/>
    </xf>
    <xf numFmtId="164" fontId="0" fillId="0" borderId="0" xfId="0" applyNumberFormat="1" applyProtection="1">
      <protection locked="0"/>
    </xf>
    <xf numFmtId="1" fontId="0" fillId="0" borderId="0" xfId="0" applyNumberFormat="1" applyAlignment="1" applyProtection="1">
      <alignment horizontal="center"/>
      <protection locked="0"/>
    </xf>
    <xf numFmtId="164" fontId="14" fillId="0" borderId="0" xfId="0" applyNumberFormat="1" applyFont="1" applyAlignment="1" applyProtection="1">
      <alignment vertical="center" wrapText="1"/>
      <protection locked="0"/>
    </xf>
    <xf numFmtId="0" fontId="6" fillId="0" borderId="0" xfId="0" applyFont="1"/>
    <xf numFmtId="0" fontId="17" fillId="0" borderId="0" xfId="2" applyAlignment="1">
      <alignment horizontal="left"/>
    </xf>
    <xf numFmtId="164" fontId="0" fillId="0" borderId="0" xfId="0" applyNumberFormat="1"/>
    <xf numFmtId="0" fontId="15" fillId="0" borderId="0" xfId="0" applyFont="1"/>
    <xf numFmtId="0" fontId="16" fillId="0" borderId="0" xfId="0" applyFont="1"/>
    <xf numFmtId="164" fontId="16" fillId="0" borderId="0" xfId="0" applyNumberFormat="1" applyFont="1"/>
    <xf numFmtId="1" fontId="16" fillId="0" borderId="0" xfId="0" applyNumberFormat="1" applyFont="1"/>
    <xf numFmtId="0" fontId="15" fillId="0" borderId="8" xfId="0" applyFont="1" applyBorder="1"/>
    <xf numFmtId="2" fontId="15" fillId="0" borderId="9" xfId="0" applyNumberFormat="1" applyFont="1" applyBorder="1" applyProtection="1">
      <protection locked="0"/>
    </xf>
    <xf numFmtId="0" fontId="15" fillId="0" borderId="0" xfId="0" applyFont="1" applyProtection="1">
      <protection locked="0"/>
    </xf>
    <xf numFmtId="0" fontId="15" fillId="0" borderId="8" xfId="0" applyFont="1" applyBorder="1" applyProtection="1">
      <protection locked="0"/>
    </xf>
    <xf numFmtId="0" fontId="16" fillId="5" borderId="6" xfId="0" applyFont="1" applyFill="1" applyBorder="1" applyProtection="1">
      <protection locked="0"/>
    </xf>
    <xf numFmtId="2" fontId="16" fillId="5" borderId="7" xfId="0" applyNumberFormat="1" applyFont="1" applyFill="1" applyBorder="1" applyProtection="1">
      <protection locked="0"/>
    </xf>
    <xf numFmtId="0" fontId="16" fillId="0" borderId="0" xfId="0" applyFont="1" applyProtection="1">
      <protection locked="0"/>
    </xf>
    <xf numFmtId="0" fontId="16" fillId="8" borderId="6" xfId="0" applyFont="1" applyFill="1" applyBorder="1" applyProtection="1">
      <protection locked="0"/>
    </xf>
    <xf numFmtId="1" fontId="16" fillId="8" borderId="7" xfId="0" applyNumberFormat="1" applyFont="1" applyFill="1" applyBorder="1" applyProtection="1">
      <protection locked="0"/>
    </xf>
    <xf numFmtId="0" fontId="16" fillId="4" borderId="6" xfId="0" applyFont="1" applyFill="1" applyBorder="1" applyProtection="1">
      <protection locked="0"/>
    </xf>
    <xf numFmtId="2" fontId="16" fillId="4" borderId="7" xfId="0" applyNumberFormat="1" applyFont="1" applyFill="1" applyBorder="1" applyProtection="1">
      <protection locked="0"/>
    </xf>
    <xf numFmtId="0" fontId="16" fillId="8" borderId="10" xfId="0" applyFont="1" applyFill="1" applyBorder="1" applyProtection="1">
      <protection locked="0"/>
    </xf>
    <xf numFmtId="1" fontId="16" fillId="8" borderId="11" xfId="0" applyNumberFormat="1" applyFont="1" applyFill="1" applyBorder="1" applyProtection="1">
      <protection locked="0"/>
    </xf>
    <xf numFmtId="0" fontId="16" fillId="6" borderId="6" xfId="0" applyFont="1" applyFill="1" applyBorder="1" applyProtection="1">
      <protection locked="0"/>
    </xf>
    <xf numFmtId="2" fontId="16" fillId="6" borderId="7" xfId="0" applyNumberFormat="1" applyFont="1" applyFill="1" applyBorder="1" applyProtection="1">
      <protection locked="0"/>
    </xf>
    <xf numFmtId="2" fontId="16" fillId="0" borderId="0" xfId="0" applyNumberFormat="1" applyFont="1" applyProtection="1">
      <protection locked="0"/>
    </xf>
    <xf numFmtId="0" fontId="16" fillId="7" borderId="6" xfId="0" applyFont="1" applyFill="1" applyBorder="1" applyProtection="1">
      <protection locked="0"/>
    </xf>
    <xf numFmtId="2" fontId="16" fillId="7" borderId="7" xfId="0" applyNumberFormat="1" applyFont="1" applyFill="1" applyBorder="1" applyProtection="1">
      <protection locked="0"/>
    </xf>
    <xf numFmtId="165" fontId="0" fillId="0" borderId="0" xfId="1" applyNumberFormat="1" applyFont="1" applyAlignment="1"/>
    <xf numFmtId="166" fontId="0" fillId="0" borderId="0" xfId="0" applyNumberFormat="1"/>
    <xf numFmtId="2" fontId="0" fillId="0" borderId="0" xfId="0" applyNumberFormat="1"/>
    <xf numFmtId="1" fontId="0" fillId="0" borderId="0" xfId="0" applyNumberForma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168" fontId="16" fillId="8" borderId="11" xfId="0" applyNumberFormat="1" applyFont="1" applyFill="1" applyBorder="1" applyProtection="1">
      <protection locked="0"/>
    </xf>
    <xf numFmtId="164" fontId="20" fillId="0" borderId="0" xfId="0" applyNumberFormat="1" applyFont="1"/>
    <xf numFmtId="0" fontId="20" fillId="0" borderId="0" xfId="0" applyFont="1"/>
    <xf numFmtId="0" fontId="21" fillId="0" borderId="0" xfId="0" applyFont="1"/>
    <xf numFmtId="1" fontId="22" fillId="0" borderId="0" xfId="0" applyNumberFormat="1" applyFont="1"/>
    <xf numFmtId="0" fontId="22" fillId="0" borderId="0" xfId="0" applyFont="1"/>
    <xf numFmtId="164" fontId="22" fillId="0" borderId="0" xfId="0" applyNumberFormat="1" applyFont="1"/>
    <xf numFmtId="164" fontId="22" fillId="9" borderId="0" xfId="0" applyNumberFormat="1" applyFont="1" applyFill="1"/>
    <xf numFmtId="168" fontId="22" fillId="0" borderId="0" xfId="0" applyNumberFormat="1" applyFont="1"/>
    <xf numFmtId="164" fontId="16" fillId="9" borderId="0" xfId="0" applyNumberFormat="1" applyFont="1" applyFill="1"/>
    <xf numFmtId="168" fontId="16" fillId="0" borderId="0" xfId="0" applyNumberFormat="1" applyFont="1"/>
    <xf numFmtId="0" fontId="23" fillId="0" borderId="0" xfId="0" applyFont="1" applyAlignment="1">
      <alignment horizontal="center"/>
    </xf>
    <xf numFmtId="167" fontId="16" fillId="0" borderId="0" xfId="0" applyNumberFormat="1" applyFont="1"/>
    <xf numFmtId="165" fontId="0" fillId="0" borderId="2" xfId="1" applyNumberFormat="1" applyFont="1" applyFill="1" applyBorder="1" applyAlignment="1" applyProtection="1">
      <alignment horizontal="center"/>
    </xf>
    <xf numFmtId="2" fontId="0" fillId="0" borderId="2" xfId="0" applyNumberFormat="1" applyBorder="1" applyAlignment="1" applyProtection="1">
      <alignment horizontal="center"/>
      <protection locked="0"/>
    </xf>
    <xf numFmtId="165" fontId="0" fillId="0" borderId="2" xfId="1" applyNumberFormat="1" applyFont="1" applyFill="1" applyBorder="1" applyAlignment="1" applyProtection="1">
      <alignment horizontal="center"/>
      <protection locked="0"/>
    </xf>
    <xf numFmtId="0" fontId="24" fillId="0" borderId="0" xfId="0" applyFont="1"/>
    <xf numFmtId="164" fontId="25" fillId="0" borderId="0" xfId="0" applyNumberFormat="1" applyFont="1"/>
    <xf numFmtId="164" fontId="25" fillId="9" borderId="0" xfId="0" applyNumberFormat="1" applyFont="1" applyFill="1"/>
    <xf numFmtId="0" fontId="25" fillId="0" borderId="0" xfId="0" applyFont="1"/>
    <xf numFmtId="2" fontId="11" fillId="4" borderId="1" xfId="1" applyNumberFormat="1" applyFont="1" applyFill="1" applyBorder="1" applyAlignment="1" applyProtection="1">
      <alignment horizontal="center"/>
      <protection locked="0"/>
    </xf>
    <xf numFmtId="2" fontId="0" fillId="4" borderId="1" xfId="1" applyNumberFormat="1" applyFont="1" applyFill="1" applyBorder="1" applyAlignment="1" applyProtection="1">
      <alignment horizontal="center"/>
      <protection locked="0"/>
    </xf>
    <xf numFmtId="10" fontId="0" fillId="4" borderId="1" xfId="1" applyNumberFormat="1" applyFont="1" applyFill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164" fontId="6" fillId="0" borderId="0" xfId="0" applyNumberFormat="1" applyFont="1" applyAlignment="1" applyProtection="1">
      <alignment horizontal="center"/>
      <protection locked="0"/>
    </xf>
    <xf numFmtId="165" fontId="6" fillId="0" borderId="0" xfId="0" applyNumberFormat="1" applyFont="1" applyAlignment="1" applyProtection="1">
      <alignment horizontal="center"/>
      <protection locked="0"/>
    </xf>
    <xf numFmtId="0" fontId="0" fillId="13" borderId="0" xfId="0" applyFill="1"/>
    <xf numFmtId="164" fontId="0" fillId="13" borderId="0" xfId="0" applyNumberFormat="1" applyFill="1"/>
    <xf numFmtId="165" fontId="0" fillId="0" borderId="0" xfId="1" applyNumberFormat="1" applyFont="1" applyFill="1" applyAlignment="1" applyProtection="1">
      <protection locked="0"/>
    </xf>
    <xf numFmtId="0" fontId="0" fillId="12" borderId="0" xfId="0" applyFill="1"/>
    <xf numFmtId="164" fontId="0" fillId="12" borderId="0" xfId="0" applyNumberFormat="1" applyFill="1"/>
    <xf numFmtId="165" fontId="0" fillId="12" borderId="0" xfId="1" applyNumberFormat="1" applyFont="1" applyFill="1" applyAlignment="1"/>
    <xf numFmtId="0" fontId="0" fillId="11" borderId="0" xfId="0" applyFill="1"/>
    <xf numFmtId="164" fontId="0" fillId="11" borderId="0" xfId="0" applyNumberFormat="1" applyFill="1"/>
    <xf numFmtId="1" fontId="0" fillId="11" borderId="0" xfId="0" applyNumberFormat="1" applyFill="1"/>
    <xf numFmtId="165" fontId="0" fillId="11" borderId="0" xfId="1" applyNumberFormat="1" applyFont="1" applyFill="1" applyAlignment="1"/>
    <xf numFmtId="0" fontId="0" fillId="10" borderId="0" xfId="0" applyFill="1"/>
    <xf numFmtId="164" fontId="0" fillId="10" borderId="0" xfId="0" applyNumberFormat="1" applyFill="1"/>
    <xf numFmtId="165" fontId="0" fillId="0" borderId="0" xfId="0" applyNumberFormat="1" applyProtection="1">
      <protection locked="0"/>
    </xf>
    <xf numFmtId="168" fontId="0" fillId="0" borderId="0" xfId="3" applyNumberFormat="1" applyFont="1" applyProtection="1"/>
    <xf numFmtId="10" fontId="11" fillId="4" borderId="1" xfId="1" applyNumberFormat="1" applyFont="1" applyFill="1" applyBorder="1" applyAlignment="1" applyProtection="1">
      <alignment horizontal="center"/>
      <protection locked="0"/>
    </xf>
    <xf numFmtId="0" fontId="26" fillId="1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26" fillId="14" borderId="1" xfId="0" applyNumberFormat="1" applyFont="1" applyFill="1" applyBorder="1" applyAlignment="1">
      <alignment horizontal="center" vertical="center" wrapText="1"/>
    </xf>
    <xf numFmtId="0" fontId="26" fillId="15" borderId="1" xfId="0" applyFont="1" applyFill="1" applyBorder="1" applyAlignment="1">
      <alignment horizontal="center" vertical="center" wrapText="1"/>
    </xf>
    <xf numFmtId="1" fontId="26" fillId="15" borderId="1" xfId="0" applyNumberFormat="1" applyFont="1" applyFill="1" applyBorder="1" applyAlignment="1">
      <alignment horizontal="center" vertical="center" wrapText="1"/>
    </xf>
    <xf numFmtId="164" fontId="0" fillId="0" borderId="2" xfId="0" applyNumberFormat="1" applyBorder="1" applyAlignment="1" applyProtection="1">
      <alignment horizontal="center"/>
      <protection locked="0"/>
    </xf>
    <xf numFmtId="165" fontId="7" fillId="4" borderId="1" xfId="1" applyNumberFormat="1" applyFont="1" applyFill="1" applyBorder="1" applyAlignment="1" applyProtection="1">
      <alignment horizontal="center" vertical="center" wrapText="1"/>
      <protection locked="0"/>
    </xf>
    <xf numFmtId="164" fontId="7" fillId="4" borderId="1" xfId="0" applyNumberFormat="1" applyFont="1" applyFill="1" applyBorder="1" applyAlignment="1" applyProtection="1">
      <alignment horizontal="center" vertical="center" wrapText="1"/>
      <protection locked="0"/>
    </xf>
    <xf numFmtId="2" fontId="7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2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0" fillId="3" borderId="1" xfId="0" applyNumberFormat="1" applyFill="1" applyBorder="1" applyAlignment="1" applyProtection="1">
      <alignment horizontal="center"/>
      <protection locked="0"/>
    </xf>
    <xf numFmtId="165" fontId="0" fillId="3" borderId="1" xfId="1" applyNumberFormat="1" applyFont="1" applyFill="1" applyBorder="1" applyAlignment="1" applyProtection="1">
      <alignment horizontal="center"/>
      <protection locked="0"/>
    </xf>
    <xf numFmtId="2" fontId="0" fillId="3" borderId="1" xfId="0" applyNumberFormat="1" applyFill="1" applyBorder="1" applyAlignment="1" applyProtection="1">
      <alignment horizontal="center"/>
      <protection locked="0"/>
    </xf>
    <xf numFmtId="164" fontId="11" fillId="0" borderId="0" xfId="0" applyNumberFormat="1" applyFont="1" applyAlignment="1" applyProtection="1">
      <alignment horizontal="center"/>
      <protection locked="0"/>
    </xf>
    <xf numFmtId="164" fontId="11" fillId="0" borderId="0" xfId="1" applyNumberFormat="1" applyFont="1" applyBorder="1" applyAlignment="1" applyProtection="1">
      <alignment horizontal="center"/>
      <protection locked="0"/>
    </xf>
    <xf numFmtId="165" fontId="6" fillId="4" borderId="1" xfId="1" applyNumberFormat="1" applyFont="1" applyFill="1" applyBorder="1" applyAlignment="1" applyProtection="1">
      <alignment horizontal="center" vertical="center" wrapText="1"/>
      <protection locked="0"/>
    </xf>
    <xf numFmtId="164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6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13" fillId="0" borderId="1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7" fillId="0" borderId="0" xfId="0" applyNumberFormat="1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3" borderId="1" xfId="0" applyNumberFormat="1" applyFill="1" applyBorder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0" fillId="3" borderId="1" xfId="0" applyNumberFormat="1" applyFill="1" applyBorder="1" applyAlignment="1" applyProtection="1">
      <alignment horizontal="center"/>
      <protection locked="0"/>
    </xf>
    <xf numFmtId="2" fontId="0" fillId="0" borderId="0" xfId="1" applyNumberFormat="1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0" borderId="0" xfId="4" applyFont="1" applyProtection="1">
      <protection locked="0"/>
    </xf>
    <xf numFmtId="165" fontId="0" fillId="10" borderId="0" xfId="1" applyNumberFormat="1" applyFont="1" applyFill="1" applyAlignment="1" applyProtection="1">
      <protection locked="0"/>
    </xf>
    <xf numFmtId="0" fontId="2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1" fillId="0" borderId="0" xfId="4" applyFont="1" applyProtection="1">
      <protection locked="0"/>
    </xf>
    <xf numFmtId="165" fontId="6" fillId="10" borderId="1" xfId="1" applyNumberFormat="1" applyFont="1" applyFill="1" applyBorder="1" applyAlignment="1" applyProtection="1">
      <alignment horizontal="center" vertical="center" wrapText="1"/>
      <protection locked="0"/>
    </xf>
    <xf numFmtId="165" fontId="7" fillId="10" borderId="1" xfId="1" applyNumberFormat="1" applyFont="1" applyFill="1" applyBorder="1" applyAlignment="1" applyProtection="1">
      <alignment horizontal="center" vertical="center" wrapText="1"/>
      <protection locked="0"/>
    </xf>
    <xf numFmtId="164" fontId="10" fillId="0" borderId="0" xfId="1" applyNumberFormat="1" applyFont="1" applyAlignment="1" applyProtection="1">
      <alignment horizontal="center"/>
      <protection locked="0"/>
    </xf>
    <xf numFmtId="2" fontId="10" fillId="0" borderId="0" xfId="1" applyNumberFormat="1" applyFont="1" applyAlignment="1" applyProtection="1">
      <alignment horizontal="center"/>
      <protection locked="0"/>
    </xf>
    <xf numFmtId="1" fontId="6" fillId="0" borderId="0" xfId="0" applyNumberFormat="1" applyFont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64" fontId="9" fillId="0" borderId="0" xfId="0" applyNumberFormat="1" applyFont="1" applyAlignment="1">
      <alignment horizontal="center" wrapText="1"/>
    </xf>
    <xf numFmtId="1" fontId="8" fillId="0" borderId="0" xfId="0" applyNumberFormat="1" applyFont="1" applyAlignment="1">
      <alignment horizontal="center"/>
    </xf>
    <xf numFmtId="164" fontId="8" fillId="10" borderId="0" xfId="0" applyNumberFormat="1" applyFont="1" applyFill="1" applyAlignment="1">
      <alignment horizontal="center"/>
    </xf>
    <xf numFmtId="164" fontId="0" fillId="10" borderId="0" xfId="0" applyNumberFormat="1" applyFill="1" applyAlignment="1">
      <alignment horizontal="center"/>
    </xf>
    <xf numFmtId="164" fontId="8" fillId="0" borderId="0" xfId="0" applyNumberFormat="1" applyFont="1" applyAlignment="1">
      <alignment horizontal="center"/>
    </xf>
    <xf numFmtId="165" fontId="0" fillId="0" borderId="0" xfId="1" applyNumberFormat="1" applyFont="1" applyBorder="1" applyAlignment="1" applyProtection="1">
      <alignment horizontal="center"/>
    </xf>
    <xf numFmtId="165" fontId="0" fillId="0" borderId="0" xfId="1" applyNumberFormat="1" applyFont="1" applyBorder="1" applyAlignment="1" applyProtection="1">
      <alignment horizontal="center"/>
      <protection locked="0"/>
    </xf>
    <xf numFmtId="0" fontId="18" fillId="0" borderId="0" xfId="2" applyFont="1" applyAlignment="1">
      <alignment horizontal="left"/>
    </xf>
  </cellXfs>
  <cellStyles count="6">
    <cellStyle name="Currency" xfId="3" builtinId="4"/>
    <cellStyle name="Hyperlink" xfId="2" builtinId="8"/>
    <cellStyle name="Normal" xfId="0" builtinId="0"/>
    <cellStyle name="Normal 2" xfId="4" xr:uid="{00000000-0005-0000-0000-000003000000}"/>
    <cellStyle name="Percent" xfId="1" builtinId="5"/>
    <cellStyle name="Percent 2" xfId="5" xr:uid="{00000000-0005-0000-0000-000005000000}"/>
  </cellStyles>
  <dxfs count="48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167" formatCode="&quot;$&quot;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8" formatCode="&quot;$&quot;#,##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fill>
        <patternFill patternType="solid">
          <fgColor indexed="64"/>
          <bgColor rgb="FF92D050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8" formatCode="&quot;$&quot;#,##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fill>
        <patternFill patternType="solid">
          <fgColor indexed="64"/>
          <bgColor rgb="FF92D050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8" formatCode="&quot;$&quot;#,##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fill>
        <patternFill patternType="solid">
          <fgColor indexed="64"/>
          <bgColor rgb="FF92D050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68" formatCode="&quot;$&quot;#,##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"/>
      <fill>
        <patternFill patternType="solid">
          <fgColor indexed="64"/>
          <bgColor rgb="FF92D050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0.0"/>
      <alignment horizontal="general" vertical="bottom" textRotation="0" wrapText="0" indent="0" justifyLastLine="0" shrinkToFit="0" readingOrder="0"/>
    </dxf>
    <dxf>
      <numFmt numFmtId="164" formatCode="0.0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8" formatCode="&quot;$&quot;#,##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protection locked="1" hidden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indexed="64"/>
          <bgColor rgb="FFFFD69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8" formatCode="&quot;$&quot;#,##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protection locked="1" hidden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indexed="64"/>
          <bgColor rgb="FFFFD69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8" formatCode="&quot;$&quot;#,##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protection locked="1" hidden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indexed="64"/>
          <bgColor rgb="FFFFD69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8" formatCode="&quot;$&quot;#,##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protection locked="1" hidden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indexed="64"/>
          <bgColor rgb="FFFFD69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8" formatCode="&quot;$&quot;#,##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protection locked="1" hidden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indexed="64"/>
          <bgColor rgb="FFFFD5D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8" formatCode="&quot;$&quot;#,##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protection locked="1" hidden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indexed="64"/>
          <bgColor rgb="FFFFD5D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8" formatCode="&quot;$&quot;#,##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protection locked="1" hidden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indexed="64"/>
          <bgColor rgb="FFFFD5D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8" formatCode="&quot;$&quot;#,##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protection locked="1" hidden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indexed="64"/>
          <bgColor rgb="FFFFD5D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5" formatCode="0.0%"/>
      <fill>
        <patternFill patternType="solid">
          <fgColor indexed="64"/>
          <bgColor rgb="FFF1F7ED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fill>
        <patternFill patternType="solid">
          <fgColor indexed="64"/>
          <bgColor rgb="FFF1F7ED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indexed="64"/>
          <bgColor rgb="FFF1F7E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rgb="FFF1F7ED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rgb="FFF1F7ED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5" formatCode="0.0%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5" formatCode="0.0%"/>
      <fill>
        <patternFill patternType="solid">
          <fgColor indexed="64"/>
          <bgColor rgb="FFEAF3FA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fill>
        <patternFill patternType="solid">
          <fgColor indexed="64"/>
          <bgColor rgb="FFEAF3FA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" formatCode="0"/>
      <fill>
        <patternFill patternType="solid">
          <fgColor indexed="64"/>
          <bgColor rgb="FFEAF3FA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fill>
        <patternFill patternType="solid">
          <fgColor indexed="64"/>
          <bgColor rgb="FFEAF3FA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indexed="64"/>
          <bgColor rgb="FFEAF3FA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indexed="64"/>
          <bgColor rgb="FFEAF3FA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5" formatCode="0.0%"/>
      <fill>
        <patternFill patternType="solid">
          <fgColor indexed="64"/>
          <bgColor rgb="FFF1F7ED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fill>
        <patternFill patternType="solid">
          <fgColor indexed="64"/>
          <bgColor rgb="FFF1F7ED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rgb="FFF1F7ED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indexed="64"/>
          <bgColor rgb="FFF1F7ED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rgb="FFF1F7ED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solid">
          <fgColor indexed="64"/>
          <bgColor rgb="FFFFEBD7"/>
        </patternFill>
      </fill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8" formatCode="&quot;$&quot;#,##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8" formatCode="&quot;$&quot;#,##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8" formatCode="&quot;$&quot;#,##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8" formatCode="&quot;$&quot;#,##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8" formatCode="&quot;$&quot;#,##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0.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solid">
          <fgColor indexed="64"/>
          <bgColor rgb="FFF5DCFF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rgb="FFF5DCFF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solid">
          <fgColor indexed="64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</dxfs>
  <tableStyles count="0" defaultTableStyle="TableStyleLight8" defaultPivotStyle="PivotStyleLight16"/>
  <colors>
    <mruColors>
      <color rgb="FFFFD69F"/>
      <color rgb="FFFFD5D5"/>
      <color rgb="FFFFC87D"/>
      <color rgb="FFEAF3FA"/>
      <color rgb="FFF1F7ED"/>
      <color rgb="FFFFEBD7"/>
      <color rgb="FFFFE6B9"/>
      <color rgb="FFF5DCFF"/>
      <color rgb="FFC8E6FA"/>
      <color rgb="FFE6B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1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s\livin\Desktop\FF2021%2520Custom%2520Cheatsheet%2520Update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ettings"/>
      <sheetName val="POS Ranks"/>
      <sheetName val="ARI"/>
      <sheetName val="ATL"/>
      <sheetName val="BAL"/>
      <sheetName val="BUF"/>
      <sheetName val="CAR"/>
      <sheetName val="CHI"/>
      <sheetName val="CIN"/>
      <sheetName val="CLE"/>
      <sheetName val="DAL"/>
      <sheetName val="DEN"/>
      <sheetName val="DET"/>
      <sheetName val="GB"/>
      <sheetName val="HOU"/>
      <sheetName val="IND"/>
      <sheetName val="JAX"/>
      <sheetName val="KC"/>
      <sheetName val="LAC"/>
      <sheetName val="LAR"/>
      <sheetName val="LV"/>
      <sheetName val="MIA"/>
      <sheetName val="MIN"/>
      <sheetName val="NE"/>
      <sheetName val="NO"/>
      <sheetName val="NYG"/>
      <sheetName val="NYJ"/>
      <sheetName val="PHI"/>
      <sheetName val="PIT"/>
      <sheetName val="SEA"/>
      <sheetName val="SF"/>
      <sheetName val="TB"/>
      <sheetName val="TEN"/>
      <sheetName val="WFT"/>
      <sheetName val="DST"/>
      <sheetName val="QB"/>
      <sheetName val="RB"/>
      <sheetName val="WR"/>
      <sheetName val="TE"/>
      <sheetName val="DST1"/>
    </sheetNames>
    <sheetDataSet>
      <sheetData sheetId="0" refreshError="1"/>
      <sheetData sheetId="1">
        <row r="2">
          <cell r="B2">
            <v>0</v>
          </cell>
        </row>
        <row r="3">
          <cell r="B3">
            <v>0</v>
          </cell>
        </row>
        <row r="4">
          <cell r="B4">
            <v>0.04</v>
          </cell>
        </row>
        <row r="5">
          <cell r="B5">
            <v>4</v>
          </cell>
        </row>
        <row r="6">
          <cell r="B6">
            <v>-2</v>
          </cell>
        </row>
        <row r="7">
          <cell r="B7">
            <v>0</v>
          </cell>
        </row>
        <row r="8">
          <cell r="B8">
            <v>0.1</v>
          </cell>
        </row>
        <row r="9">
          <cell r="B9">
            <v>6</v>
          </cell>
        </row>
        <row r="10">
          <cell r="B10">
            <v>0</v>
          </cell>
        </row>
        <row r="11">
          <cell r="B11">
            <v>0.5</v>
          </cell>
        </row>
        <row r="12">
          <cell r="B12">
            <v>0.5</v>
          </cell>
        </row>
        <row r="13">
          <cell r="B13">
            <v>0.5</v>
          </cell>
        </row>
        <row r="14">
          <cell r="B14">
            <v>0.1</v>
          </cell>
        </row>
        <row r="15">
          <cell r="B15">
            <v>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LeagueSettings" displayName="TableLeagueSettings" ref="A1:B28" totalsRowShown="0" headerRowDxfId="486" dataDxfId="484" headerRowBorderDxfId="485" tableBorderDxfId="483" totalsRowBorderDxfId="482">
  <tableColumns count="2">
    <tableColumn id="1" xr3:uid="{00000000-0010-0000-0000-000001000000}" name="Catergoy" dataDxfId="481"/>
    <tableColumn id="2" xr3:uid="{00000000-0010-0000-0000-000002000000}" name="Points" dataDxfId="48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9000000}" name="TableRBVORP" displayName="TableRBVORP" ref="H1:M176" totalsRowShown="0" headerRowDxfId="421" dataDxfId="420">
  <sortState xmlns:xlrd2="http://schemas.microsoft.com/office/spreadsheetml/2017/richdata2" ref="H2:M176">
    <sortCondition ref="H1:H176"/>
  </sortState>
  <tableColumns count="6">
    <tableColumn id="1" xr3:uid="{00000000-0010-0000-0900-000001000000}" name="RK" dataDxfId="419">
      <calculatedColumnFormula>IFERROR(RANK(TableRBVORP[[#This Row],[FPS]],TableRBVORP[FPS],0),"")</calculatedColumnFormula>
    </tableColumn>
    <tableColumn id="2" xr3:uid="{00000000-0010-0000-0900-000002000000}" name="RUNNING BACK" dataDxfId="418">
      <calculatedColumnFormula>IFERROR(INDEX(TableRBCalcPts[PLAYER],MATCH(TableRBVORP[[#This Row],[RK]],TableRBCalcPts[RK],0)),"")</calculatedColumnFormula>
    </tableColumn>
    <tableColumn id="3" xr3:uid="{00000000-0010-0000-0900-000003000000}" name="TM" dataDxfId="417">
      <calculatedColumnFormula>IFERROR(INDEX(TableRBCalcPts[TM],MATCH(TableRBVORP[[#This Row],[RK]],TableRBCalcPts[RK],0)),"")</calculatedColumnFormula>
    </tableColumn>
    <tableColumn id="4" xr3:uid="{00000000-0010-0000-0900-000004000000}" name="BYE" dataDxfId="416">
      <calculatedColumnFormula>IFERROR(INDEX(TableRBCalcPts[BYE],MATCH(TableRBVORP[[#This Row],[RK]],TableRBCalcPts[RK],0)),"")</calculatedColumnFormula>
    </tableColumn>
    <tableColumn id="5" xr3:uid="{00000000-0010-0000-0900-000005000000}" name="FPS" dataDxfId="415">
      <calculatedColumnFormula>IFERROR(INDEX(TableRBCalcPts[Custom],MATCH(TableRBVORP[[#This Row],[RK]],TableRBCalcPts[RK],0)),"")</calculatedColumnFormula>
    </tableColumn>
    <tableColumn id="6" xr3:uid="{00000000-0010-0000-0900-000006000000}" name="VORP" dataDxfId="414" dataCellStyle="Percent">
      <calculatedColumnFormula>(IFERROR((TableRBVORP[[#This Row],[FPS]]-INDEX(TableRBVORP[FPS],MATCH(RBVORPCalc,TableRBVORP[RK],0)))/INDEX(TableRBVORP[FPS],MATCH(RBVORPCalc,TableRBVORP[RK],0)),""))*0.8</calculatedColumnFormula>
    </tableColumn>
  </tableColumns>
  <tableStyleInfo name="TableStyleLight8" showFirstColumn="0" showLastColumn="0" showRowStripes="1" showColumn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A000000}" name="TableWRVORP" displayName="TableWRVORP" ref="O1:T226" totalsRowShown="0" headerRowDxfId="413" dataDxfId="412">
  <sortState xmlns:xlrd2="http://schemas.microsoft.com/office/spreadsheetml/2017/richdata2" ref="O2:T226">
    <sortCondition ref="O1:O226"/>
  </sortState>
  <tableColumns count="6">
    <tableColumn id="1" xr3:uid="{00000000-0010-0000-0A00-000001000000}" name="RK" dataDxfId="411">
      <calculatedColumnFormula>IFERROR(RANK(TableWRVORP[[#This Row],[FPS]],TableWRVORP[FPS],0),"")</calculatedColumnFormula>
    </tableColumn>
    <tableColumn id="2" xr3:uid="{00000000-0010-0000-0A00-000002000000}" name="WIDE RECEIVER" dataDxfId="410">
      <calculatedColumnFormula>IFERROR(INDEX(TableWRCalcPts[PLAYER],MATCH(TableWRVORP[[#This Row],[RK]],TableWRCalcPts[RK],0)),"")</calculatedColumnFormula>
    </tableColumn>
    <tableColumn id="3" xr3:uid="{00000000-0010-0000-0A00-000003000000}" name="TM" dataDxfId="409">
      <calculatedColumnFormula>IFERROR(INDEX(TableWRCalcPts[TM],MATCH(TableWRVORP[[#This Row],[RK]],TableWRCalcPts[RK],0)),"")</calculatedColumnFormula>
    </tableColumn>
    <tableColumn id="4" xr3:uid="{00000000-0010-0000-0A00-000004000000}" name="BYE" dataDxfId="408">
      <calculatedColumnFormula>IFERROR(INDEX(TableWRCalcPts[BYE],MATCH(TableWRVORP[[#This Row],[RK]],TableWRCalcPts[RK],0)),"")</calculatedColumnFormula>
    </tableColumn>
    <tableColumn id="5" xr3:uid="{00000000-0010-0000-0A00-000005000000}" name="FPS" dataDxfId="407">
      <calculatedColumnFormula>IFERROR(INDEX(TableWRCalcPts[Custom],MATCH(TableWRVORP[[#This Row],[RK]],TableWRCalcPts[RK],0)),"")</calculatedColumnFormula>
    </tableColumn>
    <tableColumn id="6" xr3:uid="{00000000-0010-0000-0A00-000006000000}" name="VORP" dataDxfId="406" dataCellStyle="Percent">
      <calculatedColumnFormula>(IFERROR((TableWRVORP[[#This Row],[FPS]]-INDEX(TableWRVORP[FPS],MATCH(WRVORPCalc,TableWRVORP[RK],0)))/INDEX(TableWRVORP[FPS],MATCH(WRVORPCalc,TableWRVORP[RK],0)),""))*1.2</calculatedColumnFormula>
    </tableColumn>
  </tableColumns>
  <tableStyleInfo name="TableStyleLight8" showFirstColumn="0" showLastColumn="0" showRowStripes="1" showColumn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B000000}" name="TableTEVORP" displayName="TableTEVORP" ref="V1:AA101" totalsRowShown="0" headerRowDxfId="405" dataDxfId="404">
  <sortState xmlns:xlrd2="http://schemas.microsoft.com/office/spreadsheetml/2017/richdata2" ref="V2:AA101">
    <sortCondition ref="V1:V101"/>
  </sortState>
  <tableColumns count="6">
    <tableColumn id="1" xr3:uid="{00000000-0010-0000-0B00-000001000000}" name="RK" dataDxfId="403">
      <calculatedColumnFormula>IFERROR(RANK(TableTEVORP[[#This Row],[FPS]],TableTEVORP[FPS],0),"")</calculatedColumnFormula>
    </tableColumn>
    <tableColumn id="2" xr3:uid="{00000000-0010-0000-0B00-000002000000}" name="TIGHT END" dataDxfId="402">
      <calculatedColumnFormula>IFERROR(INDEX(TableTECalcPts[PLAYER],MATCH(TableTEVORP[[#This Row],[RK]],TableTECalcPts[RK],0)),"")</calculatedColumnFormula>
    </tableColumn>
    <tableColumn id="3" xr3:uid="{00000000-0010-0000-0B00-000003000000}" name="TM" dataDxfId="401">
      <calculatedColumnFormula>IFERROR(INDEX(TableTECalcPts[TM],MATCH(TableTEVORP[[#This Row],[RK]],TableTECalcPts[RK],0)),"")</calculatedColumnFormula>
    </tableColumn>
    <tableColumn id="4" xr3:uid="{00000000-0010-0000-0B00-000004000000}" name="BYE" dataDxfId="400">
      <calculatedColumnFormula>IFERROR(INDEX(TableTECalcPts[BYE],MATCH(TableTEVORP[[#This Row],[RK]],TableTECalcPts[RK],0)),"")</calculatedColumnFormula>
    </tableColumn>
    <tableColumn id="5" xr3:uid="{00000000-0010-0000-0B00-000005000000}" name="FPS" dataDxfId="399">
      <calculatedColumnFormula>IFERROR(INDEX(TableTECalcPts[Custom],MATCH(TableTEVORP[[#This Row],[RK]],TableTECalcPts[RK],0)),"")</calculatedColumnFormula>
    </tableColumn>
    <tableColumn id="6" xr3:uid="{00000000-0010-0000-0B00-000006000000}" name="VORP" dataDxfId="398" dataCellStyle="Percent">
      <calculatedColumnFormula>IFERROR((TableTEVORP[[#This Row],[FPS]]-INDEX(TableTEVORP[FPS],MATCH(TEVORPCalc,TableTEVORP[RK],0)))/INDEX(TableTEVORP[FPS],MATCH(TEVORPCalc,TableTEVORP[RK],0)),"")</calculatedColumnFormula>
    </tableColumn>
  </tableColumns>
  <tableStyleInfo name="TableStyleLight8" showFirstColumn="0" showLastColumn="0" showRowStripes="1" showColumn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C000000}" name="TableOverallMaster" displayName="TableOverallMaster" ref="AF1:AM301" totalsRowShown="0" headerRowDxfId="397" dataDxfId="396">
  <tableColumns count="8">
    <tableColumn id="1" xr3:uid="{00000000-0010-0000-0C00-000001000000}" name="POS" dataDxfId="395"/>
    <tableColumn id="2" xr3:uid="{00000000-0010-0000-0C00-000002000000}" name="RK" dataDxfId="394"/>
    <tableColumn id="7" xr3:uid="{00000000-0010-0000-0C00-000007000000}" name="OVR RK" dataDxfId="393">
      <calculatedColumnFormula>RANK(TableOverallMaster[[#This Row],[VORP]],TableOverallMaster[VORP])+COUNTIF($AM$2:AM2,AM2)-1</calculatedColumnFormula>
    </tableColumn>
    <tableColumn id="3" xr3:uid="{00000000-0010-0000-0C00-000003000000}" name="OVERALL PLAYER" dataDxfId="392">
      <calculatedColumnFormula>IFERROR(INDEX(TableQBVORP[QUARTERBACK],MATCH(TableOverallMaster[[#This Row],[RK]],TableQBVORP[RK],0)),"")</calculatedColumnFormula>
    </tableColumn>
    <tableColumn id="4" xr3:uid="{00000000-0010-0000-0C00-000004000000}" name="POS RK" dataDxfId="391">
      <calculatedColumnFormula>CONCATENATE(AF2,AG2)</calculatedColumnFormula>
    </tableColumn>
    <tableColumn id="9" xr3:uid="{00000000-0010-0000-0C00-000009000000}" name="BYE" dataDxfId="390">
      <calculatedColumnFormula>IFERROR(INDEX(TableQBVORP[BYE],MATCH(TableOverallMaster[[#This Row],[RK]],TableQBVORP[RK],0)),"")</calculatedColumnFormula>
    </tableColumn>
    <tableColumn id="5" xr3:uid="{00000000-0010-0000-0C00-000005000000}" name="Custom" dataDxfId="389">
      <calculatedColumnFormula>VLOOKUP(AG2,V$1:AA$101,5,FALSE)</calculatedColumnFormula>
    </tableColumn>
    <tableColumn id="6" xr3:uid="{00000000-0010-0000-0C00-000006000000}" name="VORP" dataDxfId="388" dataCellStyle="Percent">
      <calculatedColumnFormula>IFERROR(INDEX(TableQBVORP[VORP],MATCH(TableOverallMaster[[#This Row],[RK]],TableQBVORP[RK],0)),"")</calculatedColumnFormula>
    </tableColumn>
  </tableColumns>
  <tableStyleInfo name="TableStyleLight8" showFirstColumn="0" showLastColumn="0" showRowStripes="1" showColumn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D000000}" name="TableOverallRank" displayName="TableOverallRank" ref="AO1:AT301" totalsRowShown="0" headerRowDxfId="387" dataDxfId="386">
  <sortState xmlns:xlrd2="http://schemas.microsoft.com/office/spreadsheetml/2017/richdata2" ref="AO2:AT301">
    <sortCondition descending="1" ref="AT2:AT301"/>
  </sortState>
  <tableColumns count="6">
    <tableColumn id="1" xr3:uid="{00000000-0010-0000-0D00-000001000000}" name="RK" dataDxfId="385"/>
    <tableColumn id="2" xr3:uid="{00000000-0010-0000-0D00-000002000000}" name="OVERALL PLAYER" dataDxfId="384">
      <calculatedColumnFormula>IFERROR(INDEX(TableOverallMaster[OVERALL PLAYER],MATCH(TableOverallRank[[#This Row],[RK]],TableOverallMaster[OVR RK],0)),"")</calculatedColumnFormula>
    </tableColumn>
    <tableColumn id="3" xr3:uid="{00000000-0010-0000-0D00-000003000000}" name="POS RK" dataDxfId="383">
      <calculatedColumnFormula>IFERROR(INDEX(TableOverallMaster[POS RK],MATCH(TableOverallRank[[#This Row],[OVERALL PLAYER]],TableOverallMaster[OVERALL PLAYER],0)),"")</calculatedColumnFormula>
    </tableColumn>
    <tableColumn id="6" xr3:uid="{00000000-0010-0000-0D00-000006000000}" name="BYE" dataDxfId="382">
      <calculatedColumnFormula>IFERROR(INDEX(TableOverallMaster[BYE],MATCH(TableOverallRank[[#This Row],[OVERALL PLAYER]],TableOverallMaster[OVERALL PLAYER],0)),"")</calculatedColumnFormula>
    </tableColumn>
    <tableColumn id="4" xr3:uid="{00000000-0010-0000-0D00-000004000000}" name="FPS" dataDxfId="381">
      <calculatedColumnFormula>IFERROR(INDEX(TableOverallMaster[Custom],MATCH(TableOverallRank[[#This Row],[OVERALL PLAYER]],TableOverallMaster[OVERALL PLAYER],0)),"")</calculatedColumnFormula>
    </tableColumn>
    <tableColumn id="5" xr3:uid="{00000000-0010-0000-0D00-000005000000}" name="VORP" dataDxfId="380" dataCellStyle="Percent">
      <calculatedColumnFormula>IFERROR(INDEX(TableOverallMaster[VORP],MATCH(TableOverallRank[[#This Row],[OVERALL PLAYER]],TableOverallMaster[OVERALL PLAYER],0)),"")</calculatedColumnFormula>
    </tableColumn>
  </tableColumns>
  <tableStyleInfo name="TableStyleLight8" showFirstColumn="0" showLastColumn="0" showRowStripes="1" showColumn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E000000}" name="TableWRTERank" displayName="TableWRTERank" ref="AV1:BA281" totalsRowShown="0" headerRowDxfId="379" dataDxfId="378">
  <tableColumns count="6">
    <tableColumn id="1" xr3:uid="{00000000-0010-0000-0E00-000001000000}" name="RK" dataDxfId="377"/>
    <tableColumn id="2" xr3:uid="{00000000-0010-0000-0E00-000002000000}" name="WR and TE COMBINED" dataDxfId="376">
      <calculatedColumnFormula>IFERROR(INDEX(TableWRTECalcPts[PLAYER],MATCH(TableWRTERank[[#This Row],[RK]],TableWRTECalcPts[RK],0)),"")</calculatedColumnFormula>
    </tableColumn>
    <tableColumn id="3" xr3:uid="{00000000-0010-0000-0E00-000003000000}" name="POS RK" dataDxfId="375">
      <calculatedColumnFormula>IFERROR(INDEX(TableWRTECalcPts[POS RK],MATCH(TableWRTERank[[#This Row],[WR and TE COMBINED]],TableWRTECalcPts[PLAYER],0)),"")</calculatedColumnFormula>
    </tableColumn>
    <tableColumn id="4" xr3:uid="{00000000-0010-0000-0E00-000004000000}" name="BYE" dataDxfId="374">
      <calculatedColumnFormula>IFERROR(INDEX(TableWRTECalcPts[BYE],MATCH(TableWRTERank[[#This Row],[RK]],TableWRTECalcPts[RK],0)),"")</calculatedColumnFormula>
    </tableColumn>
    <tableColumn id="5" xr3:uid="{00000000-0010-0000-0E00-000005000000}" name="FPS" dataDxfId="373">
      <calculatedColumnFormula>IFERROR(INDEX(TableWRTECalcPts[Custom],MATCH(TableWRTERank[[#This Row],[RK]],TableWRTECalcPts[RK],0)),"")</calculatedColumnFormula>
    </tableColumn>
    <tableColumn id="6" xr3:uid="{00000000-0010-0000-0E00-000006000000}" name="VORP" dataDxfId="372" dataCellStyle="Percent">
      <calculatedColumnFormula>IFERROR((TableWRTERank[[#This Row],[FPS]]-INDEX(TableWRTERank[FPS],MATCH(WRTEVORPCalc,TableWRTERank[RK],0)))/INDEX(TableWRTERank[FPS],MATCH(WRTEVORPCalc,TableWRTERank[RK],0)),"")</calculatedColumnFormula>
    </tableColumn>
  </tableColumns>
  <tableStyleInfo name="TableStyleLight8" showFirstColumn="0" showLastColumn="0" showRowStripes="1" showColumn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0F000000}" name="TableWRTEMaster" displayName="TableWRTEMaster" ref="BC1:BJ281" totalsRowShown="0" headerRowDxfId="371" dataDxfId="370">
  <tableColumns count="8">
    <tableColumn id="1" xr3:uid="{00000000-0010-0000-0F00-000001000000}" name="POS" dataDxfId="369"/>
    <tableColumn id="2" xr3:uid="{00000000-0010-0000-0F00-000002000000}" name="RK" dataDxfId="368"/>
    <tableColumn id="7" xr3:uid="{00000000-0010-0000-0F00-000007000000}" name="OVR RK" dataDxfId="367">
      <calculatedColumnFormula>RANK(TableWRTEMaster[[#This Row],[VORP]],TableWRTEMaster[VORP])+COUNTIF($BJ$2:BJ2,BJ2)-1</calculatedColumnFormula>
    </tableColumn>
    <tableColumn id="3" xr3:uid="{00000000-0010-0000-0F00-000003000000}" name="OVERALL PLAYER" dataDxfId="366"/>
    <tableColumn id="4" xr3:uid="{00000000-0010-0000-0F00-000004000000}" name="POS RK" dataDxfId="365">
      <calculatedColumnFormula>_xlfn.CONCAT(TableWRTEMaster[[#This Row],[POS]],TableWRTEMaster[[#This Row],[RK]])</calculatedColumnFormula>
    </tableColumn>
    <tableColumn id="8" xr3:uid="{00000000-0010-0000-0F00-000008000000}" name="BYE" dataDxfId="364"/>
    <tableColumn id="5" xr3:uid="{00000000-0010-0000-0F00-000005000000}" name="Custom" dataDxfId="363"/>
    <tableColumn id="6" xr3:uid="{00000000-0010-0000-0F00-000006000000}" name="VORP" dataDxfId="362" dataCellStyle="Percent"/>
  </tableColumns>
  <tableStyleInfo name="TableStyleLight8" showFirstColumn="0" showLastColumn="0" showRowStripes="1" showColumn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88412A6-82F9-4959-A243-0271E6A9084C}" name="TableQBRanks30" displayName="TableQBRanks30" ref="A1:N80" totalsRowShown="0" headerRowDxfId="361" dataDxfId="359" headerRowBorderDxfId="360">
  <sortState xmlns:xlrd2="http://schemas.microsoft.com/office/spreadsheetml/2017/richdata2" ref="A2:N68">
    <sortCondition ref="A1:A68"/>
  </sortState>
  <tableColumns count="14">
    <tableColumn id="1" xr3:uid="{DD294E2D-5990-4AF8-8878-BE34A05D93D2}" name="RK" dataDxfId="358">
      <calculatedColumnFormula>RANK(TableQBRanks30[[#This Row],[FPS]],TableQBRanks30[FPS],0)</calculatedColumnFormula>
    </tableColumn>
    <tableColumn id="2" xr3:uid="{EB4C05A1-12CE-49AE-B841-2DE35B064106}" name="Player" dataDxfId="357">
      <calculatedColumnFormula>IFERROR(INDEX(TableQBCalcPts[PLAYER],MATCH(TableQBRanks30[[#This Row],[RK]],TableQBCalcPts[RK],0)),"")</calculatedColumnFormula>
    </tableColumn>
    <tableColumn id="3" xr3:uid="{904CD835-3612-42DA-BB5B-114E20C8FAE3}" name="TM" dataDxfId="356">
      <calculatedColumnFormula>IFERROR(INDEX(TableQBCalcPts[TM],MATCH(TableQBRanks30[[#This Row],[Player]],TableQBCalcPts[PLAYER],0)),"")</calculatedColumnFormula>
    </tableColumn>
    <tableColumn id="4" xr3:uid="{4A0C9585-18CB-4A5F-AA2C-71D7F53C6180}" name="BYE" dataDxfId="355">
      <calculatedColumnFormula>IFERROR(INDEX(TableQBCalcPts[BYE],MATCH(TableQBRanks30[[#This Row],[Player]],TableQBCalcPts[PLAYER],0)),"")</calculatedColumnFormula>
    </tableColumn>
    <tableColumn id="8" xr3:uid="{67E015BD-1FE5-477A-BFC1-3F737DDEE4C5}" name="PASS ATT" dataDxfId="354">
      <calculatedColumnFormula>IFERROR((VLOOKUP(TableQBRanks30[[#This Row],[Player]],QB!B:O,4,FALSE)),"")</calculatedColumnFormula>
    </tableColumn>
    <tableColumn id="10" xr3:uid="{4749D8FF-DDAD-474E-B69C-C62F500B154F}" name="COMP" dataDxfId="353">
      <calculatedColumnFormula>IFERROR((VLOOKUP(TableQBRanks30[[#This Row],[Player]],QB!B:O,5,FALSE)),"")</calculatedColumnFormula>
    </tableColumn>
    <tableColumn id="9" xr3:uid="{2E281FD5-CDAC-468F-8B8E-F8A9686E01E4}" name="PASS YARDS" dataDxfId="352">
      <calculatedColumnFormula>IFERROR((VLOOKUP(TableQBRanks30[[#This Row],[Player]],QB!B:O,6,FALSE)),"")</calculatedColumnFormula>
    </tableColumn>
    <tableColumn id="14" xr3:uid="{999EC3A5-5EF5-43EE-A502-39A8B180D38B}" name="PASS TD" dataDxfId="351">
      <calculatedColumnFormula>IFERROR((VLOOKUP(TableQBRanks30[[#This Row],[Player]],QB!B:O,7,FALSE)),"")</calculatedColumnFormula>
    </tableColumn>
    <tableColumn id="13" xr3:uid="{20DD91C2-1ACB-4E68-91C4-6404151A74FA}" name="INT" dataDxfId="350">
      <calculatedColumnFormula>IFERROR((VLOOKUP(TableQBRanks30[[#This Row],[Player]],QB!B:O,8,FALSE)),"")</calculatedColumnFormula>
    </tableColumn>
    <tableColumn id="12" xr3:uid="{A3B3A3B7-B512-4584-BB8F-5A8EE269157D}" name="RUSH ATT" dataDxfId="349">
      <calculatedColumnFormula>IFERROR((VLOOKUP(TableQBRanks30[[#This Row],[Player]],QB!B:O,9,FALSE)),"")</calculatedColumnFormula>
    </tableColumn>
    <tableColumn id="11" xr3:uid="{D8FF2F81-4F78-45B3-8213-6C6E15807121}" name="RUSH YARDS" dataDxfId="348">
      <calculatedColumnFormula>IFERROR((VLOOKUP(TableQBRanks30[[#This Row],[Player]],QB!B:O,10,FALSE)),"")</calculatedColumnFormula>
    </tableColumn>
    <tableColumn id="7" xr3:uid="{B7BD51F5-F492-466D-AC1C-D200C03341CA}" name="RUSH TD" dataDxfId="347">
      <calculatedColumnFormula>IFERROR((VLOOKUP(TableQBRanks30[[#This Row],[Player]],QB!B:O,11,FALSE)),"")</calculatedColumnFormula>
    </tableColumn>
    <tableColumn id="5" xr3:uid="{DF1DA9CD-A230-40B5-AD00-5888E844A574}" name="FPS" dataDxfId="346">
      <calculatedColumnFormula>IFERROR(INDEX(TableQBCalcPts[Custom],MATCH(TableQBRanks30[[#This Row],[RK]],TableQBCalcPts[RK],0)),"")</calculatedColumnFormula>
    </tableColumn>
    <tableColumn id="6" xr3:uid="{7568CD2B-8DE4-432F-843B-9D807E9824EF}" name="AUC$" dataDxfId="345" dataCellStyle="Currency">
      <calculatedColumnFormula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calculatedColumnFormula>
    </tableColumn>
  </tableColumns>
  <tableStyleInfo name="TableStyleLight8" showFirstColumn="0" showLastColumn="0" showRowStripes="1" showColumn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3074BF76-C86B-400B-9D4A-A1EF83A27677}" name="TableRBRanks31" displayName="TableRBRanks31" ref="P1:AB171" totalsRowShown="0" headerRowDxfId="344" dataDxfId="342" headerRowBorderDxfId="343">
  <sortState xmlns:xlrd2="http://schemas.microsoft.com/office/spreadsheetml/2017/richdata2" ref="P2:AB153">
    <sortCondition ref="P1:P153"/>
  </sortState>
  <tableColumns count="13">
    <tableColumn id="1" xr3:uid="{F8589C02-6C6A-4551-9B26-0AA53FFC4360}" name="RK" dataDxfId="341">
      <calculatedColumnFormula>RANK(TableRBRanks31[[#This Row],[FPS]],TableRBRanks31[FPS],0)</calculatedColumnFormula>
    </tableColumn>
    <tableColumn id="2" xr3:uid="{AA98FD46-655D-4881-A86F-7DC0F21E65D7}" name="Player" dataDxfId="340">
      <calculatedColumnFormula>IFERROR(INDEX(TableRBCalcPts[PLAYER],MATCH(TableRBRanks31[[#This Row],[RK]],TableRBCalcPts[RK],0)),"")</calculatedColumnFormula>
    </tableColumn>
    <tableColumn id="3" xr3:uid="{F1CE2B10-9FA7-40C6-8F57-7006F8593A6A}" name="TM" dataDxfId="339">
      <calculatedColumnFormula>IFERROR(INDEX(TableRBCalcPts[TM],MATCH(TableRBRanks31[[#This Row],[Player]],TableRBCalcPts[PLAYER],0)),"")</calculatedColumnFormula>
    </tableColumn>
    <tableColumn id="4" xr3:uid="{88D3ED97-5373-4CCF-A7B6-EC9F46DBAF12}" name="BYE" dataDxfId="338">
      <calculatedColumnFormula>IFERROR(INDEX(TableRBCalcPts[BYE],MATCH(TableRBRanks31[[#This Row],[Player]],TableRBCalcPts[PLAYER],0)),"")</calculatedColumnFormula>
    </tableColumn>
    <tableColumn id="7" xr3:uid="{CCCE3814-EAC0-47AD-9790-C63A6C9F7A84}" name="RUSH ATT" dataDxfId="337">
      <calculatedColumnFormula>IFERROR((VLOOKUP(TableRBRanks31[[#This Row],[Player]],RB!B:O,4,FALSE)),"")</calculatedColumnFormula>
    </tableColumn>
    <tableColumn id="10" xr3:uid="{46F8E04E-E137-4779-A056-F32C6C79D8ED}" name="RUSH YARDS" dataDxfId="336">
      <calculatedColumnFormula>IFERROR((VLOOKUP(TableRBRanks31[[#This Row],[Player]],RB!B:O,5,FALSE)),"")</calculatedColumnFormula>
    </tableColumn>
    <tableColumn id="9" xr3:uid="{69D6945E-A322-4EA8-8C9F-F64B8C207CE9}" name="RUSH TD" dataDxfId="335">
      <calculatedColumnFormula>IFERROR((VLOOKUP(TableRBRanks31[[#This Row],[Player]],RB!B:O,6,FALSE)),"")</calculatedColumnFormula>
    </tableColumn>
    <tableColumn id="13" xr3:uid="{E88ADEB9-929B-4902-97DB-B92524823CD7}" name="TGTS" dataDxfId="334">
      <calculatedColumnFormula>IFERROR((VLOOKUP(TableRBRanks31[[#This Row],[Player]],RB!B:O,7,FALSE)),"")</calculatedColumnFormula>
    </tableColumn>
    <tableColumn id="12" xr3:uid="{DB54F68E-08C0-4C71-9252-DE6AED1BE87A}" name="REC" dataDxfId="333">
      <calculatedColumnFormula>IFERROR((VLOOKUP(TableRBRanks31[[#This Row],[Player]],RB!B:O,8,FALSE)),"")</calculatedColumnFormula>
    </tableColumn>
    <tableColumn id="11" xr3:uid="{303F7563-DF84-4B47-9C7B-C24D317CBFF2}" name="RECV YARDS" dataDxfId="332">
      <calculatedColumnFormula>IFERROR((VLOOKUP(TableRBRanks31[[#This Row],[Player]],RB!B:O,9,FALSE)),"")</calculatedColumnFormula>
    </tableColumn>
    <tableColumn id="8" xr3:uid="{FA6E86C1-2B15-41FB-95FB-04444BAE609A}" name="RECV TD" dataDxfId="331">
      <calculatedColumnFormula>IFERROR((VLOOKUP(TableRBRanks31[[#This Row],[Player]],RB!B:O,10,FALSE)),"")</calculatedColumnFormula>
    </tableColumn>
    <tableColumn id="5" xr3:uid="{D33B3F1A-7BDB-4CC5-B0DB-EC2951D467F6}" name="FPS" dataDxfId="330">
      <calculatedColumnFormula>IFERROR((IFERROR(INDEX(TableRBCalcPts[Custom],MATCH(TableRBRanks31[[#This Row],[RK]],TableRBCalcPts[RK],0)),"")),"")</calculatedColumnFormula>
    </tableColumn>
    <tableColumn id="6" xr3:uid="{DCEA9BF2-313C-46D1-89FF-73CF9C5802EE}" name="AUC$" dataDxfId="329" dataCellStyle="Currency">
      <calculatedColumnFormula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calculatedColumnFormula>
    </tableColumn>
  </tableColumns>
  <tableStyleInfo name="TableStyleLight8" showFirstColumn="0" showLastColumn="0" showRowStripes="1" showColumn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24A6F5E5-A022-4994-AB6A-48459B2A5A50}" name="TableWRRanks32" displayName="TableWRRanks32" ref="AD1:AO221" totalsRowShown="0" headerRowDxfId="328" dataDxfId="326" headerRowBorderDxfId="327">
  <sortState xmlns:xlrd2="http://schemas.microsoft.com/office/spreadsheetml/2017/richdata2" ref="AD2:AO221">
    <sortCondition ref="AD1:AD203"/>
  </sortState>
  <tableColumns count="12">
    <tableColumn id="1" xr3:uid="{C133D361-2632-4065-9AF7-A1B699836ED1}" name="RK" dataDxfId="325">
      <calculatedColumnFormula>RANK(TableWRRanks32[[#This Row],[FPS]],TableWRRanks32[FPS],0)</calculatedColumnFormula>
    </tableColumn>
    <tableColumn id="2" xr3:uid="{F9BD7CF4-3EB9-49FC-9B83-8BD0A485D56C}" name="Player" dataDxfId="324">
      <calculatedColumnFormula>IFERROR(INDEX(TableWRCalcPts[PLAYER],MATCH(TableWRRanks32[[#This Row],[RK]],TableWRCalcPts[RK],0)),"")</calculatedColumnFormula>
    </tableColumn>
    <tableColumn id="3" xr3:uid="{A42D73C2-AFF4-42C6-A34E-C3FAC648562F}" name="TM" dataDxfId="323">
      <calculatedColumnFormula>IFERROR(INDEX(TableWRCalcPts[TM],MATCH(TableWRRanks32[[#This Row],[Player]],TableWRCalcPts[PLAYER],0)),"")</calculatedColumnFormula>
    </tableColumn>
    <tableColumn id="4" xr3:uid="{51B6DEB7-D4AE-4BAA-AD0F-7E2FAE3B8FA9}" name="BYE" dataDxfId="322">
      <calculatedColumnFormula>IFERROR(INDEX(TableWRCalcPts[BYE],MATCH(TableWRRanks32[[#This Row],[Player]],TableWRCalcPts[PLAYER],0)),"")</calculatedColumnFormula>
    </tableColumn>
    <tableColumn id="7" xr3:uid="{00F93329-FD97-4880-940E-D5B397F75F7C}" name="RUSH YARDS" dataDxfId="321">
      <calculatedColumnFormula>IFERROR((VLOOKUP(TableWRRanks32[[#This Row],[Player]],WR!B:O,4,FALSE)),"")</calculatedColumnFormula>
    </tableColumn>
    <tableColumn id="10" xr3:uid="{6F6CC6D8-08CF-48E4-B039-BA17647C357D}" name="RUSH TD" dataDxfId="320">
      <calculatedColumnFormula>IFERROR((VLOOKUP(TableWRRanks32[[#This Row],[Player]],WR!B:O,5,FALSE)),"")</calculatedColumnFormula>
    </tableColumn>
    <tableColumn id="13" xr3:uid="{DA79B0A4-BFF6-4BAE-AD35-90EC96A524A1}" name="TGTS" dataDxfId="319">
      <calculatedColumnFormula>IFERROR((VLOOKUP(TableWRRanks32[[#This Row],[Player]],WR!B:O,6,FALSE)),"")</calculatedColumnFormula>
    </tableColumn>
    <tableColumn id="12" xr3:uid="{7F5C25DD-85A3-4423-AF94-30286042FF9F}" name="REC" dataDxfId="318">
      <calculatedColumnFormula>IFERROR((VLOOKUP(TableWRRanks32[[#This Row],[Player]],WR!B:O,7,FALSE)),"")</calculatedColumnFormula>
    </tableColumn>
    <tableColumn id="11" xr3:uid="{32B83406-21A1-4BAC-81BA-F5EF20C28DEF}" name="RECV YARDS" dataDxfId="317">
      <calculatedColumnFormula>IFERROR((VLOOKUP(TableWRRanks32[[#This Row],[Player]],WR!B:O,8,FALSE)),"")</calculatedColumnFormula>
    </tableColumn>
    <tableColumn id="9" xr3:uid="{C046BF52-ED02-48F1-8A0D-A443BF83B1BA}" name="RECV TD" dataDxfId="316">
      <calculatedColumnFormula>IFERROR((VLOOKUP(TableWRRanks32[[#This Row],[Player]],WR!B:O,9,FALSE)),"")</calculatedColumnFormula>
    </tableColumn>
    <tableColumn id="5" xr3:uid="{AAD449F3-E594-415F-9EA3-23F4C2701976}" name="FPS" dataDxfId="315">
      <calculatedColumnFormula>IFERROR((IFERROR(INDEX(TableWRCalcPts[Custom],MATCH(TableWRRanks32[[#This Row],[RK]],TableWRCalcPts[RK],0)),"")),"")</calculatedColumnFormula>
    </tableColumn>
    <tableColumn id="6" xr3:uid="{CB725593-FF7F-435D-BF76-526C56C05BCD}" name="AUC$" dataDxfId="314" dataCellStyle="Currency">
      <calculatedColumnFormula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calculatedColumnFormula>
    </tableColumn>
  </tableColumns>
  <tableStyleInfo name="TableStyleLight8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Roster" displayName="TableRoster" ref="D1:E10" totalsRowShown="0" headerRowDxfId="479" dataDxfId="477" headerRowBorderDxfId="478" tableBorderDxfId="476" totalsRowBorderDxfId="475">
  <tableColumns count="2">
    <tableColumn id="1" xr3:uid="{00000000-0010-0000-0100-000001000000}" name="Category" dataDxfId="474"/>
    <tableColumn id="2" xr3:uid="{00000000-0010-0000-0100-000002000000}" name="Value" dataDxfId="47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E8F5D489-B040-44F4-9169-40D5BE9B80CA}" name="TableTERanks33" displayName="TableTERanks33" ref="AQ1:AZ101" totalsRowShown="0" headerRowDxfId="313" dataDxfId="311" headerRowBorderDxfId="312">
  <sortState xmlns:xlrd2="http://schemas.microsoft.com/office/spreadsheetml/2017/richdata2" ref="AQ2:AZ97">
    <sortCondition ref="AQ1:AQ97"/>
  </sortState>
  <tableColumns count="10">
    <tableColumn id="1" xr3:uid="{3B2F49A9-3410-44C7-AA89-529A298B4F79}" name="RK" dataDxfId="310">
      <calculatedColumnFormula>RANK(TableTERanks33[[#This Row],[FPS]],TableTERanks33[FPS],0)</calculatedColumnFormula>
    </tableColumn>
    <tableColumn id="2" xr3:uid="{C86B85C4-F335-40B4-B3CA-FA027C842AE9}" name="Player" dataDxfId="309">
      <calculatedColumnFormula>IFERROR(INDEX(TableTECalcPts[PLAYER],MATCH(TableTERanks33[[#This Row],[RK]],TableTECalcPts[RK],0)),"")</calculatedColumnFormula>
    </tableColumn>
    <tableColumn id="3" xr3:uid="{B1AABAA8-6838-49B0-9C33-401B7367D67D}" name="TM" dataDxfId="308">
      <calculatedColumnFormula>IFERROR(INDEX(TableTECalcPts[TM],MATCH(TableTERanks33[[#This Row],[Player]],TableTECalcPts[PLAYER],0)),"")</calculatedColumnFormula>
    </tableColumn>
    <tableColumn id="4" xr3:uid="{8D0666B6-E022-419F-86F4-4E7DDBA3CFA2}" name="BYE" dataDxfId="307">
      <calculatedColumnFormula>IFERROR(INDEX(TableTECalcPts[BYE],MATCH(TableTERanks33[[#This Row],[Player]],TableTECalcPts[PLAYER],0)),"")</calculatedColumnFormula>
    </tableColumn>
    <tableColumn id="7" xr3:uid="{79C7883E-3123-452F-951D-5CD0F099C1D6}" name="TGTS" dataDxfId="306">
      <calculatedColumnFormula>IFERROR((VLOOKUP(TableTERanks33[[#This Row],[Player]],TE!B:O,4,FALSE)),"")</calculatedColumnFormula>
    </tableColumn>
    <tableColumn id="10" xr3:uid="{928C04D5-7572-4757-B4DD-582E2294DCCC}" name="REC" dataDxfId="305">
      <calculatedColumnFormula>IFERROR((VLOOKUP(TableTERanks33[[#This Row],[Player]],TE!B:O,5,FALSE)),"")</calculatedColumnFormula>
    </tableColumn>
    <tableColumn id="9" xr3:uid="{D6ECB8ED-6792-4CCC-80FE-59D1DCF8BF2C}" name="RECV YARDS" dataDxfId="304">
      <calculatedColumnFormula>IFERROR((VLOOKUP(TableTERanks33[[#This Row],[Player]],TE!B:O,6,FALSE)),"")</calculatedColumnFormula>
    </tableColumn>
    <tableColumn id="8" xr3:uid="{2E2BBA19-5E03-4B2C-9D14-196B82B3B86B}" name="RECV TD" dataDxfId="303">
      <calculatedColumnFormula>IFERROR((VLOOKUP(TableTERanks33[[#This Row],[Player]],TE!B:O,7,FALSE)),"")</calculatedColumnFormula>
    </tableColumn>
    <tableColumn id="5" xr3:uid="{E32F372B-7FFB-435A-B73C-80F3590D4E15}" name="FPS" dataDxfId="302">
      <calculatedColumnFormula>IFERROR((IFERROR(INDEX(TableTECalcPts[Custom],MATCH(TableTERanks33[[#This Row],[RK]],TableTECalcPts[RK],0)),"")),"")</calculatedColumnFormula>
    </tableColumn>
    <tableColumn id="6" xr3:uid="{DE95DB89-5087-4CE2-9742-2FFA1C1C9ACC}" name="AUC$" dataDxfId="301" dataCellStyle="Currency">
      <calculatedColumnFormula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calculatedColumnFormula>
    </tableColumn>
  </tableColumns>
  <tableStyleInfo name="TableStyleLight8" showFirstColumn="0" showLastColumn="0" showRowStripes="1" showColumn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A8468F97-B760-475C-A247-A5CE31C704ED}" name="TableQBRanks3040" displayName="TableQBRanks3040" ref="A1:N80" totalsRowShown="0" headerRowDxfId="300" dataDxfId="298" headerRowBorderDxfId="299">
  <sortState xmlns:xlrd2="http://schemas.microsoft.com/office/spreadsheetml/2017/richdata2" ref="A2:N68">
    <sortCondition ref="A1:A68"/>
  </sortState>
  <tableColumns count="14">
    <tableColumn id="1" xr3:uid="{F98CCEBD-C873-4336-8E83-75AFA588B8B9}" name="RK" dataDxfId="297">
      <calculatedColumnFormula>RANK(TableQBRanks3040[[#This Row],[FPS]],TableQBRanks3040[FPS],0)</calculatedColumnFormula>
    </tableColumn>
    <tableColumn id="2" xr3:uid="{1F973880-EA9F-4C6D-8E7E-6FBB94C39DE5}" name="Player" dataDxfId="296">
      <calculatedColumnFormula>VLOOKUP(TableQBRanks3040[[#This Row],[RK]],Rankings!A:T,3,FALSE)</calculatedColumnFormula>
    </tableColumn>
    <tableColumn id="3" xr3:uid="{C45E752E-64BD-402C-B7B3-18B2269AF0AE}" name="TM" dataDxfId="295">
      <calculatedColumnFormula>IFERROR(INDEX(TableQBCalcPts[TM],MATCH(TableQBRanks3040[[#This Row],[Player]],TableQBCalcPts[PLAYER],0)),"")</calculatedColumnFormula>
    </tableColumn>
    <tableColumn id="4" xr3:uid="{DEA61075-A102-4F66-AAA4-364FACCCDEBE}" name="BYE" dataDxfId="294">
      <calculatedColumnFormula>IFERROR(INDEX(TableQBCalcPts[BYE],MATCH(TableQBRanks3040[[#This Row],[Player]],TableQBCalcPts[PLAYER],0)),"")</calculatedColumnFormula>
    </tableColumn>
    <tableColumn id="8" xr3:uid="{84F3C1A7-54AE-4763-B55D-25BA03BF7BD8}" name="PASS ATT" dataDxfId="293">
      <calculatedColumnFormula>VLOOKUP(TableQBRanks3040[[#This Row],[Player]],QB!B:O,4,FALSE)</calculatedColumnFormula>
    </tableColumn>
    <tableColumn id="10" xr3:uid="{120049A0-F76C-494D-87D5-5BF456348B29}" name="COMP" dataDxfId="292">
      <calculatedColumnFormula>VLOOKUP(TableQBRanks3040[[#This Row],[Player]],QB!B:O,5,FALSE)</calculatedColumnFormula>
    </tableColumn>
    <tableColumn id="9" xr3:uid="{394E9AB7-F047-48B5-BFF3-68A93D163BD3}" name="PASS YARDS" dataDxfId="291">
      <calculatedColumnFormula>VLOOKUP(TableQBRanks3040[[#This Row],[Player]],QB!B:O,6,FALSE)</calculatedColumnFormula>
    </tableColumn>
    <tableColumn id="14" xr3:uid="{F7615B7E-4B61-4C77-AD4B-64BE3F70B618}" name="PASS TD" dataDxfId="290">
      <calculatedColumnFormula>VLOOKUP(TableQBRanks3040[[#This Row],[Player]],QB!B:O,7,FALSE)</calculatedColumnFormula>
    </tableColumn>
    <tableColumn id="13" xr3:uid="{210B4AB8-D1D5-4ED7-83EA-D39FF8D066FD}" name="INT" dataDxfId="289">
      <calculatedColumnFormula>VLOOKUP(TableQBRanks3040[[#This Row],[Player]],QB!B:O,8,FALSE)</calculatedColumnFormula>
    </tableColumn>
    <tableColumn id="12" xr3:uid="{3CAF741E-9C82-466A-BA97-BA2C236672D3}" name="RUSH ATT" dataDxfId="288">
      <calculatedColumnFormula>VLOOKUP(TableQBRanks3040[[#This Row],[Player]],QB!B:O,9,FALSE)</calculatedColumnFormula>
    </tableColumn>
    <tableColumn id="11" xr3:uid="{2EA94DD6-0E5B-4955-9492-1C4CC236C9A5}" name="RUSH YARDS" dataDxfId="287">
      <calculatedColumnFormula>VLOOKUP(TableQBRanks3040[[#This Row],[Player]],QB!B:O,10,FALSE)</calculatedColumnFormula>
    </tableColumn>
    <tableColumn id="7" xr3:uid="{4B95F803-D4E3-4BCF-9BE9-793F197177F2}" name="RUSH TD" dataDxfId="286">
      <calculatedColumnFormula>VLOOKUP(TableQBRanks3040[[#This Row],[Player]],QB!B:O,11,FALSE)</calculatedColumnFormula>
    </tableColumn>
    <tableColumn id="5" xr3:uid="{9088CACE-41B9-425B-BA6E-3F98CE94EDF6}" name="FPS" dataDxfId="285">
      <calculatedColumnFormula>VLOOKUP(TableQBRanks3040[[#This Row],[Player]],QB!B:O,13,FALSE)</calculatedColumnFormula>
    </tableColumn>
    <tableColumn id="6" xr3:uid="{C52D43B9-18E7-4EBA-BD09-FF454090EE15}" name="AUC$" dataDxfId="284" dataCellStyle="Currency">
      <calculatedColumnFormula>IF(VLOOKUP(TableQBRanks3040[[#This Row],[RK]],'Ranks w Proj'!$A:$N,14,FALSE)&lt;0,0,VLOOKUP(TableQBRanks3040[[#This Row],[RK]],'Ranks w Proj'!$A:$N,14,FALSE))</calculatedColumnFormula>
    </tableColumn>
  </tableColumns>
  <tableStyleInfo name="TableStyleLight8" showFirstColumn="0" showLastColumn="0" showRowStripes="1" showColumn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27CB85CA-EAC8-4F88-8732-C09763166654}" name="TableRBRanks3141" displayName="TableRBRanks3141" ref="P1:AB171" totalsRowShown="0" headerRowDxfId="283" dataDxfId="281" headerRowBorderDxfId="282">
  <sortState xmlns:xlrd2="http://schemas.microsoft.com/office/spreadsheetml/2017/richdata2" ref="P2:AB153">
    <sortCondition ref="P1:P153"/>
  </sortState>
  <tableColumns count="13">
    <tableColumn id="1" xr3:uid="{AF88C4A6-CF7E-43D5-8544-2C7F0F428205}" name="RK" dataDxfId="280">
      <calculatedColumnFormula>RANK(TableRBRanks3141[[#This Row],[FPS]],TableRBRanks3141[FPS],0)</calculatedColumnFormula>
    </tableColumn>
    <tableColumn id="2" xr3:uid="{6BDD58F0-BD6D-4F74-8C6E-F5391DE80615}" name="Player" dataDxfId="279">
      <calculatedColumnFormula>VLOOKUP(TableRBRanks3141[[#This Row],[RK]],Rankings!A:T,8,FALSE)</calculatedColumnFormula>
    </tableColumn>
    <tableColumn id="3" xr3:uid="{2AFEF5B4-6A47-4FEF-B593-7702FF90640A}" name="TM" dataDxfId="278">
      <calculatedColumnFormula>IFERROR(INDEX(TableRBCalcPts[TM],MATCH(TableRBRanks3141[[#This Row],[Player]],TableRBCalcPts[PLAYER],0)),"")</calculatedColumnFormula>
    </tableColumn>
    <tableColumn id="4" xr3:uid="{E338865D-3DE8-462E-AD54-F7DCE2A2A148}" name="BYE" dataDxfId="277">
      <calculatedColumnFormula>IFERROR(INDEX(TableRBCalcPts[BYE],MATCH(TableRBRanks3141[[#This Row],[Player]],TableRBCalcPts[PLAYER],0)),"")</calculatedColumnFormula>
    </tableColumn>
    <tableColumn id="7" xr3:uid="{AE3D60FA-1D38-4E3A-BBCE-40225D089A2B}" name="RUSH ATT" dataDxfId="276">
      <calculatedColumnFormula>VLOOKUP(TableRBRanks3141[[#This Row],[Player]],RB!B:O,4,FALSE)</calculatedColumnFormula>
    </tableColumn>
    <tableColumn id="10" xr3:uid="{90E4DB17-8074-4BAB-864A-E29B8FDFB321}" name="RUSH YARDS" dataDxfId="275">
      <calculatedColumnFormula>VLOOKUP(TableRBRanks3141[[#This Row],[Player]],RB!B:O,5,FALSE)</calculatedColumnFormula>
    </tableColumn>
    <tableColumn id="9" xr3:uid="{A0B2390F-B4B0-4263-AABA-1DBFF701AB18}" name="RUSH TD" dataDxfId="274">
      <calculatedColumnFormula>VLOOKUP(TableRBRanks3141[[#This Row],[Player]],RB!B:O,6,FALSE)</calculatedColumnFormula>
    </tableColumn>
    <tableColumn id="13" xr3:uid="{AAE21B35-7DC3-4531-980A-6E295E92F217}" name="TGTS" dataDxfId="273">
      <calculatedColumnFormula>VLOOKUP(TableRBRanks3141[[#This Row],[Player]],RB!B:O,7,FALSE)</calculatedColumnFormula>
    </tableColumn>
    <tableColumn id="12" xr3:uid="{56573855-32BB-49FA-865B-92C6F8E99EEA}" name="REC" dataDxfId="272">
      <calculatedColumnFormula>VLOOKUP(TableRBRanks3141[[#This Row],[Player]],RB!B:O,8,FALSE)</calculatedColumnFormula>
    </tableColumn>
    <tableColumn id="11" xr3:uid="{ED0B008A-989B-43C2-BFCD-9D9CF902EFEE}" name="RECV YARDS" dataDxfId="271">
      <calculatedColumnFormula>VLOOKUP(TableRBRanks3141[[#This Row],[Player]],RB!B:O,9,FALSE)</calculatedColumnFormula>
    </tableColumn>
    <tableColumn id="8" xr3:uid="{D276DC31-3125-49B8-AB42-93FC53C5B258}" name="RECV TD" dataDxfId="270">
      <calculatedColumnFormula>VLOOKUP(TableRBRanks3141[[#This Row],[Player]],RB!B:O,10,FALSE)</calculatedColumnFormula>
    </tableColumn>
    <tableColumn id="5" xr3:uid="{AC6C6385-E0F3-4E38-874E-D3FD44904935}" name="FPS" dataDxfId="269">
      <calculatedColumnFormula>VLOOKUP(TableRBRanks3141[[#This Row],[Player]],RB!B:O,14,FALSE)</calculatedColumnFormula>
    </tableColumn>
    <tableColumn id="6" xr3:uid="{76D5C035-6884-4478-9B5A-355F1692BFB6}" name="AUC$" dataDxfId="268" dataCellStyle="Currency">
      <calculatedColumnFormula>IF(VLOOKUP(TableRBRanks3141[[#This Row],[RK]],'Ranks w Proj'!$P:$AB,13,FALSE)&lt;0,0,VLOOKUP(TableRBRanks3141[[#This Row],[RK]],'Ranks w Proj'!$P:$AB,13,FALSE))</calculatedColumnFormula>
    </tableColumn>
  </tableColumns>
  <tableStyleInfo name="TableStyleLight8" showFirstColumn="0" showLastColumn="0" showRowStripes="1" showColumn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F697FDE5-3C7D-40E5-A086-E284E77778CE}" name="TableWRRanks3242" displayName="TableWRRanks3242" ref="AD1:AO221" totalsRowShown="0" headerRowDxfId="267" dataDxfId="265" headerRowBorderDxfId="266">
  <sortState xmlns:xlrd2="http://schemas.microsoft.com/office/spreadsheetml/2017/richdata2" ref="AD2:AO221">
    <sortCondition ref="AD1:AD203"/>
  </sortState>
  <tableColumns count="12">
    <tableColumn id="1" xr3:uid="{17718EBB-2698-44E8-A091-DC356478EE0C}" name="RK" dataDxfId="264">
      <calculatedColumnFormula>RANK(TableWRRanks3242[[#This Row],[FPS]],TableWRRanks3242[FPS],0)</calculatedColumnFormula>
    </tableColumn>
    <tableColumn id="2" xr3:uid="{4E2F1325-7C1A-4DBA-808A-67BE5F454653}" name="Player" dataDxfId="263">
      <calculatedColumnFormula>VLOOKUP(TableWRRanks3242[[#This Row],[RK]],Rankings!A:T,13,FALSE)</calculatedColumnFormula>
    </tableColumn>
    <tableColumn id="3" xr3:uid="{4E930866-C328-40DA-8527-AA83D74F0DD9}" name="TM" dataDxfId="262">
      <calculatedColumnFormula>IFERROR(INDEX(TableWRCalcPts[TM],MATCH(TableWRRanks3242[[#This Row],[Player]],TableWRCalcPts[PLAYER],0)),"")</calculatedColumnFormula>
    </tableColumn>
    <tableColumn id="4" xr3:uid="{4839F7E0-88B5-4D83-BE5C-13BE0DE818A7}" name="BYE" dataDxfId="261">
      <calculatedColumnFormula>IFERROR(INDEX(TableWRCalcPts[BYE],MATCH(TableWRRanks3242[[#This Row],[Player]],TableWRCalcPts[PLAYER],0)),"")</calculatedColumnFormula>
    </tableColumn>
    <tableColumn id="7" xr3:uid="{E8E8F316-8A7D-4F0D-9BE1-BB12B6A9BE92}" name="RUSH YARDS" dataDxfId="260">
      <calculatedColumnFormula>VLOOKUP(TableWRRanks3242[[#This Row],[Player]],WR!B:O,4,FALSE)</calculatedColumnFormula>
    </tableColumn>
    <tableColumn id="10" xr3:uid="{2238F9D8-3C2F-430D-BD37-853D87BA89FE}" name="RUSH TD" dataDxfId="259">
      <calculatedColumnFormula>VLOOKUP(TableWRRanks3242[[#This Row],[Player]],WR!B:O,5,FALSE)</calculatedColumnFormula>
    </tableColumn>
    <tableColumn id="13" xr3:uid="{35352F7D-0F9D-4650-838D-6BCEEDC1E5C2}" name="TGTS" dataDxfId="258">
      <calculatedColumnFormula>VLOOKUP(TableWRRanks3242[[#This Row],[Player]],WR!B:O,6,FALSE)</calculatedColumnFormula>
    </tableColumn>
    <tableColumn id="12" xr3:uid="{34758BC4-A805-4FC1-B7D9-9C09FCBF3B38}" name="REC" dataDxfId="257">
      <calculatedColumnFormula>VLOOKUP(TableWRRanks3242[[#This Row],[Player]],WR!B:O,7,FALSE)</calculatedColumnFormula>
    </tableColumn>
    <tableColumn id="11" xr3:uid="{15ECAF3E-D50B-4A09-92B1-AFF99D96A46B}" name="RECV YARDS" dataDxfId="256">
      <calculatedColumnFormula>VLOOKUP(TableWRRanks3242[[#This Row],[Player]],WR!B:O,8,FALSE)</calculatedColumnFormula>
    </tableColumn>
    <tableColumn id="9" xr3:uid="{C48C0CB4-3BC5-4FF8-8E35-89BEABAB57D2}" name="RECV TD" dataDxfId="255">
      <calculatedColumnFormula>VLOOKUP(TableWRRanks3242[[#This Row],[Player]],WR!B:O,9,FALSE)</calculatedColumnFormula>
    </tableColumn>
    <tableColumn id="5" xr3:uid="{7FE6090D-A368-4A75-9F7F-A3DF9206E1DC}" name="FPS" dataDxfId="254">
      <calculatedColumnFormula>VLOOKUP(TableWRRanks3242[[#This Row],[Player]],WR!B:O,13,FALSE)</calculatedColumnFormula>
    </tableColumn>
    <tableColumn id="6" xr3:uid="{075E308E-09F6-4CC2-9E50-D0739ABAEBFE}" name="AUC$" dataDxfId="253" dataCellStyle="Currency">
      <calculatedColumnFormula>IF(VLOOKUP(TableWRRanks3242[[#This Row],[RK]],'Ranks w Proj'!AD:AO,12,FALSE)&lt;0,0,VLOOKUP(TableWRRanks3242[[#This Row],[RK]],'Ranks w Proj'!AD:AO,12,FALSE))</calculatedColumnFormula>
    </tableColumn>
  </tableColumns>
  <tableStyleInfo name="TableStyleLight8" showFirstColumn="0" showLastColumn="0" showRowStripes="1" showColumn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9F771C98-D01E-4851-B7F7-FD8853D14161}" name="TableTERanks3343" displayName="TableTERanks3343" ref="AQ1:AZ101" totalsRowShown="0" headerRowDxfId="252" dataDxfId="250" headerRowBorderDxfId="251">
  <sortState xmlns:xlrd2="http://schemas.microsoft.com/office/spreadsheetml/2017/richdata2" ref="AQ2:AZ97">
    <sortCondition ref="AQ1:AQ97"/>
  </sortState>
  <tableColumns count="10">
    <tableColumn id="1" xr3:uid="{1DE8B555-0B01-4E23-A3B9-F1E54B658BF5}" name="RK" dataDxfId="249">
      <calculatedColumnFormula>RANK(TableTERanks3343[[#This Row],[FPS]],TableTERanks3343[FPS],0)</calculatedColumnFormula>
    </tableColumn>
    <tableColumn id="2" xr3:uid="{399EB10C-1E56-46FE-9A7E-C5D26C22D252}" name="Player" dataDxfId="248">
      <calculatedColumnFormula>VLOOKUP(TableTERanks3343[[#This Row],[RK]],Rankings!A:T,18,FALSE)</calculatedColumnFormula>
    </tableColumn>
    <tableColumn id="3" xr3:uid="{0DB04BD7-A8D8-4C87-B996-68F9C25DCBD0}" name="TM" dataDxfId="247">
      <calculatedColumnFormula>IFERROR(INDEX(TableTECalcPts[TM],MATCH(TableTERanks3343[[#This Row],[Player]],TableTECalcPts[PLAYER],0)),"")</calculatedColumnFormula>
    </tableColumn>
    <tableColumn id="4" xr3:uid="{5702DA98-7FE8-4E0B-920D-BB01FFCF4E19}" name="BYE" dataDxfId="246">
      <calculatedColumnFormula>IFERROR(INDEX(TableTECalcPts[BYE],MATCH(TableTERanks3343[[#This Row],[Player]],TableTECalcPts[PLAYER],0)),"")</calculatedColumnFormula>
    </tableColumn>
    <tableColumn id="7" xr3:uid="{6EAFB157-7942-4226-9D34-99E5270657EB}" name="TGTS" dataDxfId="245">
      <calculatedColumnFormula>VLOOKUP(TableTERanks3343[[#This Row],[Player]],TE!B:O,4,FALSE)</calculatedColumnFormula>
    </tableColumn>
    <tableColumn id="10" xr3:uid="{57A234B1-A0FB-4E71-9A3A-6569ADD0B783}" name="REC" dataDxfId="244">
      <calculatedColumnFormula>VLOOKUP(TableTERanks3343[[#This Row],[Player]],TE!B:O,5,FALSE)</calculatedColumnFormula>
    </tableColumn>
    <tableColumn id="9" xr3:uid="{14A8750E-E072-4AA9-9BAA-8A61C7574381}" name="RECV YARDS" dataDxfId="243">
      <calculatedColumnFormula>VLOOKUP(TableTERanks3343[[#This Row],[Player]],TE!B:O,6,FALSE)</calculatedColumnFormula>
    </tableColumn>
    <tableColumn id="8" xr3:uid="{2C8495D7-E2AE-4484-ABDB-85C493308728}" name="RECV TD" dataDxfId="242">
      <calculatedColumnFormula>VLOOKUP(TableTERanks3343[[#This Row],[Player]],TE!B:O,7,FALSE)</calculatedColumnFormula>
    </tableColumn>
    <tableColumn id="5" xr3:uid="{57F3B59C-E84B-4E30-9FBA-62A421D9B00A}" name="FPS" dataDxfId="241">
      <calculatedColumnFormula>VLOOKUP(TableTERanks3343[[#This Row],[Player]],TE!B:O,11,FALSE)</calculatedColumnFormula>
    </tableColumn>
    <tableColumn id="6" xr3:uid="{2EC6160C-D456-423B-A400-AE67C2D32CAB}" name="AUC$" dataDxfId="240" dataCellStyle="Currency">
      <calculatedColumnFormula>IF(VLOOKUP(TableTERanks3343[[#This Row],[RK]],'Ranks w Proj'!AQ:AZ,10,FALSE)&lt;0,0,VLOOKUP(TableTERanks3343[[#This Row],[RK]],'Ranks w Proj'!AQ:AZ,10,FALSE))</calculatedColumnFormula>
    </tableColumn>
  </tableColumns>
  <tableStyleInfo name="TableStyleLight8" showFirstColumn="0" showLastColumn="0" showRowStripes="1" showColumn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0000000}" name="TableDSTOverall" displayName="TableDSTOverall" ref="A1:S33" totalsRowShown="0" headerRowDxfId="239" dataDxfId="238">
  <autoFilter ref="A1:S33" xr:uid="{00000000-0009-0000-0100-000018000000}"/>
  <tableColumns count="19">
    <tableColumn id="18" xr3:uid="{00000000-0010-0000-1000-000012000000}" name="Ref" dataDxfId="237"/>
    <tableColumn id="1" xr3:uid="{00000000-0010-0000-1000-000001000000}" name="TEAM" dataDxfId="236"/>
    <tableColumn id="19" xr3:uid="{E0B1E5CE-99E0-4122-BCB6-105E4C24EB2C}" name="ABBREV" dataDxfId="235"/>
    <tableColumn id="2" xr3:uid="{00000000-0010-0000-1000-000002000000}" name="BYE" dataDxfId="234"/>
    <tableColumn id="3" xr3:uid="{00000000-0010-0000-1000-000003000000}" name="SACKS" dataDxfId="233"/>
    <tableColumn id="4" xr3:uid="{00000000-0010-0000-1000-000004000000}" name="INT" dataDxfId="232"/>
    <tableColumn id="5" xr3:uid="{00000000-0010-0000-1000-000005000000}" name="FORCED FUMBLE" dataDxfId="231"/>
    <tableColumn id="6" xr3:uid="{00000000-0010-0000-1000-000006000000}" name="RECOV'D FUMBLE" dataDxfId="230"/>
    <tableColumn id="7" xr3:uid="{00000000-0010-0000-1000-000007000000}" name="SAFETIES" dataDxfId="229"/>
    <tableColumn id="8" xr3:uid="{00000000-0010-0000-1000-000008000000}" name="DEF TD" dataDxfId="228"/>
    <tableColumn id="9" xr3:uid="{00000000-0010-0000-1000-000009000000}" name="PTS PER GAME" dataDxfId="227"/>
    <tableColumn id="10" xr3:uid="{00000000-0010-0000-1000-00000A000000}" name="0 PT GAMES" dataDxfId="226"/>
    <tableColumn id="11" xr3:uid="{00000000-0010-0000-1000-00000B000000}" name="1-6 PT GAMES" dataDxfId="225"/>
    <tableColumn id="12" xr3:uid="{00000000-0010-0000-1000-00000C000000}" name="7-13 PT GAMES" dataDxfId="224"/>
    <tableColumn id="13" xr3:uid="{00000000-0010-0000-1000-00000D000000}" name="14-21 PT GAMES" dataDxfId="223"/>
    <tableColumn id="14" xr3:uid="{00000000-0010-0000-1000-00000E000000}" name="22-26 PT GAMES" dataDxfId="222"/>
    <tableColumn id="15" xr3:uid="{00000000-0010-0000-1000-00000F000000}" name="27-34 PT GAMES" dataDxfId="221"/>
    <tableColumn id="16" xr3:uid="{00000000-0010-0000-1000-000010000000}" name="35+ PT GAMES" dataDxfId="220"/>
    <tableColumn id="17" xr3:uid="{00000000-0010-0000-1000-000011000000}" name="YD PER GAME" dataDxfId="219"/>
  </tableColumns>
  <tableStyleInfo name="TableStyleLight8" showFirstColumn="0" showLastColumn="0" showRowStripes="1" showColumn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11000000}" name="TableQBCalcPts" displayName="TableQBCalcPts" ref="A2:F102" totalsRowShown="0" headerRowDxfId="218" dataDxfId="217">
  <tableColumns count="6">
    <tableColumn id="1" xr3:uid="{00000000-0010-0000-1100-000001000000}" name="RK" dataDxfId="216">
      <calculatedColumnFormula>IFERROR(RANK(TableQBCalcPts[[#This Row],[Custom]],TableQBCalcPts[Custom])+COUNTIF($F$3:F3,F3)-1,"")</calculatedColumnFormula>
    </tableColumn>
    <tableColumn id="6" xr3:uid="{00000000-0010-0000-1100-000006000000}" name="QBRef" dataDxfId="215"/>
    <tableColumn id="2" xr3:uid="{00000000-0010-0000-1100-000002000000}" name="PLAYER" dataDxfId="214">
      <calculatedColumnFormula>IFERROR(INDEX(TableQBMaster[Player],MATCH(TableQBCalcPts[[#This Row],[QBRef]],TableQBMaster[QBRef],0)),"")</calculatedColumnFormula>
    </tableColumn>
    <tableColumn id="3" xr3:uid="{00000000-0010-0000-1100-000003000000}" name="TM" dataDxfId="213">
      <calculatedColumnFormula>IFERROR(INDEX(TableQBMaster[TM],MATCH(TableQBCalcPts[[#This Row],[QBRef]],TableQBMaster[QBRef],0)),"")</calculatedColumnFormula>
    </tableColumn>
    <tableColumn id="4" xr3:uid="{00000000-0010-0000-1100-000004000000}" name="BYE" dataDxfId="212">
      <calculatedColumnFormula>IFERROR(INDEX(TableQBMaster[BYE],MATCH(TableQBCalcPts[[#This Row],[QBRef]],TableQBMaster[QBRef],0)),"")</calculatedColumnFormula>
    </tableColumn>
    <tableColumn id="5" xr3:uid="{00000000-0010-0000-1100-000005000000}" name="Custom" dataDxfId="211">
      <calculatedColumnFormula>IFERROR(INDEX(TableQBMaster[Custom],MATCH(TableQBCalcPts[[#This Row],[QBRef]],TableQBMaster[QBRef],0)),"")</calculatedColumnFormula>
    </tableColumn>
  </tableColumns>
  <tableStyleInfo name="TableStyleLight8" showFirstColumn="0" showLastColumn="0" showRowStripes="1" showColumnStripes="1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12000000}" name="TableRBCalcPts" displayName="TableRBCalcPts" ref="H2:M177" totalsRowShown="0" headerRowDxfId="210" dataDxfId="209">
  <tableColumns count="6">
    <tableColumn id="1" xr3:uid="{00000000-0010-0000-1200-000001000000}" name="RK" dataDxfId="208">
      <calculatedColumnFormula>IFERROR(RANK(TableRBCalcPts[[#This Row],[Custom]],TableRBCalcPts[Custom])+COUNTIF($M$3:M3,M3)-1,"")</calculatedColumnFormula>
    </tableColumn>
    <tableColumn id="6" xr3:uid="{00000000-0010-0000-1200-000006000000}" name="RBRef" dataDxfId="207"/>
    <tableColumn id="2" xr3:uid="{00000000-0010-0000-1200-000002000000}" name="PLAYER" dataDxfId="206">
      <calculatedColumnFormula>IFERROR(INDEX(TableRBMaster[Player],MATCH(TableRBCalcPts[[#This Row],[RBRef]],TableRBMaster[RBRef],0)),"")</calculatedColumnFormula>
    </tableColumn>
    <tableColumn id="3" xr3:uid="{00000000-0010-0000-1200-000003000000}" name="TM" dataDxfId="205">
      <calculatedColumnFormula>IFERROR(INDEX(TableRBMaster[TM],MATCH(TableRBCalcPts[[#This Row],[RBRef]],TableRBMaster[RBRef],0)),"")</calculatedColumnFormula>
    </tableColumn>
    <tableColumn id="4" xr3:uid="{00000000-0010-0000-1200-000004000000}" name="BYE" dataDxfId="204">
      <calculatedColumnFormula>IFERROR(INDEX(TableRBMaster[BYE],MATCH(TableRBCalcPts[[#This Row],[RBRef]],TableRBMaster[RBRef],0)),"")</calculatedColumnFormula>
    </tableColumn>
    <tableColumn id="5" xr3:uid="{00000000-0010-0000-1200-000005000000}" name="Custom" dataDxfId="203">
      <calculatedColumnFormula>IFERROR(INDEX(TableRBMaster[Custom],MATCH(TableRBCalcPts[[#This Row],[RBRef]],TableRBMaster[RBRef],0)),"")</calculatedColumnFormula>
    </tableColumn>
  </tableColumns>
  <tableStyleInfo name="TableStyleLight8" showFirstColumn="0" showLastColumn="0" showRowStripes="1" showColumnStripes="1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13000000}" name="TableWRCalcPts" displayName="TableWRCalcPts" ref="O2:T227" totalsRowShown="0" headerRowDxfId="202" dataDxfId="201">
  <tableColumns count="6">
    <tableColumn id="1" xr3:uid="{00000000-0010-0000-1300-000001000000}" name="RK" dataDxfId="200">
      <calculatedColumnFormula>IFERROR(RANK(TableWRCalcPts[[#This Row],[Custom]],TableWRCalcPts[Custom])+COUNTIF($T$3:T3,T3)-1,"")</calculatedColumnFormula>
    </tableColumn>
    <tableColumn id="6" xr3:uid="{00000000-0010-0000-1300-000006000000}" name="WRRef" dataDxfId="199"/>
    <tableColumn id="2" xr3:uid="{00000000-0010-0000-1300-000002000000}" name="PLAYER" dataDxfId="198">
      <calculatedColumnFormula>IFERROR(INDEX(TableWRMaster[Player],MATCH(TableWRCalcPts[[#This Row],[WRRef]],TableWRMaster[WRRef],0)),"")</calculatedColumnFormula>
    </tableColumn>
    <tableColumn id="3" xr3:uid="{00000000-0010-0000-1300-000003000000}" name="TM" dataDxfId="197">
      <calculatedColumnFormula>IFERROR(INDEX(TableWRMaster[TM],MATCH(TableWRCalcPts[[#This Row],[WRRef]],TableWRMaster[WRRef],0)),"")</calculatedColumnFormula>
    </tableColumn>
    <tableColumn id="4" xr3:uid="{00000000-0010-0000-1300-000004000000}" name="BYE" dataDxfId="196">
      <calculatedColumnFormula>IFERROR(INDEX(TableWRMaster[BYE],MATCH(TableWRCalcPts[[#This Row],[WRRef]],TableWRMaster[WRRef],0)),"")</calculatedColumnFormula>
    </tableColumn>
    <tableColumn id="5" xr3:uid="{00000000-0010-0000-1300-000005000000}" name="Custom" dataDxfId="195">
      <calculatedColumnFormula>IFERROR(INDEX(TableWRMaster[Custom],MATCH(TableWRCalcPts[[#This Row],[WRRef]],TableWRMaster[WRRef],0)),"")</calculatedColumnFormula>
    </tableColumn>
  </tableColumns>
  <tableStyleInfo name="TableStyleLight8" showFirstColumn="0" showLastColumn="0" showRowStripes="1" showColumnStripes="1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4000000}" name="TableTECalcPts" displayName="TableTECalcPts" ref="V2:AA102" totalsRowShown="0" headerRowDxfId="194" dataDxfId="193">
  <tableColumns count="6">
    <tableColumn id="1" xr3:uid="{00000000-0010-0000-1400-000001000000}" name="RK" dataDxfId="192">
      <calculatedColumnFormula>IFERROR(RANK(TableTECalcPts[[#This Row],[Custom]],TableTECalcPts[Custom])+COUNTIF($AA$3:AA3,AA3)-1,"")</calculatedColumnFormula>
    </tableColumn>
    <tableColumn id="6" xr3:uid="{00000000-0010-0000-1400-000006000000}" name="TERef" dataDxfId="191"/>
    <tableColumn id="2" xr3:uid="{00000000-0010-0000-1400-000002000000}" name="PLAYER" dataDxfId="190">
      <calculatedColumnFormula>IFERROR(INDEX(TableTEMaster[Player],MATCH(TableTECalcPts[[#This Row],[TERef]],TableTEMaster[TERef],0)),"")</calculatedColumnFormula>
    </tableColumn>
    <tableColumn id="3" xr3:uid="{00000000-0010-0000-1400-000003000000}" name="TM" dataDxfId="189">
      <calculatedColumnFormula>IFERROR(INDEX(TableTEMaster[TM],MATCH(TableTECalcPts[[#This Row],[TERef]],TableTEMaster[TERef],0)),"")</calculatedColumnFormula>
    </tableColumn>
    <tableColumn id="4" xr3:uid="{00000000-0010-0000-1400-000004000000}" name="BYE" dataDxfId="188">
      <calculatedColumnFormula>IFERROR(INDEX(TableTEMaster[BYE],MATCH(TableTECalcPts[[#This Row],[TERef]],TableTEMaster[TERef],0)),"")</calculatedColumnFormula>
    </tableColumn>
    <tableColumn id="5" xr3:uid="{00000000-0010-0000-1400-000005000000}" name="Custom" dataDxfId="187">
      <calculatedColumnFormula>IFERROR(INDEX(TableTEMaster[Custom],MATCH(TableTECalcPts[[#This Row],[TERef]],TableTEMaster[TERef],0)),"")</calculatedColumnFormula>
    </tableColumn>
  </tableColumns>
  <tableStyleInfo name="TableStyleLight8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2000000}" name="TableQBRanks" displayName="TableQBRanks" ref="A1:F80" totalsRowShown="0" headerRowDxfId="472" dataDxfId="471">
  <sortState xmlns:xlrd2="http://schemas.microsoft.com/office/spreadsheetml/2017/richdata2" ref="A2:F68">
    <sortCondition ref="A1:A68"/>
  </sortState>
  <tableColumns count="6">
    <tableColumn id="1" xr3:uid="{00000000-0010-0000-0200-000001000000}" name="RK" dataDxfId="470">
      <calculatedColumnFormula>RANK(TableQBRanks[[#This Row],[FPS]],TableQBRanks[FPS],0)</calculatedColumnFormula>
    </tableColumn>
    <tableColumn id="2" xr3:uid="{00000000-0010-0000-0200-000002000000}" name="Player" dataDxfId="469">
      <calculatedColumnFormula>IFERROR(INDEX(TableQBCalcPts[PLAYER],MATCH(TableQBRanks[[#This Row],[RK]],TableQBCalcPts[RK],0)),"")</calculatedColumnFormula>
    </tableColumn>
    <tableColumn id="3" xr3:uid="{00000000-0010-0000-0200-000003000000}" name="TM" dataDxfId="468">
      <calculatedColumnFormula>IFERROR(INDEX(TableQBCalcPts[TM],MATCH(TableQBRanks[[#This Row],[RK]],TableQBCalcPts[RK],0)),"")</calculatedColumnFormula>
    </tableColumn>
    <tableColumn id="4" xr3:uid="{00000000-0010-0000-0200-000004000000}" name="BYE" dataDxfId="467">
      <calculatedColumnFormula>IFERROR(INDEX(TableQBCalcPts[BYE],MATCH(TableQBRanks[[#This Row],[RK]],TableQBCalcPts[RK],0)),"")</calculatedColumnFormula>
    </tableColumn>
    <tableColumn id="5" xr3:uid="{00000000-0010-0000-0200-000005000000}" name="FPS" dataDxfId="466">
      <calculatedColumnFormula>IFERROR(INDEX(TableQBCalcPts[Custom],MATCH(TableQBRanks[[#This Row],[RK]],TableQBCalcPts[RK],0)),"")</calculatedColumnFormula>
    </tableColumn>
    <tableColumn id="6" xr3:uid="{00000000-0010-0000-0200-000006000000}" name="AUC$" dataDxfId="465" dataCellStyle="Currency">
      <calculatedColumnFormula>(((VLOOKUP(TableQBRanks[[#This Row],[Player]],'OVR &amp; VORP Ranks'!$B:$F,5,FALSE)))/('OVR &amp; VORP Ranks'!$BM$6))*(Settings!$E$10*TEAMS)</calculatedColumnFormula>
    </tableColumn>
  </tableColumns>
  <tableStyleInfo name="TableStyleLight8" showFirstColumn="0" showLastColumn="0" showRowStripes="1" showColumnStripes="1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15000000}" name="TableDSTCalcPts" displayName="TableDSTCalcPts" ref="AC2:AG34" totalsRowShown="0" headerRowDxfId="186" dataDxfId="185">
  <tableColumns count="5">
    <tableColumn id="1" xr3:uid="{00000000-0010-0000-1500-000001000000}" name="RK" dataDxfId="184">
      <calculatedColumnFormula>IFERROR(RANK(TableDSTCalcPts[[#This Row],[Custom]],TableDSTCalcPts[Custom],0),"")</calculatedColumnFormula>
    </tableColumn>
    <tableColumn id="5" xr3:uid="{00000000-0010-0000-1500-000005000000}" name="DSTRef" dataDxfId="183"/>
    <tableColumn id="2" xr3:uid="{00000000-0010-0000-1500-000002000000}" name="PLAYER" dataDxfId="182">
      <calculatedColumnFormula>IFERROR(INDEX(TableDSTMaster[Player],MATCH(TableDSTCalcPts[[#This Row],[DSTRef]],TableDSTMaster[DSTRef],0)),"")</calculatedColumnFormula>
    </tableColumn>
    <tableColumn id="3" xr3:uid="{00000000-0010-0000-1500-000003000000}" name="BYE" dataDxfId="181">
      <calculatedColumnFormula>IFERROR(INDEX(TableDSTMaster[BYE],MATCH(TableDSTCalcPts[[#This Row],[DSTRef]],TableDSTMaster[DSTRef],0)),"")</calculatedColumnFormula>
    </tableColumn>
    <tableColumn id="4" xr3:uid="{00000000-0010-0000-1500-000004000000}" name="Custom" dataDxfId="180">
      <calculatedColumnFormula>IFERROR(INDEX(TableDSTMaster[Custom],MATCH(TableDSTCalcPts[[#This Row],[DSTRef]],TableDSTMaster[DSTRef],0)),"")</calculatedColumnFormula>
    </tableColumn>
  </tableColumns>
  <tableStyleInfo name="TableStyleLight8" showFirstColumn="0" showLastColumn="0" showRowStripes="1" showColumnStripes="1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6000000}" name="TableWRTECalcPts" displayName="TableWRTECalcPts" ref="AI2:AP327" totalsRowShown="0" headerRowDxfId="179" dataDxfId="178">
  <tableColumns count="8">
    <tableColumn id="8" xr3:uid="{00000000-0010-0000-1600-000008000000}" name="POS" dataDxfId="177"/>
    <tableColumn id="1" xr3:uid="{00000000-0010-0000-1600-000001000000}" name="RK" dataDxfId="176">
      <calculatedColumnFormula>IFERROR(RANK(TableWRTECalcPts[[#This Row],[Custom]],TableWRTECalcPts[Custom])+COUNTIF($AP$3:AP3,AP3)-1,"")</calculatedColumnFormula>
    </tableColumn>
    <tableColumn id="6" xr3:uid="{00000000-0010-0000-1600-000006000000}" name="POSRef" dataDxfId="175"/>
    <tableColumn id="2" xr3:uid="{00000000-0010-0000-1600-000002000000}" name="PLAYER" dataDxfId="174"/>
    <tableColumn id="9" xr3:uid="{00000000-0010-0000-1600-000009000000}" name="POS RK" dataDxfId="173">
      <calculatedColumnFormula>_xlfn.CONCAT(TableWRTECalcPts[[#This Row],[POS]],INDEX(TableTERanks[RK],MATCH(TableWRTECalcPts[[#This Row],[PLAYER]],TableTERanks[Player],0)))</calculatedColumnFormula>
    </tableColumn>
    <tableColumn id="3" xr3:uid="{00000000-0010-0000-1600-000003000000}" name="TM" dataDxfId="172"/>
    <tableColumn id="4" xr3:uid="{00000000-0010-0000-1600-000004000000}" name="BYE" dataDxfId="171"/>
    <tableColumn id="5" xr3:uid="{00000000-0010-0000-1600-000005000000}" name="Custom" dataDxfId="170"/>
  </tableColumns>
  <tableStyleInfo name="TableStyleLight9" showFirstColumn="0" showLastColumn="0" showRowStripes="1" showColumnStripes="1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17000000}" name="TableQBMaster" displayName="TableQBMaster" ref="A1:O74" totalsRowShown="0" headerRowDxfId="169" dataDxfId="168">
  <autoFilter ref="A1:O74" xr:uid="{00000000-0009-0000-0100-000004000000}"/>
  <sortState xmlns:xlrd2="http://schemas.microsoft.com/office/spreadsheetml/2017/richdata2" ref="B2:M73">
    <sortCondition ref="C1:C73"/>
  </sortState>
  <tableColumns count="15">
    <tableColumn id="14" xr3:uid="{00000000-0010-0000-1700-00000E000000}" name="QBRef" dataDxfId="167"/>
    <tableColumn id="1" xr3:uid="{00000000-0010-0000-1700-000001000000}" name="Player" dataDxfId="166"/>
    <tableColumn id="2" xr3:uid="{00000000-0010-0000-1700-000002000000}" name="TM" dataDxfId="165"/>
    <tableColumn id="3" xr3:uid="{00000000-0010-0000-1700-000003000000}" name="BYE" dataDxfId="164"/>
    <tableColumn id="4" xr3:uid="{00000000-0010-0000-1700-000004000000}" name="PATT" dataDxfId="163"/>
    <tableColumn id="5" xr3:uid="{00000000-0010-0000-1700-000005000000}" name="CMP" dataDxfId="162"/>
    <tableColumn id="6" xr3:uid="{00000000-0010-0000-1700-000006000000}" name="PAYD" dataDxfId="161"/>
    <tableColumn id="7" xr3:uid="{00000000-0010-0000-1700-000007000000}" name="PATD" dataDxfId="160"/>
    <tableColumn id="8" xr3:uid="{00000000-0010-0000-1700-000008000000}" name="INT" dataDxfId="159"/>
    <tableColumn id="9" xr3:uid="{00000000-0010-0000-1700-000009000000}" name="RUAT" dataDxfId="158"/>
    <tableColumn id="10" xr3:uid="{00000000-0010-0000-1700-00000A000000}" name="RUYD" dataDxfId="157"/>
    <tableColumn id="11" xr3:uid="{00000000-0010-0000-1700-00000B000000}" name="RUTD" dataDxfId="156"/>
    <tableColumn id="12" xr3:uid="{00000000-0010-0000-1700-00000C000000}" name="FPS" dataDxfId="155">
      <calculatedColumnFormula>(G2/25)+(H2*4)+(I2*-1.5)+(K2/10)+(L2*6)</calculatedColumnFormula>
    </tableColumn>
    <tableColumn id="13" xr3:uid="{00000000-0010-0000-1700-00000D000000}" name="Custom" dataDxfId="154">
      <calculatedColumnFormula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calculatedColumnFormula>
    </tableColumn>
    <tableColumn id="15" xr3:uid="{00000000-0010-0000-1700-00000F000000}" name="AUC$" dataDxfId="153"/>
  </tableColumns>
  <tableStyleInfo name="TableStyleLight8" showFirstColumn="0" showLastColumn="0" showRowStripes="1" showColumnStripes="1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8000000}" name="TableRBMaster" displayName="TableRBMaster" ref="A1:P161" totalsRowShown="0" headerRowDxfId="152" dataDxfId="151">
  <autoFilter ref="A1:P161" xr:uid="{00000000-0009-0000-0100-000005000000}"/>
  <sortState xmlns:xlrd2="http://schemas.microsoft.com/office/spreadsheetml/2017/richdata2" ref="B2:N152">
    <sortCondition ref="C1:C152"/>
  </sortState>
  <tableColumns count="16">
    <tableColumn id="16" xr3:uid="{00000000-0010-0000-1800-000010000000}" name="RBRef" dataDxfId="150"/>
    <tableColumn id="1" xr3:uid="{00000000-0010-0000-1800-000001000000}" name="Player" dataDxfId="149"/>
    <tableColumn id="2" xr3:uid="{00000000-0010-0000-1800-000002000000}" name="TM" dataDxfId="148"/>
    <tableColumn id="3" xr3:uid="{00000000-0010-0000-1800-000003000000}" name="BYE" dataDxfId="147"/>
    <tableColumn id="4" xr3:uid="{00000000-0010-0000-1800-000004000000}" name="RUAT" dataDxfId="146"/>
    <tableColumn id="5" xr3:uid="{00000000-0010-0000-1800-000005000000}" name="RUYD" dataDxfId="145"/>
    <tableColumn id="6" xr3:uid="{00000000-0010-0000-1800-000006000000}" name="RUTD" dataDxfId="144"/>
    <tableColumn id="7" xr3:uid="{00000000-0010-0000-1800-000007000000}" name="TGT" dataDxfId="143"/>
    <tableColumn id="8" xr3:uid="{00000000-0010-0000-1800-000008000000}" name="REC" dataDxfId="142"/>
    <tableColumn id="9" xr3:uid="{00000000-0010-0000-1800-000009000000}" name="RCYD" dataDxfId="141"/>
    <tableColumn id="10" xr3:uid="{00000000-0010-0000-1800-00000A000000}" name="RCTD" dataDxfId="140"/>
    <tableColumn id="11" xr3:uid="{00000000-0010-0000-1800-00000B000000}" name="FPS" dataDxfId="139">
      <calculatedColumnFormula>(F2/10)+(G2*6)+(J2/10)+(K2*6)</calculatedColumnFormula>
    </tableColumn>
    <tableColumn id="12" xr3:uid="{00000000-0010-0000-1800-00000C000000}" name="HALF" dataDxfId="138">
      <calculatedColumnFormula>L2+(I2*0.5)</calculatedColumnFormula>
    </tableColumn>
    <tableColumn id="13" xr3:uid="{00000000-0010-0000-1800-00000D000000}" name="PPR" dataDxfId="137">
      <calculatedColumnFormula>L2+I2</calculatedColumnFormula>
    </tableColumn>
    <tableColumn id="14" xr3:uid="{00000000-0010-0000-1800-00000E000000}" name="Custom" dataDxfId="136">
      <calculatedColumnFormula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calculatedColumnFormula>
    </tableColumn>
    <tableColumn id="15" xr3:uid="{00000000-0010-0000-1800-00000F000000}" name="AUC$" dataDxfId="135"/>
  </tableColumns>
  <tableStyleInfo name="TableStyleLight8" showFirstColumn="0" showLastColumn="0" showRowStripes="1" showColumnStripes="1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19000000}" name="TableWRMaster" displayName="TableWRMaster" ref="A1:O203" totalsRowShown="0" headerRowDxfId="134" dataDxfId="133">
  <autoFilter ref="A1:O203" xr:uid="{00000000-0009-0000-0100-000006000000}"/>
  <sortState xmlns:xlrd2="http://schemas.microsoft.com/office/spreadsheetml/2017/richdata2" ref="B2:M203">
    <sortCondition ref="C1:C203"/>
  </sortState>
  <tableColumns count="15">
    <tableColumn id="15" xr3:uid="{00000000-0010-0000-1900-00000F000000}" name="WRRef" dataDxfId="132"/>
    <tableColumn id="1" xr3:uid="{00000000-0010-0000-1900-000001000000}" name="Player" dataDxfId="131"/>
    <tableColumn id="2" xr3:uid="{00000000-0010-0000-1900-000002000000}" name="TM" dataDxfId="130"/>
    <tableColumn id="3" xr3:uid="{00000000-0010-0000-1900-000003000000}" name="BYE" dataDxfId="129"/>
    <tableColumn id="4" xr3:uid="{00000000-0010-0000-1900-000004000000}" name="RUYD" dataDxfId="128"/>
    <tableColumn id="5" xr3:uid="{00000000-0010-0000-1900-000005000000}" name="RUTD" dataDxfId="127"/>
    <tableColumn id="6" xr3:uid="{00000000-0010-0000-1900-000006000000}" name="TGT" dataDxfId="126"/>
    <tableColumn id="7" xr3:uid="{00000000-0010-0000-1900-000007000000}" name="REC" dataDxfId="125"/>
    <tableColumn id="8" xr3:uid="{00000000-0010-0000-1900-000008000000}" name="RCYD" dataDxfId="124"/>
    <tableColumn id="9" xr3:uid="{00000000-0010-0000-1900-000009000000}" name="RCTD" dataDxfId="123"/>
    <tableColumn id="10" xr3:uid="{00000000-0010-0000-1900-00000A000000}" name="FPS" dataDxfId="122">
      <calculatedColumnFormula>(E2/10)+(F2*6)+(I2/10)+(J2*6)</calculatedColumnFormula>
    </tableColumn>
    <tableColumn id="11" xr3:uid="{00000000-0010-0000-1900-00000B000000}" name="HALF" dataDxfId="121">
      <calculatedColumnFormula>K2+(H2*0.5)</calculatedColumnFormula>
    </tableColumn>
    <tableColumn id="12" xr3:uid="{00000000-0010-0000-1900-00000C000000}" name="PPR" dataDxfId="120">
      <calculatedColumnFormula>K2+H2</calculatedColumnFormula>
    </tableColumn>
    <tableColumn id="13" xr3:uid="{00000000-0010-0000-1900-00000D000000}" name="Custom" dataDxfId="119">
      <calculatedColumnFormula>(TableWRMaster[[#This Row],[RUYD]]*RUSH_YARDS)+(TableWRMaster[[#This Row],[RUTD]]*RUSH_TDS)+(TableWRMaster[[#This Row],[TGT]]*TARGETS)+(TableWRMaster[[#This Row],[REC]]*RECEPTIONS_WR)+(TableWRMaster[[#This Row],[RCYD]]*RECV_YARDS)+(TableWRMaster[[#This Row],[RCTD]]*RECV_TDS)</calculatedColumnFormula>
    </tableColumn>
    <tableColumn id="14" xr3:uid="{00000000-0010-0000-1900-00000E000000}" name="AUC$" dataDxfId="118"/>
  </tableColumns>
  <tableStyleInfo name="TableStyleLight8" showFirstColumn="0" showLastColumn="0" showRowStripes="1" showColumnStripes="1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1A000000}" name="TableTEMaster" displayName="TableTEMaster" ref="A1:M97" totalsRowShown="0" headerRowDxfId="117" dataDxfId="116">
  <autoFilter ref="A1:M97" xr:uid="{00000000-0009-0000-0100-000007000000}"/>
  <tableColumns count="13">
    <tableColumn id="13" xr3:uid="{00000000-0010-0000-1A00-00000D000000}" name="TERef" dataDxfId="115"/>
    <tableColumn id="1" xr3:uid="{00000000-0010-0000-1A00-000001000000}" name="Player" dataDxfId="114"/>
    <tableColumn id="2" xr3:uid="{00000000-0010-0000-1A00-000002000000}" name="TM" dataDxfId="113"/>
    <tableColumn id="3" xr3:uid="{00000000-0010-0000-1A00-000003000000}" name="BYE" dataDxfId="112"/>
    <tableColumn id="4" xr3:uid="{00000000-0010-0000-1A00-000004000000}" name="TGT" dataDxfId="111"/>
    <tableColumn id="5" xr3:uid="{00000000-0010-0000-1A00-000005000000}" name="REC" dataDxfId="110"/>
    <tableColumn id="6" xr3:uid="{00000000-0010-0000-1A00-000006000000}" name="RCYD" dataDxfId="109"/>
    <tableColumn id="7" xr3:uid="{00000000-0010-0000-1A00-000007000000}" name="RCTD" dataDxfId="108"/>
    <tableColumn id="8" xr3:uid="{00000000-0010-0000-1A00-000008000000}" name="FPS" dataDxfId="107">
      <calculatedColumnFormula>(G2/10)+(H2*6)</calculatedColumnFormula>
    </tableColumn>
    <tableColumn id="9" xr3:uid="{00000000-0010-0000-1A00-000009000000}" name="HALF" dataDxfId="106">
      <calculatedColumnFormula>I2+(F2*0.5)</calculatedColumnFormula>
    </tableColumn>
    <tableColumn id="10" xr3:uid="{00000000-0010-0000-1A00-00000A000000}" name="PPR" dataDxfId="105">
      <calculatedColumnFormula>I2+F2</calculatedColumnFormula>
    </tableColumn>
    <tableColumn id="11" xr3:uid="{00000000-0010-0000-1A00-00000B000000}" name="Custom" dataDxfId="104">
      <calculatedColumnFormula>(TableTEMaster[[#This Row],[TGT]]*TARGETS)+(TableTEMaster[[#This Row],[REC]]*RECEPTIONS_TE)+(TableTEMaster[[#This Row],[RCYD]]*RECV_YARDS)+(TableTEMaster[[#This Row],[RCTD]]*RECV_TDS)</calculatedColumnFormula>
    </tableColumn>
    <tableColumn id="12" xr3:uid="{00000000-0010-0000-1A00-00000C000000}" name="AUC$" dataDxfId="103"/>
  </tableColumns>
  <tableStyleInfo name="TableStyleLight8" showFirstColumn="0" showLastColumn="0" showRowStripes="1" showColumnStripes="1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1B000000}" name="TableDSTMaster" displayName="TableDSTMaster" ref="A1:E33" totalsRowShown="0" headerRowDxfId="102" dataDxfId="101">
  <autoFilter ref="A1:E33" xr:uid="{00000000-0009-0000-0100-00000C000000}"/>
  <tableColumns count="5">
    <tableColumn id="1" xr3:uid="{00000000-0010-0000-1B00-000001000000}" name="DSTRef" dataDxfId="100"/>
    <tableColumn id="2" xr3:uid="{00000000-0010-0000-1B00-000002000000}" name="Player" dataDxfId="99">
      <calculatedColumnFormula>DST!B2</calculatedColumnFormula>
    </tableColumn>
    <tableColumn id="3" xr3:uid="{00000000-0010-0000-1B00-000003000000}" name="BYE" dataDxfId="98">
      <calculatedColumnFormula>DST!D2</calculatedColumnFormula>
    </tableColumn>
    <tableColumn id="4" xr3:uid="{00000000-0010-0000-1B00-000004000000}" name="Custom" dataDxfId="97">
      <calculatedColumnFormula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calculatedColumnFormula>
    </tableColumn>
    <tableColumn id="5" xr3:uid="{00000000-0010-0000-1B00-000005000000}" name="AUC$" dataDxfId="96"/>
  </tableColumns>
  <tableStyleInfo name="TableStyleLight8" showFirstColumn="0" showLastColumn="0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3000000}" name="TableRBRanks" displayName="TableRBRanks" ref="H1:M171" totalsRowShown="0" headerRowDxfId="464" dataDxfId="463">
  <sortState xmlns:xlrd2="http://schemas.microsoft.com/office/spreadsheetml/2017/richdata2" ref="H2:M153">
    <sortCondition ref="H1:H153"/>
  </sortState>
  <tableColumns count="6">
    <tableColumn id="1" xr3:uid="{00000000-0010-0000-0300-000001000000}" name="RK" dataDxfId="462">
      <calculatedColumnFormula>RANK(TableRBRanks[[#This Row],[FPS]],TableRBRanks[FPS],0)</calculatedColumnFormula>
    </tableColumn>
    <tableColumn id="2" xr3:uid="{00000000-0010-0000-0300-000002000000}" name="Player" dataDxfId="461">
      <calculatedColumnFormula>IFERROR(INDEX(TableRBCalcPts[PLAYER],MATCH(TableRBRanks[[#This Row],[RK]],TableRBCalcPts[RK],0)),"")</calculatedColumnFormula>
    </tableColumn>
    <tableColumn id="3" xr3:uid="{00000000-0010-0000-0300-000003000000}" name="TM" dataDxfId="460">
      <calculatedColumnFormula>IFERROR(INDEX(TableRBCalcPts[TM],MATCH(TableRBRanks[[#This Row],[RK]],TableRBCalcPts[RK],0)),"")</calculatedColumnFormula>
    </tableColumn>
    <tableColumn id="4" xr3:uid="{00000000-0010-0000-0300-000004000000}" name="BYE" dataDxfId="459">
      <calculatedColumnFormula>IFERROR(INDEX(TableRBCalcPts[BYE],MATCH(TableRBRanks[[#This Row],[RK]],TableRBCalcPts[RK],0)),"")</calculatedColumnFormula>
    </tableColumn>
    <tableColumn id="5" xr3:uid="{00000000-0010-0000-0300-000005000000}" name="FPS" dataDxfId="458">
      <calculatedColumnFormula>IFERROR(INDEX(TableRBCalcPts[Custom],MATCH(TableRBRanks[[#This Row],[RK]],TableRBCalcPts[RK],0)),"")</calculatedColumnFormula>
    </tableColumn>
    <tableColumn id="6" xr3:uid="{00000000-0010-0000-0300-000006000000}" name="AUC$" dataDxfId="457" dataCellStyle="Currency">
      <calculatedColumnFormula>(((VLOOKUP(TableRBRanks[[#This Row],[Player]],'OVR &amp; VORP Ranks'!$I:$M,5,FALSE)))/('OVR &amp; VORP Ranks'!$BM$6))*(Settings!$E$10*TEAMS)</calculatedColumnFormula>
    </tableColumn>
  </tableColumns>
  <tableStyleInfo name="TableStyleLight8" showFirstColumn="0" showLastColumn="0" showRowStripes="1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4000000}" name="TableWRRanks" displayName="TableWRRanks" ref="O1:T221" totalsRowShown="0" headerRowDxfId="456" dataDxfId="455">
  <sortState xmlns:xlrd2="http://schemas.microsoft.com/office/spreadsheetml/2017/richdata2" ref="O2:T221">
    <sortCondition ref="O1:O203"/>
  </sortState>
  <tableColumns count="6">
    <tableColumn id="1" xr3:uid="{00000000-0010-0000-0400-000001000000}" name="RK" dataDxfId="454">
      <calculatedColumnFormula>RANK(TableWRRanks[[#This Row],[FPS]],TableWRRanks[FPS],0)</calculatedColumnFormula>
    </tableColumn>
    <tableColumn id="2" xr3:uid="{00000000-0010-0000-0400-000002000000}" name="Player" dataDxfId="453">
      <calculatedColumnFormula>IFERROR(INDEX(TableWRCalcPts[PLAYER],MATCH(TableWRRanks[[#This Row],[RK]],TableWRCalcPts[RK],0)),"")</calculatedColumnFormula>
    </tableColumn>
    <tableColumn id="3" xr3:uid="{00000000-0010-0000-0400-000003000000}" name="TM" dataDxfId="452">
      <calculatedColumnFormula>IFERROR(INDEX(TableWRCalcPts[TM],MATCH(TableWRRanks[[#This Row],[RK]],TableWRCalcPts[RK],0)),"")</calculatedColumnFormula>
    </tableColumn>
    <tableColumn id="4" xr3:uid="{00000000-0010-0000-0400-000004000000}" name="BYE" dataDxfId="451">
      <calculatedColumnFormula>IFERROR(INDEX(TableWRCalcPts[BYE],MATCH(TableWRRanks[[#This Row],[RK]],TableWRCalcPts[RK],0)),"")</calculatedColumnFormula>
    </tableColumn>
    <tableColumn id="5" xr3:uid="{00000000-0010-0000-0400-000005000000}" name="FPS" dataDxfId="450">
      <calculatedColumnFormula>IFERROR(INDEX(TableWRCalcPts[Custom],MATCH(TableWRRanks[[#This Row],[RK]],TableWRCalcPts[RK],0)),"")</calculatedColumnFormula>
    </tableColumn>
    <tableColumn id="6" xr3:uid="{00000000-0010-0000-0400-000006000000}" name="AUC$" dataDxfId="449" dataCellStyle="Currency">
      <calculatedColumnFormula>(((VLOOKUP(TableWRRanks[[#This Row],[Player]],'OVR &amp; VORP Ranks'!$P:$T,5,FALSE)))/('OVR &amp; VORP Ranks'!$BM$6))*(Settings!$E$10*TEAMS)</calculatedColumnFormula>
    </tableColumn>
  </tableColumns>
  <tableStyleInfo name="TableStyleLight8" showFirstColumn="0" showLastColumn="0" showRowStripes="1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5000000}" name="TableTERanks" displayName="TableTERanks" ref="V1:AA101" totalsRowShown="0" headerRowDxfId="448" dataDxfId="447">
  <sortState xmlns:xlrd2="http://schemas.microsoft.com/office/spreadsheetml/2017/richdata2" ref="V2:AA97">
    <sortCondition ref="V1:V97"/>
  </sortState>
  <tableColumns count="6">
    <tableColumn id="1" xr3:uid="{00000000-0010-0000-0500-000001000000}" name="RK" dataDxfId="446">
      <calculatedColumnFormula>RANK(TableTERanks[[#This Row],[FPS]],TableTERanks[FPS],0)</calculatedColumnFormula>
    </tableColumn>
    <tableColumn id="2" xr3:uid="{00000000-0010-0000-0500-000002000000}" name="Player" dataDxfId="445">
      <calculatedColumnFormula>IFERROR(INDEX(TableTECalcPts[PLAYER],MATCH(TableTERanks[[#This Row],[RK]],TableTECalcPts[RK],0)),"")</calculatedColumnFormula>
    </tableColumn>
    <tableColumn id="3" xr3:uid="{00000000-0010-0000-0500-000003000000}" name="TM" dataDxfId="444">
      <calculatedColumnFormula>IFERROR(INDEX(TableTECalcPts[TM],MATCH(TableTERanks[[#This Row],[RK]],TableTECalcPts[RK],0)),"")</calculatedColumnFormula>
    </tableColumn>
    <tableColumn id="4" xr3:uid="{00000000-0010-0000-0500-000004000000}" name="BYE" dataDxfId="443">
      <calculatedColumnFormula>IFERROR(INDEX(TableTECalcPts[BYE],MATCH(TableTERanks[[#This Row],[RK]],TableTECalcPts[RK],0)),"")</calculatedColumnFormula>
    </tableColumn>
    <tableColumn id="5" xr3:uid="{00000000-0010-0000-0500-000005000000}" name="FPS" dataDxfId="442">
      <calculatedColumnFormula>IFERROR(INDEX(TableTECalcPts[Custom],MATCH(TableTERanks[[#This Row],[RK]],TableTECalcPts[RK],0)),"")</calculatedColumnFormula>
    </tableColumn>
    <tableColumn id="6" xr3:uid="{00000000-0010-0000-0500-000006000000}" name="AUC$" dataDxfId="441" dataCellStyle="Currency">
      <calculatedColumnFormula>(((VLOOKUP(TableTERanks[[#This Row],[Player]],'OVR &amp; VORP Ranks'!$W:$AA,5,FALSE)))/('OVR &amp; VORP Ranks'!$BM$6))*(Settings!$E$10*TEAMS)</calculatedColumnFormula>
    </tableColumn>
  </tableColumns>
  <tableStyleInfo name="TableStyleLight8" showFirstColumn="0" showLastColumn="0" showRowStripes="1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06000000}" name="TableDSTRanks" displayName="TableDSTRanks" ref="AC1:AG33" totalsRowShown="0" headerRowDxfId="440" dataDxfId="439">
  <sortState xmlns:xlrd2="http://schemas.microsoft.com/office/spreadsheetml/2017/richdata2" ref="AC2:AG33">
    <sortCondition ref="AC1:AC33"/>
  </sortState>
  <tableColumns count="5">
    <tableColumn id="1" xr3:uid="{00000000-0010-0000-0600-000001000000}" name="RK" dataDxfId="438">
      <calculatedColumnFormula>RANK(TableDSTRanks[[#This Row],[FPS]],TableDSTRanks[FPS],0)</calculatedColumnFormula>
    </tableColumn>
    <tableColumn id="2" xr3:uid="{00000000-0010-0000-0600-000002000000}" name="Player" dataDxfId="437">
      <calculatedColumnFormula>IFERROR(INDEX(TableDSTCalcPts[PLAYER],MATCH(TableDSTRanks[[#This Row],[RK]],TableDSTCalcPts[RK],0)),"")</calculatedColumnFormula>
    </tableColumn>
    <tableColumn id="4" xr3:uid="{00000000-0010-0000-0600-000004000000}" name="BYE" dataDxfId="436">
      <calculatedColumnFormula>IFERROR(INDEX(TableDSTCalcPts[BYE],MATCH(TableDSTRanks[[#This Row],[RK]],TableDSTCalcPts[RK],0)),"")</calculatedColumnFormula>
    </tableColumn>
    <tableColumn id="5" xr3:uid="{00000000-0010-0000-0600-000005000000}" name="FPS" dataDxfId="435">
      <calculatedColumnFormula>IFERROR(INDEX(TableDSTCalcPts[Custom],MATCH(TableDSTRanks[[#This Row],[RK]],TableDSTCalcPts[RK],0)),"")</calculatedColumnFormula>
    </tableColumn>
    <tableColumn id="6" xr3:uid="{00000000-0010-0000-0600-000006000000}" name="AUC$" dataDxfId="434" dataCellStyle="Currency">
      <calculatedColumnFormula>IFERROR(INDEX(TableDSTMaster[AUC$],MATCH(TableDSTRanks[[#This Row],[Player]],TableDSTMaster[Player],0)),"")</calculatedColumnFormula>
    </tableColumn>
  </tableColumns>
  <tableStyleInfo name="TableStyleLight8" showFirstColumn="0" showLastColumn="0" showRowStripes="1" showColumn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TableQBVORP" displayName="TableQBVORP" ref="A1:F101" totalsRowShown="0" headerRowDxfId="433" dataDxfId="432">
  <sortState xmlns:xlrd2="http://schemas.microsoft.com/office/spreadsheetml/2017/richdata2" ref="A2:F101">
    <sortCondition ref="A1:A101"/>
  </sortState>
  <tableColumns count="6">
    <tableColumn id="1" xr3:uid="{00000000-0010-0000-0700-000001000000}" name="RK" dataDxfId="431">
      <calculatedColumnFormula>IFERROR(RANK(TableQBVORP[[#This Row],[FPS]],TableQBVORP[FPS],0),"")</calculatedColumnFormula>
    </tableColumn>
    <tableColumn id="2" xr3:uid="{00000000-0010-0000-0700-000002000000}" name="QUARTERBACK" dataDxfId="430">
      <calculatedColumnFormula>IFERROR(INDEX(TableQBCalcPts[PLAYER],MATCH(TableQBVORP[[#This Row],[RK]],TableQBCalcPts[RK],0)),"")</calculatedColumnFormula>
    </tableColumn>
    <tableColumn id="3" xr3:uid="{00000000-0010-0000-0700-000003000000}" name="TM" dataDxfId="429">
      <calculatedColumnFormula>IFERROR(INDEX(TableQBCalcPts[TM],MATCH(TableQBVORP[[#This Row],[RK]],TableQBCalcPts[RK],0)),"")</calculatedColumnFormula>
    </tableColumn>
    <tableColumn id="4" xr3:uid="{00000000-0010-0000-0700-000004000000}" name="BYE" dataDxfId="428">
      <calculatedColumnFormula>IFERROR(INDEX(TableQBCalcPts[BYE],MATCH(TableQBVORP[[#This Row],[RK]],TableQBCalcPts[RK],0)),"")</calculatedColumnFormula>
    </tableColumn>
    <tableColumn id="5" xr3:uid="{00000000-0010-0000-0700-000005000000}" name="FPS" dataDxfId="427">
      <calculatedColumnFormula>IFERROR(INDEX(TableQBCalcPts[Custom],MATCH(TableQBVORP[[#This Row],[RK]],TableQBCalcPts[RK],0)),"")</calculatedColumnFormula>
    </tableColumn>
    <tableColumn id="6" xr3:uid="{00000000-0010-0000-0700-000006000000}" name="VORP" dataDxfId="426" dataCellStyle="Percent">
      <calculatedColumnFormula>(IFERROR((TableQBVORP[[#This Row],[FPS]]-INDEX(TableQBVORP[FPS],MATCH(QBVORPCalc,TableQBVORP[RK],0)))/INDEX(TableQBVORP[FPS],MATCH(QBVORPCalc,TableQBVORP[RK],0)),""))+(TableRBVORP[[#This Row],[VORP]]*0.45)</calculatedColumnFormula>
    </tableColumn>
  </tableColumns>
  <tableStyleInfo name="TableStyleLight8" showFirstColumn="0" showLastColumn="0" showRowStripes="1" showColumn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8000000}" name="TableVORPVari" displayName="TableVORPVari" ref="AC1:AD8" totalsRowShown="0" headerRowDxfId="425" dataDxfId="424">
  <tableColumns count="2">
    <tableColumn id="1" xr3:uid="{00000000-0010-0000-0800-000001000000}" name="Pos" dataDxfId="423"/>
    <tableColumn id="2" xr3:uid="{00000000-0010-0000-0800-000002000000}" name="Calc" dataDxfId="422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ytimes.com/athletic/5475262/2024/08/19/2024-fantasy-football-cheat-sheet-generator-customizable-rankings-and-projections-tool/" TargetMode="External"/><Relationship Id="rId2" Type="http://schemas.openxmlformats.org/officeDocument/2006/relationships/hyperlink" Target="https://www.office.com/launch/excel" TargetMode="External"/><Relationship Id="rId1" Type="http://schemas.openxmlformats.org/officeDocument/2006/relationships/hyperlink" Target="https://theathletic.com/2705029/2021/07/14/fantasy-football-cheat-sheet-a-fully-customizable-rankings-and-projection-tool/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10" Type="http://schemas.openxmlformats.org/officeDocument/2006/relationships/table" Target="../tables/table16.xml"/><Relationship Id="rId4" Type="http://schemas.openxmlformats.org/officeDocument/2006/relationships/table" Target="../tables/table10.xml"/><Relationship Id="rId9" Type="http://schemas.openxmlformats.org/officeDocument/2006/relationships/table" Target="../tables/table15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7" Type="http://schemas.openxmlformats.org/officeDocument/2006/relationships/table" Target="../tables/table31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40.bin"/><Relationship Id="rId6" Type="http://schemas.openxmlformats.org/officeDocument/2006/relationships/table" Target="../tables/table30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6.bin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2">
    <tabColor theme="7" tint="0.79998168889431442"/>
  </sheetPr>
  <dimension ref="A1:B15"/>
  <sheetViews>
    <sheetView showGridLines="0" tabSelected="1" workbookViewId="0">
      <selection sqref="A1:B1"/>
    </sheetView>
  </sheetViews>
  <sheetFormatPr defaultRowHeight="12.75" x14ac:dyDescent="0.2"/>
  <cols>
    <col min="1" max="1" width="26.28515625" bestFit="1" customWidth="1"/>
    <col min="2" max="2" width="208" bestFit="1" customWidth="1"/>
  </cols>
  <sheetData>
    <row r="1" spans="1:2" ht="18.75" x14ac:dyDescent="0.3">
      <c r="A1" s="191" t="s">
        <v>317</v>
      </c>
      <c r="B1" s="191"/>
    </row>
    <row r="3" spans="1:2" x14ac:dyDescent="0.2">
      <c r="A3" s="55" t="s">
        <v>318</v>
      </c>
      <c r="B3" t="s">
        <v>319</v>
      </c>
    </row>
    <row r="4" spans="1:2" x14ac:dyDescent="0.2">
      <c r="A4" s="55"/>
      <c r="B4" s="56" t="s">
        <v>320</v>
      </c>
    </row>
    <row r="5" spans="1:2" x14ac:dyDescent="0.2">
      <c r="A5" s="55" t="s">
        <v>299</v>
      </c>
      <c r="B5" t="s">
        <v>313</v>
      </c>
    </row>
    <row r="6" spans="1:2" x14ac:dyDescent="0.2">
      <c r="A6" s="55" t="s">
        <v>296</v>
      </c>
      <c r="B6" t="s">
        <v>314</v>
      </c>
    </row>
    <row r="7" spans="1:2" x14ac:dyDescent="0.2">
      <c r="A7" s="55" t="s">
        <v>297</v>
      </c>
      <c r="B7" t="s">
        <v>298</v>
      </c>
    </row>
    <row r="8" spans="1:2" x14ac:dyDescent="0.2">
      <c r="A8" s="55" t="s">
        <v>300</v>
      </c>
      <c r="B8" t="s">
        <v>301</v>
      </c>
    </row>
    <row r="9" spans="1:2" x14ac:dyDescent="0.2">
      <c r="A9" s="55" t="s">
        <v>312</v>
      </c>
      <c r="B9" t="s">
        <v>315</v>
      </c>
    </row>
    <row r="10" spans="1:2" x14ac:dyDescent="0.2">
      <c r="A10" s="55"/>
    </row>
    <row r="11" spans="1:2" x14ac:dyDescent="0.2">
      <c r="A11" s="55" t="s">
        <v>303</v>
      </c>
      <c r="B11" t="s">
        <v>302</v>
      </c>
    </row>
    <row r="12" spans="1:2" x14ac:dyDescent="0.2">
      <c r="A12" s="55" t="s">
        <v>304</v>
      </c>
      <c r="B12" t="s">
        <v>305</v>
      </c>
    </row>
    <row r="13" spans="1:2" x14ac:dyDescent="0.2">
      <c r="A13" s="55" t="s">
        <v>306</v>
      </c>
      <c r="B13" t="s">
        <v>307</v>
      </c>
    </row>
    <row r="14" spans="1:2" x14ac:dyDescent="0.2">
      <c r="A14" s="55" t="s">
        <v>308</v>
      </c>
      <c r="B14" t="s">
        <v>309</v>
      </c>
    </row>
    <row r="15" spans="1:2" x14ac:dyDescent="0.2">
      <c r="A15" s="55" t="s">
        <v>310</v>
      </c>
      <c r="B15" t="s">
        <v>311</v>
      </c>
    </row>
  </sheetData>
  <mergeCells count="1">
    <mergeCell ref="A1:B1"/>
  </mergeCells>
  <hyperlinks>
    <hyperlink ref="A1" r:id="rId1" xr:uid="{00000000-0004-0000-0000-000000000000}"/>
    <hyperlink ref="B4" r:id="rId2" xr:uid="{00000000-0004-0000-0000-000001000000}"/>
    <hyperlink ref="A1:B1" r:id="rId3" display="LINK TO THE SITE WITH STEP-BY-STEP DEEPER INSTRUCTIONS AND PICTURES" xr:uid="{05403A2C-21A9-44A0-A133-FAADE465E33F}"/>
  </hyperlinks>
  <pageMargins left="0.7" right="0.7" top="0.75" bottom="0.75" header="0.3" footer="0.3"/>
  <pageSetup orientation="portrait" verticalDpi="9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0070C0"/>
  </sheetPr>
  <dimension ref="A1:AN64"/>
  <sheetViews>
    <sheetView showGridLines="0" zoomScale="85" zoomScaleNormal="85"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defaultColWidth="8.7109375" defaultRowHeight="12.75" x14ac:dyDescent="0.2"/>
  <cols>
    <col min="1" max="1" width="22.5703125" style="17" customWidth="1"/>
    <col min="2" max="3" width="8.7109375" style="18"/>
    <col min="4" max="13" width="8.7109375" style="23"/>
    <col min="14" max="15" width="8.7109375" style="18"/>
    <col min="16" max="16" width="4.7109375" style="18" customWidth="1"/>
    <col min="17" max="18" width="8.7109375" style="26"/>
    <col min="19" max="19" width="8.7109375" style="23"/>
    <col min="20" max="21" width="8.7109375" style="26"/>
    <col min="22" max="23" width="8.7109375" style="25"/>
    <col min="24" max="25" width="8.7109375" style="26"/>
    <col min="26" max="26" width="8.7109375" style="25"/>
    <col min="27" max="27" width="8.7109375" style="18"/>
    <col min="28" max="28" width="0" style="18" hidden="1" customWidth="1"/>
    <col min="29" max="29" width="8.7109375" style="26"/>
    <col min="30" max="30" width="4.7109375" style="17" customWidth="1"/>
    <col min="31" max="32" width="8.7109375" style="18"/>
    <col min="33" max="16384" width="8.7109375" style="17"/>
  </cols>
  <sheetData>
    <row r="1" spans="1:40" s="15" customFormat="1" ht="25.5" customHeight="1" x14ac:dyDescent="0.2">
      <c r="A1" s="15" t="s">
        <v>0</v>
      </c>
      <c r="B1" s="15" t="s">
        <v>8</v>
      </c>
      <c r="C1" s="15" t="s">
        <v>122</v>
      </c>
      <c r="D1" s="159" t="s">
        <v>210</v>
      </c>
      <c r="E1" s="159" t="s">
        <v>1</v>
      </c>
      <c r="F1" s="159" t="s">
        <v>213</v>
      </c>
      <c r="G1" s="159" t="s">
        <v>228</v>
      </c>
      <c r="H1" s="159" t="s">
        <v>2</v>
      </c>
      <c r="I1" s="159" t="s">
        <v>229</v>
      </c>
      <c r="J1" s="159" t="s">
        <v>217</v>
      </c>
      <c r="K1" s="159" t="s">
        <v>230</v>
      </c>
      <c r="L1" s="159" t="s">
        <v>219</v>
      </c>
      <c r="M1" s="159" t="s">
        <v>4</v>
      </c>
      <c r="N1" s="159" t="s">
        <v>223</v>
      </c>
      <c r="O1" s="159" t="s">
        <v>231</v>
      </c>
      <c r="Q1" s="160" t="s">
        <v>281</v>
      </c>
      <c r="R1" s="133" t="s">
        <v>232</v>
      </c>
      <c r="S1" s="134" t="s">
        <v>451</v>
      </c>
      <c r="T1" s="133" t="s">
        <v>205</v>
      </c>
      <c r="U1" s="133" t="s">
        <v>209</v>
      </c>
      <c r="V1" s="135" t="s">
        <v>280</v>
      </c>
      <c r="W1" s="161" t="s">
        <v>282</v>
      </c>
      <c r="X1" s="133" t="s">
        <v>233</v>
      </c>
      <c r="Y1" s="179" t="s">
        <v>234</v>
      </c>
      <c r="Z1" s="135" t="s">
        <v>235</v>
      </c>
      <c r="AA1" s="160" t="s">
        <v>236</v>
      </c>
      <c r="AB1" s="160" t="s">
        <v>237</v>
      </c>
      <c r="AC1" s="10" t="s">
        <v>262</v>
      </c>
      <c r="AE1" s="136" t="s">
        <v>283</v>
      </c>
      <c r="AF1" s="137" t="s">
        <v>284</v>
      </c>
      <c r="AG1" s="136" t="s">
        <v>285</v>
      </c>
      <c r="AH1" s="136" t="s">
        <v>450</v>
      </c>
      <c r="AN1" s="15" t="s">
        <v>90</v>
      </c>
    </row>
    <row r="2" spans="1:40" x14ac:dyDescent="0.2">
      <c r="A2" s="17" t="s">
        <v>26</v>
      </c>
      <c r="B2" s="18" t="s">
        <v>9</v>
      </c>
      <c r="C2" s="18">
        <f>VLOOKUP($AN$1,DST!C:D,2,FALSE)</f>
        <v>12</v>
      </c>
      <c r="D2" s="146">
        <f>D$32*Q2</f>
        <v>613.57823999999994</v>
      </c>
      <c r="E2" s="146">
        <f>D2*R2</f>
        <v>397.42344650894228</v>
      </c>
      <c r="F2" s="146">
        <f>E2*S2</f>
        <v>4459.0910698303323</v>
      </c>
      <c r="G2" s="146">
        <f>D2*T2</f>
        <v>30.678911999999997</v>
      </c>
      <c r="H2" s="146">
        <f>E2*U2</f>
        <v>8.2570027479375891</v>
      </c>
      <c r="I2" s="146">
        <f>D$35*W2</f>
        <v>116.24587520000003</v>
      </c>
      <c r="J2" s="146">
        <f>I2*V2</f>
        <v>596.92711573120982</v>
      </c>
      <c r="K2" s="146">
        <f>I2*X2</f>
        <v>8.6830743453311445</v>
      </c>
      <c r="L2" s="147"/>
      <c r="M2" s="147"/>
      <c r="N2" s="147"/>
      <c r="O2" s="147"/>
      <c r="Q2" s="150">
        <f>(AE2/SUM(AE$2:AE$25))</f>
        <v>0.99</v>
      </c>
      <c r="R2" s="19">
        <v>0.64771437544614086</v>
      </c>
      <c r="S2" s="107">
        <v>11.22</v>
      </c>
      <c r="T2" s="19">
        <v>0.05</v>
      </c>
      <c r="U2" s="19">
        <v>2.0776335217433634E-2</v>
      </c>
      <c r="V2" s="107">
        <v>5.1350391117465621</v>
      </c>
      <c r="W2" s="150">
        <f>(AF2/SUM(AF$2:AF$20))*0.98</f>
        <v>0.25480000000000003</v>
      </c>
      <c r="X2" s="19">
        <v>7.4695763014317629E-2</v>
      </c>
      <c r="Y2" s="21"/>
      <c r="Z2" s="22"/>
      <c r="AA2" s="1"/>
      <c r="AB2" s="1"/>
      <c r="AC2" s="1"/>
      <c r="AE2" s="19">
        <v>0.99</v>
      </c>
      <c r="AF2" s="19">
        <v>0.26</v>
      </c>
      <c r="AG2" s="168"/>
      <c r="AH2" s="168"/>
    </row>
    <row r="3" spans="1:40" x14ac:dyDescent="0.2">
      <c r="A3" s="17" t="s">
        <v>534</v>
      </c>
      <c r="B3" s="18" t="s">
        <v>9</v>
      </c>
      <c r="C3" s="18">
        <f>VLOOKUP($AN$1,DST!C:D,2,FALSE)</f>
        <v>12</v>
      </c>
      <c r="D3" s="146">
        <f>D$32*Q3</f>
        <v>6.197760000000005</v>
      </c>
      <c r="E3" s="146">
        <f t="shared" ref="E3:F4" si="0">D3*R3</f>
        <v>3.793029120000003</v>
      </c>
      <c r="F3" s="146">
        <f t="shared" si="0"/>
        <v>36.792382464000028</v>
      </c>
      <c r="G3" s="146">
        <f t="shared" ref="G3:G4" si="1">D3*T3</f>
        <v>0.21072384000000019</v>
      </c>
      <c r="H3" s="146">
        <f t="shared" ref="H3:H4" si="2">E3*U3</f>
        <v>4.6426676428800037E-2</v>
      </c>
      <c r="I3" s="146">
        <f>D$35*W3</f>
        <v>0</v>
      </c>
      <c r="J3" s="146">
        <f>I3*V3</f>
        <v>0</v>
      </c>
      <c r="K3" s="146">
        <f>I3*X3</f>
        <v>0</v>
      </c>
      <c r="L3" s="147"/>
      <c r="M3" s="147"/>
      <c r="N3" s="147"/>
      <c r="O3" s="147"/>
      <c r="Q3" s="150">
        <f>(AE3/SUM(AE$2:AE$25))</f>
        <v>1.0000000000000009E-2</v>
      </c>
      <c r="R3" s="19">
        <v>0.61199999999999999</v>
      </c>
      <c r="S3" s="107">
        <v>9.6999999999999993</v>
      </c>
      <c r="T3" s="19">
        <v>3.4000000000000002E-2</v>
      </c>
      <c r="U3" s="19">
        <v>1.2239999999999999E-2</v>
      </c>
      <c r="V3" s="107">
        <v>3.1</v>
      </c>
      <c r="W3" s="150">
        <f>(AF3/SUM(AF$2:AF$20))*0.98</f>
        <v>0</v>
      </c>
      <c r="X3" s="19">
        <v>0.03</v>
      </c>
      <c r="Y3" s="21"/>
      <c r="Z3" s="22"/>
      <c r="AA3" s="1"/>
      <c r="AB3" s="1"/>
      <c r="AC3" s="1"/>
      <c r="AE3" s="19">
        <v>1.0000000000000009E-2</v>
      </c>
      <c r="AF3" s="19">
        <v>0</v>
      </c>
      <c r="AG3" s="168"/>
      <c r="AH3" s="168"/>
    </row>
    <row r="4" spans="1:40" x14ac:dyDescent="0.2">
      <c r="B4" s="18" t="s">
        <v>9</v>
      </c>
      <c r="C4" s="18">
        <f>VLOOKUP($AN$1,DST!C:D,2,FALSE)</f>
        <v>12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>
        <v>0</v>
      </c>
      <c r="AF4" s="19">
        <v>0</v>
      </c>
      <c r="AG4" s="168"/>
      <c r="AH4" s="168"/>
    </row>
    <row r="5" spans="1:40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40" x14ac:dyDescent="0.2">
      <c r="A6" s="172" t="s">
        <v>429</v>
      </c>
      <c r="B6" s="18" t="s">
        <v>207</v>
      </c>
      <c r="C6" s="18">
        <f>VLOOKUP($AN$1,DST!C:D,2,FALSE)</f>
        <v>12</v>
      </c>
      <c r="D6" s="147"/>
      <c r="E6" s="147"/>
      <c r="F6" s="147"/>
      <c r="G6" s="147"/>
      <c r="H6" s="147"/>
      <c r="I6" s="146">
        <f t="shared" ref="I6:I11" si="3">D$35*W6</f>
        <v>210.58387392000003</v>
      </c>
      <c r="J6" s="146">
        <f>I6*V6</f>
        <v>947.62743264000017</v>
      </c>
      <c r="K6" s="146">
        <f>I6*X6</f>
        <v>5.1440328083671965</v>
      </c>
      <c r="L6" s="146">
        <f>((D$2+D$3+D$4)*AA6)</f>
        <v>53.449482239999995</v>
      </c>
      <c r="M6" s="146">
        <f t="shared" ref="M6:N11" si="4">L6*Y6</f>
        <v>39.873313751040008</v>
      </c>
      <c r="N6" s="146">
        <f t="shared" si="4"/>
        <v>343.25346832816842</v>
      </c>
      <c r="O6" s="146">
        <f>M6*AH6</f>
        <v>2.3008943159581885</v>
      </c>
      <c r="Q6" s="13"/>
      <c r="R6" s="139"/>
      <c r="S6" s="138"/>
      <c r="T6" s="139"/>
      <c r="U6" s="139"/>
      <c r="V6" s="107">
        <v>4.5</v>
      </c>
      <c r="W6" s="150">
        <f t="shared" ref="W6:W11" si="5">(AF6/SUM(AF$2:AF$20))*0.98</f>
        <v>0.46157999999999999</v>
      </c>
      <c r="X6" s="19">
        <v>2.4427477340080626E-2</v>
      </c>
      <c r="Y6" s="19">
        <v>0.74600000000000022</v>
      </c>
      <c r="Z6" s="20">
        <v>8.6086014940058853</v>
      </c>
      <c r="AA6" s="150">
        <f t="shared" ref="AA6:AA11" si="6">(AG6/SUM(AG$6:AG$25))*0.98</f>
        <v>8.6239999999999997E-2</v>
      </c>
      <c r="AB6" s="7">
        <v>4.0719766176599795E-2</v>
      </c>
      <c r="AC6" s="150">
        <f t="shared" ref="AC6:AC11" si="7">(AH6/SUM(AH$6:AH$25))*0.98</f>
        <v>6.9293025179376855E-2</v>
      </c>
      <c r="AE6" s="168"/>
      <c r="AF6" s="19">
        <v>0.47099999999999997</v>
      </c>
      <c r="AG6" s="19">
        <v>8.7999999999999995E-2</v>
      </c>
      <c r="AH6" s="19">
        <v>5.7705119025834035E-2</v>
      </c>
    </row>
    <row r="7" spans="1:40" x14ac:dyDescent="0.2">
      <c r="A7" s="176" t="s">
        <v>551</v>
      </c>
      <c r="B7" s="18" t="s">
        <v>207</v>
      </c>
      <c r="C7" s="18">
        <f>VLOOKUP($AN$1,DST!C:D,2,FALSE)</f>
        <v>12</v>
      </c>
      <c r="D7" s="147"/>
      <c r="E7" s="147"/>
      <c r="F7" s="147"/>
      <c r="G7" s="147"/>
      <c r="H7" s="147"/>
      <c r="I7" s="146">
        <f t="shared" si="3"/>
        <v>11.177488000000002</v>
      </c>
      <c r="J7" s="146">
        <f>I7*V7</f>
        <v>47.608422314384725</v>
      </c>
      <c r="K7" s="146">
        <f>I7*X7</f>
        <v>0.33532464000000006</v>
      </c>
      <c r="L7" s="146">
        <f>((D$2+D$3+D$4)*AA7)</f>
        <v>6.0738047999999996</v>
      </c>
      <c r="M7" s="146">
        <f t="shared" si="4"/>
        <v>4.2516633599999984</v>
      </c>
      <c r="N7" s="146">
        <f t="shared" si="4"/>
        <v>39.165183795385452</v>
      </c>
      <c r="O7" s="146">
        <f t="shared" ref="O7:O11" si="8">M7*AH7</f>
        <v>0.15731154431999994</v>
      </c>
      <c r="Q7" s="13"/>
      <c r="R7" s="139"/>
      <c r="S7" s="138"/>
      <c r="T7" s="139"/>
      <c r="U7" s="139"/>
      <c r="V7" s="107">
        <v>4.2593132119117207</v>
      </c>
      <c r="W7" s="150">
        <f t="shared" si="5"/>
        <v>2.4500000000000001E-2</v>
      </c>
      <c r="X7" s="19">
        <v>0.03</v>
      </c>
      <c r="Y7" s="19">
        <v>0.69999999999999984</v>
      </c>
      <c r="Z7" s="20">
        <v>9.2117320867533277</v>
      </c>
      <c r="AA7" s="150">
        <f t="shared" si="6"/>
        <v>9.7999999999999997E-3</v>
      </c>
      <c r="AB7" s="7">
        <v>7.153442652174713E-2</v>
      </c>
      <c r="AC7" s="150">
        <f t="shared" si="7"/>
        <v>4.443006053742192E-2</v>
      </c>
      <c r="AE7" s="168"/>
      <c r="AF7" s="19">
        <v>2.5000000000000001E-2</v>
      </c>
      <c r="AG7" s="19">
        <v>0.01</v>
      </c>
      <c r="AH7" s="19">
        <v>3.6999999999999998E-2</v>
      </c>
    </row>
    <row r="8" spans="1:40" x14ac:dyDescent="0.2">
      <c r="A8" s="176" t="s">
        <v>598</v>
      </c>
      <c r="B8" s="18" t="s">
        <v>207</v>
      </c>
      <c r="C8" s="18">
        <f>VLOOKUP($AN$1,DST!C:D,2,FALSE)</f>
        <v>12</v>
      </c>
      <c r="D8" s="147"/>
      <c r="E8" s="147"/>
      <c r="F8" s="147"/>
      <c r="G8" s="147"/>
      <c r="H8" s="147"/>
      <c r="I8" s="146">
        <f t="shared" si="3"/>
        <v>91.20830208000001</v>
      </c>
      <c r="J8" s="146">
        <f>I8*V8</f>
        <v>388.19179678162135</v>
      </c>
      <c r="K8" s="146">
        <f>I8*X8</f>
        <v>3.1418739197821406</v>
      </c>
      <c r="L8" s="146">
        <f>((D$2+D$3+D$4)*AA8)</f>
        <v>18.221414399999997</v>
      </c>
      <c r="M8" s="146">
        <f t="shared" si="4"/>
        <v>13.319853926399999</v>
      </c>
      <c r="N8" s="146">
        <f t="shared" si="4"/>
        <v>109.47065962537322</v>
      </c>
      <c r="O8" s="146">
        <f t="shared" si="8"/>
        <v>0.53279415705599997</v>
      </c>
      <c r="Q8" s="13"/>
      <c r="R8" s="139"/>
      <c r="S8" s="138"/>
      <c r="T8" s="139"/>
      <c r="U8" s="139"/>
      <c r="V8" s="107">
        <v>4.2561015601532981</v>
      </c>
      <c r="W8" s="150">
        <f t="shared" si="5"/>
        <v>0.19991999999999999</v>
      </c>
      <c r="X8" s="19">
        <v>3.4447236141139446E-2</v>
      </c>
      <c r="Y8" s="19">
        <v>0.73100000000000009</v>
      </c>
      <c r="Z8" s="20">
        <v>8.2186081191477616</v>
      </c>
      <c r="AA8" s="150">
        <f t="shared" si="6"/>
        <v>2.9399999999999999E-2</v>
      </c>
      <c r="AB8" s="7">
        <v>2.4087473260946013E-2</v>
      </c>
      <c r="AC8" s="150">
        <f t="shared" si="7"/>
        <v>4.8032497878293973E-2</v>
      </c>
      <c r="AE8" s="168"/>
      <c r="AF8" s="19">
        <v>0.20399999999999999</v>
      </c>
      <c r="AG8" s="19">
        <v>0.03</v>
      </c>
      <c r="AH8" s="19">
        <v>0.04</v>
      </c>
    </row>
    <row r="9" spans="1:40" x14ac:dyDescent="0.2">
      <c r="A9" s="172"/>
      <c r="B9" s="18" t="s">
        <v>207</v>
      </c>
      <c r="C9" s="18">
        <f>VLOOKUP($AN$1,DST!C:D,2,FALSE)</f>
        <v>12</v>
      </c>
      <c r="D9" s="147"/>
      <c r="E9" s="147"/>
      <c r="F9" s="147"/>
      <c r="G9" s="147"/>
      <c r="H9" s="147"/>
      <c r="I9" s="146">
        <f t="shared" si="3"/>
        <v>0</v>
      </c>
      <c r="J9" s="146">
        <f t="shared" ref="J9:J11" si="9">I9*V9</f>
        <v>0</v>
      </c>
      <c r="K9" s="146">
        <f t="shared" ref="K9:K11" si="10">I9*X9</f>
        <v>0</v>
      </c>
      <c r="L9" s="146">
        <f t="shared" ref="L9:L11" si="11">((D$2+D$3+D$4)*AA9)</f>
        <v>0</v>
      </c>
      <c r="M9" s="146">
        <f t="shared" si="4"/>
        <v>0</v>
      </c>
      <c r="N9" s="146">
        <f t="shared" si="4"/>
        <v>0</v>
      </c>
      <c r="O9" s="146">
        <f t="shared" si="8"/>
        <v>0</v>
      </c>
      <c r="Q9" s="13"/>
      <c r="R9" s="139"/>
      <c r="S9" s="138"/>
      <c r="T9" s="139"/>
      <c r="U9" s="139"/>
      <c r="V9" s="107">
        <v>0</v>
      </c>
      <c r="W9" s="150">
        <f t="shared" si="5"/>
        <v>0</v>
      </c>
      <c r="X9" s="19">
        <v>0</v>
      </c>
      <c r="Y9" s="19">
        <v>0</v>
      </c>
      <c r="Z9" s="20">
        <v>0</v>
      </c>
      <c r="AA9" s="150">
        <f t="shared" si="6"/>
        <v>0</v>
      </c>
      <c r="AB9" s="7">
        <v>6.393753860495624E-4</v>
      </c>
      <c r="AC9" s="150">
        <f t="shared" si="7"/>
        <v>0</v>
      </c>
      <c r="AE9" s="168"/>
      <c r="AF9" s="19">
        <v>0</v>
      </c>
      <c r="AG9" s="19">
        <v>0</v>
      </c>
      <c r="AH9" s="19">
        <v>0</v>
      </c>
    </row>
    <row r="10" spans="1:40" x14ac:dyDescent="0.2">
      <c r="A10" s="172"/>
      <c r="B10" s="18" t="s">
        <v>207</v>
      </c>
      <c r="C10" s="18">
        <f>VLOOKUP($AN$1,DST!C:D,2,FALSE)</f>
        <v>12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9"/>
        <v>0</v>
      </c>
      <c r="K10" s="146">
        <f t="shared" si="10"/>
        <v>0</v>
      </c>
      <c r="L10" s="146">
        <f t="shared" si="11"/>
        <v>0</v>
      </c>
      <c r="M10" s="146">
        <f t="shared" si="4"/>
        <v>0</v>
      </c>
      <c r="N10" s="146">
        <f t="shared" si="4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5"/>
        <v>0</v>
      </c>
      <c r="X10" s="19">
        <v>0</v>
      </c>
      <c r="Y10" s="19">
        <v>0</v>
      </c>
      <c r="Z10" s="20">
        <v>0</v>
      </c>
      <c r="AA10" s="150">
        <f t="shared" si="6"/>
        <v>0</v>
      </c>
      <c r="AB10" s="7"/>
      <c r="AC10" s="150">
        <f t="shared" si="7"/>
        <v>0</v>
      </c>
      <c r="AE10" s="168"/>
      <c r="AF10" s="19">
        <v>0</v>
      </c>
      <c r="AG10" s="19">
        <v>0</v>
      </c>
      <c r="AH10" s="19">
        <v>0</v>
      </c>
    </row>
    <row r="11" spans="1:40" x14ac:dyDescent="0.2">
      <c r="A11" s="172"/>
      <c r="B11" s="18" t="s">
        <v>207</v>
      </c>
      <c r="C11" s="18">
        <f>VLOOKUP($AN$1,DST!C:D,2,FALSE)</f>
        <v>12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9"/>
        <v>0</v>
      </c>
      <c r="K11" s="146">
        <f t="shared" si="10"/>
        <v>0</v>
      </c>
      <c r="L11" s="146">
        <f t="shared" si="11"/>
        <v>0</v>
      </c>
      <c r="M11" s="146">
        <f t="shared" si="4"/>
        <v>0</v>
      </c>
      <c r="N11" s="146">
        <f t="shared" si="4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5"/>
        <v>0</v>
      </c>
      <c r="X11" s="19">
        <v>0</v>
      </c>
      <c r="Y11" s="19">
        <v>0</v>
      </c>
      <c r="Z11" s="20">
        <v>0</v>
      </c>
      <c r="AA11" s="150">
        <f t="shared" si="6"/>
        <v>0</v>
      </c>
      <c r="AB11" s="7"/>
      <c r="AC11" s="150">
        <f t="shared" si="7"/>
        <v>0</v>
      </c>
      <c r="AE11" s="168"/>
      <c r="AF11" s="19">
        <v>0</v>
      </c>
      <c r="AG11" s="19">
        <v>0</v>
      </c>
      <c r="AH11" s="19">
        <v>0</v>
      </c>
    </row>
    <row r="12" spans="1:40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40" x14ac:dyDescent="0.2">
      <c r="A13" s="17" t="s">
        <v>587</v>
      </c>
      <c r="B13" s="18" t="s">
        <v>208</v>
      </c>
      <c r="C13" s="18">
        <f>VLOOKUP($AN$1,DST!C:D,2,FALSE)</f>
        <v>12</v>
      </c>
      <c r="D13" s="147"/>
      <c r="E13" s="147"/>
      <c r="F13" s="147"/>
      <c r="G13" s="147"/>
      <c r="H13" s="147"/>
      <c r="I13" s="146">
        <f t="shared" ref="I13:I20" si="12">D$35*W13</f>
        <v>0</v>
      </c>
      <c r="J13" s="146">
        <f t="shared" ref="J13:J20" si="13">I13*V13</f>
        <v>0</v>
      </c>
      <c r="K13" s="146">
        <f t="shared" ref="K13:K20" si="14">I13*X13</f>
        <v>0</v>
      </c>
      <c r="L13" s="146">
        <f t="shared" ref="L13:L20" si="15">((D$2+D$3+D$4)*AA13)</f>
        <v>106.29158399999999</v>
      </c>
      <c r="M13" s="146">
        <f t="shared" ref="M13:N20" si="16">L13*Y13</f>
        <v>63.66865881599999</v>
      </c>
      <c r="N13" s="146">
        <f t="shared" si="16"/>
        <v>832.78605731327991</v>
      </c>
      <c r="O13" s="146">
        <f t="shared" ref="O13:O20" si="17">M13*AH13</f>
        <v>5.4430790493871664</v>
      </c>
      <c r="Q13" s="13"/>
      <c r="R13" s="139"/>
      <c r="S13" s="138"/>
      <c r="T13" s="139"/>
      <c r="U13" s="139"/>
      <c r="V13" s="107">
        <v>5.0199999999999996</v>
      </c>
      <c r="W13" s="150">
        <f t="shared" ref="W13:W20" si="18">(AF13/SUM(AF$2:AF$20))*0.98</f>
        <v>0</v>
      </c>
      <c r="X13" s="19">
        <v>0</v>
      </c>
      <c r="Y13" s="19">
        <v>0.59899999999999998</v>
      </c>
      <c r="Z13" s="20">
        <v>13.08</v>
      </c>
      <c r="AA13" s="150">
        <f t="shared" ref="AA13:AA20" si="19">(AG13/SUM(AG$6:AG$25))*0.98</f>
        <v>0.17149999999999999</v>
      </c>
      <c r="AB13" s="7">
        <v>0.15343363682460368</v>
      </c>
      <c r="AC13" s="150">
        <f t="shared" ref="AC13:AC20" si="20">(AH13/SUM(AH$6:AH$25))*0.98</f>
        <v>0.10265831248567706</v>
      </c>
      <c r="AE13" s="168"/>
      <c r="AF13" s="19">
        <v>0</v>
      </c>
      <c r="AG13" s="19">
        <v>0.17499999999999999</v>
      </c>
      <c r="AH13" s="19">
        <v>8.5490713179893707E-2</v>
      </c>
    </row>
    <row r="14" spans="1:40" x14ac:dyDescent="0.2">
      <c r="A14" s="17" t="s">
        <v>6</v>
      </c>
      <c r="B14" s="18" t="s">
        <v>208</v>
      </c>
      <c r="C14" s="18">
        <f>VLOOKUP($AN$1,DST!C:D,2,FALSE)</f>
        <v>12</v>
      </c>
      <c r="D14" s="147"/>
      <c r="E14" s="147"/>
      <c r="F14" s="147"/>
      <c r="G14" s="147"/>
      <c r="H14" s="147"/>
      <c r="I14" s="146">
        <f t="shared" si="12"/>
        <v>13.412985600000001</v>
      </c>
      <c r="J14" s="146">
        <f t="shared" si="13"/>
        <v>72.430122240000003</v>
      </c>
      <c r="K14" s="146">
        <f t="shared" si="14"/>
        <v>0.45604151040000007</v>
      </c>
      <c r="L14" s="146">
        <f t="shared" si="15"/>
        <v>105.68420351999998</v>
      </c>
      <c r="M14" s="146">
        <f t="shared" si="16"/>
        <v>69.751574323199989</v>
      </c>
      <c r="N14" s="146">
        <f t="shared" si="16"/>
        <v>759.22881980822569</v>
      </c>
      <c r="O14" s="146">
        <f t="shared" si="17"/>
        <v>5.253634436081648</v>
      </c>
      <c r="Q14" s="13"/>
      <c r="R14" s="139"/>
      <c r="S14" s="138"/>
      <c r="T14" s="139"/>
      <c r="U14" s="139"/>
      <c r="V14" s="107">
        <v>5.4</v>
      </c>
      <c r="W14" s="150">
        <f t="shared" si="18"/>
        <v>2.9399999999999999E-2</v>
      </c>
      <c r="X14" s="19">
        <v>3.4000000000000002E-2</v>
      </c>
      <c r="Y14" s="19">
        <v>0.66</v>
      </c>
      <c r="Z14" s="20">
        <v>10.884755321654431</v>
      </c>
      <c r="AA14" s="150">
        <f t="shared" si="19"/>
        <v>0.17051999999999998</v>
      </c>
      <c r="AB14" s="7">
        <v>0.23784569067102512</v>
      </c>
      <c r="AC14" s="150">
        <f t="shared" si="20"/>
        <v>9.0444261420953923E-2</v>
      </c>
      <c r="AE14" s="168"/>
      <c r="AF14" s="19">
        <v>0.03</v>
      </c>
      <c r="AG14" s="19">
        <v>0.17399999999999999</v>
      </c>
      <c r="AH14" s="19">
        <v>7.5319223788963899E-2</v>
      </c>
    </row>
    <row r="15" spans="1:40" x14ac:dyDescent="0.2">
      <c r="A15" s="17" t="s">
        <v>404</v>
      </c>
      <c r="B15" s="18" t="s">
        <v>208</v>
      </c>
      <c r="C15" s="18">
        <f>VLOOKUP($AN$1,DST!C:D,2,FALSE)</f>
        <v>12</v>
      </c>
      <c r="D15" s="147"/>
      <c r="E15" s="147"/>
      <c r="F15" s="147"/>
      <c r="G15" s="147"/>
      <c r="H15" s="147"/>
      <c r="I15" s="146">
        <f t="shared" si="12"/>
        <v>4.4709951999999999</v>
      </c>
      <c r="J15" s="146">
        <f t="shared" si="13"/>
        <v>22.444395903999997</v>
      </c>
      <c r="K15" s="146">
        <f t="shared" si="14"/>
        <v>0</v>
      </c>
      <c r="L15" s="146">
        <f t="shared" si="15"/>
        <v>120.86871551999999</v>
      </c>
      <c r="M15" s="146">
        <f t="shared" si="16"/>
        <v>79.410746096639983</v>
      </c>
      <c r="N15" s="146">
        <f t="shared" si="16"/>
        <v>1028.3691619514877</v>
      </c>
      <c r="O15" s="146">
        <f t="shared" si="17"/>
        <v>5.7969844650547184</v>
      </c>
      <c r="Q15" s="13"/>
      <c r="R15" s="139"/>
      <c r="S15" s="138"/>
      <c r="T15" s="139"/>
      <c r="U15" s="139"/>
      <c r="V15" s="107">
        <v>5.0199999999999996</v>
      </c>
      <c r="W15" s="150">
        <f t="shared" si="18"/>
        <v>9.7999999999999997E-3</v>
      </c>
      <c r="X15" s="19">
        <v>0</v>
      </c>
      <c r="Y15" s="19">
        <v>0.65699999999999992</v>
      </c>
      <c r="Z15" s="20">
        <v>12.95</v>
      </c>
      <c r="AA15" s="150">
        <f t="shared" si="19"/>
        <v>0.19502</v>
      </c>
      <c r="AB15" s="7">
        <v>0.15343363682460368</v>
      </c>
      <c r="AC15" s="150">
        <f t="shared" si="20"/>
        <v>8.7659308627886484E-2</v>
      </c>
      <c r="AE15" s="168"/>
      <c r="AF15" s="19">
        <v>0.01</v>
      </c>
      <c r="AG15" s="19">
        <v>0.19900000000000001</v>
      </c>
      <c r="AH15" s="19">
        <v>7.2999999999999995E-2</v>
      </c>
    </row>
    <row r="16" spans="1:40" x14ac:dyDescent="0.2">
      <c r="A16" s="17" t="s">
        <v>387</v>
      </c>
      <c r="B16" s="18" t="s">
        <v>208</v>
      </c>
      <c r="C16" s="18">
        <f>VLOOKUP($AN$1,DST!C:D,2,FALSE)</f>
        <v>12</v>
      </c>
      <c r="D16" s="147"/>
      <c r="E16" s="147"/>
      <c r="F16" s="147"/>
      <c r="G16" s="147"/>
      <c r="H16" s="147"/>
      <c r="I16" s="146">
        <f t="shared" si="12"/>
        <v>0</v>
      </c>
      <c r="J16" s="146">
        <f t="shared" si="13"/>
        <v>0</v>
      </c>
      <c r="K16" s="146">
        <f t="shared" si="14"/>
        <v>0</v>
      </c>
      <c r="L16" s="146">
        <f t="shared" si="15"/>
        <v>27.332121599999997</v>
      </c>
      <c r="M16" s="146">
        <f t="shared" si="16"/>
        <v>16.344608716799996</v>
      </c>
      <c r="N16" s="146">
        <f t="shared" si="16"/>
        <v>204.30760895999995</v>
      </c>
      <c r="O16" s="146">
        <f t="shared" si="17"/>
        <v>1.3500494709172779</v>
      </c>
      <c r="Q16" s="13"/>
      <c r="R16" s="139"/>
      <c r="S16" s="138"/>
      <c r="T16" s="139"/>
      <c r="U16" s="139"/>
      <c r="V16" s="107">
        <v>5.0199999999999996</v>
      </c>
      <c r="W16" s="150">
        <f t="shared" si="18"/>
        <v>0</v>
      </c>
      <c r="X16" s="19">
        <v>2.9880478087649402E-3</v>
      </c>
      <c r="Y16" s="19">
        <v>0.59799999999999986</v>
      </c>
      <c r="Z16" s="20">
        <v>12.5</v>
      </c>
      <c r="AA16" s="150">
        <f t="shared" si="19"/>
        <v>4.41E-2</v>
      </c>
      <c r="AB16" s="7">
        <v>9.9804973821368603E-2</v>
      </c>
      <c r="AC16" s="150">
        <f t="shared" si="20"/>
        <v>9.9185990730957477E-2</v>
      </c>
      <c r="AE16" s="168"/>
      <c r="AF16" s="19">
        <v>0</v>
      </c>
      <c r="AG16" s="19">
        <v>4.4999999999999998E-2</v>
      </c>
      <c r="AH16" s="19">
        <v>8.2599069473569833E-2</v>
      </c>
    </row>
    <row r="17" spans="1:34" x14ac:dyDescent="0.2">
      <c r="A17" s="17" t="s">
        <v>643</v>
      </c>
      <c r="B17" s="18" t="s">
        <v>208</v>
      </c>
      <c r="C17" s="18">
        <f>VLOOKUP($AN$1,DST!C:D,2,FALSE)</f>
        <v>12</v>
      </c>
      <c r="D17" s="147"/>
      <c r="E17" s="147"/>
      <c r="F17" s="147"/>
      <c r="G17" s="147"/>
      <c r="H17" s="147"/>
      <c r="I17" s="146">
        <f t="shared" si="12"/>
        <v>0</v>
      </c>
      <c r="J17" s="146">
        <f t="shared" si="13"/>
        <v>0</v>
      </c>
      <c r="K17" s="146">
        <f t="shared" si="14"/>
        <v>0</v>
      </c>
      <c r="L17" s="146">
        <f t="shared" si="15"/>
        <v>9.1107071999999985</v>
      </c>
      <c r="M17" s="146">
        <f t="shared" si="16"/>
        <v>4.6009071359999991</v>
      </c>
      <c r="N17" s="146">
        <f t="shared" si="16"/>
        <v>69.15163425407998</v>
      </c>
      <c r="O17" s="146">
        <f t="shared" si="17"/>
        <v>0.37267347801599993</v>
      </c>
      <c r="Q17" s="13"/>
      <c r="R17" s="139"/>
      <c r="S17" s="138"/>
      <c r="T17" s="139"/>
      <c r="U17" s="139"/>
      <c r="V17" s="107">
        <v>5.0199999999999996</v>
      </c>
      <c r="W17" s="150">
        <f t="shared" si="18"/>
        <v>0</v>
      </c>
      <c r="X17" s="19">
        <v>0</v>
      </c>
      <c r="Y17" s="19">
        <v>0.505</v>
      </c>
      <c r="Z17" s="20">
        <v>15.03</v>
      </c>
      <c r="AA17" s="150">
        <f t="shared" si="19"/>
        <v>1.47E-2</v>
      </c>
      <c r="AB17" s="7">
        <v>0.11251939817047332</v>
      </c>
      <c r="AC17" s="150">
        <f t="shared" si="20"/>
        <v>9.7265808203545287E-2</v>
      </c>
      <c r="AE17" s="168"/>
      <c r="AF17" s="19">
        <v>0</v>
      </c>
      <c r="AG17" s="19">
        <v>1.4999999999999999E-2</v>
      </c>
      <c r="AH17" s="19">
        <v>8.1000000000000003E-2</v>
      </c>
    </row>
    <row r="18" spans="1:34" x14ac:dyDescent="0.2">
      <c r="B18" s="18" t="s">
        <v>208</v>
      </c>
      <c r="C18" s="18">
        <f>VLOOKUP($AN$1,DST!C:D,2,FALSE)</f>
        <v>12</v>
      </c>
      <c r="D18" s="147"/>
      <c r="E18" s="147"/>
      <c r="F18" s="147"/>
      <c r="G18" s="147"/>
      <c r="H18" s="147"/>
      <c r="I18" s="146">
        <f t="shared" si="12"/>
        <v>0</v>
      </c>
      <c r="J18" s="146">
        <f t="shared" si="13"/>
        <v>0</v>
      </c>
      <c r="K18" s="146">
        <f t="shared" si="14"/>
        <v>0</v>
      </c>
      <c r="L18" s="146">
        <f t="shared" si="15"/>
        <v>0</v>
      </c>
      <c r="M18" s="146">
        <f t="shared" si="16"/>
        <v>0</v>
      </c>
      <c r="N18" s="146">
        <f t="shared" si="16"/>
        <v>0</v>
      </c>
      <c r="O18" s="146">
        <f t="shared" si="17"/>
        <v>0</v>
      </c>
      <c r="Q18" s="13"/>
      <c r="R18" s="139"/>
      <c r="S18" s="138"/>
      <c r="T18" s="139"/>
      <c r="U18" s="139"/>
      <c r="V18" s="107">
        <v>0</v>
      </c>
      <c r="W18" s="150">
        <f t="shared" si="18"/>
        <v>0</v>
      </c>
      <c r="X18" s="19">
        <v>0</v>
      </c>
      <c r="Y18" s="19">
        <v>0</v>
      </c>
      <c r="Z18" s="20">
        <v>0</v>
      </c>
      <c r="AA18" s="150">
        <f t="shared" si="19"/>
        <v>0</v>
      </c>
      <c r="AB18" s="7">
        <v>4.3915097041795893E-2</v>
      </c>
      <c r="AC18" s="150">
        <f t="shared" si="20"/>
        <v>0</v>
      </c>
      <c r="AE18" s="168"/>
      <c r="AF18" s="19">
        <v>0</v>
      </c>
      <c r="AG18" s="19">
        <v>0</v>
      </c>
      <c r="AH18" s="19">
        <v>0</v>
      </c>
    </row>
    <row r="19" spans="1:34" x14ac:dyDescent="0.2">
      <c r="B19" s="18" t="s">
        <v>208</v>
      </c>
      <c r="C19" s="18">
        <f>VLOOKUP($AN$1,DST!C:D,2,FALSE)</f>
        <v>12</v>
      </c>
      <c r="D19" s="147"/>
      <c r="E19" s="147"/>
      <c r="F19" s="147"/>
      <c r="G19" s="147"/>
      <c r="H19" s="147"/>
      <c r="I19" s="146">
        <f t="shared" si="12"/>
        <v>0</v>
      </c>
      <c r="J19" s="146">
        <f t="shared" si="13"/>
        <v>0</v>
      </c>
      <c r="K19" s="146">
        <f t="shared" si="14"/>
        <v>0</v>
      </c>
      <c r="L19" s="146">
        <f t="shared" si="15"/>
        <v>0</v>
      </c>
      <c r="M19" s="146">
        <f t="shared" si="16"/>
        <v>0</v>
      </c>
      <c r="N19" s="146">
        <f t="shared" si="16"/>
        <v>0</v>
      </c>
      <c r="O19" s="146">
        <f t="shared" si="17"/>
        <v>0</v>
      </c>
      <c r="Q19" s="13"/>
      <c r="R19" s="139"/>
      <c r="S19" s="138"/>
      <c r="T19" s="139"/>
      <c r="U19" s="139"/>
      <c r="V19" s="107">
        <v>0</v>
      </c>
      <c r="W19" s="150">
        <f t="shared" si="18"/>
        <v>0</v>
      </c>
      <c r="X19" s="19">
        <v>0</v>
      </c>
      <c r="Y19" s="19">
        <v>0</v>
      </c>
      <c r="Z19" s="20">
        <v>0</v>
      </c>
      <c r="AA19" s="150">
        <f t="shared" si="19"/>
        <v>0</v>
      </c>
      <c r="AB19" s="7">
        <v>1.1137513520659007E-2</v>
      </c>
      <c r="AC19" s="150">
        <f t="shared" si="20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208</v>
      </c>
      <c r="C20" s="18">
        <f>VLOOKUP($AN$1,DST!C:D,2,FALSE)</f>
        <v>12</v>
      </c>
      <c r="D20" s="147"/>
      <c r="E20" s="147"/>
      <c r="F20" s="147"/>
      <c r="G20" s="147"/>
      <c r="H20" s="147"/>
      <c r="I20" s="146">
        <f t="shared" si="12"/>
        <v>0</v>
      </c>
      <c r="J20" s="146">
        <f t="shared" si="13"/>
        <v>0</v>
      </c>
      <c r="K20" s="146">
        <f t="shared" si="14"/>
        <v>0</v>
      </c>
      <c r="L20" s="146">
        <f t="shared" si="15"/>
        <v>0</v>
      </c>
      <c r="M20" s="146">
        <f t="shared" si="16"/>
        <v>0</v>
      </c>
      <c r="N20" s="146">
        <f t="shared" si="16"/>
        <v>0</v>
      </c>
      <c r="O20" s="146">
        <f t="shared" si="17"/>
        <v>0</v>
      </c>
      <c r="Q20" s="13"/>
      <c r="R20" s="139"/>
      <c r="S20" s="138"/>
      <c r="T20" s="139"/>
      <c r="U20" s="139"/>
      <c r="V20" s="107">
        <v>0</v>
      </c>
      <c r="W20" s="150">
        <f t="shared" si="18"/>
        <v>0</v>
      </c>
      <c r="X20" s="19">
        <v>0</v>
      </c>
      <c r="Y20" s="19">
        <v>0</v>
      </c>
      <c r="Z20" s="20">
        <v>0</v>
      </c>
      <c r="AA20" s="150">
        <f t="shared" si="19"/>
        <v>0</v>
      </c>
      <c r="AB20" s="7"/>
      <c r="AC20" s="150">
        <f t="shared" si="20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476</v>
      </c>
      <c r="B22" s="18" t="s">
        <v>10</v>
      </c>
      <c r="C22" s="18">
        <f>VLOOKUP($AN$1,DST!C:D,2,FALSE)</f>
        <v>12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111.15062783999998</v>
      </c>
      <c r="M22" s="146">
        <f t="shared" ref="M22:N25" si="21">L22*Y22</f>
        <v>78.138891371519989</v>
      </c>
      <c r="N22" s="146">
        <f t="shared" si="21"/>
        <v>794.78433277757927</v>
      </c>
      <c r="O22" s="146">
        <f t="shared" ref="O22:O25" si="22">M22*AH22</f>
        <v>6.4855279838361595</v>
      </c>
      <c r="Q22" s="13"/>
      <c r="R22" s="139"/>
      <c r="S22" s="138"/>
      <c r="T22" s="139"/>
      <c r="U22" s="139"/>
      <c r="V22" s="140"/>
      <c r="W22" s="154"/>
      <c r="X22" s="139"/>
      <c r="Y22" s="19">
        <v>0.70299999999999996</v>
      </c>
      <c r="Z22" s="20">
        <v>10.171430881949545</v>
      </c>
      <c r="AA22" s="150">
        <f>(AG22/SUM(AG$6:AG$25))*0.98</f>
        <v>0.17934</v>
      </c>
      <c r="AB22" s="7">
        <v>8.5577980808139081E-2</v>
      </c>
      <c r="AC22" s="150">
        <f>(AH22/SUM(AH$6:AH$25))*0.98</f>
        <v>9.9667433097459998E-2</v>
      </c>
      <c r="AE22" s="168"/>
      <c r="AF22" s="168"/>
      <c r="AG22" s="19">
        <v>0.183</v>
      </c>
      <c r="AH22" s="19">
        <v>8.3000000000000004E-2</v>
      </c>
    </row>
    <row r="23" spans="1:34" x14ac:dyDescent="0.2">
      <c r="A23" s="17" t="s">
        <v>24</v>
      </c>
      <c r="B23" s="18" t="s">
        <v>10</v>
      </c>
      <c r="C23" s="18">
        <f>VLOOKUP($AN$1,DST!C:D,2,FALSE)</f>
        <v>12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43.124014079999988</v>
      </c>
      <c r="M23" s="146">
        <f t="shared" si="21"/>
        <v>26.736888729599993</v>
      </c>
      <c r="N23" s="146">
        <f t="shared" si="21"/>
        <v>277.76425325555408</v>
      </c>
      <c r="O23" s="146">
        <f t="shared" si="22"/>
        <v>2.8341102053375993</v>
      </c>
      <c r="Q23" s="13"/>
      <c r="R23" s="139"/>
      <c r="S23" s="138"/>
      <c r="T23" s="139"/>
      <c r="U23" s="139"/>
      <c r="V23" s="140"/>
      <c r="W23" s="154"/>
      <c r="X23" s="139"/>
      <c r="Y23" s="19">
        <v>0.62</v>
      </c>
      <c r="Z23" s="20">
        <v>10.388802379539605</v>
      </c>
      <c r="AA23" s="150">
        <f>(AG23/SUM(AG$6:AG$25))*0.98</f>
        <v>6.9579999999999989E-2</v>
      </c>
      <c r="AB23" s="7">
        <v>4.3608632576712804E-2</v>
      </c>
      <c r="AC23" s="150">
        <f>(AH23/SUM(AH$6:AH$25))*0.98</f>
        <v>0.127286119377479</v>
      </c>
      <c r="AE23" s="168"/>
      <c r="AF23" s="168"/>
      <c r="AG23" s="19">
        <v>7.0999999999999994E-2</v>
      </c>
      <c r="AH23" s="19">
        <v>0.106</v>
      </c>
    </row>
    <row r="24" spans="1:34" x14ac:dyDescent="0.2">
      <c r="A24" s="17" t="s">
        <v>460</v>
      </c>
      <c r="B24" s="18" t="s">
        <v>10</v>
      </c>
      <c r="C24" s="18">
        <f>VLOOKUP($AN$1,DST!C:D,2,FALSE)</f>
        <v>12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6.0738047999999996</v>
      </c>
      <c r="M24" s="146">
        <f t="shared" si="21"/>
        <v>3.6442828799999996</v>
      </c>
      <c r="N24" s="146">
        <f t="shared" si="21"/>
        <v>37.558275018066539</v>
      </c>
      <c r="O24" s="146">
        <f t="shared" si="22"/>
        <v>0.34620687359999996</v>
      </c>
      <c r="Q24" s="13"/>
      <c r="R24" s="139"/>
      <c r="S24" s="138"/>
      <c r="T24" s="139"/>
      <c r="U24" s="139"/>
      <c r="V24" s="140"/>
      <c r="W24" s="154"/>
      <c r="X24" s="139"/>
      <c r="Y24" s="19">
        <v>0.6</v>
      </c>
      <c r="Z24" s="20">
        <v>10.306081128934355</v>
      </c>
      <c r="AA24" s="150">
        <f>(AG24/SUM(AG$6:AG$25))*0.98</f>
        <v>9.7999999999999997E-3</v>
      </c>
      <c r="AB24" s="7">
        <v>9.40814247606051E-3</v>
      </c>
      <c r="AC24" s="150">
        <f>(AH24/SUM(AH$6:AH$25))*0.98</f>
        <v>0.11407718246094817</v>
      </c>
      <c r="AE24" s="168"/>
      <c r="AF24" s="168"/>
      <c r="AG24" s="19">
        <v>0.01</v>
      </c>
      <c r="AH24" s="19">
        <v>9.5000000000000001E-2</v>
      </c>
    </row>
    <row r="25" spans="1:34" x14ac:dyDescent="0.2">
      <c r="A25" s="42"/>
      <c r="B25" s="18" t="s">
        <v>10</v>
      </c>
      <c r="C25" s="18">
        <f>VLOOKUP($AN$1,DST!C:D,2,FALSE)</f>
        <v>12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21"/>
        <v>0</v>
      </c>
      <c r="N25" s="146">
        <f t="shared" si="21"/>
        <v>0</v>
      </c>
      <c r="O25" s="146">
        <f t="shared" si="22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1.810115537436472E-2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264</v>
      </c>
      <c r="X27" s="30"/>
      <c r="Y27" s="30"/>
      <c r="Z27" s="31"/>
      <c r="AA27" s="9" t="s">
        <v>264</v>
      </c>
      <c r="AB27" s="9" t="s">
        <v>264</v>
      </c>
      <c r="AC27" s="9" t="s">
        <v>264</v>
      </c>
      <c r="AD27" s="44"/>
      <c r="AE27" s="9" t="s">
        <v>264</v>
      </c>
      <c r="AF27" s="9" t="s">
        <v>264</v>
      </c>
      <c r="AG27" s="9" t="s">
        <v>264</v>
      </c>
    </row>
    <row r="28" spans="1:34" s="27" customFormat="1" x14ac:dyDescent="0.2">
      <c r="A28" s="45" t="s">
        <v>265</v>
      </c>
      <c r="B28" s="28"/>
      <c r="C28" s="28"/>
      <c r="D28" s="34" t="s">
        <v>269</v>
      </c>
      <c r="E28" s="34" t="s">
        <v>266</v>
      </c>
      <c r="F28" s="155" t="s">
        <v>267</v>
      </c>
      <c r="G28" s="34" t="s">
        <v>286</v>
      </c>
      <c r="H28" s="34" t="s">
        <v>268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0.98</v>
      </c>
      <c r="X28" s="30"/>
      <c r="Y28" s="30"/>
      <c r="Z28" s="31"/>
      <c r="AA28" s="150">
        <f>SUM(AA6:AA25)</f>
        <v>0.98</v>
      </c>
      <c r="AB28" s="150">
        <f>SUM(AB2:AB4,AB6:AB11,AB13:AB20,AB22:AB25)</f>
        <v>1.1057668994551491</v>
      </c>
      <c r="AC28" s="150">
        <f>SUM(AC6:AC25)</f>
        <v>0.98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</v>
      </c>
    </row>
    <row r="29" spans="1:34" s="27" customFormat="1" x14ac:dyDescent="0.2">
      <c r="A29" s="43"/>
      <c r="B29" s="28"/>
      <c r="C29" s="28"/>
      <c r="D29" s="46">
        <v>1076</v>
      </c>
      <c r="E29" s="47">
        <v>0.57599999999999996</v>
      </c>
      <c r="F29" s="2">
        <f>1-E29</f>
        <v>0.42400000000000004</v>
      </c>
      <c r="G29" s="106">
        <v>4.55</v>
      </c>
      <c r="H29" s="126">
        <v>3.9E-2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265</v>
      </c>
      <c r="B31" s="28"/>
      <c r="C31" s="28"/>
      <c r="D31" s="162" t="s">
        <v>278</v>
      </c>
      <c r="E31" s="162" t="s">
        <v>1</v>
      </c>
      <c r="F31" s="162" t="s">
        <v>263</v>
      </c>
      <c r="G31" s="162" t="s">
        <v>137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619.77599999999995</v>
      </c>
      <c r="E32" s="156">
        <f>SUM(E2:E4)</f>
        <v>401.21647562894231</v>
      </c>
      <c r="F32" s="156">
        <f>SUM(F2:F4)</f>
        <v>4495.8834522943325</v>
      </c>
      <c r="G32" s="156">
        <f>SUM(G2:G4)</f>
        <v>30.889635839999997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265</v>
      </c>
      <c r="B34" s="28"/>
      <c r="C34" s="28"/>
      <c r="D34" s="162" t="s">
        <v>270</v>
      </c>
      <c r="E34" s="162" t="s">
        <v>263</v>
      </c>
      <c r="F34" s="162" t="s">
        <v>137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456.22400000000005</v>
      </c>
      <c r="E35" s="156">
        <f>D35*G29</f>
        <v>2075.8191999999999</v>
      </c>
      <c r="F35" s="156">
        <f>D35*H29</f>
        <v>17.792736000000001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279</v>
      </c>
      <c r="B37" s="37"/>
      <c r="C37" s="37"/>
      <c r="D37" s="164" t="s">
        <v>273</v>
      </c>
      <c r="E37" s="164" t="s">
        <v>274</v>
      </c>
      <c r="F37" s="164" t="s">
        <v>275</v>
      </c>
      <c r="G37" s="164" t="s">
        <v>271</v>
      </c>
      <c r="H37" s="164" t="s">
        <v>272</v>
      </c>
      <c r="I37" s="164" t="s">
        <v>276</v>
      </c>
      <c r="J37" s="164" t="s">
        <v>277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3.5" thickBot="1" x14ac:dyDescent="0.25">
      <c r="D38" s="157">
        <f>SUM(I2:I20)</f>
        <v>447.0995200000001</v>
      </c>
      <c r="E38" s="157">
        <f>SUM(J2:J4,J6:J11,J13:J20)</f>
        <v>2075.2292856112163</v>
      </c>
      <c r="F38" s="157">
        <f>SUM(K2:K4,K6:K11,K13:K20)</f>
        <v>17.76034722388048</v>
      </c>
      <c r="G38" s="157">
        <f>SUM(L6:L11,L13:L20,L22:L25)</f>
        <v>607.38047999999981</v>
      </c>
      <c r="H38" s="157">
        <f>SUM(M6:M11,M13:M20,M22:M25)</f>
        <v>399.74138910719989</v>
      </c>
      <c r="I38" s="157">
        <f>SUM(N6:N11,N13:N20,N22:N25)</f>
        <v>4495.8394550871999</v>
      </c>
      <c r="J38" s="157">
        <f>SUM(O6:O11,O13:O20,O22:O25)</f>
        <v>30.873265979564756</v>
      </c>
      <c r="V38" s="181"/>
      <c r="X38" s="30"/>
      <c r="Y38" s="30"/>
      <c r="Z38" s="181"/>
      <c r="AH38" s="30"/>
    </row>
    <row r="39" spans="1:34" ht="13.5" thickTop="1" x14ac:dyDescent="0.2">
      <c r="D39" s="158">
        <f>D35-D38</f>
        <v>9.1244799999999486</v>
      </c>
      <c r="E39" s="158">
        <f>E35-E38</f>
        <v>0.58991438878365443</v>
      </c>
      <c r="F39" s="158">
        <f>F35-F38</f>
        <v>3.2388776119521623E-2</v>
      </c>
      <c r="G39" s="158">
        <f>SUM(D2:D4)-G38</f>
        <v>12.395520000000147</v>
      </c>
      <c r="H39" s="158">
        <f>E32-H38</f>
        <v>1.4750865217424121</v>
      </c>
      <c r="I39" s="158">
        <f>F32-I38</f>
        <v>4.3997207132633775E-2</v>
      </c>
      <c r="J39" s="158">
        <f>G32-J38</f>
        <v>1.6369860435240469E-2</v>
      </c>
      <c r="V39" s="181"/>
      <c r="X39" s="30"/>
      <c r="Y39" s="30"/>
      <c r="Z39" s="181"/>
      <c r="AH39" s="30"/>
    </row>
    <row r="40" spans="1:34" x14ac:dyDescent="0.2">
      <c r="V40" s="181"/>
      <c r="X40" s="30"/>
      <c r="Y40" s="30"/>
      <c r="Z40" s="181"/>
      <c r="AH40" s="30"/>
    </row>
    <row r="41" spans="1:34" x14ac:dyDescent="0.2">
      <c r="V41" s="181"/>
      <c r="X41" s="30"/>
      <c r="Y41" s="30"/>
      <c r="Z41" s="181"/>
      <c r="AH41" s="30"/>
    </row>
    <row r="42" spans="1:34" x14ac:dyDescent="0.2">
      <c r="V42" s="181"/>
      <c r="X42" s="30"/>
      <c r="Y42" s="30"/>
      <c r="Z42" s="181"/>
      <c r="AH42" s="30"/>
    </row>
    <row r="43" spans="1:34" x14ac:dyDescent="0.2">
      <c r="V43" s="181"/>
      <c r="X43" s="30"/>
      <c r="Y43" s="30"/>
      <c r="Z43" s="181"/>
      <c r="AH43" s="30"/>
    </row>
    <row r="44" spans="1:34" x14ac:dyDescent="0.2">
      <c r="V44" s="181"/>
      <c r="X44" s="30"/>
      <c r="Y44" s="30"/>
      <c r="Z44" s="181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sortState xmlns:xlrd2="http://schemas.microsoft.com/office/spreadsheetml/2017/richdata2" ref="A13:AH20">
    <sortCondition descending="1" ref="N13:N20"/>
  </sortState>
  <conditionalFormatting sqref="D39:J39">
    <cfRule type="cellIs" dxfId="86" priority="1" operator="lessThan">
      <formula>0</formula>
    </cfRule>
  </conditionalFormatting>
  <conditionalFormatting sqref="W28">
    <cfRule type="cellIs" dxfId="85" priority="2" operator="greaterThan">
      <formula>1</formula>
    </cfRule>
  </conditionalFormatting>
  <conditionalFormatting sqref="AA28:AG28">
    <cfRule type="cellIs" dxfId="84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00CCFF"/>
  </sheetPr>
  <dimension ref="A1:AN64"/>
  <sheetViews>
    <sheetView showGridLines="0" zoomScale="85" zoomScaleNormal="85"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defaultColWidth="8.7109375" defaultRowHeight="12.75" x14ac:dyDescent="0.2"/>
  <cols>
    <col min="1" max="1" width="22.5703125" style="17" customWidth="1"/>
    <col min="2" max="3" width="8.7109375" style="18"/>
    <col min="4" max="15" width="8.7109375" style="23"/>
    <col min="16" max="16" width="4.7109375" style="18" customWidth="1"/>
    <col min="17" max="18" width="8.7109375" style="26"/>
    <col min="19" max="19" width="8.7109375" style="23"/>
    <col min="20" max="21" width="8.7109375" style="26"/>
    <col min="22" max="23" width="8.7109375" style="25"/>
    <col min="24" max="25" width="8.7109375" style="26"/>
    <col min="26" max="26" width="8.7109375" style="25"/>
    <col min="27" max="27" width="8.7109375" style="18"/>
    <col min="28" max="28" width="0" style="18" hidden="1" customWidth="1"/>
    <col min="29" max="29" width="8.7109375" style="26"/>
    <col min="30" max="30" width="4.7109375" style="17" customWidth="1"/>
    <col min="31" max="32" width="8.7109375" style="18"/>
    <col min="33" max="16384" width="8.7109375" style="17"/>
  </cols>
  <sheetData>
    <row r="1" spans="1:40" s="15" customFormat="1" ht="25.5" customHeight="1" x14ac:dyDescent="0.2">
      <c r="A1" s="15" t="s">
        <v>0</v>
      </c>
      <c r="B1" s="15" t="s">
        <v>8</v>
      </c>
      <c r="C1" s="15" t="s">
        <v>122</v>
      </c>
      <c r="D1" s="159" t="s">
        <v>210</v>
      </c>
      <c r="E1" s="159" t="s">
        <v>1</v>
      </c>
      <c r="F1" s="159" t="s">
        <v>213</v>
      </c>
      <c r="G1" s="159" t="s">
        <v>228</v>
      </c>
      <c r="H1" s="159" t="s">
        <v>2</v>
      </c>
      <c r="I1" s="159" t="s">
        <v>229</v>
      </c>
      <c r="J1" s="159" t="s">
        <v>217</v>
      </c>
      <c r="K1" s="159" t="s">
        <v>230</v>
      </c>
      <c r="L1" s="159" t="s">
        <v>219</v>
      </c>
      <c r="M1" s="159" t="s">
        <v>4</v>
      </c>
      <c r="N1" s="159" t="s">
        <v>223</v>
      </c>
      <c r="O1" s="159" t="s">
        <v>231</v>
      </c>
      <c r="Q1" s="160" t="s">
        <v>281</v>
      </c>
      <c r="R1" s="133" t="s">
        <v>232</v>
      </c>
      <c r="S1" s="134" t="s">
        <v>451</v>
      </c>
      <c r="T1" s="133" t="s">
        <v>205</v>
      </c>
      <c r="U1" s="133" t="s">
        <v>209</v>
      </c>
      <c r="V1" s="135" t="s">
        <v>280</v>
      </c>
      <c r="W1" s="161" t="s">
        <v>282</v>
      </c>
      <c r="X1" s="133" t="s">
        <v>233</v>
      </c>
      <c r="Y1" s="179" t="s">
        <v>234</v>
      </c>
      <c r="Z1" s="135" t="s">
        <v>235</v>
      </c>
      <c r="AA1" s="160" t="s">
        <v>236</v>
      </c>
      <c r="AB1" s="160" t="s">
        <v>237</v>
      </c>
      <c r="AC1" s="10" t="s">
        <v>262</v>
      </c>
      <c r="AE1" s="136" t="s">
        <v>283</v>
      </c>
      <c r="AF1" s="137" t="s">
        <v>284</v>
      </c>
      <c r="AG1" s="136" t="s">
        <v>285</v>
      </c>
      <c r="AH1" s="136" t="s">
        <v>450</v>
      </c>
      <c r="AN1" s="15" t="s">
        <v>91</v>
      </c>
    </row>
    <row r="2" spans="1:40" x14ac:dyDescent="0.2">
      <c r="A2" s="17" t="s">
        <v>477</v>
      </c>
      <c r="B2" s="18" t="s">
        <v>9</v>
      </c>
      <c r="C2" s="18">
        <f>VLOOKUP($AN$1,DST!C:D,2,FALSE)</f>
        <v>11</v>
      </c>
      <c r="D2" s="146">
        <f>D$32*Q2</f>
        <v>561.44049999999993</v>
      </c>
      <c r="E2" s="146">
        <f>D2*R2</f>
        <v>352.48025766677722</v>
      </c>
      <c r="F2" s="146">
        <f>E2*S2</f>
        <v>3887.8572420645523</v>
      </c>
      <c r="G2" s="146">
        <f>D2*T2</f>
        <v>21.896179499999999</v>
      </c>
      <c r="H2" s="146">
        <f>E2*U2</f>
        <v>6.4446070822175274</v>
      </c>
      <c r="I2" s="146">
        <f>D$35*W2</f>
        <v>55.738725000000002</v>
      </c>
      <c r="J2" s="146">
        <f>I2*V2</f>
        <v>321.3935769222453</v>
      </c>
      <c r="K2" s="146">
        <f>I2*X2</f>
        <v>2.0065941</v>
      </c>
      <c r="L2" s="147"/>
      <c r="M2" s="147"/>
      <c r="N2" s="147"/>
      <c r="O2" s="147"/>
      <c r="Q2" s="150">
        <f>(AE2/SUM(AE$2:AE$25))</f>
        <v>0.95</v>
      </c>
      <c r="R2" s="19">
        <v>0.62781409190604753</v>
      </c>
      <c r="S2" s="107">
        <v>11.03</v>
      </c>
      <c r="T2" s="19">
        <v>3.9E-2</v>
      </c>
      <c r="U2" s="19">
        <v>1.8283597285355023E-2</v>
      </c>
      <c r="V2" s="107">
        <v>5.7660733524537076</v>
      </c>
      <c r="W2" s="150">
        <f>(AF2/SUM(AF$2:AF$20))*0.98</f>
        <v>0.1225</v>
      </c>
      <c r="X2" s="19">
        <v>3.5999999999999997E-2</v>
      </c>
      <c r="Y2" s="21"/>
      <c r="Z2" s="22"/>
      <c r="AA2" s="1"/>
      <c r="AB2" s="1"/>
      <c r="AC2" s="1"/>
      <c r="AE2" s="19">
        <v>0.95</v>
      </c>
      <c r="AF2" s="19">
        <v>0.125</v>
      </c>
      <c r="AG2" s="168"/>
      <c r="AH2" s="168"/>
    </row>
    <row r="3" spans="1:40" x14ac:dyDescent="0.2">
      <c r="A3" s="17" t="s">
        <v>30</v>
      </c>
      <c r="B3" s="18" t="s">
        <v>9</v>
      </c>
      <c r="C3" s="18">
        <f>VLOOKUP($AN$1,DST!C:D,2,FALSE)</f>
        <v>11</v>
      </c>
      <c r="D3" s="146">
        <f>D$32*Q3</f>
        <v>29.549499999999995</v>
      </c>
      <c r="E3" s="146">
        <f t="shared" ref="E3:F4" si="0">D3*R3</f>
        <v>18.760309080324383</v>
      </c>
      <c r="F3" s="146">
        <f t="shared" si="0"/>
        <v>196.77815340596754</v>
      </c>
      <c r="G3" s="146">
        <f t="shared" ref="G3:G4" si="1">D3*T3</f>
        <v>1.1305911558294797</v>
      </c>
      <c r="H3" s="146">
        <f t="shared" ref="H3:H4" si="2">E3*U3</f>
        <v>0.29855173126554879</v>
      </c>
      <c r="I3" s="146">
        <f>D$35*W3</f>
        <v>2.229549</v>
      </c>
      <c r="J3" s="146">
        <f>I3*V3</f>
        <v>7.644689341958248</v>
      </c>
      <c r="K3" s="146">
        <f>I3*X3</f>
        <v>3.8342828255850676E-2</v>
      </c>
      <c r="L3" s="147"/>
      <c r="M3" s="147"/>
      <c r="N3" s="147"/>
      <c r="O3" s="147"/>
      <c r="Q3" s="150">
        <f>(AE3/SUM(AE$2:AE$25))</f>
        <v>0.05</v>
      </c>
      <c r="R3" s="19">
        <v>0.63487737796999566</v>
      </c>
      <c r="S3" s="107">
        <v>10.48906777406703</v>
      </c>
      <c r="T3" s="19">
        <v>3.8260923393948452E-2</v>
      </c>
      <c r="U3" s="19">
        <v>1.5914009198210212E-2</v>
      </c>
      <c r="V3" s="107">
        <v>3.4288052614938036</v>
      </c>
      <c r="W3" s="150">
        <f>(AF3/SUM(AF$2:AF$20))*0.98</f>
        <v>4.8999999999999998E-3</v>
      </c>
      <c r="X3" s="19">
        <v>1.7197571462143544E-2</v>
      </c>
      <c r="Y3" s="21"/>
      <c r="Z3" s="22"/>
      <c r="AA3" s="1"/>
      <c r="AB3" s="1"/>
      <c r="AC3" s="1"/>
      <c r="AE3" s="19">
        <v>0.05</v>
      </c>
      <c r="AF3" s="19">
        <v>5.0000000000000001E-3</v>
      </c>
      <c r="AG3" s="168"/>
      <c r="AH3" s="168"/>
    </row>
    <row r="4" spans="1:40" x14ac:dyDescent="0.2">
      <c r="B4" s="18" t="s">
        <v>9</v>
      </c>
      <c r="C4" s="18">
        <f>VLOOKUP($AN$1,DST!C:D,2,FALSE)</f>
        <v>11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>
        <v>0</v>
      </c>
      <c r="AF4" s="19">
        <v>0</v>
      </c>
      <c r="AG4" s="168"/>
      <c r="AH4" s="168"/>
    </row>
    <row r="5" spans="1:40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40" x14ac:dyDescent="0.2">
      <c r="A6" s="17" t="s">
        <v>186</v>
      </c>
      <c r="B6" s="18" t="s">
        <v>207</v>
      </c>
      <c r="C6" s="18">
        <f>VLOOKUP($AN$1,DST!C:D,2,FALSE)</f>
        <v>11</v>
      </c>
      <c r="D6" s="147"/>
      <c r="E6" s="147"/>
      <c r="F6" s="147"/>
      <c r="G6" s="147"/>
      <c r="H6" s="147"/>
      <c r="I6" s="146">
        <f t="shared" ref="I6:I11" si="3">D$35*W6</f>
        <v>160.52752800000002</v>
      </c>
      <c r="J6" s="146">
        <f>I6*V6</f>
        <v>662.97869064000008</v>
      </c>
      <c r="K6" s="146">
        <f>I6*X6</f>
        <v>5.136880896000001</v>
      </c>
      <c r="L6" s="146">
        <f>((D$2+D$3+D$4)*AA6)</f>
        <v>46.333615999999992</v>
      </c>
      <c r="M6" s="146">
        <f t="shared" ref="M6:N11" si="4">L6*Y6</f>
        <v>35.445216239999993</v>
      </c>
      <c r="N6" s="146">
        <f t="shared" si="4"/>
        <v>262.29460017599996</v>
      </c>
      <c r="O6" s="146">
        <f>M6*AH6</f>
        <v>0.91127208415161154</v>
      </c>
      <c r="Q6" s="13"/>
      <c r="R6" s="139"/>
      <c r="S6" s="138"/>
      <c r="T6" s="139"/>
      <c r="U6" s="139"/>
      <c r="V6" s="107">
        <v>4.13</v>
      </c>
      <c r="W6" s="150">
        <f t="shared" ref="W6:W11" si="5">(AF6/SUM(AF$2:AF$20))*0.98</f>
        <v>0.3528</v>
      </c>
      <c r="X6" s="19">
        <v>3.2000000000000001E-2</v>
      </c>
      <c r="Y6" s="19">
        <v>0.76500000000000001</v>
      </c>
      <c r="Z6" s="20">
        <v>7.4</v>
      </c>
      <c r="AA6" s="150">
        <f t="shared" ref="AA6:AA11" si="6">(AG6/SUM(AG$6:AG$25))*0.98</f>
        <v>7.8399999999999997E-2</v>
      </c>
      <c r="AB6" s="7">
        <v>0.19523954163326915</v>
      </c>
      <c r="AC6" s="150">
        <f t="shared" ref="AC6:AC11" si="7">(AH6/SUM(AH$6:AH$25))*0.98</f>
        <v>4.0686886029108062E-2</v>
      </c>
      <c r="AE6" s="168"/>
      <c r="AF6" s="19">
        <v>0.36</v>
      </c>
      <c r="AG6" s="19">
        <v>0.08</v>
      </c>
      <c r="AH6" s="19">
        <v>2.5709310897735174E-2</v>
      </c>
    </row>
    <row r="7" spans="1:40" x14ac:dyDescent="0.2">
      <c r="A7" s="176" t="s">
        <v>590</v>
      </c>
      <c r="B7" s="18" t="s">
        <v>207</v>
      </c>
      <c r="C7" s="18">
        <f>VLOOKUP($AN$1,DST!C:D,2,FALSE)</f>
        <v>11</v>
      </c>
      <c r="D7" s="147"/>
      <c r="E7" s="147"/>
      <c r="F7" s="147"/>
      <c r="G7" s="147"/>
      <c r="H7" s="147"/>
      <c r="I7" s="146">
        <f t="shared" si="3"/>
        <v>180.59346900000003</v>
      </c>
      <c r="J7" s="146">
        <f>I7*V7</f>
        <v>785.58159015000001</v>
      </c>
      <c r="K7" s="146">
        <f>I7*X7</f>
        <v>6.1401779460000014</v>
      </c>
      <c r="L7" s="146">
        <f>((D$2+D$3+D$4)*AA7)</f>
        <v>23.166807999999996</v>
      </c>
      <c r="M7" s="146">
        <f t="shared" si="4"/>
        <v>17.027603879999997</v>
      </c>
      <c r="N7" s="146">
        <f t="shared" si="4"/>
        <v>132.13420610879999</v>
      </c>
      <c r="O7" s="146">
        <f t="shared" ref="O7:O11" si="8">M7*AH7</f>
        <v>0.61181323087015183</v>
      </c>
      <c r="Q7" s="13"/>
      <c r="R7" s="139"/>
      <c r="S7" s="138"/>
      <c r="T7" s="139"/>
      <c r="U7" s="139"/>
      <c r="V7" s="107">
        <v>4.3499999999999996</v>
      </c>
      <c r="W7" s="150">
        <f t="shared" si="5"/>
        <v>0.39690000000000003</v>
      </c>
      <c r="X7" s="19">
        <v>3.4000000000000002E-2</v>
      </c>
      <c r="Y7" s="19">
        <v>0.73499999999999999</v>
      </c>
      <c r="Z7" s="20">
        <v>7.76</v>
      </c>
      <c r="AA7" s="150">
        <f t="shared" si="6"/>
        <v>3.9199999999999999E-2</v>
      </c>
      <c r="AB7" s="7">
        <v>2.8601058003566718E-2</v>
      </c>
      <c r="AC7" s="150">
        <f t="shared" si="7"/>
        <v>5.6862944200180156E-2</v>
      </c>
      <c r="AE7" s="168"/>
      <c r="AF7" s="19">
        <v>0.40500000000000003</v>
      </c>
      <c r="AG7" s="19">
        <v>0.04</v>
      </c>
      <c r="AH7" s="19">
        <v>3.5930670878993452E-2</v>
      </c>
    </row>
    <row r="8" spans="1:40" x14ac:dyDescent="0.2">
      <c r="A8" s="176" t="s">
        <v>66</v>
      </c>
      <c r="B8" s="18" t="s">
        <v>207</v>
      </c>
      <c r="C8" s="18">
        <f>VLOOKUP($AN$1,DST!C:D,2,FALSE)</f>
        <v>11</v>
      </c>
      <c r="D8" s="147"/>
      <c r="E8" s="147"/>
      <c r="F8" s="147"/>
      <c r="G8" s="147"/>
      <c r="H8" s="147"/>
      <c r="I8" s="146">
        <f t="shared" ref="I8:I9" si="9">D$35*W8</f>
        <v>28.984137000000008</v>
      </c>
      <c r="J8" s="146">
        <f>I8*V8</f>
        <v>118.74336172150061</v>
      </c>
      <c r="K8" s="146">
        <f>I8*X8</f>
        <v>0.60122870827012775</v>
      </c>
      <c r="L8" s="146">
        <f>((D$2+D$3+D$4)*AA8)</f>
        <v>8.6875529999999976</v>
      </c>
      <c r="M8" s="146">
        <f t="shared" ref="M8:M9" si="10">L8*Y8</f>
        <v>5.8380356159999982</v>
      </c>
      <c r="N8" s="146">
        <f t="shared" ref="N8:N9" si="11">M8*Z8</f>
        <v>35.673317986073414</v>
      </c>
      <c r="O8" s="146">
        <f t="shared" ref="O8:O9" si="12">M8*AH8</f>
        <v>4.767883485033541E-2</v>
      </c>
      <c r="Q8" s="13"/>
      <c r="R8" s="139"/>
      <c r="S8" s="138"/>
      <c r="T8" s="139"/>
      <c r="U8" s="139"/>
      <c r="V8" s="107">
        <v>4.0968396513410275</v>
      </c>
      <c r="W8" s="150">
        <f t="shared" ref="W8:W9" si="13">(AF8/SUM(AF$2:AF$20))*0.98</f>
        <v>6.3700000000000007E-2</v>
      </c>
      <c r="X8" s="19">
        <v>2.0743371047070594E-2</v>
      </c>
      <c r="Y8" s="19">
        <v>0.67199999999999993</v>
      </c>
      <c r="Z8" s="20">
        <v>6.1105002320139024</v>
      </c>
      <c r="AA8" s="150">
        <f t="shared" ref="AA8:AA9" si="14">(AG8/SUM(AG$6:AG$25))*0.98</f>
        <v>1.47E-2</v>
      </c>
      <c r="AB8" s="7">
        <v>2.8601058003566718E-2</v>
      </c>
      <c r="AC8" s="150">
        <f t="shared" ref="AC8:AC9" si="15">(AH8/SUM(AH$6:AH$25))*0.98</f>
        <v>1.2924772573416699E-2</v>
      </c>
      <c r="AE8" s="168"/>
      <c r="AF8" s="19">
        <v>6.5000000000000002E-2</v>
      </c>
      <c r="AG8" s="19">
        <v>1.4999999999999999E-2</v>
      </c>
      <c r="AH8" s="19">
        <v>8.1669311368475599E-3</v>
      </c>
    </row>
    <row r="9" spans="1:40" x14ac:dyDescent="0.2">
      <c r="A9" s="17" t="s">
        <v>464</v>
      </c>
      <c r="B9" s="18" t="s">
        <v>207</v>
      </c>
      <c r="C9" s="18">
        <f>VLOOKUP($AN$1,DST!C:D,2,FALSE)</f>
        <v>11</v>
      </c>
      <c r="D9" s="147"/>
      <c r="E9" s="147"/>
      <c r="F9" s="147"/>
      <c r="G9" s="147"/>
      <c r="H9" s="147"/>
      <c r="I9" s="146">
        <f t="shared" si="9"/>
        <v>13.377294000000001</v>
      </c>
      <c r="J9" s="146">
        <f>I9*V9</f>
        <v>53.397753170723668</v>
      </c>
      <c r="K9" s="146">
        <f>I9*X9</f>
        <v>0.33299916821033004</v>
      </c>
      <c r="L9" s="146">
        <f>((D$2+D$3+D$4)*AA9)</f>
        <v>5.791701999999999</v>
      </c>
      <c r="M9" s="146">
        <f t="shared" si="10"/>
        <v>4.1005250159999989</v>
      </c>
      <c r="N9" s="146">
        <f t="shared" si="11"/>
        <v>31.238003412631166</v>
      </c>
      <c r="O9" s="146">
        <f t="shared" si="12"/>
        <v>8.2414581607268181E-2</v>
      </c>
      <c r="Q9" s="13"/>
      <c r="R9" s="139"/>
      <c r="S9" s="138"/>
      <c r="T9" s="139"/>
      <c r="U9" s="139"/>
      <c r="V9" s="107">
        <v>3.9916707497587827</v>
      </c>
      <c r="W9" s="150">
        <f t="shared" si="13"/>
        <v>2.9399999999999999E-2</v>
      </c>
      <c r="X9" s="19">
        <v>2.4892864596556673E-2</v>
      </c>
      <c r="Y9" s="19">
        <v>0.70799999999999996</v>
      </c>
      <c r="Z9" s="20">
        <v>7.6180497108888199</v>
      </c>
      <c r="AA9" s="150">
        <f t="shared" si="14"/>
        <v>9.7999999999999997E-3</v>
      </c>
      <c r="AB9" s="7">
        <v>7.811405791954551E-3</v>
      </c>
      <c r="AC9" s="150">
        <f t="shared" si="15"/>
        <v>3.1807432097215566E-2</v>
      </c>
      <c r="AE9" s="168"/>
      <c r="AF9" s="19">
        <v>0.03</v>
      </c>
      <c r="AG9" s="19">
        <v>0.01</v>
      </c>
      <c r="AH9" s="19">
        <v>2.0098543792731786E-2</v>
      </c>
    </row>
    <row r="10" spans="1:40" x14ac:dyDescent="0.2">
      <c r="A10" s="42"/>
      <c r="B10" s="18" t="s">
        <v>207</v>
      </c>
      <c r="C10" s="18">
        <f>VLOOKUP($AN$1,DST!C:D,2,FALSE)</f>
        <v>11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ref="J10:J11" si="16">I10*V10</f>
        <v>0</v>
      </c>
      <c r="K10" s="146">
        <f t="shared" ref="K10:K11" si="17">I10*X10</f>
        <v>0</v>
      </c>
      <c r="L10" s="146">
        <f t="shared" ref="L10:L11" si="18">((D$2+D$3+D$4)*AA10)</f>
        <v>0</v>
      </c>
      <c r="M10" s="146">
        <f t="shared" si="4"/>
        <v>0</v>
      </c>
      <c r="N10" s="146">
        <f t="shared" si="4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5"/>
        <v>0</v>
      </c>
      <c r="X10" s="19">
        <v>0</v>
      </c>
      <c r="Y10" s="19">
        <v>0</v>
      </c>
      <c r="Z10" s="20">
        <v>0</v>
      </c>
      <c r="AA10" s="150">
        <f t="shared" si="6"/>
        <v>0</v>
      </c>
      <c r="AB10" s="7">
        <v>1.14793355909557E-2</v>
      </c>
      <c r="AC10" s="150">
        <f t="shared" si="7"/>
        <v>0</v>
      </c>
      <c r="AE10" s="168"/>
      <c r="AF10" s="19">
        <v>0</v>
      </c>
      <c r="AG10" s="19">
        <v>0</v>
      </c>
      <c r="AH10" s="19">
        <v>0</v>
      </c>
    </row>
    <row r="11" spans="1:40" x14ac:dyDescent="0.2">
      <c r="A11" s="172"/>
      <c r="B11" s="18" t="s">
        <v>207</v>
      </c>
      <c r="C11" s="18">
        <f>VLOOKUP($AN$1,DST!C:D,2,FALSE)</f>
        <v>11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16"/>
        <v>0</v>
      </c>
      <c r="K11" s="146">
        <f t="shared" si="17"/>
        <v>0</v>
      </c>
      <c r="L11" s="146">
        <f t="shared" si="18"/>
        <v>0</v>
      </c>
      <c r="M11" s="146">
        <f t="shared" si="4"/>
        <v>0</v>
      </c>
      <c r="N11" s="146">
        <f t="shared" si="4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5"/>
        <v>0</v>
      </c>
      <c r="X11" s="19">
        <v>0</v>
      </c>
      <c r="Y11" s="19">
        <v>0</v>
      </c>
      <c r="Z11" s="20">
        <v>0</v>
      </c>
      <c r="AA11" s="150">
        <f t="shared" si="6"/>
        <v>0</v>
      </c>
      <c r="AB11" s="7"/>
      <c r="AC11" s="150">
        <f t="shared" si="7"/>
        <v>0</v>
      </c>
      <c r="AE11" s="168"/>
      <c r="AF11" s="19">
        <v>0</v>
      </c>
      <c r="AG11" s="19">
        <v>0</v>
      </c>
      <c r="AH11" s="19">
        <v>0</v>
      </c>
    </row>
    <row r="12" spans="1:40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40" x14ac:dyDescent="0.2">
      <c r="A13" s="17" t="s">
        <v>133</v>
      </c>
      <c r="B13" s="18" t="s">
        <v>208</v>
      </c>
      <c r="C13" s="18">
        <f>VLOOKUP($AN$1,DST!C:D,2,FALSE)</f>
        <v>11</v>
      </c>
      <c r="D13" s="147"/>
      <c r="E13" s="147"/>
      <c r="F13" s="147"/>
      <c r="G13" s="147"/>
      <c r="H13" s="147"/>
      <c r="I13" s="146">
        <f t="shared" ref="I13:I20" si="19">D$35*W13</f>
        <v>0</v>
      </c>
      <c r="J13" s="146">
        <f t="shared" ref="J13:J20" si="20">I13*V13</f>
        <v>0</v>
      </c>
      <c r="K13" s="146">
        <f t="shared" ref="K13:K20" si="21">I13*X13</f>
        <v>0</v>
      </c>
      <c r="L13" s="146">
        <f t="shared" ref="L13:L20" si="22">((D$2+D$3+D$4)*AA13)</f>
        <v>127.41744399999997</v>
      </c>
      <c r="M13" s="146">
        <f t="shared" ref="M13:N20" si="23">L13*Y13</f>
        <v>76.832718732000004</v>
      </c>
      <c r="N13" s="146">
        <f t="shared" si="23"/>
        <v>975.77552789640004</v>
      </c>
      <c r="O13" s="146">
        <f t="shared" ref="O13:O20" si="24">M13*AH13</f>
        <v>5.9161193423640004</v>
      </c>
      <c r="Q13" s="13"/>
      <c r="R13" s="139"/>
      <c r="S13" s="138"/>
      <c r="T13" s="139"/>
      <c r="U13" s="139"/>
      <c r="V13" s="107">
        <v>5.34</v>
      </c>
      <c r="W13" s="150">
        <f t="shared" ref="W13:W20" si="25">(AF13/SUM(AF$2:AF$20))*0.98</f>
        <v>0</v>
      </c>
      <c r="X13" s="19">
        <v>0</v>
      </c>
      <c r="Y13" s="19">
        <v>0.60300000000000009</v>
      </c>
      <c r="Z13" s="20">
        <v>12.7</v>
      </c>
      <c r="AA13" s="150">
        <f t="shared" ref="AA13:AA20" si="26">(AG13/SUM(AG$6:AG$25))*0.98</f>
        <v>0.21559999999999999</v>
      </c>
      <c r="AB13" s="7">
        <v>0.18002907075064498</v>
      </c>
      <c r="AC13" s="150">
        <f t="shared" ref="AC13:AC20" si="27">(AH13/SUM(AH$6:AH$25))*0.98</f>
        <v>0.12185819513806216</v>
      </c>
      <c r="AE13" s="168"/>
      <c r="AF13" s="19">
        <v>0</v>
      </c>
      <c r="AG13" s="19">
        <v>0.22</v>
      </c>
      <c r="AH13" s="19">
        <v>7.6999999999999999E-2</v>
      </c>
    </row>
    <row r="14" spans="1:40" x14ac:dyDescent="0.2">
      <c r="A14" s="17" t="s">
        <v>586</v>
      </c>
      <c r="B14" s="18" t="s">
        <v>208</v>
      </c>
      <c r="C14" s="18">
        <f>VLOOKUP($AN$1,DST!C:D,2,FALSE)</f>
        <v>11</v>
      </c>
      <c r="D14" s="147"/>
      <c r="E14" s="147"/>
      <c r="F14" s="147"/>
      <c r="G14" s="147"/>
      <c r="H14" s="147"/>
      <c r="I14" s="146">
        <f t="shared" si="19"/>
        <v>4.459098</v>
      </c>
      <c r="J14" s="146">
        <f t="shared" si="20"/>
        <v>26.754587999999998</v>
      </c>
      <c r="K14" s="146">
        <f t="shared" si="21"/>
        <v>3.4820397502044652E-2</v>
      </c>
      <c r="L14" s="146">
        <f t="shared" si="22"/>
        <v>88.613040599999977</v>
      </c>
      <c r="M14" s="146">
        <f t="shared" si="23"/>
        <v>55.205924293799995</v>
      </c>
      <c r="N14" s="146">
        <f t="shared" si="23"/>
        <v>735.34291159341592</v>
      </c>
      <c r="O14" s="146">
        <f t="shared" si="24"/>
        <v>3.6987969276846</v>
      </c>
      <c r="Q14" s="13"/>
      <c r="R14" s="139"/>
      <c r="S14" s="138"/>
      <c r="T14" s="139"/>
      <c r="U14" s="139"/>
      <c r="V14" s="107">
        <v>6</v>
      </c>
      <c r="W14" s="150">
        <f t="shared" si="25"/>
        <v>9.7999999999999997E-3</v>
      </c>
      <c r="X14" s="19">
        <v>7.8088432911868387E-3</v>
      </c>
      <c r="Y14" s="19">
        <v>0.62300000000000011</v>
      </c>
      <c r="Z14" s="20">
        <v>13.32</v>
      </c>
      <c r="AA14" s="150">
        <f t="shared" si="26"/>
        <v>0.14993999999999999</v>
      </c>
      <c r="AB14" s="7">
        <v>0.18309885137357515</v>
      </c>
      <c r="AC14" s="150">
        <f t="shared" si="27"/>
        <v>0.10603245550974241</v>
      </c>
      <c r="AE14" s="168"/>
      <c r="AF14" s="19">
        <v>0.01</v>
      </c>
      <c r="AG14" s="19">
        <v>0.153</v>
      </c>
      <c r="AH14" s="19">
        <v>6.7000000000000004E-2</v>
      </c>
    </row>
    <row r="15" spans="1:40" x14ac:dyDescent="0.2">
      <c r="A15" s="17" t="s">
        <v>82</v>
      </c>
      <c r="B15" s="18" t="s">
        <v>208</v>
      </c>
      <c r="C15" s="18">
        <f>VLOOKUP($AN$1,DST!C:D,2,FALSE)</f>
        <v>11</v>
      </c>
      <c r="D15" s="147"/>
      <c r="E15" s="147"/>
      <c r="F15" s="147"/>
      <c r="G15" s="147"/>
      <c r="H15" s="147"/>
      <c r="I15" s="146">
        <f t="shared" ref="I15:I18" si="28">D$35*W15</f>
        <v>0</v>
      </c>
      <c r="J15" s="146">
        <f t="shared" ref="J15:J18" si="29">I15*V15</f>
        <v>0</v>
      </c>
      <c r="K15" s="146">
        <f t="shared" ref="K15:K18" si="30">I15*X15</f>
        <v>0</v>
      </c>
      <c r="L15" s="146">
        <f t="shared" ref="L15:L18" si="31">((D$2+D$3+D$4)*AA15)</f>
        <v>103.67146579999998</v>
      </c>
      <c r="M15" s="146">
        <f t="shared" ref="M15:M18" si="32">L15*Y15</f>
        <v>67.490124235799996</v>
      </c>
      <c r="N15" s="146">
        <f t="shared" ref="N15:N18" si="33">M15*Z15</f>
        <v>750.49018150209588</v>
      </c>
      <c r="O15" s="146">
        <f t="shared" ref="O15:O18" si="34">M15*AH15</f>
        <v>4.6568185722702005</v>
      </c>
      <c r="Q15" s="13"/>
      <c r="R15" s="139"/>
      <c r="S15" s="138"/>
      <c r="T15" s="139"/>
      <c r="U15" s="139"/>
      <c r="V15" s="107">
        <v>5.0199999999999996</v>
      </c>
      <c r="W15" s="150">
        <f t="shared" ref="W15:W18" si="35">(AF15/SUM(AF$2:AF$20))*0.98</f>
        <v>0</v>
      </c>
      <c r="X15" s="19">
        <v>0</v>
      </c>
      <c r="Y15" s="19">
        <v>0.65100000000000013</v>
      </c>
      <c r="Z15" s="20">
        <v>11.12</v>
      </c>
      <c r="AA15" s="150">
        <f t="shared" ref="AA15:AA18" si="36">(AG15/SUM(AG$6:AG$25))*0.98</f>
        <v>0.17541999999999999</v>
      </c>
      <c r="AB15" s="7">
        <v>0.18309885137357515</v>
      </c>
      <c r="AC15" s="150">
        <f t="shared" ref="AC15:AC18" si="37">(AH15/SUM(AH$6:AH$25))*0.98</f>
        <v>0.10919760343540635</v>
      </c>
      <c r="AE15" s="168"/>
      <c r="AF15" s="19">
        <v>0</v>
      </c>
      <c r="AG15" s="19">
        <v>0.17899999999999999</v>
      </c>
      <c r="AH15" s="19">
        <v>6.9000000000000006E-2</v>
      </c>
    </row>
    <row r="16" spans="1:40" x14ac:dyDescent="0.2">
      <c r="A16" s="172" t="s">
        <v>478</v>
      </c>
      <c r="B16" s="18" t="s">
        <v>208</v>
      </c>
      <c r="C16" s="18">
        <f>VLOOKUP($AN$1,DST!C:D,2,FALSE)</f>
        <v>11</v>
      </c>
      <c r="D16" s="147"/>
      <c r="E16" s="147"/>
      <c r="F16" s="147"/>
      <c r="G16" s="147"/>
      <c r="H16" s="147"/>
      <c r="I16" s="146">
        <f t="shared" si="28"/>
        <v>0</v>
      </c>
      <c r="J16" s="146">
        <f t="shared" si="29"/>
        <v>0</v>
      </c>
      <c r="K16" s="146">
        <f t="shared" si="30"/>
        <v>0</v>
      </c>
      <c r="L16" s="146">
        <f t="shared" si="31"/>
        <v>50.966977599999993</v>
      </c>
      <c r="M16" s="146">
        <f t="shared" si="32"/>
        <v>29.153111187199993</v>
      </c>
      <c r="N16" s="146">
        <f t="shared" si="33"/>
        <v>349.01199817959252</v>
      </c>
      <c r="O16" s="146">
        <f t="shared" si="34"/>
        <v>1.5451148929215996</v>
      </c>
      <c r="Q16" s="13"/>
      <c r="R16" s="139"/>
      <c r="S16" s="138"/>
      <c r="T16" s="139"/>
      <c r="U16" s="139"/>
      <c r="V16" s="107">
        <v>5.0199999999999996</v>
      </c>
      <c r="W16" s="150">
        <f t="shared" si="35"/>
        <v>0</v>
      </c>
      <c r="X16" s="19">
        <v>0</v>
      </c>
      <c r="Y16" s="19">
        <v>0.57199999999999995</v>
      </c>
      <c r="Z16" s="20">
        <v>11.971689605904917</v>
      </c>
      <c r="AA16" s="150">
        <f t="shared" si="36"/>
        <v>8.6239999999999997E-2</v>
      </c>
      <c r="AB16" s="7">
        <v>0.10033620703176584</v>
      </c>
      <c r="AC16" s="150">
        <f t="shared" si="37"/>
        <v>8.3876420030094725E-2</v>
      </c>
      <c r="AE16" s="168"/>
      <c r="AF16" s="19">
        <v>0</v>
      </c>
      <c r="AG16" s="19">
        <v>8.7999999999999995E-2</v>
      </c>
      <c r="AH16" s="19">
        <v>5.2999999999999999E-2</v>
      </c>
    </row>
    <row r="17" spans="1:34" x14ac:dyDescent="0.2">
      <c r="A17" s="17" t="s">
        <v>552</v>
      </c>
      <c r="B17" s="18" t="s">
        <v>208</v>
      </c>
      <c r="C17" s="18">
        <f>VLOOKUP($AN$1,DST!C:D,2,FALSE)</f>
        <v>11</v>
      </c>
      <c r="D17" s="147"/>
      <c r="E17" s="147"/>
      <c r="F17" s="147"/>
      <c r="G17" s="147"/>
      <c r="H17" s="147"/>
      <c r="I17" s="146">
        <f t="shared" si="28"/>
        <v>0</v>
      </c>
      <c r="J17" s="146">
        <f t="shared" si="29"/>
        <v>0</v>
      </c>
      <c r="K17" s="146">
        <f t="shared" si="30"/>
        <v>0</v>
      </c>
      <c r="L17" s="146">
        <f t="shared" si="31"/>
        <v>19.691786799999999</v>
      </c>
      <c r="M17" s="146">
        <f t="shared" si="32"/>
        <v>11.421236343999997</v>
      </c>
      <c r="N17" s="146">
        <f t="shared" si="33"/>
        <v>135.67960425255126</v>
      </c>
      <c r="O17" s="146">
        <f t="shared" si="34"/>
        <v>0.59330343990555268</v>
      </c>
      <c r="Q17" s="13"/>
      <c r="R17" s="139"/>
      <c r="S17" s="138"/>
      <c r="T17" s="139"/>
      <c r="U17" s="139"/>
      <c r="V17" s="107">
        <v>5.0199999999999996</v>
      </c>
      <c r="W17" s="150">
        <f t="shared" si="35"/>
        <v>0</v>
      </c>
      <c r="X17" s="19">
        <v>0</v>
      </c>
      <c r="Y17" s="19">
        <v>0.57999999999999985</v>
      </c>
      <c r="Z17" s="20">
        <v>11.879589929318714</v>
      </c>
      <c r="AA17" s="150">
        <f t="shared" si="36"/>
        <v>3.3320000000000002E-2</v>
      </c>
      <c r="AB17" s="7">
        <v>6.295807984469376E-2</v>
      </c>
      <c r="AC17" s="150">
        <f t="shared" si="37"/>
        <v>8.2210589797175285E-2</v>
      </c>
      <c r="AE17" s="168"/>
      <c r="AF17" s="19">
        <v>0</v>
      </c>
      <c r="AG17" s="19">
        <v>3.4000000000000002E-2</v>
      </c>
      <c r="AH17" s="19">
        <v>5.1947391861585736E-2</v>
      </c>
    </row>
    <row r="18" spans="1:34" x14ac:dyDescent="0.2">
      <c r="B18" s="18" t="s">
        <v>208</v>
      </c>
      <c r="C18" s="18">
        <f>VLOOKUP($AN$1,DST!C:D,2,FALSE)</f>
        <v>11</v>
      </c>
      <c r="D18" s="147"/>
      <c r="E18" s="147"/>
      <c r="F18" s="147"/>
      <c r="G18" s="147"/>
      <c r="H18" s="147"/>
      <c r="I18" s="146">
        <f t="shared" si="28"/>
        <v>0</v>
      </c>
      <c r="J18" s="146">
        <f t="shared" si="29"/>
        <v>0</v>
      </c>
      <c r="K18" s="146">
        <f t="shared" si="30"/>
        <v>0</v>
      </c>
      <c r="L18" s="146">
        <f t="shared" si="31"/>
        <v>0</v>
      </c>
      <c r="M18" s="146">
        <f t="shared" si="32"/>
        <v>0</v>
      </c>
      <c r="N18" s="146">
        <f t="shared" si="33"/>
        <v>0</v>
      </c>
      <c r="O18" s="146">
        <f t="shared" si="34"/>
        <v>0</v>
      </c>
      <c r="Q18" s="13"/>
      <c r="R18" s="139"/>
      <c r="S18" s="138"/>
      <c r="T18" s="139"/>
      <c r="U18" s="139"/>
      <c r="V18" s="107">
        <v>0</v>
      </c>
      <c r="W18" s="150">
        <f t="shared" si="35"/>
        <v>0</v>
      </c>
      <c r="X18" s="19">
        <v>0</v>
      </c>
      <c r="Y18" s="19">
        <v>0</v>
      </c>
      <c r="Z18" s="20">
        <v>0</v>
      </c>
      <c r="AA18" s="150">
        <f t="shared" si="36"/>
        <v>0</v>
      </c>
      <c r="AB18" s="7">
        <v>4.6208358846457104E-2</v>
      </c>
      <c r="AC18" s="150">
        <f t="shared" si="37"/>
        <v>0</v>
      </c>
      <c r="AE18" s="168"/>
      <c r="AF18" s="19">
        <v>0</v>
      </c>
      <c r="AG18" s="19">
        <v>0</v>
      </c>
      <c r="AH18" s="19">
        <v>0</v>
      </c>
    </row>
    <row r="19" spans="1:34" x14ac:dyDescent="0.2">
      <c r="B19" s="18" t="s">
        <v>208</v>
      </c>
      <c r="C19" s="18">
        <f>VLOOKUP($AN$1,DST!C:D,2,FALSE)</f>
        <v>11</v>
      </c>
      <c r="D19" s="147"/>
      <c r="E19" s="147"/>
      <c r="F19" s="147"/>
      <c r="G19" s="147"/>
      <c r="H19" s="147"/>
      <c r="I19" s="146">
        <f t="shared" si="19"/>
        <v>0</v>
      </c>
      <c r="J19" s="146">
        <f t="shared" si="20"/>
        <v>0</v>
      </c>
      <c r="K19" s="146">
        <f t="shared" si="21"/>
        <v>0</v>
      </c>
      <c r="L19" s="146">
        <f t="shared" si="22"/>
        <v>0</v>
      </c>
      <c r="M19" s="146">
        <f t="shared" si="23"/>
        <v>0</v>
      </c>
      <c r="N19" s="146">
        <f t="shared" si="23"/>
        <v>0</v>
      </c>
      <c r="O19" s="146">
        <f t="shared" si="24"/>
        <v>0</v>
      </c>
      <c r="Q19" s="13"/>
      <c r="R19" s="139"/>
      <c r="S19" s="138"/>
      <c r="T19" s="139"/>
      <c r="U19" s="139"/>
      <c r="V19" s="107">
        <v>0</v>
      </c>
      <c r="W19" s="150">
        <f t="shared" si="25"/>
        <v>0</v>
      </c>
      <c r="X19" s="19">
        <v>0</v>
      </c>
      <c r="Y19" s="19">
        <v>0</v>
      </c>
      <c r="Z19" s="20">
        <v>0</v>
      </c>
      <c r="AA19" s="150">
        <f t="shared" si="26"/>
        <v>0</v>
      </c>
      <c r="AB19" s="7">
        <v>1.9288069684743152E-3</v>
      </c>
      <c r="AC19" s="150">
        <f t="shared" si="27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208</v>
      </c>
      <c r="C20" s="18">
        <f>VLOOKUP($AN$1,DST!C:D,2,FALSE)</f>
        <v>11</v>
      </c>
      <c r="D20" s="147"/>
      <c r="E20" s="147"/>
      <c r="F20" s="147"/>
      <c r="G20" s="147"/>
      <c r="H20" s="147"/>
      <c r="I20" s="146">
        <f t="shared" si="19"/>
        <v>0</v>
      </c>
      <c r="J20" s="146">
        <f t="shared" si="20"/>
        <v>0</v>
      </c>
      <c r="K20" s="146">
        <f t="shared" si="21"/>
        <v>0</v>
      </c>
      <c r="L20" s="146">
        <f t="shared" si="22"/>
        <v>0</v>
      </c>
      <c r="M20" s="146">
        <f t="shared" si="23"/>
        <v>0</v>
      </c>
      <c r="N20" s="146">
        <f t="shared" si="23"/>
        <v>0</v>
      </c>
      <c r="O20" s="146">
        <f t="shared" si="24"/>
        <v>0</v>
      </c>
      <c r="Q20" s="13"/>
      <c r="R20" s="139"/>
      <c r="S20" s="138"/>
      <c r="T20" s="139"/>
      <c r="U20" s="139"/>
      <c r="V20" s="107">
        <v>0</v>
      </c>
      <c r="W20" s="150">
        <f t="shared" si="25"/>
        <v>0</v>
      </c>
      <c r="X20" s="19">
        <v>0</v>
      </c>
      <c r="Y20" s="19">
        <v>0</v>
      </c>
      <c r="Z20" s="20">
        <v>0</v>
      </c>
      <c r="AA20" s="150">
        <f t="shared" si="26"/>
        <v>0</v>
      </c>
      <c r="AB20" s="7"/>
      <c r="AC20" s="150">
        <f t="shared" si="27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599</v>
      </c>
      <c r="B22" s="18" t="s">
        <v>10</v>
      </c>
      <c r="C22" s="18">
        <f>VLOOKUP($AN$1,DST!C:D,2,FALSE)</f>
        <v>11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46.912786199999992</v>
      </c>
      <c r="M22" s="146">
        <f t="shared" ref="M22:N25" si="38">L22*Y22</f>
        <v>29.695793664599996</v>
      </c>
      <c r="N22" s="146">
        <f t="shared" si="38"/>
        <v>312.88245187448638</v>
      </c>
      <c r="O22" s="146">
        <f>M22*AH22</f>
        <v>2.1794191658372144</v>
      </c>
      <c r="Q22" s="13"/>
      <c r="R22" s="139"/>
      <c r="S22" s="138"/>
      <c r="T22" s="139"/>
      <c r="U22" s="139"/>
      <c r="V22" s="140"/>
      <c r="W22" s="154"/>
      <c r="X22" s="139"/>
      <c r="Y22" s="19">
        <v>0.63300000000000001</v>
      </c>
      <c r="Z22" s="20">
        <v>10.536254912340324</v>
      </c>
      <c r="AA22" s="150">
        <f>(AG22/SUM(AG$6:AG$25))*0.98</f>
        <v>7.9380000000000006E-2</v>
      </c>
      <c r="AB22" s="7">
        <v>3.3391912367309158E-2</v>
      </c>
      <c r="AC22" s="150">
        <f>(AH22/SUM(AH$6:AH$25))*0.98</f>
        <v>0.11614749431878568</v>
      </c>
      <c r="AE22" s="168"/>
      <c r="AF22" s="168"/>
      <c r="AG22" s="19">
        <v>8.1000000000000003E-2</v>
      </c>
      <c r="AH22" s="19">
        <v>7.339151094773648E-2</v>
      </c>
    </row>
    <row r="23" spans="1:34" x14ac:dyDescent="0.2">
      <c r="A23" s="17" t="s">
        <v>180</v>
      </c>
      <c r="B23" s="18" t="s">
        <v>10</v>
      </c>
      <c r="C23" s="18">
        <f>VLOOKUP($AN$1,DST!C:D,2,FALSE)</f>
        <v>11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48.071126599999999</v>
      </c>
      <c r="M23" s="146">
        <f t="shared" si="38"/>
        <v>30.188667504799994</v>
      </c>
      <c r="N23" s="146">
        <f t="shared" si="38"/>
        <v>298.56592162247199</v>
      </c>
      <c r="O23" s="146">
        <f>M23*AH23</f>
        <v>2.4150934003839994</v>
      </c>
      <c r="Q23" s="13"/>
      <c r="R23" s="139"/>
      <c r="S23" s="138"/>
      <c r="T23" s="139"/>
      <c r="U23" s="139"/>
      <c r="V23" s="140"/>
      <c r="W23" s="154"/>
      <c r="X23" s="139"/>
      <c r="Y23" s="19">
        <v>0.62799999999999989</v>
      </c>
      <c r="Z23" s="20">
        <v>9.89</v>
      </c>
      <c r="AA23" s="150">
        <f>(AG23/SUM(AG$6:AG$25))*0.98</f>
        <v>8.134000000000001E-2</v>
      </c>
      <c r="AB23" s="7">
        <v>6.969921651998548E-2</v>
      </c>
      <c r="AC23" s="150">
        <f>(AH23/SUM(AH$6:AH$25))*0.98</f>
        <v>0.1266059170265581</v>
      </c>
      <c r="AE23" s="168"/>
      <c r="AF23" s="168"/>
      <c r="AG23" s="19">
        <v>8.3000000000000004E-2</v>
      </c>
      <c r="AH23" s="19">
        <v>0.08</v>
      </c>
    </row>
    <row r="24" spans="1:34" x14ac:dyDescent="0.2">
      <c r="A24" s="17" t="s">
        <v>7</v>
      </c>
      <c r="B24" s="18" t="s">
        <v>10</v>
      </c>
      <c r="C24" s="18">
        <f>VLOOKUP($AN$1,DST!C:D,2,FALSE)</f>
        <v>11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9.8458933999999996</v>
      </c>
      <c r="M24" s="146">
        <f t="shared" si="38"/>
        <v>5.9370737201999999</v>
      </c>
      <c r="N24" s="146">
        <f t="shared" si="38"/>
        <v>59.744008272387262</v>
      </c>
      <c r="O24" s="146">
        <f>M24*AH24</f>
        <v>0.34435027577159999</v>
      </c>
      <c r="Q24" s="13"/>
      <c r="R24" s="139"/>
      <c r="S24" s="138"/>
      <c r="T24" s="139"/>
      <c r="U24" s="139"/>
      <c r="V24" s="140"/>
      <c r="W24" s="154"/>
      <c r="X24" s="139"/>
      <c r="Y24" s="19">
        <v>0.60299999999999998</v>
      </c>
      <c r="Z24" s="20">
        <v>10.062871220398909</v>
      </c>
      <c r="AA24" s="150">
        <f>(AG24/SUM(AG$6:AG$25))*0.98</f>
        <v>1.6660000000000001E-2</v>
      </c>
      <c r="AB24" s="7">
        <v>4.3820774496873237E-2</v>
      </c>
      <c r="AC24" s="150">
        <f>(AH24/SUM(AH$6:AH$25))*0.98</f>
        <v>9.1789289844254621E-2</v>
      </c>
      <c r="AE24" s="168"/>
      <c r="AF24" s="168"/>
      <c r="AG24" s="19">
        <v>1.7000000000000001E-2</v>
      </c>
      <c r="AH24" s="19">
        <v>5.8000000000000003E-2</v>
      </c>
    </row>
    <row r="25" spans="1:34" x14ac:dyDescent="0.2">
      <c r="B25" s="18" t="s">
        <v>10</v>
      </c>
      <c r="C25" s="18">
        <f>VLOOKUP($AN$1,DST!C:D,2,FALSE)</f>
        <v>11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38"/>
        <v>0</v>
      </c>
      <c r="N25" s="146">
        <f t="shared" si="38"/>
        <v>0</v>
      </c>
      <c r="O25" s="146">
        <f>M25*AH25</f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/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264</v>
      </c>
      <c r="X27" s="30"/>
      <c r="Y27" s="30"/>
      <c r="Z27" s="31"/>
      <c r="AA27" s="9" t="s">
        <v>264</v>
      </c>
      <c r="AB27" s="9" t="s">
        <v>264</v>
      </c>
      <c r="AC27" s="9" t="s">
        <v>264</v>
      </c>
      <c r="AD27" s="44"/>
      <c r="AE27" s="9" t="s">
        <v>264</v>
      </c>
      <c r="AF27" s="9" t="s">
        <v>264</v>
      </c>
      <c r="AG27" s="9" t="s">
        <v>264</v>
      </c>
    </row>
    <row r="28" spans="1:34" s="27" customFormat="1" x14ac:dyDescent="0.2">
      <c r="A28" s="45" t="s">
        <v>265</v>
      </c>
      <c r="B28" s="28"/>
      <c r="C28" s="28"/>
      <c r="D28" s="34" t="s">
        <v>269</v>
      </c>
      <c r="E28" s="34" t="s">
        <v>266</v>
      </c>
      <c r="F28" s="155" t="s">
        <v>267</v>
      </c>
      <c r="G28" s="34" t="s">
        <v>286</v>
      </c>
      <c r="H28" s="34" t="s">
        <v>268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0.98</v>
      </c>
      <c r="X28" s="30"/>
      <c r="Y28" s="30"/>
      <c r="Z28" s="31"/>
      <c r="AA28" s="150">
        <f>SUM(AA6:AA25)</f>
        <v>0.98</v>
      </c>
      <c r="AB28" s="150">
        <f>SUM(AB2:AB4,AB6:AB11,AB13:AB20,AB22:AB25)</f>
        <v>1.1763025285966671</v>
      </c>
      <c r="AC28" s="150">
        <f>SUM(AC6:AC25)</f>
        <v>0.97999999999999987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</v>
      </c>
    </row>
    <row r="29" spans="1:34" s="27" customFormat="1" x14ac:dyDescent="0.2">
      <c r="A29" s="43"/>
      <c r="B29" s="28"/>
      <c r="C29" s="28"/>
      <c r="D29" s="46">
        <v>1046</v>
      </c>
      <c r="E29" s="47">
        <v>0.56499999999999995</v>
      </c>
      <c r="F29" s="2">
        <f>1-E29</f>
        <v>0.43500000000000005</v>
      </c>
      <c r="G29" s="106">
        <v>4.3499999999999996</v>
      </c>
      <c r="H29" s="126">
        <v>3.15E-2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265</v>
      </c>
      <c r="B31" s="28"/>
      <c r="C31" s="28"/>
      <c r="D31" s="162" t="s">
        <v>278</v>
      </c>
      <c r="E31" s="162" t="s">
        <v>1</v>
      </c>
      <c r="F31" s="162" t="s">
        <v>263</v>
      </c>
      <c r="G31" s="162" t="s">
        <v>137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590.9899999999999</v>
      </c>
      <c r="E32" s="156">
        <f>SUM(E2:E4)</f>
        <v>371.24056674710158</v>
      </c>
      <c r="F32" s="156">
        <f>SUM(F2:F4)</f>
        <v>4084.6353954705201</v>
      </c>
      <c r="G32" s="156">
        <f>SUM(G2:G4)</f>
        <v>23.026770655829477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265</v>
      </c>
      <c r="B34" s="28"/>
      <c r="C34" s="28"/>
      <c r="D34" s="162" t="s">
        <v>270</v>
      </c>
      <c r="E34" s="162" t="s">
        <v>263</v>
      </c>
      <c r="F34" s="162" t="s">
        <v>137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455.01000000000005</v>
      </c>
      <c r="E35" s="156">
        <f>D35*G29</f>
        <v>1979.2935</v>
      </c>
      <c r="F35" s="156">
        <f>D35*H29</f>
        <v>14.332815000000002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279</v>
      </c>
      <c r="B37" s="37"/>
      <c r="C37" s="37"/>
      <c r="D37" s="10" t="s">
        <v>273</v>
      </c>
      <c r="E37" s="161" t="s">
        <v>274</v>
      </c>
      <c r="F37" s="10" t="s">
        <v>275</v>
      </c>
      <c r="G37" s="10" t="s">
        <v>271</v>
      </c>
      <c r="H37" s="161" t="s">
        <v>272</v>
      </c>
      <c r="I37" s="10" t="s">
        <v>276</v>
      </c>
      <c r="J37" s="160" t="s">
        <v>277</v>
      </c>
      <c r="P37" s="37"/>
      <c r="Q37" s="37"/>
      <c r="R37" s="37"/>
      <c r="S37" s="37"/>
      <c r="T37" s="37"/>
      <c r="U37" s="37"/>
      <c r="V37" s="181"/>
      <c r="W37" s="37"/>
      <c r="X37" s="30"/>
      <c r="Y37" s="30"/>
      <c r="Z37" s="181"/>
      <c r="AA37" s="37"/>
      <c r="AB37" s="37"/>
      <c r="AC37" s="37"/>
      <c r="AE37" s="37"/>
      <c r="AF37" s="37"/>
      <c r="AH37" s="30"/>
    </row>
    <row r="38" spans="1:34" ht="13.5" thickBot="1" x14ac:dyDescent="0.25">
      <c r="D38" s="157">
        <f>SUM(I2:I20)</f>
        <v>445.90980000000008</v>
      </c>
      <c r="E38" s="157">
        <f>SUM(J2:J4,J6:J11,J13:J20)</f>
        <v>1976.494249946428</v>
      </c>
      <c r="F38" s="157">
        <f>SUM(K2:K4,K6:K11,K13:K20)</f>
        <v>14.291044044238356</v>
      </c>
      <c r="G38" s="157">
        <f>SUM(L6:L11,L13:L20,L22:L25)</f>
        <v>579.17019999999991</v>
      </c>
      <c r="H38" s="157">
        <f>SUM(M6:M11,M13:M20,M22:M25)</f>
        <v>368.33603043439996</v>
      </c>
      <c r="I38" s="157">
        <f>SUM(N6:N11,N13:N20,N22:N25)</f>
        <v>4078.8327328769055</v>
      </c>
      <c r="J38" s="157">
        <f>SUM(O6:O11,O13:O20,O22:O25)</f>
        <v>23.002194748618134</v>
      </c>
      <c r="Q38" s="18"/>
      <c r="R38" s="18"/>
      <c r="S38" s="18"/>
      <c r="T38" s="18"/>
      <c r="U38" s="18"/>
      <c r="V38" s="181"/>
      <c r="W38" s="18"/>
      <c r="X38" s="30"/>
      <c r="Y38" s="30"/>
      <c r="Z38" s="181"/>
      <c r="AC38" s="18"/>
      <c r="AH38" s="30"/>
    </row>
    <row r="39" spans="1:34" ht="13.5" thickTop="1" x14ac:dyDescent="0.2">
      <c r="D39" s="158">
        <f>D35-D38</f>
        <v>9.1001999999999725</v>
      </c>
      <c r="E39" s="158">
        <f>E35-E38</f>
        <v>2.7992500535719955</v>
      </c>
      <c r="F39" s="158">
        <f>F35-F38</f>
        <v>4.1770955761645467E-2</v>
      </c>
      <c r="G39" s="158">
        <f>SUM(D2:D4)-G38</f>
        <v>11.819799999999987</v>
      </c>
      <c r="H39" s="158">
        <f>E32-H38</f>
        <v>2.904536312701623</v>
      </c>
      <c r="I39" s="158">
        <f>F32-I38</f>
        <v>5.8026625936145138</v>
      </c>
      <c r="J39" s="158">
        <f>G32-J38</f>
        <v>2.4575907211342951E-2</v>
      </c>
      <c r="Q39" s="18"/>
      <c r="R39" s="18"/>
      <c r="S39" s="18"/>
      <c r="T39" s="18"/>
      <c r="U39" s="18"/>
      <c r="V39" s="181"/>
      <c r="W39" s="18"/>
      <c r="X39" s="30"/>
      <c r="Y39" s="30"/>
      <c r="Z39" s="181"/>
      <c r="AC39" s="18"/>
      <c r="AH39" s="30"/>
    </row>
    <row r="40" spans="1:34" x14ac:dyDescent="0.2">
      <c r="I40" s="26"/>
      <c r="J40" s="25"/>
      <c r="K40" s="26"/>
      <c r="L40" s="26"/>
      <c r="M40" s="25"/>
      <c r="N40" s="26"/>
      <c r="O40" s="18"/>
      <c r="Q40" s="18"/>
      <c r="R40" s="18"/>
      <c r="S40" s="18"/>
      <c r="T40" s="18"/>
      <c r="U40" s="18"/>
      <c r="V40" s="181"/>
      <c r="W40" s="18"/>
      <c r="X40" s="30"/>
      <c r="Y40" s="30"/>
      <c r="Z40" s="181"/>
      <c r="AC40" s="18"/>
      <c r="AH40" s="30"/>
    </row>
    <row r="41" spans="1:34" x14ac:dyDescent="0.2">
      <c r="I41" s="26"/>
      <c r="J41" s="25"/>
      <c r="K41" s="26"/>
      <c r="L41" s="26"/>
      <c r="M41" s="25"/>
      <c r="N41" s="26"/>
      <c r="O41" s="18"/>
      <c r="Q41" s="18"/>
      <c r="R41" s="18"/>
      <c r="S41" s="18"/>
      <c r="T41" s="18"/>
      <c r="U41" s="18"/>
      <c r="V41" s="181"/>
      <c r="W41" s="18"/>
      <c r="X41" s="30"/>
      <c r="Y41" s="30"/>
      <c r="Z41" s="181"/>
      <c r="AC41" s="18"/>
      <c r="AH41" s="30"/>
    </row>
    <row r="42" spans="1:34" x14ac:dyDescent="0.2">
      <c r="I42" s="26"/>
      <c r="J42" s="25"/>
      <c r="K42" s="26"/>
      <c r="L42" s="26"/>
      <c r="M42" s="25"/>
      <c r="N42" s="26"/>
      <c r="O42" s="18"/>
      <c r="Q42" s="18"/>
      <c r="R42" s="18"/>
      <c r="S42" s="18"/>
      <c r="T42" s="18"/>
      <c r="U42" s="18"/>
      <c r="V42" s="181"/>
      <c r="W42" s="18"/>
      <c r="X42" s="30"/>
      <c r="Y42" s="30"/>
      <c r="Z42" s="181"/>
      <c r="AC42" s="18"/>
      <c r="AH42" s="30"/>
    </row>
    <row r="43" spans="1:34" x14ac:dyDescent="0.2">
      <c r="V43" s="181"/>
      <c r="X43" s="30"/>
      <c r="Y43" s="30"/>
      <c r="Z43" s="181"/>
      <c r="AH43" s="30"/>
    </row>
    <row r="44" spans="1:34" x14ac:dyDescent="0.2">
      <c r="V44" s="181"/>
      <c r="X44" s="30"/>
      <c r="Y44" s="30"/>
      <c r="Z44" s="181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sortState xmlns:xlrd2="http://schemas.microsoft.com/office/spreadsheetml/2017/richdata2" ref="A22:AH25">
    <sortCondition descending="1" ref="N22:N25"/>
  </sortState>
  <conditionalFormatting sqref="D39:J39">
    <cfRule type="cellIs" dxfId="83" priority="1" operator="lessThan">
      <formula>0</formula>
    </cfRule>
  </conditionalFormatting>
  <conditionalFormatting sqref="W28">
    <cfRule type="cellIs" dxfId="82" priority="2" operator="greaterThan">
      <formula>1</formula>
    </cfRule>
  </conditionalFormatting>
  <conditionalFormatting sqref="AA28:AG28">
    <cfRule type="cellIs" dxfId="81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rgb="FF0033CC"/>
  </sheetPr>
  <dimension ref="A1:AN64"/>
  <sheetViews>
    <sheetView showGridLines="0" zoomScale="85" zoomScaleNormal="85"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defaultColWidth="8.7109375" defaultRowHeight="12.75" x14ac:dyDescent="0.2"/>
  <cols>
    <col min="1" max="1" width="22.5703125" style="17" customWidth="1"/>
    <col min="2" max="3" width="8.7109375" style="18"/>
    <col min="4" max="13" width="8.7109375" style="23"/>
    <col min="14" max="15" width="8.7109375" style="18"/>
    <col min="16" max="16" width="4.7109375" style="18" customWidth="1"/>
    <col min="17" max="18" width="8.7109375" style="26"/>
    <col min="19" max="19" width="8.7109375" style="23"/>
    <col min="20" max="21" width="8.7109375" style="26"/>
    <col min="22" max="23" width="8.7109375" style="25"/>
    <col min="24" max="25" width="8.7109375" style="26"/>
    <col min="26" max="26" width="8.7109375" style="25"/>
    <col min="27" max="27" width="8.7109375" style="18"/>
    <col min="28" max="28" width="0" style="18" hidden="1" customWidth="1"/>
    <col min="29" max="29" width="8.7109375" style="26"/>
    <col min="30" max="30" width="4.7109375" style="17" customWidth="1"/>
    <col min="31" max="32" width="8.7109375" style="18"/>
    <col min="33" max="16384" width="8.7109375" style="17"/>
  </cols>
  <sheetData>
    <row r="1" spans="1:40" s="15" customFormat="1" ht="25.5" customHeight="1" x14ac:dyDescent="0.2">
      <c r="A1" s="15" t="s">
        <v>0</v>
      </c>
      <c r="B1" s="15" t="s">
        <v>8</v>
      </c>
      <c r="C1" s="15" t="s">
        <v>122</v>
      </c>
      <c r="D1" s="159" t="s">
        <v>210</v>
      </c>
      <c r="E1" s="159" t="s">
        <v>1</v>
      </c>
      <c r="F1" s="159" t="s">
        <v>213</v>
      </c>
      <c r="G1" s="159" t="s">
        <v>228</v>
      </c>
      <c r="H1" s="159" t="s">
        <v>2</v>
      </c>
      <c r="I1" s="159" t="s">
        <v>229</v>
      </c>
      <c r="J1" s="159" t="s">
        <v>217</v>
      </c>
      <c r="K1" s="159" t="s">
        <v>230</v>
      </c>
      <c r="L1" s="159" t="s">
        <v>219</v>
      </c>
      <c r="M1" s="159" t="s">
        <v>4</v>
      </c>
      <c r="N1" s="159" t="s">
        <v>223</v>
      </c>
      <c r="O1" s="159" t="s">
        <v>231</v>
      </c>
      <c r="Q1" s="160" t="s">
        <v>281</v>
      </c>
      <c r="R1" s="133" t="s">
        <v>232</v>
      </c>
      <c r="S1" s="134" t="s">
        <v>451</v>
      </c>
      <c r="T1" s="133" t="s">
        <v>205</v>
      </c>
      <c r="U1" s="133" t="s">
        <v>209</v>
      </c>
      <c r="V1" s="135" t="s">
        <v>280</v>
      </c>
      <c r="W1" s="161" t="s">
        <v>282</v>
      </c>
      <c r="X1" s="133" t="s">
        <v>233</v>
      </c>
      <c r="Y1" s="179" t="s">
        <v>234</v>
      </c>
      <c r="Z1" s="135" t="s">
        <v>235</v>
      </c>
      <c r="AA1" s="160" t="s">
        <v>236</v>
      </c>
      <c r="AB1" s="160" t="s">
        <v>237</v>
      </c>
      <c r="AC1" s="10" t="s">
        <v>262</v>
      </c>
      <c r="AE1" s="136" t="s">
        <v>283</v>
      </c>
      <c r="AF1" s="137" t="s">
        <v>284</v>
      </c>
      <c r="AG1" s="136" t="s">
        <v>285</v>
      </c>
      <c r="AH1" s="136" t="s">
        <v>450</v>
      </c>
      <c r="AN1" s="15" t="s">
        <v>92</v>
      </c>
    </row>
    <row r="2" spans="1:40" x14ac:dyDescent="0.2">
      <c r="A2" s="17" t="s">
        <v>553</v>
      </c>
      <c r="B2" s="18" t="s">
        <v>9</v>
      </c>
      <c r="C2" s="18">
        <f>VLOOKUP($AN$1,DST!C:D,2,FALSE)</f>
        <v>7</v>
      </c>
      <c r="D2" s="146">
        <f>D$32*Q2</f>
        <v>566.80848000000003</v>
      </c>
      <c r="E2" s="146">
        <f>D2*R2</f>
        <v>363.16169234467782</v>
      </c>
      <c r="F2" s="146">
        <f>E2*S2</f>
        <v>4041.9896357962643</v>
      </c>
      <c r="G2" s="146">
        <f>D2*T2</f>
        <v>26.186551776000002</v>
      </c>
      <c r="H2" s="146">
        <f>E2*U2</f>
        <v>7.7279703415300309</v>
      </c>
      <c r="I2" s="146">
        <f>D$35*W2</f>
        <v>68.446727999999993</v>
      </c>
      <c r="J2" s="146">
        <f>I2*V2</f>
        <v>344.97150911999995</v>
      </c>
      <c r="K2" s="146">
        <f>I2*X2</f>
        <v>3.6961233119999997</v>
      </c>
      <c r="L2" s="147"/>
      <c r="M2" s="147"/>
      <c r="N2" s="147"/>
      <c r="O2" s="147"/>
      <c r="Q2" s="150">
        <f>(AE2/SUM(AE$2:AE$25))</f>
        <v>0.98</v>
      </c>
      <c r="R2" s="19">
        <v>0.64071323058659568</v>
      </c>
      <c r="S2" s="107">
        <v>11.13</v>
      </c>
      <c r="T2" s="19">
        <v>4.6199999999999998E-2</v>
      </c>
      <c r="U2" s="19">
        <v>2.1279695806118756E-2</v>
      </c>
      <c r="V2" s="107">
        <v>5.04</v>
      </c>
      <c r="W2" s="150">
        <f>(AF2/SUM(AF$2:AF$20))*0.98</f>
        <v>0.14699999999999999</v>
      </c>
      <c r="X2" s="19">
        <v>5.3999999999999999E-2</v>
      </c>
      <c r="Y2" s="21"/>
      <c r="Z2" s="22"/>
      <c r="AA2" s="1"/>
      <c r="AB2" s="1"/>
      <c r="AC2" s="1"/>
      <c r="AE2" s="19">
        <v>0.98</v>
      </c>
      <c r="AF2" s="19">
        <v>0.15</v>
      </c>
      <c r="AG2" s="168"/>
      <c r="AH2" s="168"/>
    </row>
    <row r="3" spans="1:40" x14ac:dyDescent="0.2">
      <c r="A3" s="17" t="s">
        <v>538</v>
      </c>
      <c r="B3" s="18" t="s">
        <v>9</v>
      </c>
      <c r="C3" s="18">
        <f>VLOOKUP($AN$1,DST!C:D,2,FALSE)</f>
        <v>7</v>
      </c>
      <c r="D3" s="146">
        <f>D$32*Q3</f>
        <v>11.567520000000002</v>
      </c>
      <c r="E3" s="146">
        <f t="shared" ref="E3:F4" si="0">D3*R3</f>
        <v>7.4362083752478112</v>
      </c>
      <c r="F3" s="146">
        <f t="shared" si="0"/>
        <v>80.529406705151601</v>
      </c>
      <c r="G3" s="146">
        <f t="shared" ref="G3:G4" si="1">D3*T3</f>
        <v>0.4859973311436821</v>
      </c>
      <c r="H3" s="146">
        <f t="shared" ref="H3:H4" si="2">E3*U3</f>
        <v>0.18065996552588781</v>
      </c>
      <c r="I3" s="146">
        <f>D$35*W3</f>
        <v>0</v>
      </c>
      <c r="J3" s="146">
        <f>I3*V3</f>
        <v>0</v>
      </c>
      <c r="K3" s="146">
        <f>I3*X3</f>
        <v>0</v>
      </c>
      <c r="L3" s="147"/>
      <c r="M3" s="147"/>
      <c r="N3" s="147"/>
      <c r="O3" s="147"/>
      <c r="Q3" s="150">
        <f>(AE3/SUM(AE$2:AE$25))</f>
        <v>0.02</v>
      </c>
      <c r="R3" s="19">
        <v>0.6428524329543247</v>
      </c>
      <c r="S3" s="107">
        <v>10.82936392331367</v>
      </c>
      <c r="T3" s="19">
        <v>4.2013960740390509E-2</v>
      </c>
      <c r="U3" s="19">
        <v>2.4294634632245272E-2</v>
      </c>
      <c r="V3" s="107">
        <v>4.5918367346938771</v>
      </c>
      <c r="W3" s="150">
        <f>(AF3/SUM(AF$2:AF$20))*0.98</f>
        <v>0</v>
      </c>
      <c r="X3" s="19">
        <v>0.04</v>
      </c>
      <c r="Y3" s="21"/>
      <c r="Z3" s="22"/>
      <c r="AA3" s="1"/>
      <c r="AB3" s="1"/>
      <c r="AC3" s="1"/>
      <c r="AE3" s="19">
        <v>0.02</v>
      </c>
      <c r="AF3" s="19">
        <v>0</v>
      </c>
      <c r="AG3" s="168"/>
      <c r="AH3" s="168"/>
    </row>
    <row r="4" spans="1:40" x14ac:dyDescent="0.2">
      <c r="B4" s="18" t="s">
        <v>9</v>
      </c>
      <c r="C4" s="18">
        <f>VLOOKUP($AN$1,DST!C:D,2,FALSE)</f>
        <v>7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/>
      <c r="AF4" s="19"/>
      <c r="AG4" s="168"/>
      <c r="AH4" s="168"/>
    </row>
    <row r="5" spans="1:40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40" x14ac:dyDescent="0.2">
      <c r="A6" s="17" t="s">
        <v>164</v>
      </c>
      <c r="B6" s="18" t="s">
        <v>207</v>
      </c>
      <c r="C6" s="18">
        <f>VLOOKUP($AN$1,DST!C:D,2,FALSE)</f>
        <v>7</v>
      </c>
      <c r="D6" s="147"/>
      <c r="E6" s="147"/>
      <c r="F6" s="147"/>
      <c r="G6" s="147"/>
      <c r="H6" s="147"/>
      <c r="I6" s="146">
        <f t="shared" ref="I6:I11" si="3">D$35*W6</f>
        <v>214.46641439999996</v>
      </c>
      <c r="J6" s="146">
        <f>I6*V6</f>
        <v>951.50264952455905</v>
      </c>
      <c r="K6" s="146">
        <f>I6*X6</f>
        <v>7.0773916751999995</v>
      </c>
      <c r="L6" s="146">
        <f>((D$2+D$3+D$4)*AA6)</f>
        <v>45.344678399999999</v>
      </c>
      <c r="M6" s="146">
        <f t="shared" ref="M6:N11" si="4">L6*Y6</f>
        <v>34.008508800000001</v>
      </c>
      <c r="N6" s="146">
        <f t="shared" si="4"/>
        <v>246.22160371200002</v>
      </c>
      <c r="O6" s="146">
        <f>M6*AH6</f>
        <v>1.5889175963929081</v>
      </c>
      <c r="Q6" s="13"/>
      <c r="R6" s="139"/>
      <c r="S6" s="138"/>
      <c r="T6" s="139"/>
      <c r="U6" s="139"/>
      <c r="V6" s="107">
        <v>4.4366044547651988</v>
      </c>
      <c r="W6" s="150">
        <f t="shared" ref="W6:W11" si="5">(AF6/SUM(AF$2:AF$20))*0.98</f>
        <v>0.46059999999999995</v>
      </c>
      <c r="X6" s="19">
        <v>3.3000000000000002E-2</v>
      </c>
      <c r="Y6" s="19">
        <v>0.75</v>
      </c>
      <c r="Z6" s="20">
        <v>7.24</v>
      </c>
      <c r="AA6" s="150">
        <f t="shared" ref="AA6:AA11" si="6">(AG6/SUM(AG$6:AG$25))*0.98</f>
        <v>7.8399999999999997E-2</v>
      </c>
      <c r="AB6" s="7">
        <v>7.2668193894709771E-2</v>
      </c>
      <c r="AC6" s="150">
        <f t="shared" ref="AC6:AC11" si="7">(AH6/SUM(AH$6:AH$25))*0.98</f>
        <v>6.8831887858761293E-2</v>
      </c>
      <c r="AE6" s="168"/>
      <c r="AF6" s="19">
        <v>0.47</v>
      </c>
      <c r="AG6" s="19">
        <v>0.08</v>
      </c>
      <c r="AH6" s="19">
        <v>4.6721178095080369E-2</v>
      </c>
    </row>
    <row r="7" spans="1:40" x14ac:dyDescent="0.2">
      <c r="A7" s="17" t="s">
        <v>187</v>
      </c>
      <c r="B7" s="18" t="s">
        <v>207</v>
      </c>
      <c r="C7" s="18">
        <f>VLOOKUP($AN$1,DST!C:D,2,FALSE)</f>
        <v>7</v>
      </c>
      <c r="D7" s="147"/>
      <c r="E7" s="147"/>
      <c r="F7" s="147"/>
      <c r="G7" s="147"/>
      <c r="H7" s="147"/>
      <c r="I7" s="146">
        <f t="shared" si="3"/>
        <v>87.611811839999987</v>
      </c>
      <c r="J7" s="146">
        <f>I7*V7</f>
        <v>391.75948324736351</v>
      </c>
      <c r="K7" s="146">
        <f>I7*X7</f>
        <v>2.9788016025599999</v>
      </c>
      <c r="L7" s="146">
        <f>((D$2+D$3+D$4)*AA7)</f>
        <v>13.036595039999998</v>
      </c>
      <c r="M7" s="146">
        <f t="shared" si="4"/>
        <v>9.1907995031999974</v>
      </c>
      <c r="N7" s="146">
        <f t="shared" si="4"/>
        <v>63.876056547239983</v>
      </c>
      <c r="O7" s="146">
        <f t="shared" ref="O7:O11" si="8">M7*AH7</f>
        <v>0.38379518014963382</v>
      </c>
      <c r="Q7" s="13"/>
      <c r="R7" s="139"/>
      <c r="S7" s="138"/>
      <c r="T7" s="139"/>
      <c r="U7" s="139"/>
      <c r="V7" s="107">
        <v>4.4715372849817276</v>
      </c>
      <c r="W7" s="150">
        <f t="shared" si="5"/>
        <v>0.18815999999999999</v>
      </c>
      <c r="X7" s="19">
        <v>3.4000000000000002E-2</v>
      </c>
      <c r="Y7" s="19">
        <v>0.70499999999999985</v>
      </c>
      <c r="Z7" s="20">
        <v>6.95</v>
      </c>
      <c r="AA7" s="150">
        <f t="shared" si="6"/>
        <v>2.2539999999999998E-2</v>
      </c>
      <c r="AB7" s="7">
        <v>8.885193964057371E-2</v>
      </c>
      <c r="AC7" s="150">
        <f t="shared" si="7"/>
        <v>6.1520820682226508E-2</v>
      </c>
      <c r="AE7" s="168"/>
      <c r="AF7" s="19">
        <v>0.192</v>
      </c>
      <c r="AG7" s="19">
        <v>2.3E-2</v>
      </c>
      <c r="AH7" s="19">
        <v>4.1758628290825661E-2</v>
      </c>
    </row>
    <row r="8" spans="1:40" x14ac:dyDescent="0.2">
      <c r="A8" s="17" t="s">
        <v>521</v>
      </c>
      <c r="B8" s="18" t="s">
        <v>207</v>
      </c>
      <c r="C8" s="18">
        <f>VLOOKUP($AN$1,DST!C:D,2,FALSE)</f>
        <v>7</v>
      </c>
      <c r="D8" s="147"/>
      <c r="E8" s="147"/>
      <c r="F8" s="147"/>
      <c r="G8" s="147"/>
      <c r="H8" s="147"/>
      <c r="I8" s="146">
        <f t="shared" si="3"/>
        <v>81.223450559999989</v>
      </c>
      <c r="J8" s="146">
        <f>I8*V8</f>
        <v>357.38318246399996</v>
      </c>
      <c r="K8" s="146">
        <f>I8*X8</f>
        <v>2.8428207695999999</v>
      </c>
      <c r="L8" s="146">
        <f>((D$2+D$3+D$4)*AA8)</f>
        <v>28.340423999999999</v>
      </c>
      <c r="M8" s="146">
        <f t="shared" si="4"/>
        <v>20.971913759999996</v>
      </c>
      <c r="N8" s="146">
        <f t="shared" si="4"/>
        <v>151.20749820959998</v>
      </c>
      <c r="O8" s="146">
        <f t="shared" si="8"/>
        <v>0.7652672484924139</v>
      </c>
      <c r="Q8" s="13"/>
      <c r="R8" s="139"/>
      <c r="S8" s="138"/>
      <c r="T8" s="139"/>
      <c r="U8" s="139"/>
      <c r="V8" s="107">
        <v>4.4000000000000004</v>
      </c>
      <c r="W8" s="150">
        <f t="shared" si="5"/>
        <v>0.17443999999999998</v>
      </c>
      <c r="X8" s="19">
        <v>3.5000000000000003E-2</v>
      </c>
      <c r="Y8" s="19">
        <v>0.73999999999999988</v>
      </c>
      <c r="Z8" s="20">
        <v>7.21</v>
      </c>
      <c r="AA8" s="150">
        <f t="shared" si="6"/>
        <v>4.9000000000000002E-2</v>
      </c>
      <c r="AB8" s="7">
        <v>3.6086874636924879E-2</v>
      </c>
      <c r="AC8" s="150">
        <f t="shared" si="7"/>
        <v>5.3758972553587719E-2</v>
      </c>
      <c r="AE8" s="168"/>
      <c r="AF8" s="19">
        <v>0.17799999999999999</v>
      </c>
      <c r="AG8" s="19">
        <v>0.05</v>
      </c>
      <c r="AH8" s="19">
        <v>3.6490100867762394E-2</v>
      </c>
    </row>
    <row r="9" spans="1:40" x14ac:dyDescent="0.2">
      <c r="B9" s="18" t="s">
        <v>207</v>
      </c>
      <c r="C9" s="18">
        <f>VLOOKUP($AN$1,DST!C:D,2,FALSE)</f>
        <v>7</v>
      </c>
      <c r="D9" s="147"/>
      <c r="E9" s="147"/>
      <c r="F9" s="147"/>
      <c r="G9" s="147"/>
      <c r="H9" s="147"/>
      <c r="I9" s="146">
        <f t="shared" si="3"/>
        <v>0</v>
      </c>
      <c r="J9" s="146">
        <f t="shared" ref="J9:J11" si="9">I9*V9</f>
        <v>0</v>
      </c>
      <c r="K9" s="146">
        <f t="shared" ref="K9:K11" si="10">I9*X9</f>
        <v>0</v>
      </c>
      <c r="L9" s="146">
        <f t="shared" ref="L9:L11" si="11">((D$2+D$3+D$4)*AA9)</f>
        <v>0</v>
      </c>
      <c r="M9" s="146">
        <f t="shared" si="4"/>
        <v>0</v>
      </c>
      <c r="N9" s="146">
        <f t="shared" si="4"/>
        <v>0</v>
      </c>
      <c r="O9" s="146">
        <f t="shared" si="8"/>
        <v>0</v>
      </c>
      <c r="Q9" s="13"/>
      <c r="R9" s="139"/>
      <c r="S9" s="138"/>
      <c r="T9" s="139"/>
      <c r="U9" s="139"/>
      <c r="V9" s="107">
        <v>0</v>
      </c>
      <c r="W9" s="150">
        <f t="shared" si="5"/>
        <v>0</v>
      </c>
      <c r="X9" s="19">
        <v>0</v>
      </c>
      <c r="Y9" s="19">
        <v>0</v>
      </c>
      <c r="Z9" s="20">
        <v>0</v>
      </c>
      <c r="AA9" s="150">
        <f t="shared" si="6"/>
        <v>0</v>
      </c>
      <c r="AB9" s="7">
        <v>5.9169428450324786E-3</v>
      </c>
      <c r="AC9" s="150">
        <f t="shared" si="7"/>
        <v>0</v>
      </c>
      <c r="AE9" s="168"/>
      <c r="AF9" s="19">
        <v>0</v>
      </c>
      <c r="AG9" s="19">
        <v>0</v>
      </c>
      <c r="AH9" s="19">
        <v>0</v>
      </c>
    </row>
    <row r="10" spans="1:40" x14ac:dyDescent="0.2">
      <c r="B10" s="18" t="s">
        <v>207</v>
      </c>
      <c r="C10" s="18">
        <f>VLOOKUP($AN$1,DST!C:D,2,FALSE)</f>
        <v>7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9"/>
        <v>0</v>
      </c>
      <c r="K10" s="146">
        <f t="shared" si="10"/>
        <v>0</v>
      </c>
      <c r="L10" s="146">
        <f t="shared" si="11"/>
        <v>0</v>
      </c>
      <c r="M10" s="146">
        <f t="shared" si="4"/>
        <v>0</v>
      </c>
      <c r="N10" s="146">
        <f t="shared" si="4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5"/>
        <v>0</v>
      </c>
      <c r="X10" s="19">
        <v>0</v>
      </c>
      <c r="Y10" s="19">
        <v>0</v>
      </c>
      <c r="Z10" s="20">
        <v>0</v>
      </c>
      <c r="AA10" s="150">
        <f t="shared" si="6"/>
        <v>0</v>
      </c>
      <c r="AB10" s="7">
        <v>4.0214480433331101E-3</v>
      </c>
      <c r="AC10" s="150">
        <f t="shared" si="7"/>
        <v>0</v>
      </c>
      <c r="AE10" s="168"/>
      <c r="AF10" s="19">
        <v>0</v>
      </c>
      <c r="AG10" s="19">
        <v>0</v>
      </c>
      <c r="AH10" s="19">
        <v>0</v>
      </c>
    </row>
    <row r="11" spans="1:40" x14ac:dyDescent="0.2">
      <c r="B11" s="18" t="s">
        <v>207</v>
      </c>
      <c r="C11" s="18">
        <f>VLOOKUP($AN$1,DST!C:D,2,FALSE)</f>
        <v>7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9"/>
        <v>0</v>
      </c>
      <c r="K11" s="146">
        <f t="shared" si="10"/>
        <v>0</v>
      </c>
      <c r="L11" s="146">
        <f t="shared" si="11"/>
        <v>0</v>
      </c>
      <c r="M11" s="146">
        <f t="shared" si="4"/>
        <v>0</v>
      </c>
      <c r="N11" s="146">
        <f t="shared" si="4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5"/>
        <v>0</v>
      </c>
      <c r="X11" s="19">
        <v>0</v>
      </c>
      <c r="Y11" s="19">
        <v>0</v>
      </c>
      <c r="Z11" s="20">
        <v>0</v>
      </c>
      <c r="AA11" s="150">
        <f t="shared" si="6"/>
        <v>0</v>
      </c>
      <c r="AB11" s="7"/>
      <c r="AC11" s="150">
        <f t="shared" si="7"/>
        <v>0</v>
      </c>
      <c r="AE11" s="168"/>
      <c r="AF11" s="19">
        <v>0</v>
      </c>
      <c r="AG11" s="19">
        <v>0</v>
      </c>
      <c r="AH11" s="19">
        <v>0</v>
      </c>
    </row>
    <row r="12" spans="1:40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40" x14ac:dyDescent="0.2">
      <c r="A13" s="17" t="s">
        <v>193</v>
      </c>
      <c r="B13" s="18" t="s">
        <v>208</v>
      </c>
      <c r="C13" s="18">
        <f>VLOOKUP($AN$1,DST!C:D,2,FALSE)</f>
        <v>7</v>
      </c>
      <c r="D13" s="147"/>
      <c r="E13" s="147"/>
      <c r="F13" s="147"/>
      <c r="G13" s="147"/>
      <c r="H13" s="147"/>
      <c r="I13" s="146">
        <f t="shared" ref="I13:I20" si="12">D$35*W13</f>
        <v>4.5631151999999995</v>
      </c>
      <c r="J13" s="146">
        <f t="shared" ref="J13:J20" si="13">I13*V13</f>
        <v>22.906838303999997</v>
      </c>
      <c r="K13" s="146">
        <f t="shared" ref="K13:K20" si="14">I13*X13</f>
        <v>0.15058280159999998</v>
      </c>
      <c r="L13" s="146">
        <f t="shared" ref="L13:L20" si="15">((D$2+D$3+D$4)*AA13)</f>
        <v>130.3659504</v>
      </c>
      <c r="M13" s="146">
        <f t="shared" ref="M13:N20" si="16">L13*Y13</f>
        <v>78.871399991999979</v>
      </c>
      <c r="N13" s="146">
        <f t="shared" si="16"/>
        <v>1086.0591778898397</v>
      </c>
      <c r="O13" s="146">
        <f t="shared" ref="O13:O20" si="17">M13*AH13</f>
        <v>6.8122664990501116</v>
      </c>
      <c r="Q13" s="13"/>
      <c r="R13" s="139"/>
      <c r="S13" s="138"/>
      <c r="T13" s="139"/>
      <c r="U13" s="139"/>
      <c r="V13" s="107">
        <v>5.0199999999999996</v>
      </c>
      <c r="W13" s="150">
        <f t="shared" ref="W13:W20" si="18">(AF13/SUM(AF$2:AF$20))*0.98</f>
        <v>9.7999999999999997E-3</v>
      </c>
      <c r="X13" s="19">
        <v>3.3000000000000002E-2</v>
      </c>
      <c r="Y13" s="19">
        <v>0.60499999999999987</v>
      </c>
      <c r="Z13" s="20">
        <v>13.77</v>
      </c>
      <c r="AA13" s="150">
        <f t="shared" ref="AA13:AA20" si="19">(AG13/SUM(AG$6:AG$25))*0.98</f>
        <v>0.22540000000000002</v>
      </c>
      <c r="AB13" s="7">
        <v>0.1993113419107847</v>
      </c>
      <c r="AC13" s="150">
        <f t="shared" ref="AC13:AC20" si="20">(AH13/SUM(AH$6:AH$25))*0.98</f>
        <v>0.12724712409448341</v>
      </c>
      <c r="AE13" s="168"/>
      <c r="AF13" s="19">
        <v>0.01</v>
      </c>
      <c r="AG13" s="19">
        <v>0.23</v>
      </c>
      <c r="AH13" s="19">
        <v>8.6371821721702519E-2</v>
      </c>
    </row>
    <row r="14" spans="1:40" x14ac:dyDescent="0.2">
      <c r="A14" s="17" t="s">
        <v>15</v>
      </c>
      <c r="B14" s="18" t="s">
        <v>208</v>
      </c>
      <c r="C14" s="18">
        <f>VLOOKUP($AN$1,DST!C:D,2,FALSE)</f>
        <v>7</v>
      </c>
      <c r="D14" s="147"/>
      <c r="E14" s="147"/>
      <c r="F14" s="147"/>
      <c r="G14" s="147"/>
      <c r="H14" s="147"/>
      <c r="I14" s="146">
        <f t="shared" si="12"/>
        <v>0</v>
      </c>
      <c r="J14" s="146">
        <f t="shared" si="13"/>
        <v>0</v>
      </c>
      <c r="K14" s="146">
        <f t="shared" si="14"/>
        <v>0</v>
      </c>
      <c r="L14" s="146">
        <f t="shared" si="15"/>
        <v>117.89616383999999</v>
      </c>
      <c r="M14" s="146">
        <f t="shared" si="16"/>
        <v>76.632506495999991</v>
      </c>
      <c r="N14" s="146">
        <f t="shared" si="16"/>
        <v>859.61397974057593</v>
      </c>
      <c r="O14" s="146">
        <f t="shared" si="17"/>
        <v>5.4409079612159985</v>
      </c>
      <c r="Q14" s="13"/>
      <c r="R14" s="139"/>
      <c r="S14" s="138"/>
      <c r="T14" s="139"/>
      <c r="U14" s="139"/>
      <c r="V14" s="107">
        <v>5.0199999999999996</v>
      </c>
      <c r="W14" s="150">
        <f t="shared" si="18"/>
        <v>0</v>
      </c>
      <c r="X14" s="19">
        <v>0</v>
      </c>
      <c r="Y14" s="19">
        <v>0.65</v>
      </c>
      <c r="Z14" s="20">
        <v>11.217354345384036</v>
      </c>
      <c r="AA14" s="150">
        <f t="shared" si="19"/>
        <v>0.20383999999999999</v>
      </c>
      <c r="AB14" s="7">
        <v>0.12380296082197549</v>
      </c>
      <c r="AC14" s="150">
        <f t="shared" si="20"/>
        <v>0.10460061662029554</v>
      </c>
      <c r="AE14" s="168"/>
      <c r="AF14" s="19">
        <v>0</v>
      </c>
      <c r="AG14" s="19">
        <v>0.20799999999999999</v>
      </c>
      <c r="AH14" s="19">
        <v>7.0999999999999994E-2</v>
      </c>
    </row>
    <row r="15" spans="1:40" x14ac:dyDescent="0.2">
      <c r="A15" s="176" t="s">
        <v>575</v>
      </c>
      <c r="B15" s="18" t="s">
        <v>208</v>
      </c>
      <c r="C15" s="18">
        <f>VLOOKUP($AN$1,DST!C:D,2,FALSE)</f>
        <v>7</v>
      </c>
      <c r="D15" s="147"/>
      <c r="E15" s="147"/>
      <c r="F15" s="147"/>
      <c r="G15" s="147"/>
      <c r="H15" s="147"/>
      <c r="I15" s="146">
        <f t="shared" si="12"/>
        <v>0</v>
      </c>
      <c r="J15" s="146">
        <f t="shared" si="13"/>
        <v>0</v>
      </c>
      <c r="K15" s="146">
        <f t="shared" si="14"/>
        <v>0</v>
      </c>
      <c r="L15" s="146">
        <f t="shared" si="15"/>
        <v>104.29276031999999</v>
      </c>
      <c r="M15" s="146">
        <f t="shared" si="16"/>
        <v>63.618583795199974</v>
      </c>
      <c r="N15" s="146">
        <f t="shared" si="16"/>
        <v>863.94036793881571</v>
      </c>
      <c r="O15" s="146">
        <f t="shared" si="17"/>
        <v>5.4726278311605565</v>
      </c>
      <c r="Q15" s="13"/>
      <c r="R15" s="139"/>
      <c r="S15" s="138"/>
      <c r="T15" s="139"/>
      <c r="U15" s="139"/>
      <c r="V15" s="107">
        <v>5.0199999999999996</v>
      </c>
      <c r="W15" s="150">
        <f t="shared" si="18"/>
        <v>0</v>
      </c>
      <c r="X15" s="19">
        <v>0</v>
      </c>
      <c r="Y15" s="19">
        <v>0.60999999999999988</v>
      </c>
      <c r="Z15" s="20">
        <v>13.58</v>
      </c>
      <c r="AA15" s="150">
        <f t="shared" si="19"/>
        <v>0.18031999999999998</v>
      </c>
      <c r="AB15" s="7">
        <v>9.0701916920885875E-2</v>
      </c>
      <c r="AC15" s="150">
        <f t="shared" si="20"/>
        <v>0.12673244499441363</v>
      </c>
      <c r="AE15" s="168"/>
      <c r="AF15" s="19">
        <v>0</v>
      </c>
      <c r="AG15" s="19">
        <v>0.184</v>
      </c>
      <c r="AH15" s="19">
        <v>8.6022471810720605E-2</v>
      </c>
    </row>
    <row r="16" spans="1:40" x14ac:dyDescent="0.2">
      <c r="A16" s="176" t="s">
        <v>479</v>
      </c>
      <c r="B16" s="18" t="s">
        <v>208</v>
      </c>
      <c r="C16" s="18">
        <f>VLOOKUP($AN$1,DST!C:D,2,FALSE)</f>
        <v>7</v>
      </c>
      <c r="D16" s="147"/>
      <c r="E16" s="147"/>
      <c r="F16" s="147"/>
      <c r="G16" s="147"/>
      <c r="H16" s="147"/>
      <c r="I16" s="146">
        <f t="shared" ref="I16:I17" si="21">D$35*W16</f>
        <v>0</v>
      </c>
      <c r="J16" s="146">
        <f t="shared" ref="J16:J17" si="22">I16*V16</f>
        <v>0</v>
      </c>
      <c r="K16" s="146">
        <f t="shared" ref="K16:K17" si="23">I16*X16</f>
        <v>0</v>
      </c>
      <c r="L16" s="146">
        <f t="shared" ref="L16:L17" si="24">((D$2+D$3+D$4)*AA16)</f>
        <v>17.004254399999997</v>
      </c>
      <c r="M16" s="146">
        <f t="shared" ref="M16:M17" si="25">L16*Y16</f>
        <v>10.032510095999998</v>
      </c>
      <c r="N16" s="146">
        <f t="shared" ref="N16:N17" si="26">M16*Z16</f>
        <v>122.42530065239373</v>
      </c>
      <c r="O16" s="146">
        <f t="shared" ref="O16:O17" si="27">M16*AH16</f>
        <v>0.69178606093618344</v>
      </c>
      <c r="Q16" s="13"/>
      <c r="R16" s="139"/>
      <c r="S16" s="138"/>
      <c r="T16" s="139"/>
      <c r="U16" s="139"/>
      <c r="V16" s="107">
        <v>5.01</v>
      </c>
      <c r="W16" s="150">
        <f t="shared" ref="W16:W17" si="28">(AF16/SUM(AF$2:AF$20))*0.98</f>
        <v>0</v>
      </c>
      <c r="X16" s="19">
        <v>7.7519379844961239E-3</v>
      </c>
      <c r="Y16" s="19">
        <v>0.59</v>
      </c>
      <c r="Z16" s="20">
        <v>12.202858455253905</v>
      </c>
      <c r="AA16" s="150">
        <f t="shared" ref="AA16:AA17" si="29">(AG16/SUM(AG$6:AG$25))*0.98</f>
        <v>2.9399999999999999E-2</v>
      </c>
      <c r="AB16" s="7">
        <v>9.0701916920885875E-2</v>
      </c>
      <c r="AC16" s="150">
        <f t="shared" ref="AC16:AC17" si="30">(AH16/SUM(AH$6:AH$25))*0.98</f>
        <v>0.1015869911857863</v>
      </c>
      <c r="AE16" s="168"/>
      <c r="AF16" s="19">
        <v>0</v>
      </c>
      <c r="AG16" s="19">
        <v>0.03</v>
      </c>
      <c r="AH16" s="19">
        <v>6.8954434564885342E-2</v>
      </c>
    </row>
    <row r="17" spans="1:34" x14ac:dyDescent="0.2">
      <c r="A17" s="172" t="s">
        <v>428</v>
      </c>
      <c r="B17" s="18" t="s">
        <v>208</v>
      </c>
      <c r="C17" s="18">
        <f>VLOOKUP($AN$1,DST!C:D,2,FALSE)</f>
        <v>7</v>
      </c>
      <c r="D17" s="147"/>
      <c r="E17" s="147"/>
      <c r="F17" s="147"/>
      <c r="G17" s="147"/>
      <c r="H17" s="147"/>
      <c r="I17" s="146">
        <f t="shared" si="21"/>
        <v>0</v>
      </c>
      <c r="J17" s="146">
        <f t="shared" si="22"/>
        <v>0</v>
      </c>
      <c r="K17" s="146">
        <f t="shared" si="23"/>
        <v>0</v>
      </c>
      <c r="L17" s="146">
        <f t="shared" si="24"/>
        <v>11.3361696</v>
      </c>
      <c r="M17" s="146">
        <f t="shared" si="25"/>
        <v>6.5749783679999991</v>
      </c>
      <c r="N17" s="146">
        <f t="shared" si="26"/>
        <v>82.12745497967974</v>
      </c>
      <c r="O17" s="146">
        <f t="shared" si="27"/>
        <v>0.49611210861601202</v>
      </c>
      <c r="Q17" s="13"/>
      <c r="R17" s="139"/>
      <c r="S17" s="138"/>
      <c r="T17" s="139"/>
      <c r="U17" s="139"/>
      <c r="V17" s="107">
        <v>5.76</v>
      </c>
      <c r="W17" s="150">
        <f t="shared" si="28"/>
        <v>0</v>
      </c>
      <c r="X17" s="19">
        <v>0</v>
      </c>
      <c r="Y17" s="19">
        <v>0.57999999999999996</v>
      </c>
      <c r="Z17" s="20">
        <v>12.490908773082635</v>
      </c>
      <c r="AA17" s="150">
        <f t="shared" si="29"/>
        <v>1.9599999999999999E-2</v>
      </c>
      <c r="AB17" s="7">
        <v>7.2569469037278622E-2</v>
      </c>
      <c r="AC17" s="150">
        <f t="shared" si="30"/>
        <v>0.11116329075481306</v>
      </c>
      <c r="AE17" s="168"/>
      <c r="AF17" s="19">
        <v>0</v>
      </c>
      <c r="AG17" s="19">
        <v>0.02</v>
      </c>
      <c r="AH17" s="19">
        <v>7.5454561345868157E-2</v>
      </c>
    </row>
    <row r="18" spans="1:34" x14ac:dyDescent="0.2">
      <c r="A18" s="172"/>
      <c r="B18" s="18" t="s">
        <v>208</v>
      </c>
      <c r="C18" s="18">
        <f>VLOOKUP($AN$1,DST!C:D,2,FALSE)</f>
        <v>7</v>
      </c>
      <c r="D18" s="147"/>
      <c r="E18" s="147"/>
      <c r="F18" s="147"/>
      <c r="G18" s="147"/>
      <c r="H18" s="147"/>
      <c r="I18" s="146">
        <f t="shared" si="12"/>
        <v>0</v>
      </c>
      <c r="J18" s="146">
        <f t="shared" si="13"/>
        <v>0</v>
      </c>
      <c r="K18" s="146">
        <f t="shared" si="14"/>
        <v>0</v>
      </c>
      <c r="L18" s="146">
        <f t="shared" si="15"/>
        <v>0</v>
      </c>
      <c r="M18" s="146">
        <f t="shared" si="16"/>
        <v>0</v>
      </c>
      <c r="N18" s="146">
        <f t="shared" si="16"/>
        <v>0</v>
      </c>
      <c r="O18" s="146">
        <f t="shared" si="17"/>
        <v>0</v>
      </c>
      <c r="Q18" s="13"/>
      <c r="R18" s="139"/>
      <c r="S18" s="138"/>
      <c r="T18" s="139"/>
      <c r="U18" s="139"/>
      <c r="V18" s="107">
        <v>0</v>
      </c>
      <c r="W18" s="150">
        <f t="shared" si="18"/>
        <v>0</v>
      </c>
      <c r="X18" s="19">
        <v>0</v>
      </c>
      <c r="Y18" s="19">
        <v>0</v>
      </c>
      <c r="Z18" s="20">
        <v>0</v>
      </c>
      <c r="AA18" s="150">
        <f t="shared" si="19"/>
        <v>0</v>
      </c>
      <c r="AB18" s="7">
        <v>1.2913762741130704E-2</v>
      </c>
      <c r="AC18" s="150">
        <f t="shared" si="20"/>
        <v>0</v>
      </c>
      <c r="AE18" s="168"/>
      <c r="AF18" s="19">
        <v>0</v>
      </c>
      <c r="AG18" s="19">
        <v>0</v>
      </c>
      <c r="AH18" s="19">
        <v>0</v>
      </c>
    </row>
    <row r="19" spans="1:34" x14ac:dyDescent="0.2">
      <c r="A19" s="172"/>
      <c r="B19" s="18" t="s">
        <v>208</v>
      </c>
      <c r="C19" s="18">
        <f>VLOOKUP($AN$1,DST!C:D,2,FALSE)</f>
        <v>7</v>
      </c>
      <c r="D19" s="147"/>
      <c r="E19" s="147"/>
      <c r="F19" s="147"/>
      <c r="G19" s="147"/>
      <c r="H19" s="147"/>
      <c r="I19" s="146">
        <f t="shared" si="12"/>
        <v>0</v>
      </c>
      <c r="J19" s="146">
        <f t="shared" si="13"/>
        <v>0</v>
      </c>
      <c r="K19" s="146">
        <f t="shared" si="14"/>
        <v>0</v>
      </c>
      <c r="L19" s="146">
        <f t="shared" si="15"/>
        <v>0</v>
      </c>
      <c r="M19" s="146">
        <f t="shared" si="16"/>
        <v>0</v>
      </c>
      <c r="N19" s="146">
        <f t="shared" si="16"/>
        <v>0</v>
      </c>
      <c r="O19" s="146">
        <f t="shared" si="17"/>
        <v>0</v>
      </c>
      <c r="Q19" s="13"/>
      <c r="R19" s="139"/>
      <c r="S19" s="138"/>
      <c r="T19" s="139"/>
      <c r="U19" s="139"/>
      <c r="V19" s="107">
        <v>0</v>
      </c>
      <c r="W19" s="150">
        <f t="shared" si="18"/>
        <v>0</v>
      </c>
      <c r="X19" s="19">
        <v>0</v>
      </c>
      <c r="Y19" s="19">
        <v>0</v>
      </c>
      <c r="Z19" s="20">
        <v>0</v>
      </c>
      <c r="AA19" s="150">
        <f t="shared" si="19"/>
        <v>0</v>
      </c>
      <c r="AB19" s="7">
        <v>1.2514351805374456E-2</v>
      </c>
      <c r="AC19" s="150">
        <f t="shared" si="20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A20" s="172"/>
      <c r="B20" s="18" t="s">
        <v>208</v>
      </c>
      <c r="C20" s="18">
        <f>VLOOKUP($AN$1,DST!C:D,2,FALSE)</f>
        <v>7</v>
      </c>
      <c r="D20" s="147"/>
      <c r="E20" s="147"/>
      <c r="F20" s="147"/>
      <c r="G20" s="147"/>
      <c r="H20" s="147"/>
      <c r="I20" s="146">
        <f t="shared" si="12"/>
        <v>0</v>
      </c>
      <c r="J20" s="146">
        <f t="shared" si="13"/>
        <v>0</v>
      </c>
      <c r="K20" s="146">
        <f t="shared" si="14"/>
        <v>0</v>
      </c>
      <c r="L20" s="146">
        <f t="shared" si="15"/>
        <v>0</v>
      </c>
      <c r="M20" s="146">
        <f t="shared" si="16"/>
        <v>0</v>
      </c>
      <c r="N20" s="146">
        <f t="shared" si="16"/>
        <v>0</v>
      </c>
      <c r="O20" s="146">
        <f t="shared" si="17"/>
        <v>0</v>
      </c>
      <c r="Q20" s="13"/>
      <c r="R20" s="139"/>
      <c r="S20" s="138"/>
      <c r="T20" s="139"/>
      <c r="U20" s="139"/>
      <c r="V20" s="107">
        <v>0</v>
      </c>
      <c r="W20" s="150">
        <f t="shared" si="18"/>
        <v>0</v>
      </c>
      <c r="X20" s="19">
        <v>0</v>
      </c>
      <c r="Y20" s="19">
        <v>0</v>
      </c>
      <c r="Z20" s="20">
        <v>0</v>
      </c>
      <c r="AA20" s="150">
        <f t="shared" si="19"/>
        <v>0</v>
      </c>
      <c r="AB20" s="7">
        <v>1.6496008854847991E-2</v>
      </c>
      <c r="AC20" s="150">
        <f t="shared" si="20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141</v>
      </c>
      <c r="B22" s="18" t="s">
        <v>10</v>
      </c>
      <c r="C22" s="18">
        <f>VLOOKUP($AN$1,DST!C:D,2,FALSE)</f>
        <v>7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76.519144799999992</v>
      </c>
      <c r="M22" s="146">
        <f t="shared" ref="M22:N25" si="31">L22*Y22</f>
        <v>51.267827015999998</v>
      </c>
      <c r="N22" s="146">
        <f t="shared" si="31"/>
        <v>505.9149762291255</v>
      </c>
      <c r="O22" s="146">
        <f t="shared" ref="O22:O25" si="32">M22*AH22</f>
        <v>3.8888148377086442</v>
      </c>
      <c r="Q22" s="13"/>
      <c r="R22" s="139"/>
      <c r="S22" s="138"/>
      <c r="T22" s="139"/>
      <c r="U22" s="139"/>
      <c r="V22" s="140"/>
      <c r="W22" s="154"/>
      <c r="X22" s="139"/>
      <c r="Y22" s="19">
        <v>0.67</v>
      </c>
      <c r="Z22" s="20">
        <v>9.8680791770487222</v>
      </c>
      <c r="AA22" s="150">
        <f>(AG22/SUM(AG$6:AG$25))*0.98</f>
        <v>0.1323</v>
      </c>
      <c r="AB22" s="7">
        <v>9.5820640034972884E-2</v>
      </c>
      <c r="AC22" s="150">
        <f>(AH22/SUM(AH$6:AH$25))*0.98</f>
        <v>0.11175018501150349</v>
      </c>
      <c r="AE22" s="168"/>
      <c r="AF22" s="168"/>
      <c r="AG22" s="19">
        <v>0.13500000000000001</v>
      </c>
      <c r="AH22" s="19">
        <v>7.5852928904027811E-2</v>
      </c>
    </row>
    <row r="23" spans="1:34" x14ac:dyDescent="0.2">
      <c r="A23" s="17" t="s">
        <v>48</v>
      </c>
      <c r="B23" s="18" t="s">
        <v>10</v>
      </c>
      <c r="C23" s="18">
        <f>VLOOKUP($AN$1,DST!C:D,2,FALSE)</f>
        <v>7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22.6723392</v>
      </c>
      <c r="M23" s="146">
        <f t="shared" si="31"/>
        <v>14.737020479999998</v>
      </c>
      <c r="N23" s="146">
        <f t="shared" si="31"/>
        <v>140.20428061375699</v>
      </c>
      <c r="O23" s="146">
        <f t="shared" si="32"/>
        <v>1.128424237287815</v>
      </c>
      <c r="Q23" s="13"/>
      <c r="R23" s="139"/>
      <c r="S23" s="138"/>
      <c r="T23" s="139"/>
      <c r="U23" s="139"/>
      <c r="V23" s="140"/>
      <c r="W23" s="154"/>
      <c r="X23" s="139"/>
      <c r="Y23" s="19">
        <v>0.64999999999999991</v>
      </c>
      <c r="Z23" s="20">
        <v>9.513746744400061</v>
      </c>
      <c r="AA23" s="150">
        <f>(AG23/SUM(AG$6:AG$25))*0.98</f>
        <v>3.9199999999999999E-2</v>
      </c>
      <c r="AB23" s="7">
        <v>7.3361355804633321E-2</v>
      </c>
      <c r="AC23" s="150">
        <f>(AH23/SUM(AH$6:AH$25))*0.98</f>
        <v>0.11280766624412908</v>
      </c>
      <c r="AE23" s="168"/>
      <c r="AF23" s="168"/>
      <c r="AG23" s="19">
        <v>0.04</v>
      </c>
      <c r="AH23" s="19">
        <v>7.6570717861132759E-2</v>
      </c>
    </row>
    <row r="24" spans="1:34" x14ac:dyDescent="0.2">
      <c r="B24" s="18" t="s">
        <v>10</v>
      </c>
      <c r="C24" s="18">
        <f>VLOOKUP($AN$1,DST!C:D,2,FALSE)</f>
        <v>7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0</v>
      </c>
      <c r="M24" s="146">
        <f t="shared" si="31"/>
        <v>0</v>
      </c>
      <c r="N24" s="146">
        <f t="shared" si="31"/>
        <v>0</v>
      </c>
      <c r="O24" s="146">
        <f t="shared" si="32"/>
        <v>0</v>
      </c>
      <c r="Q24" s="13"/>
      <c r="R24" s="139"/>
      <c r="S24" s="138"/>
      <c r="T24" s="139"/>
      <c r="U24" s="139"/>
      <c r="V24" s="140"/>
      <c r="W24" s="154"/>
      <c r="X24" s="139"/>
      <c r="Y24" s="19">
        <v>0</v>
      </c>
      <c r="Z24" s="20">
        <v>0</v>
      </c>
      <c r="AA24" s="150">
        <f>(AG24/SUM(AG$6:AG$25))*0.98</f>
        <v>0</v>
      </c>
      <c r="AB24" s="7">
        <v>3.0878556620216914E-2</v>
      </c>
      <c r="AC24" s="150">
        <f>(AH24/SUM(AH$6:AH$25))*0.98</f>
        <v>0</v>
      </c>
      <c r="AE24" s="168"/>
      <c r="AF24" s="168"/>
      <c r="AG24" s="19">
        <v>0</v>
      </c>
      <c r="AH24" s="19">
        <v>0</v>
      </c>
    </row>
    <row r="25" spans="1:34" x14ac:dyDescent="0.2">
      <c r="B25" s="18" t="s">
        <v>10</v>
      </c>
      <c r="C25" s="18">
        <f>VLOOKUP($AN$1,DST!C:D,2,FALSE)</f>
        <v>7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31"/>
        <v>0</v>
      </c>
      <c r="N25" s="146">
        <f t="shared" si="31"/>
        <v>0</v>
      </c>
      <c r="O25" s="146">
        <f t="shared" si="32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1.3381234990084118E-2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264</v>
      </c>
      <c r="X27" s="30"/>
      <c r="Y27" s="30"/>
      <c r="Z27" s="31"/>
      <c r="AA27" s="9" t="s">
        <v>264</v>
      </c>
      <c r="AB27" s="9" t="s">
        <v>264</v>
      </c>
      <c r="AC27" s="9" t="s">
        <v>264</v>
      </c>
      <c r="AD27" s="44"/>
      <c r="AE27" s="9" t="s">
        <v>264</v>
      </c>
      <c r="AF27" s="9" t="s">
        <v>264</v>
      </c>
      <c r="AG27" s="9" t="s">
        <v>264</v>
      </c>
    </row>
    <row r="28" spans="1:34" s="27" customFormat="1" x14ac:dyDescent="0.2">
      <c r="A28" s="45" t="s">
        <v>265</v>
      </c>
      <c r="B28" s="28"/>
      <c r="C28" s="28"/>
      <c r="D28" s="34" t="s">
        <v>269</v>
      </c>
      <c r="E28" s="34" t="s">
        <v>266</v>
      </c>
      <c r="F28" s="155" t="s">
        <v>267</v>
      </c>
      <c r="G28" s="34" t="s">
        <v>286</v>
      </c>
      <c r="H28" s="34" t="s">
        <v>268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0.98</v>
      </c>
      <c r="X28" s="30"/>
      <c r="Y28" s="30"/>
      <c r="Z28" s="31"/>
      <c r="AA28" s="150">
        <f>SUM(AA6:AA25)</f>
        <v>0.98</v>
      </c>
      <c r="AB28" s="150">
        <f>SUM(AB2:AB4,AB6:AB11,AB13:AB20,AB22:AB25)</f>
        <v>1.0399989155236451</v>
      </c>
      <c r="AC28" s="150">
        <f>SUM(AC6:AC25)</f>
        <v>0.97999999999999987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</v>
      </c>
    </row>
    <row r="29" spans="1:34" s="27" customFormat="1" x14ac:dyDescent="0.2">
      <c r="A29" s="43"/>
      <c r="B29" s="28"/>
      <c r="C29" s="28"/>
      <c r="D29" s="46">
        <v>1044</v>
      </c>
      <c r="E29" s="47">
        <v>0.55400000000000005</v>
      </c>
      <c r="F29" s="2">
        <f>1-E29</f>
        <v>0.44599999999999995</v>
      </c>
      <c r="G29" s="106">
        <v>4.45</v>
      </c>
      <c r="H29" s="126">
        <v>3.5999999999999997E-2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265</v>
      </c>
      <c r="B31" s="28"/>
      <c r="C31" s="28"/>
      <c r="D31" s="162" t="s">
        <v>278</v>
      </c>
      <c r="E31" s="162" t="s">
        <v>1</v>
      </c>
      <c r="F31" s="162" t="s">
        <v>263</v>
      </c>
      <c r="G31" s="162" t="s">
        <v>137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578.37600000000009</v>
      </c>
      <c r="E32" s="156">
        <f>SUM(E2:E4)</f>
        <v>370.59790071992563</v>
      </c>
      <c r="F32" s="156">
        <f>SUM(F2:F4)</f>
        <v>4122.5190425014162</v>
      </c>
      <c r="G32" s="156">
        <f>SUM(G2:G4)</f>
        <v>26.672549107143684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265</v>
      </c>
      <c r="B34" s="28"/>
      <c r="C34" s="28"/>
      <c r="D34" s="162" t="s">
        <v>270</v>
      </c>
      <c r="E34" s="162" t="s">
        <v>263</v>
      </c>
      <c r="F34" s="162" t="s">
        <v>137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465.62399999999997</v>
      </c>
      <c r="E35" s="156">
        <f>D35*G29</f>
        <v>2072.0268000000001</v>
      </c>
      <c r="F35" s="156">
        <f>D35*H29</f>
        <v>16.762463999999998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54" t="s">
        <v>279</v>
      </c>
      <c r="B37" s="40"/>
      <c r="C37" s="40"/>
      <c r="D37" s="10" t="s">
        <v>273</v>
      </c>
      <c r="E37" s="161" t="s">
        <v>274</v>
      </c>
      <c r="F37" s="10" t="s">
        <v>275</v>
      </c>
      <c r="G37" s="10" t="s">
        <v>271</v>
      </c>
      <c r="H37" s="161" t="s">
        <v>272</v>
      </c>
      <c r="I37" s="10" t="s">
        <v>276</v>
      </c>
      <c r="J37" s="160" t="s">
        <v>277</v>
      </c>
      <c r="P37" s="37"/>
      <c r="Q37" s="37"/>
      <c r="R37" s="37"/>
      <c r="S37" s="37"/>
      <c r="T37" s="37"/>
      <c r="U37" s="37"/>
      <c r="V37" s="181"/>
      <c r="W37" s="37"/>
      <c r="X37" s="30"/>
      <c r="Y37" s="30"/>
      <c r="Z37" s="181"/>
      <c r="AA37" s="37"/>
      <c r="AB37" s="37"/>
      <c r="AC37" s="37"/>
      <c r="AE37" s="37"/>
      <c r="AF37" s="37"/>
      <c r="AH37" s="30"/>
    </row>
    <row r="38" spans="1:34" ht="13.5" thickBot="1" x14ac:dyDescent="0.25">
      <c r="A38" s="52"/>
      <c r="B38" s="23"/>
      <c r="C38" s="23"/>
      <c r="D38" s="157">
        <f>SUM(I2:I20)</f>
        <v>456.31151999999997</v>
      </c>
      <c r="E38" s="157">
        <f>SUM(J2:J4,J6:J11,J13:J20)</f>
        <v>2068.5236626599221</v>
      </c>
      <c r="F38" s="157">
        <f>SUM(K2:K4,K6:K11,K13:K20)</f>
        <v>16.745720160959998</v>
      </c>
      <c r="G38" s="157">
        <f>SUM(L6:L11,L13:L20,L22:L25)</f>
        <v>566.80848000000003</v>
      </c>
      <c r="H38" s="157">
        <f>SUM(M6:M11,M13:M20,M22:M25)</f>
        <v>365.90604830639995</v>
      </c>
      <c r="I38" s="157">
        <f>SUM(N6:N11,N13:N20,N22:N25)</f>
        <v>4121.5906965130271</v>
      </c>
      <c r="J38" s="157">
        <f>SUM(O6:O11,O13:O20,O22:O25)</f>
        <v>26.668919561010277</v>
      </c>
      <c r="Q38" s="18"/>
      <c r="R38" s="18"/>
      <c r="S38" s="18"/>
      <c r="T38" s="18"/>
      <c r="U38" s="18"/>
      <c r="V38" s="181"/>
      <c r="W38" s="18"/>
      <c r="X38" s="30"/>
      <c r="Y38" s="30"/>
      <c r="Z38" s="181"/>
      <c r="AC38" s="18"/>
      <c r="AH38" s="30"/>
    </row>
    <row r="39" spans="1:34" ht="13.5" thickTop="1" x14ac:dyDescent="0.2">
      <c r="A39" s="52"/>
      <c r="B39" s="23"/>
      <c r="C39" s="23"/>
      <c r="D39" s="158">
        <f>D35-D38</f>
        <v>9.3124799999999937</v>
      </c>
      <c r="E39" s="158">
        <f>E35-E38</f>
        <v>3.5031373400779557</v>
      </c>
      <c r="F39" s="158">
        <f>F35-F38</f>
        <v>1.6743839040000097E-2</v>
      </c>
      <c r="G39" s="158">
        <f>SUM(D2:D4)-G38</f>
        <v>11.567519999999945</v>
      </c>
      <c r="H39" s="158">
        <f>E32-H38</f>
        <v>4.6918524135256803</v>
      </c>
      <c r="I39" s="158">
        <f>F32-I38</f>
        <v>0.92834598838908278</v>
      </c>
      <c r="J39" s="158">
        <f>G32-J38</f>
        <v>3.6295461334070467E-3</v>
      </c>
      <c r="Q39" s="18"/>
      <c r="R39" s="18"/>
      <c r="S39" s="18"/>
      <c r="T39" s="18"/>
      <c r="U39" s="18"/>
      <c r="V39" s="181"/>
      <c r="W39" s="18"/>
      <c r="X39" s="30"/>
      <c r="Y39" s="30"/>
      <c r="Z39" s="181"/>
      <c r="AC39" s="18"/>
      <c r="AH39" s="30"/>
    </row>
    <row r="40" spans="1:34" x14ac:dyDescent="0.2">
      <c r="A40" s="52"/>
      <c r="B40" s="23"/>
      <c r="C40" s="23"/>
      <c r="D40" s="18"/>
      <c r="E40" s="18"/>
      <c r="F40" s="18"/>
      <c r="G40" s="26"/>
      <c r="I40" s="26"/>
      <c r="J40" s="25"/>
      <c r="K40" s="26"/>
      <c r="L40" s="26"/>
      <c r="M40" s="25"/>
      <c r="N40" s="26"/>
      <c r="Q40" s="18"/>
      <c r="R40" s="18"/>
      <c r="S40" s="18"/>
      <c r="T40" s="18"/>
      <c r="U40" s="18"/>
      <c r="V40" s="181"/>
      <c r="W40" s="18"/>
      <c r="X40" s="30"/>
      <c r="Y40" s="30"/>
      <c r="Z40" s="181"/>
      <c r="AC40" s="18"/>
      <c r="AH40" s="30"/>
    </row>
    <row r="41" spans="1:34" x14ac:dyDescent="0.2">
      <c r="A41" s="52"/>
      <c r="B41" s="23"/>
      <c r="C41" s="23"/>
      <c r="D41" s="18"/>
      <c r="E41" s="18"/>
      <c r="F41" s="18"/>
      <c r="G41" s="26"/>
      <c r="I41" s="26"/>
      <c r="J41" s="25"/>
      <c r="K41" s="26"/>
      <c r="L41" s="26"/>
      <c r="M41" s="25"/>
      <c r="N41" s="26"/>
      <c r="Q41" s="18"/>
      <c r="R41" s="18"/>
      <c r="S41" s="18"/>
      <c r="T41" s="18"/>
      <c r="U41" s="18"/>
      <c r="V41" s="181"/>
      <c r="W41" s="18"/>
      <c r="X41" s="30"/>
      <c r="Y41" s="30"/>
      <c r="Z41" s="181"/>
      <c r="AC41" s="18"/>
      <c r="AH41" s="30"/>
    </row>
    <row r="42" spans="1:34" x14ac:dyDescent="0.2">
      <c r="A42" s="52"/>
      <c r="B42" s="23"/>
      <c r="C42" s="23"/>
      <c r="D42" s="18"/>
      <c r="E42" s="18"/>
      <c r="F42" s="18"/>
      <c r="G42" s="26"/>
      <c r="I42" s="26"/>
      <c r="J42" s="25"/>
      <c r="K42" s="26"/>
      <c r="L42" s="26"/>
      <c r="M42" s="25"/>
      <c r="N42" s="26"/>
      <c r="Q42" s="18"/>
      <c r="R42" s="18"/>
      <c r="S42" s="18"/>
      <c r="T42" s="18"/>
      <c r="U42" s="18"/>
      <c r="V42" s="181"/>
      <c r="W42" s="18"/>
      <c r="X42" s="30"/>
      <c r="Y42" s="30"/>
      <c r="Z42" s="181"/>
      <c r="AC42" s="18"/>
      <c r="AH42" s="30"/>
    </row>
    <row r="43" spans="1:34" x14ac:dyDescent="0.2">
      <c r="A43" s="52"/>
      <c r="B43" s="23"/>
      <c r="C43" s="23"/>
      <c r="D43" s="18"/>
      <c r="E43" s="18"/>
      <c r="F43" s="18"/>
      <c r="G43" s="26"/>
      <c r="I43" s="26"/>
      <c r="J43" s="25"/>
      <c r="K43" s="26"/>
      <c r="L43" s="26"/>
      <c r="M43" s="25"/>
      <c r="N43" s="26"/>
      <c r="Q43" s="18"/>
      <c r="R43" s="18"/>
      <c r="S43" s="18"/>
      <c r="T43" s="18"/>
      <c r="U43" s="18"/>
      <c r="V43" s="181"/>
      <c r="W43" s="18"/>
      <c r="X43" s="30"/>
      <c r="Y43" s="30"/>
      <c r="Z43" s="181"/>
      <c r="AC43" s="18"/>
      <c r="AH43" s="30"/>
    </row>
    <row r="44" spans="1:34" x14ac:dyDescent="0.2">
      <c r="A44" s="52"/>
      <c r="B44" s="23"/>
      <c r="C44" s="23"/>
      <c r="D44" s="18"/>
      <c r="E44" s="18"/>
      <c r="F44" s="18"/>
      <c r="G44" s="26"/>
      <c r="I44" s="26"/>
      <c r="J44" s="25"/>
      <c r="K44" s="26"/>
      <c r="L44" s="26"/>
      <c r="M44" s="25"/>
      <c r="N44" s="26"/>
      <c r="Q44" s="18"/>
      <c r="R44" s="18"/>
      <c r="S44" s="18"/>
      <c r="T44" s="18"/>
      <c r="U44" s="18"/>
      <c r="V44" s="181"/>
      <c r="W44" s="18"/>
      <c r="X44" s="30"/>
      <c r="Y44" s="30"/>
      <c r="Z44" s="181"/>
      <c r="AC44" s="18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conditionalFormatting sqref="D39:J39">
    <cfRule type="cellIs" dxfId="80" priority="1" operator="lessThan">
      <formula>0</formula>
    </cfRule>
  </conditionalFormatting>
  <conditionalFormatting sqref="W28">
    <cfRule type="cellIs" dxfId="79" priority="2" operator="greaterThan">
      <formula>1</formula>
    </cfRule>
  </conditionalFormatting>
  <conditionalFormatting sqref="AA28:AG28">
    <cfRule type="cellIs" dxfId="78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rgb="FFFF6600"/>
  </sheetPr>
  <dimension ref="A1:AN64"/>
  <sheetViews>
    <sheetView showGridLines="0" zoomScale="85" zoomScaleNormal="85"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defaultColWidth="8.7109375" defaultRowHeight="12.75" x14ac:dyDescent="0.2"/>
  <cols>
    <col min="1" max="1" width="22.5703125" style="17" customWidth="1"/>
    <col min="2" max="3" width="8.7109375" style="18"/>
    <col min="4" max="13" width="8.7109375" style="23"/>
    <col min="14" max="15" width="8.7109375" style="18"/>
    <col min="16" max="16" width="4.7109375" style="18" customWidth="1"/>
    <col min="17" max="18" width="8.7109375" style="26"/>
    <col min="19" max="19" width="8.7109375" style="23"/>
    <col min="20" max="21" width="8.7109375" style="26"/>
    <col min="22" max="23" width="8.7109375" style="25"/>
    <col min="24" max="25" width="8.7109375" style="26"/>
    <col min="26" max="26" width="8.7109375" style="25"/>
    <col min="27" max="27" width="8.7109375" style="18"/>
    <col min="28" max="28" width="0" style="18" hidden="1" customWidth="1"/>
    <col min="29" max="29" width="8.7109375" style="26"/>
    <col min="30" max="30" width="4.7109375" style="17" customWidth="1"/>
    <col min="31" max="32" width="8.7109375" style="18"/>
    <col min="33" max="16384" width="8.7109375" style="17"/>
  </cols>
  <sheetData>
    <row r="1" spans="1:40" s="15" customFormat="1" ht="25.5" customHeight="1" x14ac:dyDescent="0.2">
      <c r="A1" s="15" t="s">
        <v>0</v>
      </c>
      <c r="B1" s="15" t="s">
        <v>8</v>
      </c>
      <c r="C1" s="15" t="s">
        <v>122</v>
      </c>
      <c r="D1" s="159" t="s">
        <v>210</v>
      </c>
      <c r="E1" s="159" t="s">
        <v>1</v>
      </c>
      <c r="F1" s="159" t="s">
        <v>213</v>
      </c>
      <c r="G1" s="159" t="s">
        <v>228</v>
      </c>
      <c r="H1" s="159" t="s">
        <v>2</v>
      </c>
      <c r="I1" s="159" t="s">
        <v>229</v>
      </c>
      <c r="J1" s="159" t="s">
        <v>217</v>
      </c>
      <c r="K1" s="159" t="s">
        <v>230</v>
      </c>
      <c r="L1" s="159" t="s">
        <v>219</v>
      </c>
      <c r="M1" s="159" t="s">
        <v>4</v>
      </c>
      <c r="N1" s="159" t="s">
        <v>223</v>
      </c>
      <c r="O1" s="159" t="s">
        <v>231</v>
      </c>
      <c r="Q1" s="160" t="s">
        <v>281</v>
      </c>
      <c r="R1" s="133" t="s">
        <v>232</v>
      </c>
      <c r="S1" s="134" t="s">
        <v>451</v>
      </c>
      <c r="T1" s="133" t="s">
        <v>205</v>
      </c>
      <c r="U1" s="133" t="s">
        <v>209</v>
      </c>
      <c r="V1" s="135" t="s">
        <v>280</v>
      </c>
      <c r="W1" s="161" t="s">
        <v>282</v>
      </c>
      <c r="X1" s="133" t="s">
        <v>233</v>
      </c>
      <c r="Y1" s="179" t="s">
        <v>234</v>
      </c>
      <c r="Z1" s="135" t="s">
        <v>235</v>
      </c>
      <c r="AA1" s="160" t="s">
        <v>236</v>
      </c>
      <c r="AB1" s="160" t="s">
        <v>237</v>
      </c>
      <c r="AC1" s="10" t="s">
        <v>262</v>
      </c>
      <c r="AE1" s="136" t="s">
        <v>283</v>
      </c>
      <c r="AF1" s="137" t="s">
        <v>284</v>
      </c>
      <c r="AG1" s="136" t="s">
        <v>285</v>
      </c>
      <c r="AH1" s="136" t="s">
        <v>450</v>
      </c>
      <c r="AN1" s="15" t="s">
        <v>93</v>
      </c>
    </row>
    <row r="2" spans="1:40" x14ac:dyDescent="0.2">
      <c r="A2" s="17" t="s">
        <v>142</v>
      </c>
      <c r="B2" s="18" t="s">
        <v>9</v>
      </c>
      <c r="C2" s="18">
        <f>VLOOKUP($AN$1,DST!C:D,2,FALSE)</f>
        <v>12</v>
      </c>
      <c r="D2" s="146">
        <f>D$32*Q2</f>
        <v>604.47929999999997</v>
      </c>
      <c r="E2" s="146">
        <f>D2*R2</f>
        <v>407.60775129211197</v>
      </c>
      <c r="F2" s="146">
        <f>E2*S2</f>
        <v>4524.4460393424424</v>
      </c>
      <c r="G2" s="146">
        <f>D2*T2</f>
        <v>32.037402899999996</v>
      </c>
      <c r="H2" s="146">
        <f>E2*U2</f>
        <v>7.053831499284132</v>
      </c>
      <c r="I2" s="146">
        <f>D$35*W2</f>
        <v>55.114063200000011</v>
      </c>
      <c r="J2" s="146">
        <f>I2*V2</f>
        <v>189.84159137213015</v>
      </c>
      <c r="K2" s="146">
        <f>I2*X2</f>
        <v>2.2254943124328137</v>
      </c>
      <c r="L2" s="147"/>
      <c r="M2" s="147"/>
      <c r="N2" s="147"/>
      <c r="O2" s="147"/>
      <c r="Q2" s="150">
        <f>(AE2/SUM(AE$2:AE$25))</f>
        <v>0.95</v>
      </c>
      <c r="R2" s="19">
        <v>0.67431217461393966</v>
      </c>
      <c r="S2" s="107">
        <v>11.1</v>
      </c>
      <c r="T2" s="19">
        <v>5.2999999999999999E-2</v>
      </c>
      <c r="U2" s="19">
        <v>1.7305440038673372E-2</v>
      </c>
      <c r="V2" s="107">
        <v>3.4445217853604038</v>
      </c>
      <c r="W2" s="150">
        <f>(AF2/SUM(AF$2:AF$20))*0.98</f>
        <v>0.13720000000000002</v>
      </c>
      <c r="X2" s="19">
        <v>4.0379790260733552E-2</v>
      </c>
      <c r="Y2" s="21"/>
      <c r="Z2" s="22"/>
      <c r="AA2" s="1"/>
      <c r="AB2" s="1"/>
      <c r="AC2" s="1"/>
      <c r="AE2" s="19">
        <v>0.95</v>
      </c>
      <c r="AF2" s="19">
        <v>0.14000000000000001</v>
      </c>
      <c r="AG2" s="168"/>
      <c r="AH2" s="168"/>
    </row>
    <row r="3" spans="1:40" x14ac:dyDescent="0.2">
      <c r="A3" s="17" t="s">
        <v>545</v>
      </c>
      <c r="B3" s="18" t="s">
        <v>9</v>
      </c>
      <c r="C3" s="18">
        <f>VLOOKUP($AN$1,DST!C:D,2,FALSE)</f>
        <v>12</v>
      </c>
      <c r="D3" s="146">
        <f>D$32*Q3</f>
        <v>31.814700000000027</v>
      </c>
      <c r="E3" s="146">
        <f t="shared" ref="E3:F4" si="0">D3*R3</f>
        <v>20.291968340903775</v>
      </c>
      <c r="F3" s="146">
        <f t="shared" si="0"/>
        <v>221.75122917517385</v>
      </c>
      <c r="G3" s="146">
        <f t="shared" ref="G3:G4" si="1">D3*T3</f>
        <v>1.4634762000000012</v>
      </c>
      <c r="H3" s="146">
        <f t="shared" ref="H3:H4" si="2">E3*U3</f>
        <v>0.45624839654329369</v>
      </c>
      <c r="I3" s="146">
        <f>D$35*W3</f>
        <v>0</v>
      </c>
      <c r="J3" s="146">
        <f>I3*V3</f>
        <v>0</v>
      </c>
      <c r="K3" s="146">
        <f>I3*X3</f>
        <v>0</v>
      </c>
      <c r="L3" s="147"/>
      <c r="M3" s="147"/>
      <c r="N3" s="147"/>
      <c r="O3" s="147"/>
      <c r="Q3" s="150">
        <f>(AE3/SUM(AE$2:AE$25))</f>
        <v>5.0000000000000044E-2</v>
      </c>
      <c r="R3" s="19">
        <v>0.63781737187224008</v>
      </c>
      <c r="S3" s="107">
        <v>10.928029526252324</v>
      </c>
      <c r="T3" s="19">
        <v>4.5999999999999999E-2</v>
      </c>
      <c r="U3" s="19">
        <v>2.2484186298655198E-2</v>
      </c>
      <c r="V3" s="107">
        <v>4.3571428571428577</v>
      </c>
      <c r="W3" s="150">
        <f>(AF3/SUM(AF$2:AF$20))*0.98</f>
        <v>0</v>
      </c>
      <c r="X3" s="19">
        <v>3.4000000000000002E-2</v>
      </c>
      <c r="Y3" s="21"/>
      <c r="Z3" s="22"/>
      <c r="AA3" s="1"/>
      <c r="AB3" s="1"/>
      <c r="AC3" s="1"/>
      <c r="AE3" s="19">
        <v>5.0000000000000044E-2</v>
      </c>
      <c r="AF3" s="19">
        <v>0</v>
      </c>
      <c r="AG3" s="168"/>
      <c r="AH3" s="168"/>
    </row>
    <row r="4" spans="1:40" x14ac:dyDescent="0.2">
      <c r="B4" s="18" t="s">
        <v>9</v>
      </c>
      <c r="C4" s="18">
        <f>VLOOKUP($AN$1,DST!C:D,2,FALSE)</f>
        <v>12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/>
      <c r="AF4" s="19"/>
      <c r="AG4" s="168"/>
      <c r="AH4" s="168"/>
    </row>
    <row r="5" spans="1:40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40" x14ac:dyDescent="0.2">
      <c r="A6" s="17" t="s">
        <v>537</v>
      </c>
      <c r="B6" s="18" t="s">
        <v>207</v>
      </c>
      <c r="C6" s="18">
        <f>VLOOKUP($AN$1,DST!C:D,2,FALSE)</f>
        <v>12</v>
      </c>
      <c r="D6" s="147"/>
      <c r="E6" s="147"/>
      <c r="F6" s="147"/>
      <c r="G6" s="147"/>
      <c r="H6" s="147"/>
      <c r="I6" s="146">
        <f t="shared" ref="I6:I11" si="3">D$35*W6</f>
        <v>203.52836196000001</v>
      </c>
      <c r="J6" s="146">
        <f>I6*V6</f>
        <v>862.96025471040014</v>
      </c>
      <c r="K6" s="146">
        <f>I6*X6</f>
        <v>7.6119607373040008</v>
      </c>
      <c r="L6" s="146">
        <f>((D$2+D$3+D$4)*AA6)</f>
        <v>40.531927800000005</v>
      </c>
      <c r="M6" s="146">
        <f t="shared" ref="M6:N11" si="4">L6*Y6</f>
        <v>32.101286817599998</v>
      </c>
      <c r="N6" s="146">
        <f t="shared" si="4"/>
        <v>216.25152106147826</v>
      </c>
      <c r="O6" s="146">
        <f>M6*AH6</f>
        <v>1.4124566199743998</v>
      </c>
      <c r="Q6" s="13"/>
      <c r="R6" s="139"/>
      <c r="S6" s="138"/>
      <c r="T6" s="139"/>
      <c r="U6" s="139"/>
      <c r="V6" s="107">
        <v>4.24</v>
      </c>
      <c r="W6" s="150">
        <f t="shared" ref="W6:W11" si="5">(AF6/SUM(AF$2:AF$20))*0.98</f>
        <v>0.50666</v>
      </c>
      <c r="X6" s="19">
        <v>3.7400000000000003E-2</v>
      </c>
      <c r="Y6" s="19">
        <v>0.79199999999999993</v>
      </c>
      <c r="Z6" s="20">
        <v>6.7365374569008001</v>
      </c>
      <c r="AA6" s="150">
        <f t="shared" ref="AA6:AA11" si="6">(AG6/SUM(AG$6:AG$25))*0.98</f>
        <v>6.3700000000000007E-2</v>
      </c>
      <c r="AB6" s="7">
        <v>0.11019295035647354</v>
      </c>
      <c r="AC6" s="150">
        <f t="shared" ref="AC6:AC11" si="7">(AH6/SUM(AH$6:AH$25))*0.98</f>
        <v>5.2884278946710626E-2</v>
      </c>
      <c r="AE6" s="168"/>
      <c r="AF6" s="19">
        <v>0.51700000000000002</v>
      </c>
      <c r="AG6" s="19">
        <v>6.5000000000000002E-2</v>
      </c>
      <c r="AH6" s="19">
        <v>4.3999999999999997E-2</v>
      </c>
    </row>
    <row r="7" spans="1:40" x14ac:dyDescent="0.2">
      <c r="A7" s="176" t="s">
        <v>480</v>
      </c>
      <c r="B7" s="18" t="s">
        <v>207</v>
      </c>
      <c r="C7" s="18">
        <f>VLOOKUP($AN$1,DST!C:D,2,FALSE)</f>
        <v>12</v>
      </c>
      <c r="D7" s="147"/>
      <c r="E7" s="147"/>
      <c r="F7" s="147"/>
      <c r="G7" s="147"/>
      <c r="H7" s="147"/>
      <c r="I7" s="146">
        <f t="shared" si="3"/>
        <v>121.64461091999999</v>
      </c>
      <c r="J7" s="146">
        <f>I7*V7</f>
        <v>533.71801245632651</v>
      </c>
      <c r="K7" s="146">
        <f>I7*X7</f>
        <v>4.3913704542119998</v>
      </c>
      <c r="L7" s="146">
        <f>((D$2+D$3+D$4)*AA7)</f>
        <v>24.942724799999997</v>
      </c>
      <c r="M7" s="146">
        <f t="shared" si="4"/>
        <v>19.629924417599998</v>
      </c>
      <c r="N7" s="146">
        <f t="shared" si="4"/>
        <v>148.00963010870399</v>
      </c>
      <c r="O7" s="146">
        <f t="shared" ref="O7:O11" si="8">M7*AH7</f>
        <v>0.90297652320959987</v>
      </c>
      <c r="Q7" s="13"/>
      <c r="R7" s="139"/>
      <c r="S7" s="138"/>
      <c r="T7" s="139"/>
      <c r="U7" s="139"/>
      <c r="V7" s="107">
        <v>4.3875187599336236</v>
      </c>
      <c r="W7" s="150">
        <f t="shared" si="5"/>
        <v>0.30281999999999998</v>
      </c>
      <c r="X7" s="19">
        <v>3.61E-2</v>
      </c>
      <c r="Y7" s="19">
        <v>0.78700000000000003</v>
      </c>
      <c r="Z7" s="20">
        <v>7.54</v>
      </c>
      <c r="AA7" s="150">
        <f t="shared" si="6"/>
        <v>3.9199999999999999E-2</v>
      </c>
      <c r="AB7" s="7">
        <v>3.0610151942138949E-2</v>
      </c>
      <c r="AC7" s="150">
        <f t="shared" si="7"/>
        <v>5.5288109807924743E-2</v>
      </c>
      <c r="AE7" s="168"/>
      <c r="AF7" s="19">
        <v>0.309</v>
      </c>
      <c r="AG7" s="19">
        <v>0.04</v>
      </c>
      <c r="AH7" s="19">
        <v>4.5999999999999999E-2</v>
      </c>
    </row>
    <row r="8" spans="1:40" x14ac:dyDescent="0.2">
      <c r="A8" s="17" t="s">
        <v>529</v>
      </c>
      <c r="B8" s="18" t="s">
        <v>207</v>
      </c>
      <c r="C8" s="18">
        <f>VLOOKUP($AN$1,DST!C:D,2,FALSE)</f>
        <v>12</v>
      </c>
      <c r="D8" s="147"/>
      <c r="E8" s="147"/>
      <c r="F8" s="147"/>
      <c r="G8" s="147"/>
      <c r="H8" s="147"/>
      <c r="I8" s="146">
        <f t="shared" si="3"/>
        <v>13.384843920000002</v>
      </c>
      <c r="J8" s="146">
        <f>I8*V8</f>
        <v>57.117666607577085</v>
      </c>
      <c r="K8" s="146">
        <f>I8*X8</f>
        <v>0.40154531760000001</v>
      </c>
      <c r="L8" s="146">
        <f>((D$2+D$3+D$4)*AA8)</f>
        <v>6.2356811999999993</v>
      </c>
      <c r="M8" s="146">
        <f t="shared" si="4"/>
        <v>4.3649768399999989</v>
      </c>
      <c r="N8" s="146">
        <f t="shared" si="4"/>
        <v>27.714019948893263</v>
      </c>
      <c r="O8" s="146">
        <f t="shared" si="8"/>
        <v>0.11839988502176813</v>
      </c>
      <c r="Q8" s="13"/>
      <c r="R8" s="139"/>
      <c r="S8" s="138"/>
      <c r="T8" s="139"/>
      <c r="U8" s="139"/>
      <c r="V8" s="107">
        <v>4.2673390103735391</v>
      </c>
      <c r="W8" s="150">
        <f t="shared" si="5"/>
        <v>3.3320000000000002E-2</v>
      </c>
      <c r="X8" s="19">
        <v>0.03</v>
      </c>
      <c r="Y8" s="19">
        <v>0.7</v>
      </c>
      <c r="Z8" s="20">
        <v>6.3491791514049067</v>
      </c>
      <c r="AA8" s="150">
        <f t="shared" si="6"/>
        <v>9.7999999999999997E-3</v>
      </c>
      <c r="AB8" s="7">
        <v>2.4073819007893484E-2</v>
      </c>
      <c r="AC8" s="150">
        <f t="shared" si="7"/>
        <v>3.2601925280722636E-2</v>
      </c>
      <c r="AE8" s="168"/>
      <c r="AF8" s="19">
        <v>3.4000000000000002E-2</v>
      </c>
      <c r="AG8" s="19">
        <v>0.01</v>
      </c>
      <c r="AH8" s="19">
        <v>2.7124974395458225E-2</v>
      </c>
    </row>
    <row r="9" spans="1:40" x14ac:dyDescent="0.2">
      <c r="A9" s="176"/>
      <c r="B9" s="18" t="s">
        <v>207</v>
      </c>
      <c r="C9" s="18">
        <f>VLOOKUP($AN$1,DST!C:D,2,FALSE)</f>
        <v>12</v>
      </c>
      <c r="D9" s="147"/>
      <c r="E9" s="147"/>
      <c r="F9" s="147"/>
      <c r="G9" s="147"/>
      <c r="H9" s="147"/>
      <c r="I9" s="146">
        <f t="shared" si="3"/>
        <v>0</v>
      </c>
      <c r="J9" s="146">
        <f t="shared" ref="J9:J11" si="9">I9*V9</f>
        <v>0</v>
      </c>
      <c r="K9" s="146">
        <f t="shared" ref="K9:K11" si="10">I9*X9</f>
        <v>0</v>
      </c>
      <c r="L9" s="146">
        <f t="shared" ref="L9:L11" si="11">((D$2+D$3+D$4)*AA9)</f>
        <v>0</v>
      </c>
      <c r="M9" s="146">
        <f t="shared" si="4"/>
        <v>0</v>
      </c>
      <c r="N9" s="146">
        <f t="shared" si="4"/>
        <v>0</v>
      </c>
      <c r="O9" s="146">
        <f t="shared" si="8"/>
        <v>0</v>
      </c>
      <c r="Q9" s="13"/>
      <c r="R9" s="139"/>
      <c r="S9" s="138"/>
      <c r="T9" s="139"/>
      <c r="U9" s="139"/>
      <c r="V9" s="107">
        <v>0</v>
      </c>
      <c r="W9" s="150">
        <f t="shared" si="5"/>
        <v>0</v>
      </c>
      <c r="X9" s="19">
        <v>0</v>
      </c>
      <c r="Y9" s="19">
        <v>0</v>
      </c>
      <c r="Z9" s="20">
        <v>0</v>
      </c>
      <c r="AA9" s="150">
        <f t="shared" si="6"/>
        <v>0</v>
      </c>
      <c r="AB9" s="7">
        <v>1.5647423061763123E-2</v>
      </c>
      <c r="AC9" s="150">
        <f t="shared" si="7"/>
        <v>0</v>
      </c>
      <c r="AE9" s="168"/>
      <c r="AF9" s="19">
        <v>0</v>
      </c>
      <c r="AG9" s="19">
        <v>0</v>
      </c>
      <c r="AH9" s="19">
        <v>0</v>
      </c>
    </row>
    <row r="10" spans="1:40" x14ac:dyDescent="0.2">
      <c r="A10" s="172"/>
      <c r="B10" s="18" t="s">
        <v>207</v>
      </c>
      <c r="C10" s="18">
        <f>VLOOKUP($AN$1,DST!C:D,2,FALSE)</f>
        <v>12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9"/>
        <v>0</v>
      </c>
      <c r="K10" s="146">
        <f t="shared" si="10"/>
        <v>0</v>
      </c>
      <c r="L10" s="146">
        <f t="shared" si="11"/>
        <v>0</v>
      </c>
      <c r="M10" s="146">
        <f t="shared" si="4"/>
        <v>0</v>
      </c>
      <c r="N10" s="146">
        <f t="shared" si="4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5"/>
        <v>0</v>
      </c>
      <c r="X10" s="19">
        <v>0</v>
      </c>
      <c r="Y10" s="19">
        <v>0</v>
      </c>
      <c r="Z10" s="20">
        <v>0</v>
      </c>
      <c r="AA10" s="150">
        <f t="shared" si="6"/>
        <v>0</v>
      </c>
      <c r="AB10" s="7">
        <v>4.7228101233942645E-3</v>
      </c>
      <c r="AC10" s="150">
        <f t="shared" si="7"/>
        <v>0</v>
      </c>
      <c r="AE10" s="168"/>
      <c r="AF10" s="19">
        <v>0</v>
      </c>
      <c r="AG10" s="19">
        <v>0</v>
      </c>
      <c r="AH10" s="19">
        <v>0</v>
      </c>
    </row>
    <row r="11" spans="1:40" x14ac:dyDescent="0.2">
      <c r="A11" s="172"/>
      <c r="B11" s="18" t="s">
        <v>207</v>
      </c>
      <c r="C11" s="18">
        <f>VLOOKUP($AN$1,DST!C:D,2,FALSE)</f>
        <v>12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9"/>
        <v>0</v>
      </c>
      <c r="K11" s="146">
        <f t="shared" si="10"/>
        <v>0</v>
      </c>
      <c r="L11" s="146">
        <f t="shared" si="11"/>
        <v>0</v>
      </c>
      <c r="M11" s="146">
        <f t="shared" si="4"/>
        <v>0</v>
      </c>
      <c r="N11" s="146">
        <f t="shared" si="4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5"/>
        <v>0</v>
      </c>
      <c r="X11" s="19">
        <v>0</v>
      </c>
      <c r="Y11" s="19">
        <v>0</v>
      </c>
      <c r="Z11" s="20">
        <v>0</v>
      </c>
      <c r="AA11" s="150">
        <f t="shared" si="6"/>
        <v>0</v>
      </c>
      <c r="AB11" s="7"/>
      <c r="AC11" s="150">
        <f t="shared" si="7"/>
        <v>0</v>
      </c>
      <c r="AE11" s="168"/>
      <c r="AF11" s="19">
        <v>0</v>
      </c>
      <c r="AG11" s="19">
        <v>0</v>
      </c>
      <c r="AH11" s="19">
        <v>0</v>
      </c>
    </row>
    <row r="12" spans="1:40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40" x14ac:dyDescent="0.2">
      <c r="A13" s="17" t="s">
        <v>195</v>
      </c>
      <c r="B13" s="18" t="s">
        <v>208</v>
      </c>
      <c r="C13" s="18">
        <f>VLOOKUP($AN$1,DST!C:D,2,FALSE)</f>
        <v>12</v>
      </c>
      <c r="D13" s="147"/>
      <c r="E13" s="147"/>
      <c r="F13" s="147"/>
      <c r="G13" s="147"/>
      <c r="H13" s="147"/>
      <c r="I13" s="146">
        <f t="shared" ref="I13:I20" si="12">D$35*W13</f>
        <v>0</v>
      </c>
      <c r="J13" s="146">
        <f t="shared" ref="J13:J20" si="13">I13*V13</f>
        <v>0</v>
      </c>
      <c r="K13" s="146">
        <f t="shared" ref="K13:K20" si="14">I13*X13</f>
        <v>0</v>
      </c>
      <c r="L13" s="146">
        <f t="shared" ref="L13:L20" si="15">((D$2+D$3+D$4)*AA13)</f>
        <v>156.51559811999999</v>
      </c>
      <c r="M13" s="146">
        <f t="shared" ref="M13:N20" si="16">L13*Y13</f>
        <v>106.27409112348001</v>
      </c>
      <c r="N13" s="146">
        <f t="shared" si="16"/>
        <v>1317.7987299311521</v>
      </c>
      <c r="O13" s="146">
        <f t="shared" ref="O13:O20" si="17">M13*AH13</f>
        <v>9.6292480890477261</v>
      </c>
      <c r="Q13" s="13"/>
      <c r="R13" s="139"/>
      <c r="S13" s="138"/>
      <c r="T13" s="139"/>
      <c r="U13" s="139"/>
      <c r="V13" s="107">
        <v>5.26</v>
      </c>
      <c r="W13" s="150">
        <f t="shared" ref="W13:W20" si="18">(AF13/SUM(AF$2:AF$20))*0.98</f>
        <v>0</v>
      </c>
      <c r="X13" s="19">
        <v>8.5470085470085479E-3</v>
      </c>
      <c r="Y13" s="19">
        <v>0.67900000000000005</v>
      </c>
      <c r="Z13" s="20">
        <v>12.4</v>
      </c>
      <c r="AA13" s="150">
        <f t="shared" ref="AA13:AA20" si="19">(AG13/SUM(AG$6:AG$25))*0.98</f>
        <v>0.24598</v>
      </c>
      <c r="AB13" s="7">
        <v>0.17413459905904427</v>
      </c>
      <c r="AC13" s="150">
        <f t="shared" ref="AC13:AC20" si="20">(AH13/SUM(AH$6:AH$25))*0.98</f>
        <v>0.10890276022142302</v>
      </c>
      <c r="AE13" s="168"/>
      <c r="AF13" s="19">
        <v>0</v>
      </c>
      <c r="AG13" s="19">
        <v>0.251</v>
      </c>
      <c r="AH13" s="19">
        <v>9.0607672926221405E-2</v>
      </c>
    </row>
    <row r="14" spans="1:40" x14ac:dyDescent="0.2">
      <c r="A14" s="17" t="s">
        <v>143</v>
      </c>
      <c r="B14" s="18" t="s">
        <v>208</v>
      </c>
      <c r="C14" s="18">
        <f>VLOOKUP($AN$1,DST!C:D,2,FALSE)</f>
        <v>12</v>
      </c>
      <c r="D14" s="147"/>
      <c r="E14" s="147"/>
      <c r="F14" s="147"/>
      <c r="G14" s="147"/>
      <c r="H14" s="147"/>
      <c r="I14" s="146">
        <f t="shared" si="12"/>
        <v>0</v>
      </c>
      <c r="J14" s="146">
        <f t="shared" si="13"/>
        <v>0</v>
      </c>
      <c r="K14" s="146">
        <f t="shared" si="14"/>
        <v>0</v>
      </c>
      <c r="L14" s="146">
        <f t="shared" si="15"/>
        <v>132.82000955999999</v>
      </c>
      <c r="M14" s="146">
        <f t="shared" si="16"/>
        <v>85.270446137519997</v>
      </c>
      <c r="N14" s="146">
        <f t="shared" si="16"/>
        <v>1140.9185693200177</v>
      </c>
      <c r="O14" s="146">
        <f t="shared" si="17"/>
        <v>7.9301514907893598</v>
      </c>
      <c r="Q14" s="13"/>
      <c r="R14" s="139"/>
      <c r="S14" s="138"/>
      <c r="T14" s="139"/>
      <c r="U14" s="139"/>
      <c r="V14" s="107">
        <v>5.0199999999999996</v>
      </c>
      <c r="W14" s="150">
        <f t="shared" si="18"/>
        <v>0</v>
      </c>
      <c r="X14" s="19">
        <v>0</v>
      </c>
      <c r="Y14" s="19">
        <v>0.64200000000000002</v>
      </c>
      <c r="Z14" s="20">
        <v>13.38</v>
      </c>
      <c r="AA14" s="150">
        <f t="shared" si="19"/>
        <v>0.20873999999999998</v>
      </c>
      <c r="AB14" s="7">
        <v>0.17701615556825709</v>
      </c>
      <c r="AC14" s="150">
        <f t="shared" si="20"/>
        <v>0.11177813504645655</v>
      </c>
      <c r="AE14" s="168"/>
      <c r="AF14" s="19">
        <v>0</v>
      </c>
      <c r="AG14" s="19">
        <v>0.21299999999999999</v>
      </c>
      <c r="AH14" s="19">
        <v>9.2999999999999999E-2</v>
      </c>
    </row>
    <row r="15" spans="1:40" x14ac:dyDescent="0.2">
      <c r="A15" s="17" t="s">
        <v>600</v>
      </c>
      <c r="B15" s="18" t="s">
        <v>208</v>
      </c>
      <c r="C15" s="18">
        <f>VLOOKUP($AN$1,DST!C:D,2,FALSE)</f>
        <v>12</v>
      </c>
      <c r="D15" s="147"/>
      <c r="E15" s="147"/>
      <c r="F15" s="147"/>
      <c r="G15" s="147"/>
      <c r="H15" s="147"/>
      <c r="I15" s="146">
        <f t="shared" si="12"/>
        <v>0</v>
      </c>
      <c r="J15" s="146">
        <f t="shared" si="13"/>
        <v>0</v>
      </c>
      <c r="K15" s="146">
        <f t="shared" si="14"/>
        <v>0</v>
      </c>
      <c r="L15" s="146">
        <f t="shared" si="15"/>
        <v>69.839629439999996</v>
      </c>
      <c r="M15" s="146">
        <f t="shared" si="16"/>
        <v>45.465598765439999</v>
      </c>
      <c r="N15" s="146">
        <f t="shared" si="16"/>
        <v>557.40824086429438</v>
      </c>
      <c r="O15" s="146">
        <f t="shared" si="17"/>
        <v>3.6372479012352001</v>
      </c>
      <c r="Q15" s="13"/>
      <c r="R15" s="139"/>
      <c r="S15" s="138"/>
      <c r="T15" s="139"/>
      <c r="U15" s="139"/>
      <c r="V15" s="107">
        <v>5.0199999999999996</v>
      </c>
      <c r="W15" s="150">
        <f t="shared" si="18"/>
        <v>0</v>
      </c>
      <c r="X15" s="19">
        <v>0</v>
      </c>
      <c r="Y15" s="19">
        <v>0.65100000000000002</v>
      </c>
      <c r="Z15" s="20">
        <v>12.26</v>
      </c>
      <c r="AA15" s="150">
        <f t="shared" si="19"/>
        <v>0.10976</v>
      </c>
      <c r="AB15" s="7">
        <v>3.0066480365919933E-2</v>
      </c>
      <c r="AC15" s="150">
        <f t="shared" si="20"/>
        <v>9.6153234448564773E-2</v>
      </c>
      <c r="AE15" s="168"/>
      <c r="AF15" s="19">
        <v>0</v>
      </c>
      <c r="AG15" s="19">
        <v>0.112</v>
      </c>
      <c r="AH15" s="19">
        <v>0.08</v>
      </c>
    </row>
    <row r="16" spans="1:40" x14ac:dyDescent="0.2">
      <c r="A16" s="17" t="s">
        <v>539</v>
      </c>
      <c r="B16" s="18" t="s">
        <v>208</v>
      </c>
      <c r="C16" s="18">
        <f>VLOOKUP($AN$1,DST!C:D,2,FALSE)</f>
        <v>12</v>
      </c>
      <c r="D16" s="147"/>
      <c r="E16" s="147"/>
      <c r="F16" s="147"/>
      <c r="G16" s="147"/>
      <c r="H16" s="147"/>
      <c r="I16" s="146">
        <f t="shared" si="12"/>
        <v>0</v>
      </c>
      <c r="J16" s="146">
        <f t="shared" si="13"/>
        <v>0</v>
      </c>
      <c r="K16" s="146">
        <f t="shared" si="14"/>
        <v>0</v>
      </c>
      <c r="L16" s="146">
        <f t="shared" si="15"/>
        <v>77.322446880000001</v>
      </c>
      <c r="M16" s="146">
        <f t="shared" si="16"/>
        <v>48.790463981279999</v>
      </c>
      <c r="N16" s="146">
        <f t="shared" si="16"/>
        <v>534.255580595016</v>
      </c>
      <c r="O16" s="146">
        <f t="shared" si="17"/>
        <v>3.8056561905398398</v>
      </c>
      <c r="Q16" s="13"/>
      <c r="R16" s="139"/>
      <c r="S16" s="138"/>
      <c r="T16" s="139"/>
      <c r="U16" s="139"/>
      <c r="V16" s="107">
        <v>5.0199999999999996</v>
      </c>
      <c r="W16" s="150">
        <f t="shared" si="18"/>
        <v>0</v>
      </c>
      <c r="X16" s="19">
        <v>0</v>
      </c>
      <c r="Y16" s="19">
        <v>0.63100000000000001</v>
      </c>
      <c r="Z16" s="20">
        <v>10.95</v>
      </c>
      <c r="AA16" s="150">
        <f t="shared" si="19"/>
        <v>0.12152</v>
      </c>
      <c r="AB16" s="7">
        <v>0.18602938435109759</v>
      </c>
      <c r="AC16" s="150">
        <f t="shared" si="20"/>
        <v>9.3749403587350649E-2</v>
      </c>
      <c r="AE16" s="168"/>
      <c r="AF16" s="19">
        <v>0</v>
      </c>
      <c r="AG16" s="19">
        <v>0.124</v>
      </c>
      <c r="AH16" s="19">
        <v>7.8E-2</v>
      </c>
    </row>
    <row r="17" spans="1:34" x14ac:dyDescent="0.2">
      <c r="A17" s="17" t="s">
        <v>481</v>
      </c>
      <c r="B17" s="18" t="s">
        <v>208</v>
      </c>
      <c r="C17" s="18">
        <f>VLOOKUP($AN$1,DST!C:D,2,FALSE)</f>
        <v>12</v>
      </c>
      <c r="D17" s="147"/>
      <c r="E17" s="147"/>
      <c r="F17" s="147"/>
      <c r="G17" s="147"/>
      <c r="H17" s="147"/>
      <c r="I17" s="146">
        <f t="shared" si="12"/>
        <v>0</v>
      </c>
      <c r="J17" s="146">
        <f t="shared" si="13"/>
        <v>0</v>
      </c>
      <c r="K17" s="146">
        <f t="shared" si="14"/>
        <v>0</v>
      </c>
      <c r="L17" s="146">
        <f t="shared" si="15"/>
        <v>6.2356811999999993</v>
      </c>
      <c r="M17" s="146">
        <f t="shared" si="16"/>
        <v>4.1966134476000008</v>
      </c>
      <c r="N17" s="146">
        <f t="shared" si="16"/>
        <v>45.612008373950971</v>
      </c>
      <c r="O17" s="146">
        <f t="shared" si="17"/>
        <v>0.29376294133200009</v>
      </c>
      <c r="Q17" s="13"/>
      <c r="R17" s="139"/>
      <c r="S17" s="138"/>
      <c r="T17" s="139"/>
      <c r="U17" s="139"/>
      <c r="V17" s="107">
        <v>5.0199999999999996</v>
      </c>
      <c r="W17" s="150">
        <f t="shared" si="18"/>
        <v>0</v>
      </c>
      <c r="X17" s="19">
        <v>0</v>
      </c>
      <c r="Y17" s="19">
        <v>0.67300000000000015</v>
      </c>
      <c r="Z17" s="20">
        <v>10.868765718709689</v>
      </c>
      <c r="AA17" s="150">
        <f t="shared" si="19"/>
        <v>9.7999999999999997E-3</v>
      </c>
      <c r="AB17" s="7">
        <v>6.1298574977772351E-2</v>
      </c>
      <c r="AC17" s="150">
        <f t="shared" si="20"/>
        <v>8.4134080142494183E-2</v>
      </c>
      <c r="AE17" s="168"/>
      <c r="AF17" s="19">
        <v>0</v>
      </c>
      <c r="AG17" s="19">
        <v>0.01</v>
      </c>
      <c r="AH17" s="19">
        <v>7.0000000000000007E-2</v>
      </c>
    </row>
    <row r="18" spans="1:34" x14ac:dyDescent="0.2">
      <c r="A18" s="17" t="s">
        <v>644</v>
      </c>
      <c r="B18" s="18" t="s">
        <v>208</v>
      </c>
      <c r="C18" s="18">
        <f>VLOOKUP($AN$1,DST!C:D,2,FALSE)</f>
        <v>12</v>
      </c>
      <c r="D18" s="147"/>
      <c r="E18" s="147"/>
      <c r="F18" s="147"/>
      <c r="G18" s="147"/>
      <c r="H18" s="147"/>
      <c r="I18" s="146">
        <f t="shared" si="12"/>
        <v>0</v>
      </c>
      <c r="J18" s="146">
        <f t="shared" si="13"/>
        <v>0</v>
      </c>
      <c r="K18" s="146">
        <f t="shared" si="14"/>
        <v>0</v>
      </c>
      <c r="L18" s="146">
        <f t="shared" si="15"/>
        <v>18.707043599999999</v>
      </c>
      <c r="M18" s="146">
        <f t="shared" si="16"/>
        <v>12.3092346888</v>
      </c>
      <c r="N18" s="146">
        <f t="shared" si="16"/>
        <v>133.43210402659199</v>
      </c>
      <c r="O18" s="146">
        <f t="shared" si="17"/>
        <v>0.86164642821600013</v>
      </c>
      <c r="Q18" s="13"/>
      <c r="R18" s="139"/>
      <c r="S18" s="138"/>
      <c r="T18" s="139"/>
      <c r="U18" s="139"/>
      <c r="V18" s="107">
        <v>0</v>
      </c>
      <c r="W18" s="150">
        <f t="shared" si="18"/>
        <v>0</v>
      </c>
      <c r="X18" s="19">
        <v>0</v>
      </c>
      <c r="Y18" s="19">
        <v>0.65800000000000003</v>
      </c>
      <c r="Z18" s="20">
        <v>10.84</v>
      </c>
      <c r="AA18" s="150">
        <f t="shared" si="19"/>
        <v>2.9399999999999999E-2</v>
      </c>
      <c r="AB18" s="7"/>
      <c r="AC18" s="150">
        <f t="shared" si="20"/>
        <v>8.4134080142494183E-2</v>
      </c>
      <c r="AE18" s="168"/>
      <c r="AF18" s="19">
        <v>0</v>
      </c>
      <c r="AG18" s="19">
        <v>0.03</v>
      </c>
      <c r="AH18" s="19">
        <v>7.0000000000000007E-2</v>
      </c>
    </row>
    <row r="19" spans="1:34" x14ac:dyDescent="0.2">
      <c r="B19" s="18" t="s">
        <v>208</v>
      </c>
      <c r="C19" s="18">
        <f>VLOOKUP($AN$1,DST!C:D,2,FALSE)</f>
        <v>12</v>
      </c>
      <c r="D19" s="147"/>
      <c r="E19" s="147"/>
      <c r="F19" s="147"/>
      <c r="G19" s="147"/>
      <c r="H19" s="147"/>
      <c r="I19" s="146">
        <f t="shared" si="12"/>
        <v>0</v>
      </c>
      <c r="J19" s="146">
        <f t="shared" si="13"/>
        <v>0</v>
      </c>
      <c r="K19" s="146">
        <f t="shared" si="14"/>
        <v>0</v>
      </c>
      <c r="L19" s="146">
        <f t="shared" si="15"/>
        <v>0</v>
      </c>
      <c r="M19" s="146">
        <f t="shared" si="16"/>
        <v>0</v>
      </c>
      <c r="N19" s="146">
        <f t="shared" si="16"/>
        <v>0</v>
      </c>
      <c r="O19" s="146">
        <f t="shared" si="17"/>
        <v>0</v>
      </c>
      <c r="Q19" s="13"/>
      <c r="R19" s="139"/>
      <c r="S19" s="138"/>
      <c r="T19" s="139"/>
      <c r="U19" s="139"/>
      <c r="V19" s="107">
        <v>0</v>
      </c>
      <c r="W19" s="150">
        <f t="shared" si="18"/>
        <v>0</v>
      </c>
      <c r="X19" s="19">
        <v>0</v>
      </c>
      <c r="Y19" s="19">
        <v>0</v>
      </c>
      <c r="Z19" s="20">
        <v>0</v>
      </c>
      <c r="AA19" s="150">
        <f t="shared" si="19"/>
        <v>0</v>
      </c>
      <c r="AB19" s="7"/>
      <c r="AC19" s="150">
        <f t="shared" si="20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208</v>
      </c>
      <c r="C20" s="18">
        <f>VLOOKUP($AN$1,DST!C:D,2,FALSE)</f>
        <v>12</v>
      </c>
      <c r="D20" s="147"/>
      <c r="E20" s="147"/>
      <c r="F20" s="147"/>
      <c r="G20" s="147"/>
      <c r="H20" s="147"/>
      <c r="I20" s="146">
        <f t="shared" si="12"/>
        <v>0</v>
      </c>
      <c r="J20" s="146">
        <f t="shared" si="13"/>
        <v>0</v>
      </c>
      <c r="K20" s="146">
        <f t="shared" si="14"/>
        <v>0</v>
      </c>
      <c r="L20" s="146">
        <f t="shared" si="15"/>
        <v>0</v>
      </c>
      <c r="M20" s="146">
        <f t="shared" si="16"/>
        <v>0</v>
      </c>
      <c r="N20" s="146">
        <f t="shared" si="16"/>
        <v>0</v>
      </c>
      <c r="O20" s="146">
        <f t="shared" si="17"/>
        <v>0</v>
      </c>
      <c r="Q20" s="13"/>
      <c r="R20" s="139"/>
      <c r="S20" s="138"/>
      <c r="T20" s="139"/>
      <c r="U20" s="139"/>
      <c r="V20" s="107">
        <v>0</v>
      </c>
      <c r="W20" s="150">
        <f t="shared" si="18"/>
        <v>0</v>
      </c>
      <c r="X20" s="19">
        <v>0</v>
      </c>
      <c r="Y20" s="19">
        <v>0</v>
      </c>
      <c r="Z20" s="20">
        <v>0</v>
      </c>
      <c r="AA20" s="150">
        <f t="shared" si="19"/>
        <v>0</v>
      </c>
      <c r="AB20" s="7"/>
      <c r="AC20" s="150">
        <f t="shared" si="20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55</v>
      </c>
      <c r="B22" s="18" t="s">
        <v>10</v>
      </c>
      <c r="C22" s="18">
        <f>VLOOKUP($AN$1,DST!C:D,2,FALSE)</f>
        <v>12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70.463197559999998</v>
      </c>
      <c r="M22" s="146">
        <f t="shared" ref="M22:N25" si="21">L22*Y22</f>
        <v>49.747017477359996</v>
      </c>
      <c r="N22" s="146">
        <f t="shared" si="21"/>
        <v>484.26218078086788</v>
      </c>
      <c r="O22" s="146">
        <f t="shared" ref="O22:O25" si="22">M22*AH22</f>
        <v>3.9300143807114396</v>
      </c>
      <c r="Q22" s="13"/>
      <c r="R22" s="139"/>
      <c r="S22" s="138"/>
      <c r="T22" s="139"/>
      <c r="U22" s="139"/>
      <c r="V22" s="140"/>
      <c r="W22" s="154"/>
      <c r="X22" s="139"/>
      <c r="Y22" s="19">
        <v>0.70599999999999996</v>
      </c>
      <c r="Z22" s="20">
        <v>9.7344967665902171</v>
      </c>
      <c r="AA22" s="150">
        <f>(AG22/SUM(AG$6:AG$25))*0.98</f>
        <v>0.11074000000000001</v>
      </c>
      <c r="AB22" s="7">
        <v>8.0561620434466574E-2</v>
      </c>
      <c r="AC22" s="150">
        <f>(AH22/SUM(AH$6:AH$25))*0.98</f>
        <v>9.4951319017957711E-2</v>
      </c>
      <c r="AE22" s="168"/>
      <c r="AF22" s="168"/>
      <c r="AG22" s="19">
        <v>0.113</v>
      </c>
      <c r="AH22" s="19">
        <v>7.9000000000000001E-2</v>
      </c>
    </row>
    <row r="23" spans="1:34" x14ac:dyDescent="0.2">
      <c r="A23" s="17" t="s">
        <v>554</v>
      </c>
      <c r="B23" s="18" t="s">
        <v>10</v>
      </c>
      <c r="C23" s="18">
        <f>VLOOKUP($AN$1,DST!C:D,2,FALSE)</f>
        <v>12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6.2356811999999993</v>
      </c>
      <c r="M23" s="146">
        <f t="shared" si="21"/>
        <v>4.5832256819999984</v>
      </c>
      <c r="N23" s="146">
        <f t="shared" si="21"/>
        <v>42.766274116007132</v>
      </c>
      <c r="O23" s="146">
        <f t="shared" si="22"/>
        <v>0.30539196773932936</v>
      </c>
      <c r="Q23" s="13"/>
      <c r="R23" s="139"/>
      <c r="S23" s="138"/>
      <c r="T23" s="139"/>
      <c r="U23" s="139"/>
      <c r="V23" s="140"/>
      <c r="W23" s="154"/>
      <c r="X23" s="139"/>
      <c r="Y23" s="19">
        <v>0.73499999999999988</v>
      </c>
      <c r="Z23" s="20">
        <v>9.3310426069494934</v>
      </c>
      <c r="AA23" s="150">
        <f>(AG23/SUM(AG$6:AG$25))*0.98</f>
        <v>9.7999999999999997E-3</v>
      </c>
      <c r="AB23" s="7">
        <v>5.1475813957129843E-2</v>
      </c>
      <c r="AC23" s="150">
        <f>(AH23/SUM(AH$6:AH$25))*0.98</f>
        <v>8.0086677784799831E-2</v>
      </c>
      <c r="AE23" s="168"/>
      <c r="AF23" s="168"/>
      <c r="AG23" s="19">
        <v>0.01</v>
      </c>
      <c r="AH23" s="19">
        <v>6.6632539815509234E-2</v>
      </c>
    </row>
    <row r="24" spans="1:34" x14ac:dyDescent="0.2">
      <c r="A24" s="17" t="s">
        <v>601</v>
      </c>
      <c r="B24" s="18" t="s">
        <v>10</v>
      </c>
      <c r="C24" s="18">
        <f>VLOOKUP($AN$1,DST!C:D,2,FALSE)</f>
        <v>12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13.71849864</v>
      </c>
      <c r="M24" s="146">
        <f t="shared" si="21"/>
        <v>9.3697345711200004</v>
      </c>
      <c r="N24" s="146">
        <f t="shared" si="21"/>
        <v>89.519754170492931</v>
      </c>
      <c r="O24" s="146">
        <f t="shared" si="22"/>
        <v>0.66525115454952</v>
      </c>
      <c r="Q24" s="13"/>
      <c r="R24" s="139"/>
      <c r="S24" s="138"/>
      <c r="T24" s="139"/>
      <c r="U24" s="139"/>
      <c r="V24" s="140"/>
      <c r="W24" s="154"/>
      <c r="X24" s="139"/>
      <c r="Y24" s="19">
        <v>0.68300000000000005</v>
      </c>
      <c r="Z24" s="20">
        <v>9.5541398201840728</v>
      </c>
      <c r="AA24" s="150">
        <f>(AG24/SUM(AG$6:AG$25))*0.98</f>
        <v>2.1559999999999999E-2</v>
      </c>
      <c r="AB24" s="7">
        <v>2.9170216794649029E-2</v>
      </c>
      <c r="AC24" s="150">
        <f>(AH24/SUM(AH$6:AH$25))*0.98</f>
        <v>8.5335995573101217E-2</v>
      </c>
      <c r="AE24" s="168"/>
      <c r="AF24" s="168"/>
      <c r="AG24" s="19">
        <v>2.1999999999999999E-2</v>
      </c>
      <c r="AH24" s="19">
        <v>7.0999999999999994E-2</v>
      </c>
    </row>
    <row r="25" spans="1:34" x14ac:dyDescent="0.2">
      <c r="B25" s="18" t="s">
        <v>10</v>
      </c>
      <c r="C25" s="18">
        <f>VLOOKUP($AN$1,DST!C:D,2,FALSE)</f>
        <v>12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21"/>
        <v>0</v>
      </c>
      <c r="N25" s="146">
        <f t="shared" si="21"/>
        <v>0</v>
      </c>
      <c r="O25" s="146">
        <f t="shared" si="22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/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264</v>
      </c>
      <c r="X27" s="30"/>
      <c r="Y27" s="30"/>
      <c r="Z27" s="31"/>
      <c r="AA27" s="9" t="s">
        <v>264</v>
      </c>
      <c r="AB27" s="9" t="s">
        <v>264</v>
      </c>
      <c r="AC27" s="9" t="s">
        <v>264</v>
      </c>
      <c r="AD27" s="44"/>
      <c r="AE27" s="9" t="s">
        <v>264</v>
      </c>
      <c r="AF27" s="9" t="s">
        <v>264</v>
      </c>
      <c r="AG27" s="9" t="s">
        <v>264</v>
      </c>
    </row>
    <row r="28" spans="1:34" s="27" customFormat="1" x14ac:dyDescent="0.2">
      <c r="A28" s="45" t="s">
        <v>265</v>
      </c>
      <c r="B28" s="28"/>
      <c r="C28" s="28"/>
      <c r="D28" s="34" t="s">
        <v>269</v>
      </c>
      <c r="E28" s="34" t="s">
        <v>266</v>
      </c>
      <c r="F28" s="155" t="s">
        <v>267</v>
      </c>
      <c r="G28" s="34" t="s">
        <v>286</v>
      </c>
      <c r="H28" s="34" t="s">
        <v>268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0.98</v>
      </c>
      <c r="X28" s="30"/>
      <c r="Y28" s="30"/>
      <c r="Z28" s="31"/>
      <c r="AA28" s="150">
        <f>SUM(AA6:AA25)</f>
        <v>0.98</v>
      </c>
      <c r="AB28" s="150">
        <f>SUM(AB2:AB4,AB6:AB11,AB13:AB20,AB22:AB25)</f>
        <v>0.97500000000000009</v>
      </c>
      <c r="AC28" s="150">
        <f>SUM(AC6:AC25)</f>
        <v>0.9800000000000002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</v>
      </c>
    </row>
    <row r="29" spans="1:34" s="27" customFormat="1" x14ac:dyDescent="0.2">
      <c r="A29" s="43"/>
      <c r="B29" s="28"/>
      <c r="C29" s="28"/>
      <c r="D29" s="46">
        <v>1038</v>
      </c>
      <c r="E29" s="47">
        <v>0.61299999999999999</v>
      </c>
      <c r="F29" s="2">
        <f>1-E29</f>
        <v>0.38700000000000001</v>
      </c>
      <c r="G29" s="106">
        <v>4.0999999999999996</v>
      </c>
      <c r="H29" s="126">
        <v>3.6499999999999998E-2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265</v>
      </c>
      <c r="B31" s="28"/>
      <c r="C31" s="28"/>
      <c r="D31" s="162" t="s">
        <v>278</v>
      </c>
      <c r="E31" s="162" t="s">
        <v>1</v>
      </c>
      <c r="F31" s="162" t="s">
        <v>263</v>
      </c>
      <c r="G31" s="162" t="s">
        <v>137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636.29399999999998</v>
      </c>
      <c r="E32" s="156">
        <f>SUM(E2:E4)</f>
        <v>427.89971963301576</v>
      </c>
      <c r="F32" s="156">
        <f>SUM(F2:F4)</f>
        <v>4746.1972685176161</v>
      </c>
      <c r="G32" s="156">
        <f>SUM(G2:G4)</f>
        <v>33.500879099999999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265</v>
      </c>
      <c r="B34" s="28"/>
      <c r="C34" s="28"/>
      <c r="D34" s="162" t="s">
        <v>270</v>
      </c>
      <c r="E34" s="162" t="s">
        <v>263</v>
      </c>
      <c r="F34" s="162" t="s">
        <v>137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401.70600000000002</v>
      </c>
      <c r="E35" s="156">
        <f>D35*G29</f>
        <v>1646.9946</v>
      </c>
      <c r="F35" s="156">
        <f>D35*H29</f>
        <v>14.662269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279</v>
      </c>
      <c r="B37" s="37"/>
      <c r="C37" s="37"/>
      <c r="D37" s="164" t="s">
        <v>273</v>
      </c>
      <c r="E37" s="164" t="s">
        <v>274</v>
      </c>
      <c r="F37" s="164" t="s">
        <v>275</v>
      </c>
      <c r="G37" s="164" t="s">
        <v>271</v>
      </c>
      <c r="H37" s="164" t="s">
        <v>272</v>
      </c>
      <c r="I37" s="164" t="s">
        <v>276</v>
      </c>
      <c r="J37" s="164" t="s">
        <v>277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3.5" thickBot="1" x14ac:dyDescent="0.25">
      <c r="D38" s="157">
        <f>SUM(I2:I20)</f>
        <v>393.67187999999999</v>
      </c>
      <c r="E38" s="157">
        <f>SUM(J2:J4,J6:J11,J13:J20)</f>
        <v>1643.637525146434</v>
      </c>
      <c r="F38" s="157">
        <f>SUM(K2:K4,K6:K11,K13:K20)</f>
        <v>14.630370821548814</v>
      </c>
      <c r="G38" s="157">
        <f>SUM(L6:L11,L13:L20,L22:L25)</f>
        <v>623.56812000000014</v>
      </c>
      <c r="H38" s="157">
        <f>SUM(M6:M11,M13:M20,M22:M25)</f>
        <v>422.10261394979995</v>
      </c>
      <c r="I38" s="157">
        <f>SUM(N6:N11,N13:N20,N22:N25)</f>
        <v>4737.9486132974671</v>
      </c>
      <c r="J38" s="157">
        <f>SUM(O6:O11,O13:O20,O22:O25)</f>
        <v>33.492203572366186</v>
      </c>
      <c r="V38" s="181"/>
      <c r="X38" s="30"/>
      <c r="Y38" s="30"/>
      <c r="Z38" s="181"/>
      <c r="AH38" s="30"/>
    </row>
    <row r="39" spans="1:34" ht="13.5" thickTop="1" x14ac:dyDescent="0.2">
      <c r="D39" s="158">
        <f>D35-D38</f>
        <v>8.0341200000000299</v>
      </c>
      <c r="E39" s="158">
        <f>E35-E38</f>
        <v>3.3570748535660186</v>
      </c>
      <c r="F39" s="158">
        <f>F35-F38</f>
        <v>3.1898178451186254E-2</v>
      </c>
      <c r="G39" s="158">
        <f>SUM(D2:D4)-G38</f>
        <v>12.725879999999847</v>
      </c>
      <c r="H39" s="158">
        <f>E32-H38</f>
        <v>5.7971056832158183</v>
      </c>
      <c r="I39" s="158">
        <f>F32-I38</f>
        <v>8.2486552201489758</v>
      </c>
      <c r="J39" s="158">
        <f>G32-J38</f>
        <v>8.6755276338124077E-3</v>
      </c>
      <c r="V39" s="181"/>
      <c r="X39" s="30"/>
      <c r="Y39" s="30"/>
      <c r="Z39" s="181"/>
      <c r="AH39" s="30"/>
    </row>
    <row r="40" spans="1:34" x14ac:dyDescent="0.2">
      <c r="N40" s="23"/>
      <c r="O40" s="23"/>
      <c r="V40" s="181"/>
      <c r="X40" s="30"/>
      <c r="Y40" s="30"/>
      <c r="Z40" s="181"/>
      <c r="AH40" s="30"/>
    </row>
    <row r="41" spans="1:34" x14ac:dyDescent="0.2">
      <c r="V41" s="181"/>
      <c r="X41" s="30"/>
      <c r="Y41" s="30"/>
      <c r="Z41" s="181"/>
      <c r="AH41" s="30"/>
    </row>
    <row r="42" spans="1:34" x14ac:dyDescent="0.2">
      <c r="N42" s="23"/>
      <c r="O42" s="23"/>
      <c r="V42" s="181"/>
      <c r="X42" s="30"/>
      <c r="Y42" s="30"/>
      <c r="Z42" s="181"/>
      <c r="AH42" s="30"/>
    </row>
    <row r="43" spans="1:34" x14ac:dyDescent="0.2">
      <c r="V43" s="181"/>
      <c r="X43" s="30"/>
      <c r="Y43" s="30"/>
      <c r="Z43" s="181"/>
      <c r="AH43" s="30"/>
    </row>
    <row r="44" spans="1:34" x14ac:dyDescent="0.2">
      <c r="V44" s="181"/>
      <c r="X44" s="30"/>
      <c r="Y44" s="30"/>
      <c r="Z44" s="181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sortState xmlns:xlrd2="http://schemas.microsoft.com/office/spreadsheetml/2017/richdata2" ref="A13:AH20">
    <sortCondition descending="1" ref="N13:N20"/>
  </sortState>
  <conditionalFormatting sqref="D39:J39">
    <cfRule type="cellIs" dxfId="77" priority="1" operator="lessThan">
      <formula>0</formula>
    </cfRule>
  </conditionalFormatting>
  <conditionalFormatting sqref="W28">
    <cfRule type="cellIs" dxfId="76" priority="2" operator="greaterThan">
      <formula>1</formula>
    </cfRule>
  </conditionalFormatting>
  <conditionalFormatting sqref="AA28:AG28">
    <cfRule type="cellIs" dxfId="75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rgb="FFE65D00"/>
  </sheetPr>
  <dimension ref="A1:AN64"/>
  <sheetViews>
    <sheetView showGridLines="0" zoomScale="85" zoomScaleNormal="85"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defaultColWidth="8.7109375" defaultRowHeight="12.75" x14ac:dyDescent="0.2"/>
  <cols>
    <col min="1" max="1" width="22.5703125" style="17" customWidth="1"/>
    <col min="2" max="3" width="8.7109375" style="18"/>
    <col min="4" max="13" width="8.7109375" style="23"/>
    <col min="14" max="15" width="8.7109375" style="18"/>
    <col min="16" max="16" width="4.7109375" style="18" customWidth="1"/>
    <col min="17" max="18" width="8.7109375" style="26"/>
    <col min="19" max="19" width="8.7109375" style="23"/>
    <col min="20" max="21" width="8.7109375" style="26"/>
    <col min="22" max="23" width="8.7109375" style="25"/>
    <col min="24" max="25" width="8.7109375" style="26"/>
    <col min="26" max="26" width="8.7109375" style="25"/>
    <col min="27" max="27" width="8.7109375" style="18"/>
    <col min="28" max="28" width="0" style="18" hidden="1" customWidth="1"/>
    <col min="29" max="29" width="8.7109375" style="26"/>
    <col min="30" max="30" width="4.7109375" style="17" customWidth="1"/>
    <col min="31" max="32" width="8.7109375" style="18"/>
    <col min="33" max="16384" width="8.7109375" style="17"/>
  </cols>
  <sheetData>
    <row r="1" spans="1:40" s="15" customFormat="1" ht="25.5" customHeight="1" x14ac:dyDescent="0.2">
      <c r="A1" s="15" t="s">
        <v>0</v>
      </c>
      <c r="B1" s="15" t="s">
        <v>8</v>
      </c>
      <c r="C1" s="15" t="s">
        <v>122</v>
      </c>
      <c r="D1" s="159" t="s">
        <v>210</v>
      </c>
      <c r="E1" s="159" t="s">
        <v>1</v>
      </c>
      <c r="F1" s="159" t="s">
        <v>213</v>
      </c>
      <c r="G1" s="159" t="s">
        <v>228</v>
      </c>
      <c r="H1" s="159" t="s">
        <v>2</v>
      </c>
      <c r="I1" s="159" t="s">
        <v>229</v>
      </c>
      <c r="J1" s="159" t="s">
        <v>217</v>
      </c>
      <c r="K1" s="159" t="s">
        <v>230</v>
      </c>
      <c r="L1" s="159" t="s">
        <v>219</v>
      </c>
      <c r="M1" s="159" t="s">
        <v>4</v>
      </c>
      <c r="N1" s="159" t="s">
        <v>223</v>
      </c>
      <c r="O1" s="159" t="s">
        <v>231</v>
      </c>
      <c r="Q1" s="160" t="s">
        <v>281</v>
      </c>
      <c r="R1" s="133" t="s">
        <v>232</v>
      </c>
      <c r="S1" s="134" t="s">
        <v>451</v>
      </c>
      <c r="T1" s="133" t="s">
        <v>205</v>
      </c>
      <c r="U1" s="133" t="s">
        <v>209</v>
      </c>
      <c r="V1" s="135" t="s">
        <v>280</v>
      </c>
      <c r="W1" s="161" t="s">
        <v>282</v>
      </c>
      <c r="X1" s="133" t="s">
        <v>233</v>
      </c>
      <c r="Y1" s="179" t="s">
        <v>234</v>
      </c>
      <c r="Z1" s="135" t="s">
        <v>235</v>
      </c>
      <c r="AA1" s="160" t="s">
        <v>236</v>
      </c>
      <c r="AB1" s="160" t="s">
        <v>237</v>
      </c>
      <c r="AC1" s="10" t="s">
        <v>262</v>
      </c>
      <c r="AE1" s="136" t="s">
        <v>283</v>
      </c>
      <c r="AF1" s="137" t="s">
        <v>284</v>
      </c>
      <c r="AG1" s="136" t="s">
        <v>285</v>
      </c>
      <c r="AH1" s="136" t="s">
        <v>450</v>
      </c>
      <c r="AN1" s="15" t="s">
        <v>94</v>
      </c>
    </row>
    <row r="2" spans="1:40" x14ac:dyDescent="0.2">
      <c r="A2" s="17" t="s">
        <v>44</v>
      </c>
      <c r="B2" s="18" t="s">
        <v>9</v>
      </c>
      <c r="C2" s="18">
        <f>VLOOKUP($AN$1,DST!C:D,2,FALSE)</f>
        <v>10</v>
      </c>
      <c r="D2" s="146">
        <f>D$32*Q2</f>
        <v>537.65250000000003</v>
      </c>
      <c r="E2" s="146">
        <f>D2*R2</f>
        <v>336.40236083227416</v>
      </c>
      <c r="F2" s="146">
        <f>E2*S2</f>
        <v>3828.2588662712801</v>
      </c>
      <c r="G2" s="146">
        <f>D2*T2</f>
        <v>23.018994227050147</v>
      </c>
      <c r="H2" s="146">
        <f>E2*U2</f>
        <v>7.2235246947888987</v>
      </c>
      <c r="I2" s="146">
        <f>D$35*W2</f>
        <v>82.696074999999993</v>
      </c>
      <c r="J2" s="146">
        <f>I2*V2</f>
        <v>420.16003883315818</v>
      </c>
      <c r="K2" s="146">
        <f>I2*X2</f>
        <v>3.2251469249999998</v>
      </c>
      <c r="L2" s="147"/>
      <c r="M2" s="147"/>
      <c r="N2" s="147"/>
      <c r="O2" s="147"/>
      <c r="Q2" s="150">
        <f>(AE2/SUM(AE$2:AE$25))</f>
        <v>0.98</v>
      </c>
      <c r="R2" s="19">
        <v>0.62568733676914756</v>
      </c>
      <c r="S2" s="107">
        <v>11.38</v>
      </c>
      <c r="T2" s="19">
        <v>4.2813888574962725E-2</v>
      </c>
      <c r="U2" s="19">
        <v>2.147287158424686E-2</v>
      </c>
      <c r="V2" s="107">
        <v>5.0807736501781759</v>
      </c>
      <c r="W2" s="150">
        <f>(AF2/SUM(AF$2:AF$20))*0.98</f>
        <v>0.1666</v>
      </c>
      <c r="X2" s="19">
        <v>3.9E-2</v>
      </c>
      <c r="Y2" s="21"/>
      <c r="Z2" s="22"/>
      <c r="AA2" s="1"/>
      <c r="AB2" s="1"/>
      <c r="AC2" s="1"/>
      <c r="AE2" s="19">
        <v>0.98</v>
      </c>
      <c r="AF2" s="19">
        <v>0.17</v>
      </c>
      <c r="AG2" s="168"/>
      <c r="AH2" s="168"/>
    </row>
    <row r="3" spans="1:40" x14ac:dyDescent="0.2">
      <c r="A3" s="17" t="s">
        <v>176</v>
      </c>
      <c r="B3" s="18" t="s">
        <v>9</v>
      </c>
      <c r="C3" s="18">
        <f>VLOOKUP($AN$1,DST!C:D,2,FALSE)</f>
        <v>10</v>
      </c>
      <c r="D3" s="146">
        <f>D$32*Q3</f>
        <v>10.972500000000009</v>
      </c>
      <c r="E3" s="146">
        <f t="shared" ref="E3:F4" si="0">D3*R3</f>
        <v>6.7543698454041987</v>
      </c>
      <c r="F3" s="146">
        <f t="shared" si="0"/>
        <v>75.909460684343799</v>
      </c>
      <c r="G3" s="146">
        <f t="shared" ref="G3:G4" si="1">D3*T3</f>
        <v>0.41878439108182036</v>
      </c>
      <c r="H3" s="146">
        <f t="shared" ref="H3:H4" si="2">E3*U3</f>
        <v>0.21422733386578013</v>
      </c>
      <c r="I3" s="146">
        <f>D$35*W3</f>
        <v>4.8644749999999997</v>
      </c>
      <c r="J3" s="146">
        <f>I3*V3</f>
        <v>16.588640695597348</v>
      </c>
      <c r="K3" s="146">
        <f>I3*X3</f>
        <v>8.7076054863993377E-2</v>
      </c>
      <c r="L3" s="147"/>
      <c r="M3" s="147"/>
      <c r="N3" s="147"/>
      <c r="O3" s="147"/>
      <c r="Q3" s="150">
        <f>(AE3/SUM(AE$2:AE$25))</f>
        <v>2.0000000000000018E-2</v>
      </c>
      <c r="R3" s="19">
        <v>0.61557255369370634</v>
      </c>
      <c r="S3" s="107">
        <v>11.238570351014172</v>
      </c>
      <c r="T3" s="19">
        <v>3.8166725092897702E-2</v>
      </c>
      <c r="U3" s="19">
        <v>3.171684979784524E-2</v>
      </c>
      <c r="V3" s="107">
        <v>3.4101605405716646</v>
      </c>
      <c r="W3" s="150">
        <f>(AF3/SUM(AF$2:AF$20))*0.98</f>
        <v>9.7999999999999997E-3</v>
      </c>
      <c r="X3" s="19">
        <v>1.7900401351429163E-2</v>
      </c>
      <c r="Y3" s="21"/>
      <c r="Z3" s="22"/>
      <c r="AA3" s="1"/>
      <c r="AB3" s="1"/>
      <c r="AC3" s="1"/>
      <c r="AE3" s="19">
        <v>2.0000000000000018E-2</v>
      </c>
      <c r="AF3" s="19">
        <v>0.01</v>
      </c>
      <c r="AG3" s="168"/>
      <c r="AH3" s="168"/>
    </row>
    <row r="4" spans="1:40" x14ac:dyDescent="0.2">
      <c r="B4" s="18" t="s">
        <v>9</v>
      </c>
      <c r="C4" s="18">
        <f>VLOOKUP($AN$1,DST!C:D,2,FALSE)</f>
        <v>10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/>
      <c r="AF4" s="19"/>
      <c r="AG4" s="168"/>
      <c r="AH4" s="168"/>
    </row>
    <row r="5" spans="1:40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40" x14ac:dyDescent="0.2">
      <c r="A6" s="172" t="s">
        <v>31</v>
      </c>
      <c r="B6" s="18" t="s">
        <v>207</v>
      </c>
      <c r="C6" s="18">
        <f>VLOOKUP($AN$1,DST!C:D,2,FALSE)</f>
        <v>10</v>
      </c>
      <c r="D6" s="147"/>
      <c r="E6" s="147"/>
      <c r="F6" s="147"/>
      <c r="G6" s="147"/>
      <c r="H6" s="147"/>
      <c r="I6" s="146">
        <f t="shared" ref="I6:I11" si="3">D$35*W6</f>
        <v>170.25662499999999</v>
      </c>
      <c r="J6" s="146">
        <f>I6*V6</f>
        <v>783.18047499999989</v>
      </c>
      <c r="K6" s="146">
        <f>I6*X6</f>
        <v>6.9805216249999997</v>
      </c>
      <c r="L6" s="146">
        <f>((D$2+D$3+D$4)*AA6)</f>
        <v>25.26966749999999</v>
      </c>
      <c r="M6" s="146">
        <f t="shared" ref="M6:N11" si="4">L6*Y6</f>
        <v>19.634531647499994</v>
      </c>
      <c r="N6" s="146">
        <f t="shared" si="4"/>
        <v>149.22244052099995</v>
      </c>
      <c r="O6" s="146">
        <f>M6*AH6</f>
        <v>0.70672948145814851</v>
      </c>
      <c r="Q6" s="13"/>
      <c r="R6" s="139"/>
      <c r="S6" s="138"/>
      <c r="T6" s="139"/>
      <c r="U6" s="139"/>
      <c r="V6" s="107">
        <v>4.5999999999999996</v>
      </c>
      <c r="W6" s="150">
        <f t="shared" ref="W6:W11" si="5">(AF6/SUM(AF$2:AF$20))*0.98</f>
        <v>0.34299999999999997</v>
      </c>
      <c r="X6" s="19">
        <v>4.1000000000000002E-2</v>
      </c>
      <c r="Y6" s="19">
        <v>0.77700000000000002</v>
      </c>
      <c r="Z6" s="20">
        <v>7.6</v>
      </c>
      <c r="AA6" s="150">
        <f t="shared" ref="AA6:AA11" si="6">(AG6/SUM(AG$6:AG$25))*0.98</f>
        <v>4.6059999999999983E-2</v>
      </c>
      <c r="AB6" s="7">
        <v>5.5325685623115413E-2</v>
      </c>
      <c r="AC6" s="150">
        <f t="shared" ref="AC6:AC11" si="7">(AH6/SUM(AH$6:AH$25))*0.98</f>
        <v>4.9322753271646133E-2</v>
      </c>
      <c r="AE6" s="168"/>
      <c r="AF6" s="19">
        <v>0.35</v>
      </c>
      <c r="AG6" s="19">
        <v>4.7E-2</v>
      </c>
      <c r="AH6" s="19">
        <v>3.5994211328597404E-2</v>
      </c>
    </row>
    <row r="7" spans="1:40" x14ac:dyDescent="0.2">
      <c r="A7" s="172" t="s">
        <v>405</v>
      </c>
      <c r="B7" s="18" t="s">
        <v>207</v>
      </c>
      <c r="C7" s="18">
        <f>VLOOKUP($AN$1,DST!C:D,2,FALSE)</f>
        <v>10</v>
      </c>
      <c r="D7" s="147"/>
      <c r="E7" s="147"/>
      <c r="F7" s="147"/>
      <c r="G7" s="147"/>
      <c r="H7" s="147"/>
      <c r="I7" s="146">
        <f t="shared" si="3"/>
        <v>211.60466250000002</v>
      </c>
      <c r="J7" s="146">
        <f>I7*V7</f>
        <v>931.06051500000012</v>
      </c>
      <c r="K7" s="146">
        <f>I7*X7</f>
        <v>7.7024097150000008</v>
      </c>
      <c r="L7" s="146">
        <f>((D$2+D$3+D$4)*AA7)</f>
        <v>26.882624999999994</v>
      </c>
      <c r="M7" s="146">
        <f t="shared" si="4"/>
        <v>19.489903124999998</v>
      </c>
      <c r="N7" s="146">
        <f t="shared" si="4"/>
        <v>143.64058603125</v>
      </c>
      <c r="O7" s="146">
        <f t="shared" ref="O7:O11" si="8">M7*AH7</f>
        <v>0.8770456406249999</v>
      </c>
      <c r="Q7" s="13"/>
      <c r="R7" s="139"/>
      <c r="S7" s="138"/>
      <c r="T7" s="139"/>
      <c r="U7" s="139"/>
      <c r="V7" s="107">
        <v>4.4000000000000004</v>
      </c>
      <c r="W7" s="150">
        <f t="shared" si="5"/>
        <v>0.42630000000000001</v>
      </c>
      <c r="X7" s="19">
        <v>3.6400000000000002E-2</v>
      </c>
      <c r="Y7" s="19">
        <v>0.72500000000000009</v>
      </c>
      <c r="Z7" s="20">
        <v>7.37</v>
      </c>
      <c r="AA7" s="150">
        <f t="shared" si="6"/>
        <v>4.8999999999999988E-2</v>
      </c>
      <c r="AB7" s="7">
        <v>8.6025680728689546E-2</v>
      </c>
      <c r="AC7" s="150">
        <f t="shared" si="7"/>
        <v>6.1663356837066301E-2</v>
      </c>
      <c r="AE7" s="168"/>
      <c r="AF7" s="19">
        <v>0.435</v>
      </c>
      <c r="AG7" s="19">
        <v>0.05</v>
      </c>
      <c r="AH7" s="19">
        <v>4.4999999999999998E-2</v>
      </c>
    </row>
    <row r="8" spans="1:40" x14ac:dyDescent="0.2">
      <c r="A8" s="176" t="s">
        <v>689</v>
      </c>
      <c r="B8" s="18" t="s">
        <v>207</v>
      </c>
      <c r="C8" s="18">
        <f>VLOOKUP($AN$1,DST!C:D,2,FALSE)</f>
        <v>10</v>
      </c>
      <c r="D8" s="147"/>
      <c r="E8" s="147"/>
      <c r="F8" s="147"/>
      <c r="G8" s="147"/>
      <c r="H8" s="147"/>
      <c r="I8" s="146">
        <f t="shared" si="3"/>
        <v>12.1611875</v>
      </c>
      <c r="J8" s="146">
        <f>I8*V8</f>
        <v>50.833763749999996</v>
      </c>
      <c r="K8" s="146">
        <f>I8*X8</f>
        <v>0.42564156250000007</v>
      </c>
      <c r="L8" s="146">
        <f>((D$2+D$3+D$4)*AA8)</f>
        <v>10.215397499999996</v>
      </c>
      <c r="M8" s="146">
        <f t="shared" si="4"/>
        <v>7.3550861999999997</v>
      </c>
      <c r="N8" s="146">
        <f t="shared" si="4"/>
        <v>53.986332707999999</v>
      </c>
      <c r="O8" s="146">
        <f t="shared" si="8"/>
        <v>0.27213818939999995</v>
      </c>
      <c r="Q8" s="13"/>
      <c r="R8" s="139"/>
      <c r="S8" s="138"/>
      <c r="T8" s="139"/>
      <c r="U8" s="139"/>
      <c r="V8" s="107">
        <v>4.18</v>
      </c>
      <c r="W8" s="150">
        <f t="shared" si="5"/>
        <v>2.4500000000000001E-2</v>
      </c>
      <c r="X8" s="19">
        <v>3.5000000000000003E-2</v>
      </c>
      <c r="Y8" s="19">
        <v>0.7200000000000002</v>
      </c>
      <c r="Z8" s="20">
        <v>7.34</v>
      </c>
      <c r="AA8" s="150">
        <f t="shared" si="6"/>
        <v>1.8619999999999994E-2</v>
      </c>
      <c r="AB8" s="7">
        <v>1.7632052311916925E-2</v>
      </c>
      <c r="AC8" s="150">
        <f t="shared" si="7"/>
        <v>5.0700982288254509E-2</v>
      </c>
      <c r="AE8" s="168"/>
      <c r="AF8" s="19">
        <v>2.5000000000000001E-2</v>
      </c>
      <c r="AG8" s="19">
        <v>1.9E-2</v>
      </c>
      <c r="AH8" s="19">
        <v>3.6999999999999998E-2</v>
      </c>
    </row>
    <row r="9" spans="1:40" x14ac:dyDescent="0.2">
      <c r="A9" s="17" t="s">
        <v>703</v>
      </c>
      <c r="B9" s="18" t="s">
        <v>207</v>
      </c>
      <c r="C9" s="18">
        <f>VLOOKUP($AN$1,DST!C:D,2,FALSE)</f>
        <v>10</v>
      </c>
      <c r="D9" s="147"/>
      <c r="E9" s="147"/>
      <c r="F9" s="147"/>
      <c r="G9" s="147"/>
      <c r="H9" s="147"/>
      <c r="I9" s="146">
        <f t="shared" si="3"/>
        <v>4.8644749999999997</v>
      </c>
      <c r="J9" s="146">
        <f t="shared" ref="J9:J11" si="9">I9*V9</f>
        <v>19.99299225</v>
      </c>
      <c r="K9" s="146">
        <f t="shared" ref="K9:K11" si="10">I9*X9</f>
        <v>0.17998557499999998</v>
      </c>
      <c r="L9" s="146">
        <f t="shared" ref="L9:L11" si="11">((D$2+D$3+D$4)*AA9)</f>
        <v>5.3765249999999991</v>
      </c>
      <c r="M9" s="146">
        <f t="shared" si="4"/>
        <v>3.9840050249999992</v>
      </c>
      <c r="N9" s="146">
        <f t="shared" si="4"/>
        <v>29.840197637249997</v>
      </c>
      <c r="O9" s="146">
        <f t="shared" si="8"/>
        <v>0.15936020099999998</v>
      </c>
      <c r="Q9" s="13"/>
      <c r="R9" s="139"/>
      <c r="S9" s="138"/>
      <c r="T9" s="139"/>
      <c r="U9" s="139"/>
      <c r="V9" s="107">
        <v>4.1100000000000003</v>
      </c>
      <c r="W9" s="150">
        <f t="shared" si="5"/>
        <v>9.7999999999999997E-3</v>
      </c>
      <c r="X9" s="19">
        <v>3.6999999999999998E-2</v>
      </c>
      <c r="Y9" s="19">
        <v>0.74099999999999999</v>
      </c>
      <c r="Z9" s="20">
        <v>7.49</v>
      </c>
      <c r="AA9" s="150">
        <f t="shared" si="6"/>
        <v>9.7999999999999979E-3</v>
      </c>
      <c r="AB9" s="7">
        <v>9.2169728902344508E-3</v>
      </c>
      <c r="AC9" s="150">
        <f t="shared" si="7"/>
        <v>5.481187274405893E-2</v>
      </c>
      <c r="AE9" s="168"/>
      <c r="AF9" s="19">
        <v>0.01</v>
      </c>
      <c r="AG9" s="19">
        <v>0.01</v>
      </c>
      <c r="AH9" s="19">
        <v>0.04</v>
      </c>
    </row>
    <row r="10" spans="1:40" x14ac:dyDescent="0.2">
      <c r="A10" s="172"/>
      <c r="B10" s="18" t="s">
        <v>207</v>
      </c>
      <c r="C10" s="18">
        <f>VLOOKUP($AN$1,DST!C:D,2,FALSE)</f>
        <v>10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9"/>
        <v>0</v>
      </c>
      <c r="K10" s="146">
        <f t="shared" si="10"/>
        <v>0</v>
      </c>
      <c r="L10" s="146">
        <f t="shared" si="11"/>
        <v>0</v>
      </c>
      <c r="M10" s="146">
        <f t="shared" si="4"/>
        <v>0</v>
      </c>
      <c r="N10" s="146">
        <f t="shared" si="4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5"/>
        <v>0</v>
      </c>
      <c r="X10" s="19">
        <v>0</v>
      </c>
      <c r="Y10" s="19">
        <v>0</v>
      </c>
      <c r="Z10" s="20">
        <v>0</v>
      </c>
      <c r="AA10" s="150">
        <f t="shared" si="6"/>
        <v>0</v>
      </c>
      <c r="AB10" s="7">
        <v>1.2013480832522988E-2</v>
      </c>
      <c r="AC10" s="150">
        <f t="shared" si="7"/>
        <v>0</v>
      </c>
      <c r="AE10" s="168"/>
      <c r="AF10" s="19">
        <v>0</v>
      </c>
      <c r="AG10" s="19">
        <v>0</v>
      </c>
      <c r="AH10" s="19">
        <v>0</v>
      </c>
    </row>
    <row r="11" spans="1:40" x14ac:dyDescent="0.2">
      <c r="A11" s="172"/>
      <c r="B11" s="18" t="s">
        <v>207</v>
      </c>
      <c r="C11" s="18">
        <f>VLOOKUP($AN$1,DST!C:D,2,FALSE)</f>
        <v>10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9"/>
        <v>0</v>
      </c>
      <c r="K11" s="146">
        <f t="shared" si="10"/>
        <v>0</v>
      </c>
      <c r="L11" s="146">
        <f t="shared" si="11"/>
        <v>0</v>
      </c>
      <c r="M11" s="146">
        <f t="shared" si="4"/>
        <v>0</v>
      </c>
      <c r="N11" s="146">
        <f t="shared" si="4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5"/>
        <v>0</v>
      </c>
      <c r="X11" s="19">
        <v>0</v>
      </c>
      <c r="Y11" s="19">
        <v>0</v>
      </c>
      <c r="Z11" s="20">
        <v>0</v>
      </c>
      <c r="AA11" s="150">
        <f t="shared" si="6"/>
        <v>0</v>
      </c>
      <c r="AB11" s="7"/>
      <c r="AC11" s="150">
        <f t="shared" si="7"/>
        <v>0</v>
      </c>
      <c r="AE11" s="168"/>
      <c r="AF11" s="19">
        <v>0</v>
      </c>
      <c r="AG11" s="19">
        <v>0</v>
      </c>
      <c r="AH11" s="19">
        <v>0</v>
      </c>
    </row>
    <row r="12" spans="1:40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40" x14ac:dyDescent="0.2">
      <c r="A13" s="17" t="s">
        <v>33</v>
      </c>
      <c r="B13" s="18" t="s">
        <v>208</v>
      </c>
      <c r="C13" s="18">
        <f>VLOOKUP($AN$1,DST!C:D,2,FALSE)</f>
        <v>10</v>
      </c>
      <c r="D13" s="147"/>
      <c r="E13" s="147"/>
      <c r="F13" s="147"/>
      <c r="G13" s="147"/>
      <c r="H13" s="147"/>
      <c r="I13" s="146">
        <f t="shared" ref="I13:I20" si="12">D$35*W13</f>
        <v>0</v>
      </c>
      <c r="J13" s="146">
        <f t="shared" ref="J13:J20" si="13">I13*V13</f>
        <v>0</v>
      </c>
      <c r="K13" s="146">
        <f t="shared" ref="K13:K20" si="14">I13*X13</f>
        <v>0</v>
      </c>
      <c r="L13" s="146">
        <f t="shared" ref="L13:L20" si="15">((D$2+D$3+D$4)*AA13)</f>
        <v>129.03659999999996</v>
      </c>
      <c r="M13" s="146">
        <f t="shared" ref="M13:N20" si="16">L13*Y13</f>
        <v>77.42195999999997</v>
      </c>
      <c r="N13" s="146">
        <f t="shared" si="16"/>
        <v>1072.2941459999995</v>
      </c>
      <c r="O13" s="146">
        <f t="shared" ref="O13:O20" si="17">M13*AH13</f>
        <v>6.271178759999998</v>
      </c>
      <c r="Q13" s="13"/>
      <c r="R13" s="139"/>
      <c r="S13" s="138"/>
      <c r="T13" s="139"/>
      <c r="U13" s="139"/>
      <c r="V13" s="107">
        <v>5.0199999999999996</v>
      </c>
      <c r="W13" s="150">
        <f t="shared" ref="W13:W20" si="18">(AF13/SUM(AF$2:AF$20))*0.98</f>
        <v>0</v>
      </c>
      <c r="X13" s="19">
        <v>0</v>
      </c>
      <c r="Y13" s="19">
        <v>0.6</v>
      </c>
      <c r="Z13" s="20">
        <v>13.85</v>
      </c>
      <c r="AA13" s="150">
        <f t="shared" ref="AA13:AA20" si="19">(AG13/SUM(AG$6:AG$25))*0.98</f>
        <v>0.23519999999999994</v>
      </c>
      <c r="AB13" s="7">
        <v>0.1552631323112294</v>
      </c>
      <c r="AC13" s="150">
        <f t="shared" ref="AC13:AC20" si="20">(AH13/SUM(AH$6:AH$25))*0.98</f>
        <v>0.11099404230671933</v>
      </c>
      <c r="AE13" s="168"/>
      <c r="AF13" s="19">
        <v>0</v>
      </c>
      <c r="AG13" s="19">
        <v>0.24</v>
      </c>
      <c r="AH13" s="19">
        <v>8.1000000000000003E-2</v>
      </c>
    </row>
    <row r="14" spans="1:40" x14ac:dyDescent="0.2">
      <c r="A14" s="17" t="s">
        <v>146</v>
      </c>
      <c r="B14" s="18" t="s">
        <v>208</v>
      </c>
      <c r="C14" s="18">
        <f>VLOOKUP($AN$1,DST!C:D,2,FALSE)</f>
        <v>10</v>
      </c>
      <c r="D14" s="147"/>
      <c r="E14" s="147"/>
      <c r="F14" s="147"/>
      <c r="G14" s="147"/>
      <c r="H14" s="147"/>
      <c r="I14" s="146">
        <f t="shared" si="12"/>
        <v>0</v>
      </c>
      <c r="J14" s="146">
        <f t="shared" si="13"/>
        <v>0</v>
      </c>
      <c r="K14" s="146">
        <f t="shared" si="14"/>
        <v>0</v>
      </c>
      <c r="L14" s="146">
        <f t="shared" si="15"/>
        <v>86.024399999999986</v>
      </c>
      <c r="M14" s="146">
        <f t="shared" si="16"/>
        <v>54.023323199999993</v>
      </c>
      <c r="N14" s="146">
        <f t="shared" si="16"/>
        <v>700.142268672</v>
      </c>
      <c r="O14" s="146">
        <f t="shared" si="17"/>
        <v>3.7384237329299896</v>
      </c>
      <c r="Q14" s="13"/>
      <c r="R14" s="139"/>
      <c r="S14" s="138"/>
      <c r="T14" s="139"/>
      <c r="U14" s="139"/>
      <c r="V14" s="107">
        <v>6.51</v>
      </c>
      <c r="W14" s="150">
        <f t="shared" si="18"/>
        <v>0</v>
      </c>
      <c r="X14" s="19">
        <v>0</v>
      </c>
      <c r="Y14" s="19">
        <v>0.628</v>
      </c>
      <c r="Z14" s="20">
        <v>12.96</v>
      </c>
      <c r="AA14" s="150">
        <f t="shared" si="19"/>
        <v>0.15679999999999997</v>
      </c>
      <c r="AB14" s="7">
        <v>0.18009043977311381</v>
      </c>
      <c r="AC14" s="150">
        <f t="shared" si="20"/>
        <v>9.4824787598742327E-2</v>
      </c>
      <c r="AE14" s="168"/>
      <c r="AF14" s="19">
        <v>0</v>
      </c>
      <c r="AG14" s="19">
        <v>0.16</v>
      </c>
      <c r="AH14" s="19">
        <v>6.920018080135415E-2</v>
      </c>
    </row>
    <row r="15" spans="1:40" x14ac:dyDescent="0.2">
      <c r="A15" s="17" t="s">
        <v>201</v>
      </c>
      <c r="B15" s="18" t="s">
        <v>208</v>
      </c>
      <c r="C15" s="18">
        <f>VLOOKUP($AN$1,DST!C:D,2,FALSE)</f>
        <v>10</v>
      </c>
      <c r="D15" s="147"/>
      <c r="E15" s="147"/>
      <c r="F15" s="147"/>
      <c r="G15" s="147"/>
      <c r="H15" s="147"/>
      <c r="I15" s="146">
        <f t="shared" si="12"/>
        <v>0</v>
      </c>
      <c r="J15" s="146">
        <f t="shared" si="13"/>
        <v>0</v>
      </c>
      <c r="K15" s="146">
        <f t="shared" si="14"/>
        <v>0</v>
      </c>
      <c r="L15" s="146">
        <f t="shared" si="15"/>
        <v>87.099704999999986</v>
      </c>
      <c r="M15" s="146">
        <f t="shared" si="16"/>
        <v>52.085623589999983</v>
      </c>
      <c r="N15" s="146">
        <f t="shared" si="16"/>
        <v>571.3792907822999</v>
      </c>
      <c r="O15" s="146">
        <f t="shared" si="17"/>
        <v>3.281394286169999</v>
      </c>
      <c r="Q15" s="13"/>
      <c r="R15" s="139"/>
      <c r="S15" s="138"/>
      <c r="T15" s="139"/>
      <c r="U15" s="139"/>
      <c r="V15" s="107">
        <v>4.38</v>
      </c>
      <c r="W15" s="150">
        <f t="shared" si="18"/>
        <v>0</v>
      </c>
      <c r="X15" s="19">
        <v>7.5757575757575768E-3</v>
      </c>
      <c r="Y15" s="19">
        <v>0.59799999999999986</v>
      </c>
      <c r="Z15" s="20">
        <v>10.97</v>
      </c>
      <c r="AA15" s="150">
        <f t="shared" si="19"/>
        <v>0.15875999999999998</v>
      </c>
      <c r="AB15" s="7">
        <v>7.7639242991379379E-2</v>
      </c>
      <c r="AC15" s="150">
        <f t="shared" si="20"/>
        <v>8.6328699571892806E-2</v>
      </c>
      <c r="AE15" s="168"/>
      <c r="AF15" s="19">
        <v>0</v>
      </c>
      <c r="AG15" s="19">
        <v>0.16200000000000001</v>
      </c>
      <c r="AH15" s="19">
        <v>6.3E-2</v>
      </c>
    </row>
    <row r="16" spans="1:40" x14ac:dyDescent="0.2">
      <c r="A16" s="17" t="s">
        <v>482</v>
      </c>
      <c r="B16" s="18" t="s">
        <v>208</v>
      </c>
      <c r="C16" s="18">
        <f>VLOOKUP($AN$1,DST!C:D,2,FALSE)</f>
        <v>10</v>
      </c>
      <c r="D16" s="147"/>
      <c r="E16" s="147"/>
      <c r="F16" s="147"/>
      <c r="G16" s="147"/>
      <c r="H16" s="147"/>
      <c r="I16" s="146">
        <f t="shared" si="12"/>
        <v>0</v>
      </c>
      <c r="J16" s="146">
        <f t="shared" si="13"/>
        <v>0</v>
      </c>
      <c r="K16" s="146">
        <f t="shared" si="14"/>
        <v>0</v>
      </c>
      <c r="L16" s="146">
        <f t="shared" si="15"/>
        <v>34.947412499999999</v>
      </c>
      <c r="M16" s="146">
        <f t="shared" si="16"/>
        <v>19.570551000000002</v>
      </c>
      <c r="N16" s="146">
        <f t="shared" si="16"/>
        <v>240.11280816840582</v>
      </c>
      <c r="O16" s="146">
        <f t="shared" si="17"/>
        <v>1.5007543833046004</v>
      </c>
      <c r="Q16" s="13"/>
      <c r="R16" s="139"/>
      <c r="S16" s="138"/>
      <c r="T16" s="139"/>
      <c r="U16" s="139"/>
      <c r="V16" s="107">
        <v>5.0199999999999996</v>
      </c>
      <c r="W16" s="150">
        <f t="shared" si="18"/>
        <v>0</v>
      </c>
      <c r="X16" s="19">
        <v>0</v>
      </c>
      <c r="Y16" s="19">
        <v>0.56000000000000005</v>
      </c>
      <c r="Z16" s="20">
        <v>12.269087782372903</v>
      </c>
      <c r="AA16" s="150">
        <f t="shared" si="19"/>
        <v>6.3699999999999993E-2</v>
      </c>
      <c r="AB16" s="7">
        <v>5.6345140854276228E-2</v>
      </c>
      <c r="AC16" s="150">
        <f t="shared" si="20"/>
        <v>0.10508027888149443</v>
      </c>
      <c r="AE16" s="168"/>
      <c r="AF16" s="19">
        <v>0</v>
      </c>
      <c r="AG16" s="19">
        <v>6.5000000000000002E-2</v>
      </c>
      <c r="AH16" s="19">
        <v>7.6684319378876986E-2</v>
      </c>
    </row>
    <row r="17" spans="1:34" x14ac:dyDescent="0.2">
      <c r="A17" s="17" t="s">
        <v>602</v>
      </c>
      <c r="B17" s="18" t="s">
        <v>208</v>
      </c>
      <c r="C17" s="18">
        <f>VLOOKUP($AN$1,DST!C:D,2,FALSE)</f>
        <v>10</v>
      </c>
      <c r="D17" s="147"/>
      <c r="E17" s="147"/>
      <c r="F17" s="147"/>
      <c r="G17" s="147"/>
      <c r="H17" s="147"/>
      <c r="I17" s="146">
        <f t="shared" si="12"/>
        <v>0</v>
      </c>
      <c r="J17" s="146">
        <f t="shared" si="13"/>
        <v>0</v>
      </c>
      <c r="K17" s="146">
        <f t="shared" si="14"/>
        <v>0</v>
      </c>
      <c r="L17" s="146">
        <f t="shared" si="15"/>
        <v>9.140092499999998</v>
      </c>
      <c r="M17" s="146">
        <f t="shared" si="16"/>
        <v>5.6851375349999991</v>
      </c>
      <c r="N17" s="146">
        <f t="shared" si="16"/>
        <v>65.265378901799991</v>
      </c>
      <c r="O17" s="146">
        <f t="shared" si="17"/>
        <v>0.34110825209999995</v>
      </c>
      <c r="Q17" s="13"/>
      <c r="R17" s="139"/>
      <c r="S17" s="138"/>
      <c r="T17" s="139"/>
      <c r="U17" s="139"/>
      <c r="V17" s="107">
        <v>5.0199999999999996</v>
      </c>
      <c r="W17" s="150">
        <f t="shared" si="18"/>
        <v>0</v>
      </c>
      <c r="X17" s="19">
        <v>0</v>
      </c>
      <c r="Y17" s="19">
        <v>0.622</v>
      </c>
      <c r="Z17" s="20">
        <v>11.48</v>
      </c>
      <c r="AA17" s="150">
        <f t="shared" si="19"/>
        <v>1.6659999999999998E-2</v>
      </c>
      <c r="AB17" s="7">
        <v>1.3683142804749313E-2</v>
      </c>
      <c r="AC17" s="150">
        <f t="shared" si="20"/>
        <v>8.2217809116088392E-2</v>
      </c>
      <c r="AE17" s="168"/>
      <c r="AF17" s="19">
        <v>0</v>
      </c>
      <c r="AG17" s="19">
        <v>1.7000000000000001E-2</v>
      </c>
      <c r="AH17" s="19">
        <v>6.0000000000000005E-2</v>
      </c>
    </row>
    <row r="18" spans="1:34" x14ac:dyDescent="0.2">
      <c r="A18" s="17" t="s">
        <v>427</v>
      </c>
      <c r="B18" s="18" t="s">
        <v>208</v>
      </c>
      <c r="C18" s="18">
        <f>VLOOKUP($AN$1,DST!C:D,2,FALSE)</f>
        <v>10</v>
      </c>
      <c r="D18" s="147"/>
      <c r="E18" s="147"/>
      <c r="F18" s="147"/>
      <c r="G18" s="147"/>
      <c r="H18" s="147"/>
      <c r="I18" s="146">
        <f t="shared" si="12"/>
        <v>0</v>
      </c>
      <c r="J18" s="146">
        <f t="shared" si="13"/>
        <v>0</v>
      </c>
      <c r="K18" s="146">
        <f t="shared" si="14"/>
        <v>0</v>
      </c>
      <c r="L18" s="146">
        <f t="shared" si="15"/>
        <v>5.3765249999999991</v>
      </c>
      <c r="M18" s="146">
        <f t="shared" si="16"/>
        <v>3.2904332999999992</v>
      </c>
      <c r="N18" s="146">
        <f t="shared" si="16"/>
        <v>35.317887895880361</v>
      </c>
      <c r="O18" s="146">
        <f t="shared" si="17"/>
        <v>0.20826734748783171</v>
      </c>
      <c r="Q18" s="13"/>
      <c r="R18" s="139"/>
      <c r="S18" s="138"/>
      <c r="T18" s="139"/>
      <c r="U18" s="139"/>
      <c r="V18" s="107">
        <v>5.0199999999999996</v>
      </c>
      <c r="W18" s="150">
        <f t="shared" si="18"/>
        <v>0</v>
      </c>
      <c r="X18" s="19">
        <v>0</v>
      </c>
      <c r="Y18" s="19">
        <v>0.61199999999999999</v>
      </c>
      <c r="Z18" s="20">
        <v>10.733506707423722</v>
      </c>
      <c r="AA18" s="150">
        <f t="shared" si="19"/>
        <v>9.7999999999999979E-3</v>
      </c>
      <c r="AB18" s="7">
        <v>6.7741016058129294E-2</v>
      </c>
      <c r="AC18" s="150">
        <f t="shared" si="20"/>
        <v>8.6732675505424572E-2</v>
      </c>
      <c r="AE18" s="168"/>
      <c r="AF18" s="19">
        <v>0</v>
      </c>
      <c r="AG18" s="19">
        <v>0.01</v>
      </c>
      <c r="AH18" s="19">
        <v>6.3294809072054967E-2</v>
      </c>
    </row>
    <row r="19" spans="1:34" x14ac:dyDescent="0.2">
      <c r="B19" s="18" t="s">
        <v>208</v>
      </c>
      <c r="C19" s="18">
        <f>VLOOKUP($AN$1,DST!C:D,2,FALSE)</f>
        <v>10</v>
      </c>
      <c r="D19" s="147"/>
      <c r="E19" s="147"/>
      <c r="F19" s="147"/>
      <c r="G19" s="147"/>
      <c r="H19" s="147"/>
      <c r="I19" s="146">
        <f t="shared" si="12"/>
        <v>0</v>
      </c>
      <c r="J19" s="146">
        <f t="shared" si="13"/>
        <v>0</v>
      </c>
      <c r="K19" s="146">
        <f t="shared" si="14"/>
        <v>0</v>
      </c>
      <c r="L19" s="146">
        <f t="shared" si="15"/>
        <v>0</v>
      </c>
      <c r="M19" s="146">
        <f t="shared" si="16"/>
        <v>0</v>
      </c>
      <c r="N19" s="146">
        <f t="shared" si="16"/>
        <v>0</v>
      </c>
      <c r="O19" s="146">
        <f t="shared" si="17"/>
        <v>0</v>
      </c>
      <c r="Q19" s="13"/>
      <c r="R19" s="139"/>
      <c r="S19" s="138"/>
      <c r="T19" s="139"/>
      <c r="U19" s="139"/>
      <c r="V19" s="107">
        <v>0</v>
      </c>
      <c r="W19" s="150">
        <f t="shared" si="18"/>
        <v>0</v>
      </c>
      <c r="X19" s="19">
        <v>0</v>
      </c>
      <c r="Y19" s="19">
        <v>0</v>
      </c>
      <c r="Z19" s="20">
        <v>0</v>
      </c>
      <c r="AA19" s="150">
        <f t="shared" si="19"/>
        <v>0</v>
      </c>
      <c r="AB19" s="7"/>
      <c r="AC19" s="150">
        <f t="shared" si="20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208</v>
      </c>
      <c r="C20" s="18">
        <f>VLOOKUP($AN$1,DST!C:D,2,FALSE)</f>
        <v>10</v>
      </c>
      <c r="D20" s="147"/>
      <c r="E20" s="147"/>
      <c r="F20" s="147"/>
      <c r="G20" s="147"/>
      <c r="H20" s="147"/>
      <c r="I20" s="146">
        <f t="shared" si="12"/>
        <v>0</v>
      </c>
      <c r="J20" s="146">
        <f t="shared" si="13"/>
        <v>0</v>
      </c>
      <c r="K20" s="146">
        <f t="shared" si="14"/>
        <v>0</v>
      </c>
      <c r="L20" s="146">
        <f t="shared" si="15"/>
        <v>0</v>
      </c>
      <c r="M20" s="146">
        <f t="shared" si="16"/>
        <v>0</v>
      </c>
      <c r="N20" s="146">
        <f t="shared" si="16"/>
        <v>0</v>
      </c>
      <c r="O20" s="146">
        <f t="shared" si="17"/>
        <v>0</v>
      </c>
      <c r="Q20" s="13"/>
      <c r="R20" s="139"/>
      <c r="S20" s="138"/>
      <c r="T20" s="139"/>
      <c r="U20" s="139"/>
      <c r="V20" s="107">
        <v>0</v>
      </c>
      <c r="W20" s="150">
        <f t="shared" si="18"/>
        <v>0</v>
      </c>
      <c r="X20" s="19">
        <v>0</v>
      </c>
      <c r="Y20" s="19">
        <v>0</v>
      </c>
      <c r="Z20" s="20">
        <v>0</v>
      </c>
      <c r="AA20" s="150">
        <f t="shared" si="19"/>
        <v>0</v>
      </c>
      <c r="AB20" s="7"/>
      <c r="AC20" s="150">
        <f t="shared" si="20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65"/>
      <c r="M21" s="165"/>
      <c r="N21" s="165"/>
      <c r="O21" s="165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32</v>
      </c>
      <c r="B22" s="18" t="s">
        <v>10</v>
      </c>
      <c r="C22" s="18">
        <f>VLOOKUP($AN$1,DST!C:D,2,FALSE)</f>
        <v>10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102.15397499999997</v>
      </c>
      <c r="M22" s="146">
        <f t="shared" ref="M22:N25" si="21">L22*Y22</f>
        <v>68.443163249999984</v>
      </c>
      <c r="N22" s="146">
        <f t="shared" si="21"/>
        <v>718.65321412499986</v>
      </c>
      <c r="O22" s="146">
        <f t="shared" ref="O22:O25" si="22">M22*AH22</f>
        <v>5.3385667334999987</v>
      </c>
      <c r="Q22" s="13"/>
      <c r="R22" s="139"/>
      <c r="S22" s="138"/>
      <c r="T22" s="139"/>
      <c r="U22" s="139"/>
      <c r="V22" s="140"/>
      <c r="W22" s="154"/>
      <c r="X22" s="139"/>
      <c r="Y22" s="19">
        <v>0.67</v>
      </c>
      <c r="Z22" s="20">
        <v>10.5</v>
      </c>
      <c r="AA22" s="150">
        <f>(AG22/SUM(AG$6:AG$25))*0.98</f>
        <v>0.18619999999999995</v>
      </c>
      <c r="AB22" s="7">
        <v>0.12691514210755367</v>
      </c>
      <c r="AC22" s="150">
        <f>(AH22/SUM(AH$6:AH$25))*0.98</f>
        <v>0.1068831518509149</v>
      </c>
      <c r="AE22" s="168"/>
      <c r="AF22" s="168"/>
      <c r="AG22" s="19">
        <v>0.19</v>
      </c>
      <c r="AH22" s="19">
        <v>7.8E-2</v>
      </c>
    </row>
    <row r="23" spans="1:34" x14ac:dyDescent="0.2">
      <c r="A23" s="17" t="s">
        <v>149</v>
      </c>
      <c r="B23" s="18" t="s">
        <v>10</v>
      </c>
      <c r="C23" s="18">
        <f>VLOOKUP($AN$1,DST!C:D,2,FALSE)</f>
        <v>10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16.129574999999996</v>
      </c>
      <c r="M23" s="146">
        <f t="shared" si="21"/>
        <v>10.887463125000002</v>
      </c>
      <c r="N23" s="146">
        <f t="shared" si="21"/>
        <v>106.11131499374042</v>
      </c>
      <c r="O23" s="146">
        <f t="shared" si="22"/>
        <v>0.7185725662500001</v>
      </c>
      <c r="Q23" s="13"/>
      <c r="R23" s="139"/>
      <c r="S23" s="138"/>
      <c r="T23" s="139"/>
      <c r="U23" s="139"/>
      <c r="V23" s="140"/>
      <c r="W23" s="154"/>
      <c r="X23" s="139"/>
      <c r="Y23" s="19">
        <v>0.67500000000000027</v>
      </c>
      <c r="Z23" s="20">
        <v>9.7461928252216605</v>
      </c>
      <c r="AA23" s="150">
        <f>(AG23/SUM(AG$6:AG$25))*0.98</f>
        <v>2.9399999999999992E-2</v>
      </c>
      <c r="AB23" s="7">
        <v>5.7662481630238557E-2</v>
      </c>
      <c r="AC23" s="150">
        <f>(AH23/SUM(AH$6:AH$25))*0.98</f>
        <v>9.0439590027697234E-2</v>
      </c>
      <c r="AE23" s="168"/>
      <c r="AF23" s="168"/>
      <c r="AG23" s="19">
        <v>0.03</v>
      </c>
      <c r="AH23" s="19">
        <v>6.6000000000000003E-2</v>
      </c>
    </row>
    <row r="24" spans="1:34" x14ac:dyDescent="0.2">
      <c r="B24" s="18" t="s">
        <v>10</v>
      </c>
      <c r="C24" s="18">
        <f>VLOOKUP($AN$1,DST!C:D,2,FALSE)</f>
        <v>10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0</v>
      </c>
      <c r="M24" s="146">
        <f t="shared" si="21"/>
        <v>0</v>
      </c>
      <c r="N24" s="146">
        <f t="shared" si="21"/>
        <v>0</v>
      </c>
      <c r="O24" s="146">
        <f t="shared" si="22"/>
        <v>0</v>
      </c>
      <c r="Q24" s="13"/>
      <c r="R24" s="139"/>
      <c r="S24" s="138"/>
      <c r="T24" s="139"/>
      <c r="U24" s="139"/>
      <c r="V24" s="140"/>
      <c r="W24" s="154"/>
      <c r="X24" s="139"/>
      <c r="Y24" s="19">
        <v>0</v>
      </c>
      <c r="Z24" s="20">
        <v>0</v>
      </c>
      <c r="AA24" s="150">
        <f>(AG24/SUM(AG$6:AG$25))*0.98</f>
        <v>0</v>
      </c>
      <c r="AB24" s="7">
        <v>5.944638908285093E-2</v>
      </c>
      <c r="AC24" s="150">
        <f>(AH24/SUM(AH$6:AH$25))*0.98</f>
        <v>0</v>
      </c>
      <c r="AE24" s="168"/>
      <c r="AF24" s="168"/>
      <c r="AG24" s="19">
        <v>0</v>
      </c>
      <c r="AH24" s="19">
        <v>0</v>
      </c>
    </row>
    <row r="25" spans="1:34" x14ac:dyDescent="0.2">
      <c r="B25" s="18" t="s">
        <v>10</v>
      </c>
      <c r="C25" s="18">
        <f>VLOOKUP($AN$1,DST!C:D,2,FALSE)</f>
        <v>10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21"/>
        <v>0</v>
      </c>
      <c r="N25" s="146">
        <f t="shared" si="21"/>
        <v>0</v>
      </c>
      <c r="O25" s="146">
        <f t="shared" si="22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/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264</v>
      </c>
      <c r="X27" s="30"/>
      <c r="Y27" s="30"/>
      <c r="Z27" s="31"/>
      <c r="AA27" s="9" t="s">
        <v>264</v>
      </c>
      <c r="AB27" s="9" t="s">
        <v>264</v>
      </c>
      <c r="AC27" s="9" t="s">
        <v>264</v>
      </c>
      <c r="AD27" s="44"/>
      <c r="AE27" s="9" t="s">
        <v>264</v>
      </c>
      <c r="AF27" s="9" t="s">
        <v>264</v>
      </c>
      <c r="AG27" s="9" t="s">
        <v>264</v>
      </c>
    </row>
    <row r="28" spans="1:34" s="27" customFormat="1" x14ac:dyDescent="0.2">
      <c r="A28" s="45" t="s">
        <v>265</v>
      </c>
      <c r="B28" s="28"/>
      <c r="C28" s="28"/>
      <c r="D28" s="34" t="s">
        <v>269</v>
      </c>
      <c r="E28" s="34" t="s">
        <v>266</v>
      </c>
      <c r="F28" s="155" t="s">
        <v>267</v>
      </c>
      <c r="G28" s="34" t="s">
        <v>286</v>
      </c>
      <c r="H28" s="34" t="s">
        <v>268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0.98</v>
      </c>
      <c r="X28" s="30"/>
      <c r="Y28" s="30"/>
      <c r="Z28" s="31"/>
      <c r="AA28" s="150">
        <f>SUM(AA6:AA25)</f>
        <v>0.97999999999999976</v>
      </c>
      <c r="AB28" s="150">
        <f>SUM(AB2:AB4,AB6:AB11,AB13:AB20,AB22:AB25)</f>
        <v>0.97499999999999998</v>
      </c>
      <c r="AC28" s="150">
        <f>SUM(AC6:AC25)</f>
        <v>0.97999999999999976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1.0000000000000002</v>
      </c>
    </row>
    <row r="29" spans="1:34" s="27" customFormat="1" x14ac:dyDescent="0.2">
      <c r="A29" s="43"/>
      <c r="B29" s="28"/>
      <c r="C29" s="28"/>
      <c r="D29" s="46">
        <v>1045</v>
      </c>
      <c r="E29" s="47">
        <v>0.52500000000000002</v>
      </c>
      <c r="F29" s="2">
        <f>1-E29</f>
        <v>0.47499999999999998</v>
      </c>
      <c r="G29" s="106">
        <v>4.5</v>
      </c>
      <c r="H29" s="126">
        <v>3.7499999999999999E-2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265</v>
      </c>
      <c r="B31" s="28"/>
      <c r="C31" s="28"/>
      <c r="D31" s="162" t="s">
        <v>278</v>
      </c>
      <c r="E31" s="162" t="s">
        <v>1</v>
      </c>
      <c r="F31" s="162" t="s">
        <v>263</v>
      </c>
      <c r="G31" s="162" t="s">
        <v>137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548.625</v>
      </c>
      <c r="E32" s="156">
        <f>SUM(E2:E4)</f>
        <v>343.15673067767835</v>
      </c>
      <c r="F32" s="156">
        <f>SUM(F2:F4)</f>
        <v>3904.1683269556238</v>
      </c>
      <c r="G32" s="156">
        <f>SUM(G2:G4)</f>
        <v>23.437778618131968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265</v>
      </c>
      <c r="B34" s="28"/>
      <c r="C34" s="28"/>
      <c r="D34" s="162" t="s">
        <v>270</v>
      </c>
      <c r="E34" s="162" t="s">
        <v>263</v>
      </c>
      <c r="F34" s="162" t="s">
        <v>137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496.375</v>
      </c>
      <c r="E35" s="156">
        <f>D35*G29</f>
        <v>2233.6875</v>
      </c>
      <c r="F35" s="156">
        <f>D35*H29</f>
        <v>18.614062499999999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279</v>
      </c>
      <c r="B37" s="37"/>
      <c r="C37" s="37"/>
      <c r="D37" s="164" t="s">
        <v>273</v>
      </c>
      <c r="E37" s="164" t="s">
        <v>274</v>
      </c>
      <c r="F37" s="164" t="s">
        <v>275</v>
      </c>
      <c r="G37" s="164" t="s">
        <v>271</v>
      </c>
      <c r="H37" s="164" t="s">
        <v>272</v>
      </c>
      <c r="I37" s="160" t="s">
        <v>276</v>
      </c>
      <c r="J37" s="160" t="s">
        <v>277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3.5" thickBot="1" x14ac:dyDescent="0.25">
      <c r="D38" s="157">
        <f>SUM(I2:I20)</f>
        <v>486.44749999999999</v>
      </c>
      <c r="E38" s="157">
        <f>SUM(J2:J4,J6:J11,J13:J20)</f>
        <v>2221.8164255287552</v>
      </c>
      <c r="F38" s="157">
        <f>SUM(K2:K4,K6:K11,K13:K20)</f>
        <v>18.600781457363993</v>
      </c>
      <c r="G38" s="157">
        <f>SUM(L6:L11,L13:L20,L22:L25)</f>
        <v>537.65249999999992</v>
      </c>
      <c r="H38" s="157">
        <f>SUM(M6:M11,M13:M20,M22:M25)</f>
        <v>341.87118099750001</v>
      </c>
      <c r="I38" s="157">
        <f>SUM(N6:N11,N13:N20,N22:N25)</f>
        <v>3885.9658664366261</v>
      </c>
      <c r="J38" s="157">
        <f>SUM(O6:O11,O13:O20,O22:O25)</f>
        <v>23.413539574225567</v>
      </c>
      <c r="V38" s="181"/>
      <c r="X38" s="30"/>
      <c r="Y38" s="30"/>
      <c r="Z38" s="181"/>
      <c r="AH38" s="30"/>
    </row>
    <row r="39" spans="1:34" ht="13.5" thickTop="1" x14ac:dyDescent="0.2">
      <c r="D39" s="158">
        <f>D35-D38</f>
        <v>9.9275000000000091</v>
      </c>
      <c r="E39" s="158">
        <f>E35-E38</f>
        <v>11.87107447124481</v>
      </c>
      <c r="F39" s="158">
        <f>F35-F38</f>
        <v>1.3281042636005935E-2</v>
      </c>
      <c r="G39" s="158">
        <f>SUM(D2:D4)-G38</f>
        <v>10.972500000000082</v>
      </c>
      <c r="H39" s="158">
        <f>E32-H38</f>
        <v>1.2855496801783488</v>
      </c>
      <c r="I39" s="158">
        <f>F32-I38</f>
        <v>18.202460518997668</v>
      </c>
      <c r="J39" s="158">
        <f>G32-J38</f>
        <v>2.4239043906401747E-2</v>
      </c>
      <c r="V39" s="181"/>
      <c r="X39" s="30"/>
      <c r="Y39" s="30"/>
      <c r="Z39" s="181"/>
      <c r="AH39" s="30"/>
    </row>
    <row r="40" spans="1:34" x14ac:dyDescent="0.2">
      <c r="V40" s="181"/>
      <c r="X40" s="30"/>
      <c r="Y40" s="30"/>
      <c r="Z40" s="181"/>
      <c r="AH40" s="30"/>
    </row>
    <row r="41" spans="1:34" x14ac:dyDescent="0.2">
      <c r="V41" s="181"/>
      <c r="X41" s="30"/>
      <c r="Y41" s="30"/>
      <c r="Z41" s="181"/>
      <c r="AH41" s="30"/>
    </row>
    <row r="42" spans="1:34" x14ac:dyDescent="0.2">
      <c r="V42" s="181"/>
      <c r="X42" s="30"/>
      <c r="Y42" s="30"/>
      <c r="Z42" s="181"/>
      <c r="AH42" s="30"/>
    </row>
    <row r="43" spans="1:34" x14ac:dyDescent="0.2">
      <c r="V43" s="181"/>
      <c r="X43" s="30"/>
      <c r="Y43" s="30"/>
      <c r="Z43" s="181"/>
      <c r="AH43" s="30"/>
    </row>
    <row r="44" spans="1:34" x14ac:dyDescent="0.2">
      <c r="V44" s="181"/>
      <c r="X44" s="30"/>
      <c r="Y44" s="30"/>
      <c r="Z44" s="181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sortState xmlns:xlrd2="http://schemas.microsoft.com/office/spreadsheetml/2017/richdata2" ref="A13:AH20">
    <sortCondition descending="1" ref="N13:N20"/>
  </sortState>
  <conditionalFormatting sqref="D39:J39">
    <cfRule type="cellIs" dxfId="74" priority="1" operator="lessThan">
      <formula>0</formula>
    </cfRule>
  </conditionalFormatting>
  <conditionalFormatting sqref="W28">
    <cfRule type="cellIs" dxfId="73" priority="2" operator="greaterThan">
      <formula>1</formula>
    </cfRule>
  </conditionalFormatting>
  <conditionalFormatting sqref="AA28:AG28">
    <cfRule type="cellIs" dxfId="72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rgb="FF002CB8"/>
  </sheetPr>
  <dimension ref="A1:AN64"/>
  <sheetViews>
    <sheetView showGridLines="0" zoomScale="85" zoomScaleNormal="85"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defaultColWidth="8.7109375" defaultRowHeight="12.75" x14ac:dyDescent="0.2"/>
  <cols>
    <col min="1" max="1" width="22.5703125" style="17" customWidth="1"/>
    <col min="2" max="3" width="8.7109375" style="18"/>
    <col min="4" max="13" width="8.7109375" style="23"/>
    <col min="14" max="15" width="8.7109375" style="18"/>
    <col min="16" max="16" width="4.7109375" style="18" customWidth="1"/>
    <col min="17" max="18" width="8.7109375" style="26"/>
    <col min="19" max="19" width="8.7109375" style="23"/>
    <col min="20" max="21" width="8.7109375" style="26"/>
    <col min="22" max="23" width="8.7109375" style="25"/>
    <col min="24" max="25" width="8.7109375" style="26"/>
    <col min="26" max="26" width="8.7109375" style="25"/>
    <col min="27" max="27" width="8.7109375" style="18"/>
    <col min="28" max="28" width="0" style="18" hidden="1" customWidth="1"/>
    <col min="29" max="29" width="8.7109375" style="26"/>
    <col min="30" max="30" width="4.7109375" style="17" customWidth="1"/>
    <col min="31" max="32" width="8.7109375" style="18"/>
    <col min="33" max="16384" width="8.7109375" style="17"/>
  </cols>
  <sheetData>
    <row r="1" spans="1:40" s="15" customFormat="1" ht="25.5" customHeight="1" x14ac:dyDescent="0.2">
      <c r="A1" s="15" t="s">
        <v>0</v>
      </c>
      <c r="B1" s="15" t="s">
        <v>8</v>
      </c>
      <c r="C1" s="15" t="s">
        <v>122</v>
      </c>
      <c r="D1" s="159" t="s">
        <v>210</v>
      </c>
      <c r="E1" s="159" t="s">
        <v>1</v>
      </c>
      <c r="F1" s="159" t="s">
        <v>213</v>
      </c>
      <c r="G1" s="159" t="s">
        <v>228</v>
      </c>
      <c r="H1" s="159" t="s">
        <v>2</v>
      </c>
      <c r="I1" s="159" t="s">
        <v>229</v>
      </c>
      <c r="J1" s="159" t="s">
        <v>217</v>
      </c>
      <c r="K1" s="159" t="s">
        <v>230</v>
      </c>
      <c r="L1" s="159" t="s">
        <v>219</v>
      </c>
      <c r="M1" s="159" t="s">
        <v>4</v>
      </c>
      <c r="N1" s="159" t="s">
        <v>223</v>
      </c>
      <c r="O1" s="159" t="s">
        <v>231</v>
      </c>
      <c r="Q1" s="160" t="s">
        <v>281</v>
      </c>
      <c r="R1" s="133" t="s">
        <v>232</v>
      </c>
      <c r="S1" s="134" t="s">
        <v>451</v>
      </c>
      <c r="T1" s="133" t="s">
        <v>205</v>
      </c>
      <c r="U1" s="133" t="s">
        <v>209</v>
      </c>
      <c r="V1" s="135" t="s">
        <v>280</v>
      </c>
      <c r="W1" s="161" t="s">
        <v>282</v>
      </c>
      <c r="X1" s="133" t="s">
        <v>233</v>
      </c>
      <c r="Y1" s="179" t="s">
        <v>234</v>
      </c>
      <c r="Z1" s="135" t="s">
        <v>235</v>
      </c>
      <c r="AA1" s="160" t="s">
        <v>236</v>
      </c>
      <c r="AB1" s="160" t="s">
        <v>237</v>
      </c>
      <c r="AC1" s="10" t="s">
        <v>262</v>
      </c>
      <c r="AE1" s="136" t="s">
        <v>283</v>
      </c>
      <c r="AF1" s="137" t="s">
        <v>284</v>
      </c>
      <c r="AG1" s="136" t="s">
        <v>285</v>
      </c>
      <c r="AH1" s="136" t="s">
        <v>450</v>
      </c>
      <c r="AN1" s="15" t="s">
        <v>95</v>
      </c>
    </row>
    <row r="2" spans="1:40" x14ac:dyDescent="0.2">
      <c r="A2" s="17" t="s">
        <v>36</v>
      </c>
      <c r="B2" s="18" t="s">
        <v>9</v>
      </c>
      <c r="C2" s="18">
        <f>VLOOKUP($AN$1,DST!C:D,2,FALSE)</f>
        <v>7</v>
      </c>
      <c r="D2" s="146">
        <f>D$32*Q2</f>
        <v>609.83243999999991</v>
      </c>
      <c r="E2" s="146">
        <f t="shared" ref="E2:F4" si="0">D2*R2</f>
        <v>411.99441147158257</v>
      </c>
      <c r="F2" s="146">
        <f t="shared" si="0"/>
        <v>4556.6581908757034</v>
      </c>
      <c r="G2" s="146">
        <f>D2*T2</f>
        <v>32.930951759999992</v>
      </c>
      <c r="H2" s="146">
        <f>E2*U2</f>
        <v>7.5420368362322785</v>
      </c>
      <c r="I2" s="146">
        <f>D$35*W2</f>
        <v>46.808098680000001</v>
      </c>
      <c r="J2" s="146">
        <f>I2*V2</f>
        <v>209.70028208640002</v>
      </c>
      <c r="K2" s="146">
        <f>I2*X2</f>
        <v>1.82551584852</v>
      </c>
      <c r="L2" s="147"/>
      <c r="M2" s="147"/>
      <c r="N2" s="147"/>
      <c r="O2" s="147"/>
      <c r="Q2" s="150">
        <f>(AE2/SUM(AE$2:AE$25))</f>
        <v>0.98</v>
      </c>
      <c r="R2" s="19">
        <v>0.67558625033391573</v>
      </c>
      <c r="S2" s="107">
        <v>11.06</v>
      </c>
      <c r="T2" s="19">
        <v>5.3999999999999999E-2</v>
      </c>
      <c r="U2" s="19">
        <v>1.8306162962971387E-2</v>
      </c>
      <c r="V2" s="107">
        <v>4.4800000000000004</v>
      </c>
      <c r="W2" s="150">
        <f>(AF2/SUM(AF$2:AF$20))*0.98</f>
        <v>0.10093999999999999</v>
      </c>
      <c r="X2" s="19">
        <v>3.9E-2</v>
      </c>
      <c r="Y2" s="21"/>
      <c r="Z2" s="22"/>
      <c r="AA2" s="1"/>
      <c r="AB2" s="1"/>
      <c r="AC2" s="1"/>
      <c r="AE2" s="19">
        <v>0.98</v>
      </c>
      <c r="AF2" s="19">
        <v>0.10299999999999999</v>
      </c>
      <c r="AG2" s="168"/>
      <c r="AH2" s="168"/>
    </row>
    <row r="3" spans="1:40" x14ac:dyDescent="0.2">
      <c r="A3" s="17" t="s">
        <v>540</v>
      </c>
      <c r="B3" s="18" t="s">
        <v>9</v>
      </c>
      <c r="C3" s="18">
        <f>VLOOKUP($AN$1,DST!C:D,2,FALSE)</f>
        <v>7</v>
      </c>
      <c r="D3" s="146">
        <f>D$32*Q3</f>
        <v>12.445560000000009</v>
      </c>
      <c r="E3" s="146">
        <f t="shared" si="0"/>
        <v>7.7169749141520727</v>
      </c>
      <c r="F3" s="146">
        <f t="shared" si="0"/>
        <v>82.184950252455806</v>
      </c>
      <c r="G3" s="146">
        <f t="shared" ref="G3:G4" si="1">D3*T3</f>
        <v>0.50404414639701622</v>
      </c>
      <c r="H3" s="146">
        <f>E3*U3</f>
        <v>0.27825469245695994</v>
      </c>
      <c r="I3" s="146">
        <f>D$35*W3</f>
        <v>2.2722378000000001</v>
      </c>
      <c r="J3" s="146">
        <f>I3*V3</f>
        <v>7.7130669439256323</v>
      </c>
      <c r="K3" s="146">
        <f>I3*X3</f>
        <v>1.6828437336013292E-2</v>
      </c>
      <c r="L3" s="147"/>
      <c r="M3" s="147"/>
      <c r="N3" s="147"/>
      <c r="O3" s="147"/>
      <c r="Q3" s="150">
        <f>(AE3/SUM(AE$2:AE$25))</f>
        <v>2.0000000000000018E-2</v>
      </c>
      <c r="R3" s="19">
        <v>0.6200584717884986</v>
      </c>
      <c r="S3" s="107">
        <v>10.649892110150281</v>
      </c>
      <c r="T3" s="19">
        <v>4.0499916950062179E-2</v>
      </c>
      <c r="U3" s="19">
        <v>3.6057483087922421E-2</v>
      </c>
      <c r="V3" s="107">
        <v>3.3944805178074371</v>
      </c>
      <c r="W3" s="150">
        <f>(AF3/SUM(AF$2:AF$20))*0.98</f>
        <v>4.8999999999999998E-3</v>
      </c>
      <c r="X3" s="19">
        <v>7.4061074663986717E-3</v>
      </c>
      <c r="Y3" s="21"/>
      <c r="Z3" s="22"/>
      <c r="AA3" s="1"/>
      <c r="AB3" s="1"/>
      <c r="AC3" s="1"/>
      <c r="AE3" s="19">
        <v>2.0000000000000018E-2</v>
      </c>
      <c r="AF3" s="19">
        <v>5.0000000000000001E-3</v>
      </c>
      <c r="AG3" s="168"/>
      <c r="AH3" s="168"/>
    </row>
    <row r="4" spans="1:40" x14ac:dyDescent="0.2">
      <c r="B4" s="18" t="s">
        <v>9</v>
      </c>
      <c r="C4" s="18">
        <f>VLOOKUP($AN$1,DST!C:D,2,FALSE)</f>
        <v>7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>E4*U4</f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/>
      <c r="AF4" s="19"/>
      <c r="AG4" s="168"/>
      <c r="AH4" s="168"/>
    </row>
    <row r="5" spans="1:40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40" x14ac:dyDescent="0.2">
      <c r="A6" s="176" t="s">
        <v>34</v>
      </c>
      <c r="B6" s="18" t="s">
        <v>207</v>
      </c>
      <c r="C6" s="18">
        <f>VLOOKUP($AN$1,DST!C:D,2,FALSE)</f>
        <v>7</v>
      </c>
      <c r="D6" s="147"/>
      <c r="E6" s="147"/>
      <c r="F6" s="147"/>
      <c r="G6" s="147"/>
      <c r="H6" s="147"/>
      <c r="I6" s="146">
        <f t="shared" ref="I6:I11" si="2">D$35*W6</f>
        <v>157.23885576000001</v>
      </c>
      <c r="J6" s="146">
        <f t="shared" ref="J6:J11" si="3">I6*V6</f>
        <v>638.38975438559999</v>
      </c>
      <c r="K6" s="146">
        <f t="shared" ref="K6:K11" si="4">I6*X6</f>
        <v>5.8178376631199997</v>
      </c>
      <c r="L6" s="146">
        <f t="shared" ref="L6:L11" si="5">((D$2+D$3+D$4)*AA6)</f>
        <v>38.419443719999983</v>
      </c>
      <c r="M6" s="146">
        <f t="shared" ref="M6:N11" si="6">L6*Y6</f>
        <v>29.006680008599986</v>
      </c>
      <c r="N6" s="146">
        <f t="shared" si="6"/>
        <v>203.59727080790125</v>
      </c>
      <c r="O6" s="146">
        <f t="shared" ref="O6:O11" si="7">M6*AH6</f>
        <v>1.1718579151996169</v>
      </c>
      <c r="Q6" s="13"/>
      <c r="R6" s="139"/>
      <c r="S6" s="138"/>
      <c r="T6" s="139"/>
      <c r="U6" s="139"/>
      <c r="V6" s="107">
        <v>4.0599999999999996</v>
      </c>
      <c r="W6" s="150">
        <f t="shared" ref="W6:W11" si="8">(AF6/SUM(AF$2:AF$20))*0.98</f>
        <v>0.33907999999999999</v>
      </c>
      <c r="X6" s="19">
        <v>3.6999999999999998E-2</v>
      </c>
      <c r="Y6" s="19">
        <v>0.755</v>
      </c>
      <c r="Z6" s="20">
        <v>7.0189787575668134</v>
      </c>
      <c r="AA6" s="150">
        <f t="shared" ref="AA6:AA11" si="9">(AG6/SUM(AG$6:AG$25))*0.98</f>
        <v>6.1739999999999982E-2</v>
      </c>
      <c r="AB6" s="7">
        <v>7.8154687715691583E-3</v>
      </c>
      <c r="AC6" s="150">
        <f t="shared" ref="AC6:AC11" si="10">(AH6/SUM(AH$6:AH$25))*0.98</f>
        <v>4.7117437962359419E-2</v>
      </c>
      <c r="AE6" s="168"/>
      <c r="AF6" s="19">
        <v>0.34599999999999997</v>
      </c>
      <c r="AG6" s="19">
        <v>6.3E-2</v>
      </c>
      <c r="AH6" s="19">
        <v>4.0399587779510825E-2</v>
      </c>
    </row>
    <row r="7" spans="1:40" x14ac:dyDescent="0.2">
      <c r="A7" s="17" t="s">
        <v>531</v>
      </c>
      <c r="B7" s="18" t="s">
        <v>207</v>
      </c>
      <c r="C7" s="18">
        <f>VLOOKUP($AN$1,DST!C:D,2,FALSE)</f>
        <v>7</v>
      </c>
      <c r="D7" s="147"/>
      <c r="E7" s="147"/>
      <c r="F7" s="147"/>
      <c r="G7" s="147"/>
      <c r="H7" s="147"/>
      <c r="I7" s="146">
        <f t="shared" si="2"/>
        <v>109.52186196000001</v>
      </c>
      <c r="J7" s="146">
        <f t="shared" si="3"/>
        <v>463.27747609080006</v>
      </c>
      <c r="K7" s="146">
        <f t="shared" si="4"/>
        <v>3.8332651686000005</v>
      </c>
      <c r="L7" s="146">
        <f t="shared" si="5"/>
        <v>35.980113959999983</v>
      </c>
      <c r="M7" s="146">
        <f t="shared" si="6"/>
        <v>26.445383760599984</v>
      </c>
      <c r="N7" s="146">
        <f t="shared" si="6"/>
        <v>206.27399333267988</v>
      </c>
      <c r="O7" s="146">
        <f t="shared" si="7"/>
        <v>1.3222691880299993</v>
      </c>
      <c r="Q7" s="13"/>
      <c r="R7" s="139"/>
      <c r="S7" s="138"/>
      <c r="T7" s="139"/>
      <c r="U7" s="139"/>
      <c r="V7" s="107">
        <v>4.2300000000000004</v>
      </c>
      <c r="W7" s="150">
        <f t="shared" si="8"/>
        <v>0.23618</v>
      </c>
      <c r="X7" s="19">
        <v>3.5000000000000003E-2</v>
      </c>
      <c r="Y7" s="19">
        <v>0.73499999999999988</v>
      </c>
      <c r="Z7" s="20">
        <v>7.8</v>
      </c>
      <c r="AA7" s="150">
        <f t="shared" si="9"/>
        <v>5.7819999999999983E-2</v>
      </c>
      <c r="AB7" s="7">
        <v>0.10971117726803035</v>
      </c>
      <c r="AC7" s="150">
        <f t="shared" si="10"/>
        <v>5.8314255852699122E-2</v>
      </c>
      <c r="AE7" s="168"/>
      <c r="AF7" s="19">
        <v>0.24099999999999999</v>
      </c>
      <c r="AG7" s="19">
        <v>5.8999999999999997E-2</v>
      </c>
      <c r="AH7" s="19">
        <v>0.05</v>
      </c>
    </row>
    <row r="8" spans="1:40" x14ac:dyDescent="0.2">
      <c r="A8" s="17" t="s">
        <v>702</v>
      </c>
      <c r="B8" s="18" t="s">
        <v>207</v>
      </c>
      <c r="C8" s="18">
        <f>VLOOKUP($AN$1,DST!C:D,2,FALSE)</f>
        <v>7</v>
      </c>
      <c r="D8" s="147"/>
      <c r="E8" s="147"/>
      <c r="F8" s="147"/>
      <c r="G8" s="147"/>
      <c r="H8" s="147"/>
      <c r="I8" s="146">
        <f t="shared" si="2"/>
        <v>119.51970828000002</v>
      </c>
      <c r="J8" s="146">
        <f t="shared" si="3"/>
        <v>474.49324187160011</v>
      </c>
      <c r="K8" s="146">
        <f t="shared" si="4"/>
        <v>4.3027094980800005</v>
      </c>
      <c r="L8" s="146">
        <f t="shared" si="5"/>
        <v>10.976983919999995</v>
      </c>
      <c r="M8" s="146">
        <f t="shared" si="6"/>
        <v>8.2217609560799971</v>
      </c>
      <c r="N8" s="146">
        <f t="shared" si="6"/>
        <v>58.950026055093581</v>
      </c>
      <c r="O8" s="146">
        <f t="shared" si="7"/>
        <v>0.32887043824319989</v>
      </c>
      <c r="Q8" s="13"/>
      <c r="R8" s="139"/>
      <c r="S8" s="138"/>
      <c r="T8" s="139"/>
      <c r="U8" s="139"/>
      <c r="V8" s="107">
        <v>3.97</v>
      </c>
      <c r="W8" s="150">
        <f t="shared" si="8"/>
        <v>0.25774000000000002</v>
      </c>
      <c r="X8" s="19">
        <v>3.5999999999999997E-2</v>
      </c>
      <c r="Y8" s="19">
        <v>0.749</v>
      </c>
      <c r="Z8" s="20">
        <v>7.17</v>
      </c>
      <c r="AA8" s="150">
        <f t="shared" si="9"/>
        <v>1.7639999999999996E-2</v>
      </c>
      <c r="AB8" s="7">
        <v>5.7342375667335743E-2</v>
      </c>
      <c r="AC8" s="150">
        <f t="shared" si="10"/>
        <v>4.6651404682159295E-2</v>
      </c>
      <c r="AE8" s="168"/>
      <c r="AF8" s="19">
        <v>0.26300000000000001</v>
      </c>
      <c r="AG8" s="19">
        <v>1.7999999999999999E-2</v>
      </c>
      <c r="AH8" s="19">
        <v>0.04</v>
      </c>
    </row>
    <row r="9" spans="1:40" x14ac:dyDescent="0.2">
      <c r="A9" s="176" t="s">
        <v>483</v>
      </c>
      <c r="B9" s="18" t="s">
        <v>207</v>
      </c>
      <c r="C9" s="18">
        <f>VLOOKUP($AN$1,DST!C:D,2,FALSE)</f>
        <v>7</v>
      </c>
      <c r="D9" s="147"/>
      <c r="E9" s="147"/>
      <c r="F9" s="147"/>
      <c r="G9" s="147"/>
      <c r="H9" s="147"/>
      <c r="I9" s="146">
        <f t="shared" si="2"/>
        <v>9.9978463200000007</v>
      </c>
      <c r="J9" s="146">
        <f t="shared" si="3"/>
        <v>40.091363743199999</v>
      </c>
      <c r="K9" s="146">
        <f t="shared" si="4"/>
        <v>0.26994185064000004</v>
      </c>
      <c r="L9" s="146">
        <f t="shared" si="5"/>
        <v>6.0983243999999974</v>
      </c>
      <c r="M9" s="146">
        <f t="shared" si="6"/>
        <v>5.0250193055999972</v>
      </c>
      <c r="N9" s="146">
        <f t="shared" si="6"/>
        <v>38.455220301033812</v>
      </c>
      <c r="O9" s="146">
        <f t="shared" si="7"/>
        <v>0.19095073361279988</v>
      </c>
      <c r="Q9" s="13"/>
      <c r="R9" s="139"/>
      <c r="S9" s="138"/>
      <c r="T9" s="139"/>
      <c r="U9" s="139"/>
      <c r="V9" s="107">
        <v>4.01</v>
      </c>
      <c r="W9" s="150">
        <f t="shared" si="8"/>
        <v>2.1559999999999999E-2</v>
      </c>
      <c r="X9" s="19">
        <v>2.7E-2</v>
      </c>
      <c r="Y9" s="19">
        <v>0.82399999999999984</v>
      </c>
      <c r="Z9" s="20">
        <v>7.6527507582266256</v>
      </c>
      <c r="AA9" s="150">
        <f t="shared" si="9"/>
        <v>9.7999999999999979E-3</v>
      </c>
      <c r="AB9" s="7">
        <v>0</v>
      </c>
      <c r="AC9" s="150">
        <f t="shared" si="10"/>
        <v>4.4318834448051327E-2</v>
      </c>
      <c r="AE9" s="168"/>
      <c r="AF9" s="19">
        <v>2.1999999999999999E-2</v>
      </c>
      <c r="AG9" s="19">
        <v>0.01</v>
      </c>
      <c r="AH9" s="19">
        <v>3.7999999999999999E-2</v>
      </c>
    </row>
    <row r="10" spans="1:40" x14ac:dyDescent="0.2">
      <c r="B10" s="18" t="s">
        <v>207</v>
      </c>
      <c r="C10" s="18">
        <f>VLOOKUP($AN$1,DST!C:D,2,FALSE)</f>
        <v>7</v>
      </c>
      <c r="D10" s="147"/>
      <c r="E10" s="147"/>
      <c r="F10" s="147"/>
      <c r="G10" s="147"/>
      <c r="H10" s="147"/>
      <c r="I10" s="146">
        <f t="shared" si="2"/>
        <v>0</v>
      </c>
      <c r="J10" s="146">
        <f t="shared" si="3"/>
        <v>0</v>
      </c>
      <c r="K10" s="146">
        <f t="shared" si="4"/>
        <v>0</v>
      </c>
      <c r="L10" s="146">
        <f t="shared" si="5"/>
        <v>0</v>
      </c>
      <c r="M10" s="146">
        <f t="shared" si="6"/>
        <v>0</v>
      </c>
      <c r="N10" s="146">
        <f t="shared" si="6"/>
        <v>0</v>
      </c>
      <c r="O10" s="146">
        <f t="shared" si="7"/>
        <v>0</v>
      </c>
      <c r="Q10" s="13"/>
      <c r="R10" s="139"/>
      <c r="S10" s="138"/>
      <c r="T10" s="139"/>
      <c r="U10" s="139"/>
      <c r="V10" s="107">
        <v>0</v>
      </c>
      <c r="W10" s="150">
        <f t="shared" si="8"/>
        <v>0</v>
      </c>
      <c r="X10" s="19">
        <v>0</v>
      </c>
      <c r="Y10" s="19">
        <v>0</v>
      </c>
      <c r="Z10" s="20">
        <v>0</v>
      </c>
      <c r="AA10" s="150">
        <f t="shared" si="9"/>
        <v>0</v>
      </c>
      <c r="AB10" s="7">
        <v>0</v>
      </c>
      <c r="AC10" s="150">
        <f t="shared" si="10"/>
        <v>0</v>
      </c>
      <c r="AE10" s="168"/>
      <c r="AF10" s="19">
        <v>0</v>
      </c>
      <c r="AG10" s="19">
        <v>0</v>
      </c>
      <c r="AH10" s="19">
        <v>0</v>
      </c>
    </row>
    <row r="11" spans="1:40" x14ac:dyDescent="0.2">
      <c r="B11" s="18" t="s">
        <v>207</v>
      </c>
      <c r="C11" s="18">
        <f>VLOOKUP($AN$1,DST!C:D,2,FALSE)</f>
        <v>7</v>
      </c>
      <c r="D11" s="147"/>
      <c r="E11" s="147"/>
      <c r="F11" s="147"/>
      <c r="G11" s="147"/>
      <c r="H11" s="147"/>
      <c r="I11" s="146">
        <f t="shared" si="2"/>
        <v>0</v>
      </c>
      <c r="J11" s="146">
        <f t="shared" si="3"/>
        <v>0</v>
      </c>
      <c r="K11" s="146">
        <f t="shared" si="4"/>
        <v>0</v>
      </c>
      <c r="L11" s="146">
        <f t="shared" si="5"/>
        <v>0</v>
      </c>
      <c r="M11" s="146">
        <f t="shared" si="6"/>
        <v>0</v>
      </c>
      <c r="N11" s="146">
        <f t="shared" si="6"/>
        <v>0</v>
      </c>
      <c r="O11" s="146">
        <f t="shared" si="7"/>
        <v>0</v>
      </c>
      <c r="Q11" s="13"/>
      <c r="R11" s="139"/>
      <c r="S11" s="138"/>
      <c r="T11" s="139"/>
      <c r="U11" s="139"/>
      <c r="V11" s="107">
        <v>0</v>
      </c>
      <c r="W11" s="150">
        <f t="shared" si="8"/>
        <v>0</v>
      </c>
      <c r="X11" s="19">
        <v>0</v>
      </c>
      <c r="Y11" s="19">
        <v>0</v>
      </c>
      <c r="Z11" s="20">
        <v>0</v>
      </c>
      <c r="AA11" s="150">
        <f t="shared" si="9"/>
        <v>0</v>
      </c>
      <c r="AB11" s="7">
        <v>0</v>
      </c>
      <c r="AC11" s="150">
        <f t="shared" si="10"/>
        <v>0</v>
      </c>
      <c r="AE11" s="168"/>
      <c r="AF11" s="19">
        <v>0</v>
      </c>
      <c r="AG11" s="19">
        <v>0</v>
      </c>
      <c r="AH11" s="19">
        <v>0</v>
      </c>
    </row>
    <row r="12" spans="1:40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40" x14ac:dyDescent="0.2">
      <c r="A13" s="17" t="s">
        <v>144</v>
      </c>
      <c r="B13" s="18" t="s">
        <v>208</v>
      </c>
      <c r="C13" s="18">
        <f>VLOOKUP($AN$1,DST!C:D,2,FALSE)</f>
        <v>7</v>
      </c>
      <c r="D13" s="147"/>
      <c r="E13" s="147"/>
      <c r="F13" s="147"/>
      <c r="G13" s="147"/>
      <c r="H13" s="147"/>
      <c r="I13" s="146">
        <f t="shared" ref="I13:I20" si="11">D$35*W13</f>
        <v>9.0889512000000003</v>
      </c>
      <c r="J13" s="146">
        <f t="shared" ref="J13:J20" si="12">I13*V13</f>
        <v>78.801206903999997</v>
      </c>
      <c r="K13" s="146">
        <f t="shared" ref="K13:K20" si="13">I13*X13</f>
        <v>0.36355804800000002</v>
      </c>
      <c r="L13" s="146">
        <f t="shared" ref="L13:L20" si="14">((D$2+D$3+D$4)*AA13)</f>
        <v>160.99576415999994</v>
      </c>
      <c r="M13" s="146">
        <f t="shared" ref="M13:N20" si="15">L13*Y13</f>
        <v>111.89205609119995</v>
      </c>
      <c r="N13" s="146">
        <f t="shared" si="15"/>
        <v>1444.4786463175233</v>
      </c>
      <c r="O13" s="146">
        <f t="shared" ref="O13:O20" si="16">M13*AH13</f>
        <v>10.18363511452486</v>
      </c>
      <c r="Q13" s="13"/>
      <c r="R13" s="139"/>
      <c r="S13" s="138"/>
      <c r="T13" s="139"/>
      <c r="U13" s="139"/>
      <c r="V13" s="107">
        <v>8.67</v>
      </c>
      <c r="W13" s="150">
        <f t="shared" ref="W13:W20" si="17">(AF13/SUM(AF$2:AF$20))*0.98</f>
        <v>1.9599999999999999E-2</v>
      </c>
      <c r="X13" s="19">
        <v>0.04</v>
      </c>
      <c r="Y13" s="19">
        <v>0.69499999999999995</v>
      </c>
      <c r="Z13" s="20">
        <v>12.909572822043513</v>
      </c>
      <c r="AA13" s="150">
        <f t="shared" ref="AA13:AA20" si="18">(AG13/SUM(AG$6:AG$25))*0.98</f>
        <v>0.25871999999999995</v>
      </c>
      <c r="AB13" s="7">
        <v>0.19706501903396839</v>
      </c>
      <c r="AC13" s="150">
        <f t="shared" ref="AC13:AC20" si="19">(AH13/SUM(AH$6:AH$25))*0.98</f>
        <v>0.10614714293835174</v>
      </c>
      <c r="AE13" s="168"/>
      <c r="AF13" s="19">
        <v>0.02</v>
      </c>
      <c r="AG13" s="19">
        <v>0.26400000000000001</v>
      </c>
      <c r="AH13" s="19">
        <v>9.1013030507049369E-2</v>
      </c>
    </row>
    <row r="14" spans="1:40" x14ac:dyDescent="0.2">
      <c r="A14" s="17" t="s">
        <v>50</v>
      </c>
      <c r="B14" s="18" t="s">
        <v>208</v>
      </c>
      <c r="C14" s="18">
        <f>VLOOKUP($AN$1,DST!C:D,2,FALSE)</f>
        <v>7</v>
      </c>
      <c r="D14" s="147"/>
      <c r="E14" s="147"/>
      <c r="F14" s="147"/>
      <c r="G14" s="147"/>
      <c r="H14" s="147"/>
      <c r="I14" s="146">
        <f t="shared" si="11"/>
        <v>0</v>
      </c>
      <c r="J14" s="146">
        <f t="shared" si="12"/>
        <v>0</v>
      </c>
      <c r="K14" s="146">
        <f t="shared" si="13"/>
        <v>0</v>
      </c>
      <c r="L14" s="146">
        <f t="shared" si="14"/>
        <v>98.183022839999964</v>
      </c>
      <c r="M14" s="146">
        <f t="shared" si="15"/>
        <v>64.408062983039997</v>
      </c>
      <c r="N14" s="146">
        <f t="shared" si="15"/>
        <v>774.18491705614076</v>
      </c>
      <c r="O14" s="146">
        <f t="shared" si="16"/>
        <v>5.6035014795244793</v>
      </c>
      <c r="Q14" s="13"/>
      <c r="R14" s="139"/>
      <c r="S14" s="138"/>
      <c r="T14" s="139"/>
      <c r="U14" s="139"/>
      <c r="V14" s="107">
        <v>5.18</v>
      </c>
      <c r="W14" s="150">
        <f t="shared" si="17"/>
        <v>0</v>
      </c>
      <c r="X14" s="19">
        <v>4.0650406504065036E-3</v>
      </c>
      <c r="Y14" s="19">
        <v>0.65600000000000014</v>
      </c>
      <c r="Z14" s="20">
        <v>12.02</v>
      </c>
      <c r="AA14" s="150">
        <f t="shared" si="18"/>
        <v>0.15777999999999998</v>
      </c>
      <c r="AB14" s="7">
        <v>0.19101895662388133</v>
      </c>
      <c r="AC14" s="150">
        <f t="shared" si="19"/>
        <v>0.10146680518369645</v>
      </c>
      <c r="AE14" s="168"/>
      <c r="AF14" s="19">
        <v>0</v>
      </c>
      <c r="AG14" s="19">
        <v>0.161</v>
      </c>
      <c r="AH14" s="19">
        <v>8.6999999999999994E-2</v>
      </c>
    </row>
    <row r="15" spans="1:40" x14ac:dyDescent="0.2">
      <c r="A15" s="17" t="s">
        <v>426</v>
      </c>
      <c r="B15" s="18" t="s">
        <v>208</v>
      </c>
      <c r="C15" s="18">
        <f>VLOOKUP($AN$1,DST!C:D,2,FALSE)</f>
        <v>7</v>
      </c>
      <c r="D15" s="147"/>
      <c r="E15" s="147"/>
      <c r="F15" s="147"/>
      <c r="G15" s="147"/>
      <c r="H15" s="147"/>
      <c r="I15" s="146">
        <f t="shared" si="11"/>
        <v>0</v>
      </c>
      <c r="J15" s="146">
        <f t="shared" si="12"/>
        <v>0</v>
      </c>
      <c r="K15" s="146">
        <f t="shared" si="13"/>
        <v>0</v>
      </c>
      <c r="L15" s="146">
        <f t="shared" si="14"/>
        <v>90.255201119999967</v>
      </c>
      <c r="M15" s="146">
        <f t="shared" si="15"/>
        <v>55.145927884319981</v>
      </c>
      <c r="N15" s="146">
        <f t="shared" si="15"/>
        <v>678.29491297713582</v>
      </c>
      <c r="O15" s="146">
        <f t="shared" si="16"/>
        <v>4.6322579422828785</v>
      </c>
      <c r="Q15" s="13"/>
      <c r="R15" s="139"/>
      <c r="S15" s="138"/>
      <c r="T15" s="139"/>
      <c r="U15" s="139"/>
      <c r="V15" s="107">
        <v>5.0199999999999996</v>
      </c>
      <c r="W15" s="150">
        <f t="shared" si="17"/>
        <v>0</v>
      </c>
      <c r="X15" s="19">
        <v>0</v>
      </c>
      <c r="Y15" s="19">
        <v>0.61099999999999999</v>
      </c>
      <c r="Z15" s="20">
        <v>12.3</v>
      </c>
      <c r="AA15" s="150">
        <f t="shared" si="18"/>
        <v>0.14503999999999997</v>
      </c>
      <c r="AB15" s="7">
        <v>0.13390050001312528</v>
      </c>
      <c r="AC15" s="150">
        <f t="shared" si="19"/>
        <v>9.7967949832534526E-2</v>
      </c>
      <c r="AE15" s="168"/>
      <c r="AF15" s="19">
        <v>0</v>
      </c>
      <c r="AG15" s="19">
        <v>0.14799999999999999</v>
      </c>
      <c r="AH15" s="19">
        <v>8.4000000000000005E-2</v>
      </c>
    </row>
    <row r="16" spans="1:40" x14ac:dyDescent="0.2">
      <c r="A16" s="17" t="s">
        <v>471</v>
      </c>
      <c r="B16" s="18" t="s">
        <v>208</v>
      </c>
      <c r="C16" s="18">
        <f>VLOOKUP($AN$1,DST!C:D,2,FALSE)</f>
        <v>7</v>
      </c>
      <c r="D16" s="147"/>
      <c r="E16" s="147"/>
      <c r="F16" s="147"/>
      <c r="G16" s="147"/>
      <c r="H16" s="147"/>
      <c r="I16" s="146">
        <f t="shared" si="11"/>
        <v>0</v>
      </c>
      <c r="J16" s="146">
        <f t="shared" si="12"/>
        <v>0</v>
      </c>
      <c r="K16" s="146">
        <f t="shared" si="13"/>
        <v>0</v>
      </c>
      <c r="L16" s="146">
        <f t="shared" si="14"/>
        <v>16.465475879999993</v>
      </c>
      <c r="M16" s="146">
        <f t="shared" si="15"/>
        <v>10.323853376759995</v>
      </c>
      <c r="N16" s="146">
        <f t="shared" si="15"/>
        <v>117.79516702883154</v>
      </c>
      <c r="O16" s="146">
        <f t="shared" si="16"/>
        <v>0.8362321235175596</v>
      </c>
      <c r="Q16" s="13"/>
      <c r="R16" s="139"/>
      <c r="S16" s="138"/>
      <c r="T16" s="139"/>
      <c r="U16" s="139"/>
      <c r="V16" s="107">
        <v>6.41</v>
      </c>
      <c r="W16" s="150">
        <f t="shared" si="17"/>
        <v>0</v>
      </c>
      <c r="X16" s="19">
        <v>8.4985835694051E-3</v>
      </c>
      <c r="Y16" s="19">
        <v>0.627</v>
      </c>
      <c r="Z16" s="20">
        <v>11.41</v>
      </c>
      <c r="AA16" s="150">
        <f t="shared" si="18"/>
        <v>2.6459999999999994E-2</v>
      </c>
      <c r="AB16" s="7">
        <v>2.6997234152718364E-2</v>
      </c>
      <c r="AC16" s="150">
        <f t="shared" si="19"/>
        <v>9.446909448137257E-2</v>
      </c>
      <c r="AE16" s="168"/>
      <c r="AF16" s="19">
        <v>0</v>
      </c>
      <c r="AG16" s="19">
        <v>2.7E-2</v>
      </c>
      <c r="AH16" s="19">
        <v>8.1000000000000003E-2</v>
      </c>
    </row>
    <row r="17" spans="1:34" x14ac:dyDescent="0.2">
      <c r="A17" s="17" t="s">
        <v>603</v>
      </c>
      <c r="B17" s="18" t="s">
        <v>208</v>
      </c>
      <c r="C17" s="18">
        <f>VLOOKUP($AN$1,DST!C:D,2,FALSE)</f>
        <v>7</v>
      </c>
      <c r="D17" s="147"/>
      <c r="E17" s="147"/>
      <c r="F17" s="147"/>
      <c r="G17" s="147"/>
      <c r="H17" s="147"/>
      <c r="I17" s="146">
        <f t="shared" si="11"/>
        <v>0</v>
      </c>
      <c r="J17" s="146">
        <f t="shared" si="12"/>
        <v>0</v>
      </c>
      <c r="K17" s="146">
        <f t="shared" si="13"/>
        <v>0</v>
      </c>
      <c r="L17" s="146">
        <f t="shared" si="14"/>
        <v>11.586816359999995</v>
      </c>
      <c r="M17" s="146">
        <f t="shared" si="15"/>
        <v>7.1606525104799967</v>
      </c>
      <c r="N17" s="146">
        <f t="shared" si="15"/>
        <v>83.493208272196767</v>
      </c>
      <c r="O17" s="146">
        <f t="shared" si="16"/>
        <v>0.57285220083839972</v>
      </c>
      <c r="Q17" s="13"/>
      <c r="R17" s="139"/>
      <c r="S17" s="138"/>
      <c r="T17" s="139"/>
      <c r="U17" s="139"/>
      <c r="V17" s="107">
        <v>5.0199999999999996</v>
      </c>
      <c r="W17" s="150">
        <f t="shared" si="17"/>
        <v>0</v>
      </c>
      <c r="X17" s="19">
        <v>0</v>
      </c>
      <c r="Y17" s="19">
        <v>0.61799999999999999</v>
      </c>
      <c r="Z17" s="20">
        <v>11.66</v>
      </c>
      <c r="AA17" s="150">
        <f t="shared" si="18"/>
        <v>1.8619999999999994E-2</v>
      </c>
      <c r="AB17" s="7">
        <v>1.7104335421759966E-2</v>
      </c>
      <c r="AC17" s="150">
        <f t="shared" si="19"/>
        <v>9.330280936431859E-2</v>
      </c>
      <c r="AE17" s="168"/>
      <c r="AF17" s="19">
        <v>0</v>
      </c>
      <c r="AG17" s="19">
        <v>1.9E-2</v>
      </c>
      <c r="AH17" s="19">
        <v>0.08</v>
      </c>
    </row>
    <row r="18" spans="1:34" x14ac:dyDescent="0.2">
      <c r="A18" s="17" t="s">
        <v>687</v>
      </c>
      <c r="B18" s="18" t="s">
        <v>208</v>
      </c>
      <c r="C18" s="18">
        <f>VLOOKUP($AN$1,DST!C:D,2,FALSE)</f>
        <v>7</v>
      </c>
      <c r="D18" s="147"/>
      <c r="E18" s="147"/>
      <c r="F18" s="147"/>
      <c r="G18" s="147"/>
      <c r="H18" s="147"/>
      <c r="I18" s="146">
        <f t="shared" si="11"/>
        <v>0</v>
      </c>
      <c r="J18" s="146">
        <f t="shared" si="12"/>
        <v>0</v>
      </c>
      <c r="K18" s="146">
        <f t="shared" si="13"/>
        <v>0</v>
      </c>
      <c r="L18" s="146">
        <f t="shared" si="14"/>
        <v>12.196648799999995</v>
      </c>
      <c r="M18" s="146">
        <f t="shared" si="15"/>
        <v>7.4399557679999981</v>
      </c>
      <c r="N18" s="146">
        <f t="shared" si="15"/>
        <v>79.384328044559979</v>
      </c>
      <c r="O18" s="146">
        <f t="shared" si="16"/>
        <v>0.58673118533693014</v>
      </c>
      <c r="Q18" s="13"/>
      <c r="R18" s="139"/>
      <c r="S18" s="138"/>
      <c r="T18" s="139"/>
      <c r="U18" s="139"/>
      <c r="V18" s="107">
        <v>5.0199999999999996</v>
      </c>
      <c r="W18" s="150">
        <f t="shared" si="17"/>
        <v>0</v>
      </c>
      <c r="X18" s="19">
        <v>0</v>
      </c>
      <c r="Y18" s="19">
        <v>0.6100000000000001</v>
      </c>
      <c r="Z18" s="20">
        <v>10.67</v>
      </c>
      <c r="AA18" s="150">
        <f t="shared" si="18"/>
        <v>1.9599999999999996E-2</v>
      </c>
      <c r="AB18" s="7">
        <v>3.458244539730021E-2</v>
      </c>
      <c r="AC18" s="150">
        <f t="shared" si="19"/>
        <v>9.1975795355280068E-2</v>
      </c>
      <c r="AE18" s="168"/>
      <c r="AF18" s="19">
        <v>0</v>
      </c>
      <c r="AG18" s="19">
        <v>0.02</v>
      </c>
      <c r="AH18" s="19">
        <v>7.886218730768807E-2</v>
      </c>
    </row>
    <row r="19" spans="1:34" x14ac:dyDescent="0.2">
      <c r="B19" s="18" t="s">
        <v>208</v>
      </c>
      <c r="C19" s="18">
        <f>VLOOKUP($AN$1,DST!C:D,2,FALSE)</f>
        <v>7</v>
      </c>
      <c r="D19" s="147"/>
      <c r="E19" s="147"/>
      <c r="F19" s="147"/>
      <c r="G19" s="147"/>
      <c r="H19" s="147"/>
      <c r="I19" s="146">
        <f t="shared" si="11"/>
        <v>0</v>
      </c>
      <c r="J19" s="146">
        <f t="shared" si="12"/>
        <v>0</v>
      </c>
      <c r="K19" s="146">
        <f t="shared" si="13"/>
        <v>0</v>
      </c>
      <c r="L19" s="146">
        <f t="shared" si="14"/>
        <v>0</v>
      </c>
      <c r="M19" s="146">
        <f t="shared" si="15"/>
        <v>0</v>
      </c>
      <c r="N19" s="146">
        <f t="shared" si="15"/>
        <v>0</v>
      </c>
      <c r="O19" s="146">
        <f t="shared" si="16"/>
        <v>0</v>
      </c>
      <c r="Q19" s="13"/>
      <c r="R19" s="139"/>
      <c r="S19" s="138"/>
      <c r="T19" s="139"/>
      <c r="U19" s="139"/>
      <c r="V19" s="107">
        <v>0</v>
      </c>
      <c r="W19" s="150">
        <f t="shared" si="17"/>
        <v>0</v>
      </c>
      <c r="X19" s="19">
        <v>0</v>
      </c>
      <c r="Y19" s="19">
        <v>0</v>
      </c>
      <c r="Z19" s="20">
        <v>0</v>
      </c>
      <c r="AA19" s="150">
        <f t="shared" si="18"/>
        <v>0</v>
      </c>
      <c r="AB19" s="7">
        <v>0</v>
      </c>
      <c r="AC19" s="150">
        <f t="shared" si="19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208</v>
      </c>
      <c r="C20" s="18">
        <f>VLOOKUP($AN$1,DST!C:D,2,FALSE)</f>
        <v>7</v>
      </c>
      <c r="D20" s="147"/>
      <c r="E20" s="147"/>
      <c r="F20" s="147"/>
      <c r="G20" s="147"/>
      <c r="H20" s="147"/>
      <c r="I20" s="146">
        <f t="shared" si="11"/>
        <v>0</v>
      </c>
      <c r="J20" s="146">
        <f t="shared" si="12"/>
        <v>0</v>
      </c>
      <c r="K20" s="146">
        <f t="shared" si="13"/>
        <v>0</v>
      </c>
      <c r="L20" s="146">
        <f t="shared" si="14"/>
        <v>0</v>
      </c>
      <c r="M20" s="146">
        <f t="shared" si="15"/>
        <v>0</v>
      </c>
      <c r="N20" s="146">
        <f t="shared" si="15"/>
        <v>0</v>
      </c>
      <c r="O20" s="146">
        <f t="shared" si="16"/>
        <v>0</v>
      </c>
      <c r="Q20" s="13"/>
      <c r="R20" s="139"/>
      <c r="S20" s="138"/>
      <c r="T20" s="139"/>
      <c r="U20" s="139"/>
      <c r="V20" s="107">
        <v>0</v>
      </c>
      <c r="W20" s="150">
        <f t="shared" si="17"/>
        <v>0</v>
      </c>
      <c r="X20" s="19">
        <v>0</v>
      </c>
      <c r="Y20" s="19">
        <v>0</v>
      </c>
      <c r="Z20" s="20">
        <v>0</v>
      </c>
      <c r="AA20" s="150">
        <f t="shared" si="18"/>
        <v>0</v>
      </c>
      <c r="AB20" s="7">
        <v>0</v>
      </c>
      <c r="AC20" s="150">
        <f t="shared" si="19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406</v>
      </c>
      <c r="B22" s="18" t="s">
        <v>10</v>
      </c>
      <c r="C22" s="18">
        <f>VLOOKUP($AN$1,DST!C:D,2,FALSE)</f>
        <v>7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110.37967163999996</v>
      </c>
      <c r="M22" s="146">
        <f t="shared" ref="M22:N25" si="20">L22*Y22</f>
        <v>78.590326207679965</v>
      </c>
      <c r="N22" s="146">
        <f t="shared" si="20"/>
        <v>824.32652155622793</v>
      </c>
      <c r="O22" s="146">
        <f>M22*AH22</f>
        <v>6.9945390324835168</v>
      </c>
      <c r="Q22" s="13"/>
      <c r="R22" s="139"/>
      <c r="S22" s="138"/>
      <c r="T22" s="139"/>
      <c r="U22" s="139"/>
      <c r="V22" s="140"/>
      <c r="W22" s="154"/>
      <c r="X22" s="139"/>
      <c r="Y22" s="19">
        <v>0.71199999999999997</v>
      </c>
      <c r="Z22" s="20">
        <v>10.488905713126732</v>
      </c>
      <c r="AA22" s="150">
        <f>(AG22/SUM(AG$6:AG$25))*0.98</f>
        <v>0.17737999999999995</v>
      </c>
      <c r="AB22" s="7">
        <v>0.1173594878512651</v>
      </c>
      <c r="AC22" s="150">
        <f>(AH22/SUM(AH$6:AH$25))*0.98</f>
        <v>0.10379937541780443</v>
      </c>
      <c r="AE22" s="168"/>
      <c r="AF22" s="168"/>
      <c r="AG22" s="19">
        <v>0.18099999999999999</v>
      </c>
      <c r="AH22" s="19">
        <v>8.8999999999999996E-2</v>
      </c>
    </row>
    <row r="23" spans="1:34" x14ac:dyDescent="0.2">
      <c r="A23" s="42" t="s">
        <v>484</v>
      </c>
      <c r="B23" s="18" t="s">
        <v>10</v>
      </c>
      <c r="C23" s="18">
        <f>VLOOKUP($AN$1,DST!C:D,2,FALSE)</f>
        <v>7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18.294973199999994</v>
      </c>
      <c r="M23" s="146">
        <f t="shared" si="20"/>
        <v>12.202747124399998</v>
      </c>
      <c r="N23" s="146">
        <f t="shared" si="20"/>
        <v>120.19705917533997</v>
      </c>
      <c r="O23" s="146">
        <f>M23*AH23</f>
        <v>0.98842251707639994</v>
      </c>
      <c r="Q23" s="13"/>
      <c r="R23" s="139"/>
      <c r="S23" s="138"/>
      <c r="T23" s="139"/>
      <c r="U23" s="139"/>
      <c r="V23" s="140"/>
      <c r="W23" s="154"/>
      <c r="X23" s="139"/>
      <c r="Y23" s="19">
        <v>0.66700000000000015</v>
      </c>
      <c r="Z23" s="20">
        <v>9.85</v>
      </c>
      <c r="AA23" s="150">
        <f>(AG23/SUM(AG$6:AG$25))*0.98</f>
        <v>2.9399999999999992E-2</v>
      </c>
      <c r="AB23" s="7">
        <v>6.6566878931794998E-2</v>
      </c>
      <c r="AC23" s="150">
        <f>(AH23/SUM(AH$6:AH$25))*0.98</f>
        <v>9.446909448137257E-2</v>
      </c>
      <c r="AE23" s="168"/>
      <c r="AF23" s="168"/>
      <c r="AG23" s="19">
        <v>0.03</v>
      </c>
      <c r="AH23" s="19">
        <v>8.1000000000000003E-2</v>
      </c>
    </row>
    <row r="24" spans="1:34" x14ac:dyDescent="0.2">
      <c r="A24" s="42"/>
      <c r="B24" s="18" t="s">
        <v>10</v>
      </c>
      <c r="C24" s="18">
        <f>VLOOKUP($AN$1,DST!C:D,2,FALSE)</f>
        <v>7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0</v>
      </c>
      <c r="M24" s="146">
        <f t="shared" si="20"/>
        <v>0</v>
      </c>
      <c r="N24" s="146">
        <f t="shared" si="20"/>
        <v>0</v>
      </c>
      <c r="O24" s="146">
        <f>M24*AH24</f>
        <v>0</v>
      </c>
      <c r="Q24" s="13"/>
      <c r="R24" s="139"/>
      <c r="S24" s="138"/>
      <c r="T24" s="139"/>
      <c r="U24" s="139"/>
      <c r="V24" s="140"/>
      <c r="W24" s="154"/>
      <c r="X24" s="139"/>
      <c r="Y24" s="19">
        <v>0</v>
      </c>
      <c r="Z24" s="20">
        <v>0</v>
      </c>
      <c r="AA24" s="150">
        <f>(AG24/SUM(AG$6:AG$25))*0.98</f>
        <v>0</v>
      </c>
      <c r="AB24" s="7">
        <v>1.5536120867251138E-2</v>
      </c>
      <c r="AC24" s="150">
        <f>(AH24/SUM(AH$6:AH$25))*0.98</f>
        <v>0</v>
      </c>
      <c r="AE24" s="168"/>
      <c r="AF24" s="168"/>
      <c r="AG24" s="19">
        <v>0</v>
      </c>
      <c r="AH24" s="19">
        <v>0</v>
      </c>
    </row>
    <row r="25" spans="1:34" x14ac:dyDescent="0.2">
      <c r="A25" s="42"/>
      <c r="B25" s="18" t="s">
        <v>10</v>
      </c>
      <c r="C25" s="18">
        <f>VLOOKUP($AN$1,DST!C:D,2,FALSE)</f>
        <v>7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20"/>
        <v>0</v>
      </c>
      <c r="N25" s="146">
        <f t="shared" si="20"/>
        <v>0</v>
      </c>
      <c r="O25" s="146">
        <f>M25*AH25</f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0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P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30"/>
      <c r="R27" s="30"/>
      <c r="S27" s="29"/>
      <c r="T27" s="30"/>
      <c r="U27" s="30"/>
      <c r="V27" s="31"/>
      <c r="W27" s="9" t="s">
        <v>264</v>
      </c>
      <c r="X27" s="30"/>
      <c r="Y27" s="30"/>
      <c r="Z27" s="31"/>
      <c r="AA27" s="9" t="s">
        <v>264</v>
      </c>
      <c r="AB27" s="9" t="s">
        <v>264</v>
      </c>
      <c r="AC27" s="9" t="s">
        <v>264</v>
      </c>
      <c r="AD27" s="44"/>
      <c r="AE27" s="9" t="s">
        <v>264</v>
      </c>
      <c r="AF27" s="9" t="s">
        <v>264</v>
      </c>
      <c r="AG27" s="9" t="s">
        <v>264</v>
      </c>
    </row>
    <row r="28" spans="1:34" s="27" customFormat="1" x14ac:dyDescent="0.2">
      <c r="A28" s="45" t="s">
        <v>265</v>
      </c>
      <c r="B28" s="28"/>
      <c r="C28" s="28"/>
      <c r="D28" s="34" t="s">
        <v>269</v>
      </c>
      <c r="E28" s="34" t="s">
        <v>266</v>
      </c>
      <c r="F28" s="155" t="s">
        <v>267</v>
      </c>
      <c r="G28" s="34" t="s">
        <v>286</v>
      </c>
      <c r="H28" s="34" t="s">
        <v>268</v>
      </c>
      <c r="I28" s="29"/>
      <c r="J28" s="29"/>
      <c r="K28" s="29"/>
      <c r="L28" s="29"/>
      <c r="M28" s="29"/>
      <c r="N28" s="29"/>
      <c r="O28" s="29"/>
      <c r="P28" s="29"/>
      <c r="Q28" s="30"/>
      <c r="R28" s="30"/>
      <c r="S28" s="29"/>
      <c r="T28" s="30"/>
      <c r="U28" s="30"/>
      <c r="V28" s="31"/>
      <c r="W28" s="150">
        <f>SUM(W2:W4,W6:W25)</f>
        <v>0.98000000000000009</v>
      </c>
      <c r="X28" s="30"/>
      <c r="Y28" s="30"/>
      <c r="Z28" s="31"/>
      <c r="AA28" s="150">
        <f>SUM(AA6:AA25)</f>
        <v>0.97999999999999976</v>
      </c>
      <c r="AB28" s="150">
        <f>SUM(AB2:AB4,AB6:AB11,AB13:AB20,AB22:AB25)</f>
        <v>0.97500000000000009</v>
      </c>
      <c r="AC28" s="150">
        <f>SUM(AC6:AC25)</f>
        <v>0.98000000000000009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1.0000000000000002</v>
      </c>
    </row>
    <row r="29" spans="1:34" s="27" customFormat="1" x14ac:dyDescent="0.2">
      <c r="A29" s="43"/>
      <c r="B29" s="28"/>
      <c r="C29" s="28"/>
      <c r="D29" s="46">
        <v>1086</v>
      </c>
      <c r="E29" s="47">
        <v>0.57299999999999995</v>
      </c>
      <c r="F29" s="2">
        <f>1-E29</f>
        <v>0.42700000000000005</v>
      </c>
      <c r="G29" s="106">
        <v>4.1500000000000004</v>
      </c>
      <c r="H29" s="126">
        <v>3.5499999999999997E-2</v>
      </c>
      <c r="I29" s="30"/>
      <c r="J29" s="29"/>
      <c r="K29" s="29"/>
      <c r="L29" s="29"/>
      <c r="M29" s="29"/>
      <c r="N29" s="29"/>
      <c r="O29" s="29"/>
      <c r="P29" s="29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265</v>
      </c>
      <c r="B31" s="28"/>
      <c r="C31" s="28"/>
      <c r="D31" s="162" t="s">
        <v>278</v>
      </c>
      <c r="E31" s="162" t="s">
        <v>1</v>
      </c>
      <c r="F31" s="162" t="s">
        <v>263</v>
      </c>
      <c r="G31" s="162" t="s">
        <v>137</v>
      </c>
      <c r="H31" s="29"/>
      <c r="I31" s="29"/>
      <c r="J31" s="29"/>
      <c r="K31" s="29"/>
      <c r="L31" s="29"/>
      <c r="M31" s="29"/>
      <c r="N31" s="29"/>
      <c r="O31" s="29"/>
      <c r="P31" s="29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622.27799999999991</v>
      </c>
      <c r="E32" s="156">
        <f>SUM(E2:E4)</f>
        <v>419.71138638573461</v>
      </c>
      <c r="F32" s="156">
        <f>SUM(F2:F4)</f>
        <v>4638.843141128159</v>
      </c>
      <c r="G32" s="156">
        <f>SUM(G2:G4)</f>
        <v>33.434995906397006</v>
      </c>
      <c r="H32" s="29"/>
      <c r="I32" s="29"/>
      <c r="J32" s="29"/>
      <c r="K32" s="29"/>
      <c r="L32" s="29"/>
      <c r="M32" s="29"/>
      <c r="N32" s="29"/>
      <c r="O32" s="29"/>
      <c r="P32" s="29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265</v>
      </c>
      <c r="B34" s="28"/>
      <c r="C34" s="28"/>
      <c r="D34" s="162" t="s">
        <v>270</v>
      </c>
      <c r="E34" s="162" t="s">
        <v>263</v>
      </c>
      <c r="F34" s="162" t="s">
        <v>137</v>
      </c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463.72200000000004</v>
      </c>
      <c r="E35" s="156">
        <f>D35*G29</f>
        <v>1924.4463000000003</v>
      </c>
      <c r="F35" s="156">
        <f>D35*H29</f>
        <v>16.462130999999999</v>
      </c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279</v>
      </c>
      <c r="B37" s="37"/>
      <c r="C37" s="37"/>
      <c r="D37" s="164" t="s">
        <v>273</v>
      </c>
      <c r="E37" s="164" t="s">
        <v>274</v>
      </c>
      <c r="F37" s="164" t="s">
        <v>275</v>
      </c>
      <c r="G37" s="164" t="s">
        <v>271</v>
      </c>
      <c r="H37" s="164" t="s">
        <v>272</v>
      </c>
      <c r="I37" s="164" t="s">
        <v>276</v>
      </c>
      <c r="J37" s="164" t="s">
        <v>277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3.5" thickBot="1" x14ac:dyDescent="0.25">
      <c r="D38" s="157">
        <f>SUM(I2:I20)</f>
        <v>454.44756000000007</v>
      </c>
      <c r="E38" s="157">
        <f>SUM(J2:J4,J6:J11,J13:J20)</f>
        <v>1912.4663920255259</v>
      </c>
      <c r="F38" s="157">
        <f>SUM(K2:K4,K6:K11,K13:K20)</f>
        <v>16.429656514296017</v>
      </c>
      <c r="G38" s="157">
        <f>SUM(L6:L11,L13:L20,L22:L25)</f>
        <v>609.83243999999968</v>
      </c>
      <c r="H38" s="157">
        <f>SUM(M6:M11,M13:M20,M22:M25)</f>
        <v>415.86242597675988</v>
      </c>
      <c r="I38" s="157">
        <f>SUM(N6:N11,N13:N20,N22:N25)</f>
        <v>4629.4312709246642</v>
      </c>
      <c r="J38" s="157">
        <f>SUM(O6:O11,O13:O20,O22:O25)</f>
        <v>33.412119870670644</v>
      </c>
      <c r="V38" s="181"/>
      <c r="X38" s="30"/>
      <c r="Y38" s="30"/>
      <c r="Z38" s="181"/>
      <c r="AH38" s="30"/>
    </row>
    <row r="39" spans="1:34" ht="13.5" thickTop="1" x14ac:dyDescent="0.2">
      <c r="D39" s="158">
        <f>D35-D38</f>
        <v>9.27443999999997</v>
      </c>
      <c r="E39" s="158">
        <f>E35-E38</f>
        <v>11.979907974474372</v>
      </c>
      <c r="F39" s="158">
        <f>F35-F38</f>
        <v>3.2474485703982481E-2</v>
      </c>
      <c r="G39" s="158">
        <f>SUM(D2:D4)-G38</f>
        <v>12.445560000000228</v>
      </c>
      <c r="H39" s="158">
        <f>E32-H38</f>
        <v>3.8489604089747331</v>
      </c>
      <c r="I39" s="158">
        <f>F32-I38</f>
        <v>9.4118702034948001</v>
      </c>
      <c r="J39" s="158">
        <f>G32-J38</f>
        <v>2.2876035726362431E-2</v>
      </c>
      <c r="V39" s="181"/>
      <c r="X39" s="30"/>
      <c r="Y39" s="30"/>
      <c r="Z39" s="181"/>
      <c r="AH39" s="30"/>
    </row>
    <row r="40" spans="1:34" x14ac:dyDescent="0.2">
      <c r="V40" s="181"/>
      <c r="X40" s="30"/>
      <c r="Y40" s="30"/>
      <c r="Z40" s="181"/>
      <c r="AH40" s="30"/>
    </row>
    <row r="41" spans="1:34" x14ac:dyDescent="0.2">
      <c r="V41" s="181"/>
      <c r="X41" s="30"/>
      <c r="Y41" s="30"/>
      <c r="Z41" s="181"/>
      <c r="AH41" s="30"/>
    </row>
    <row r="42" spans="1:34" x14ac:dyDescent="0.2">
      <c r="V42" s="181"/>
      <c r="X42" s="30"/>
      <c r="Y42" s="30"/>
      <c r="Z42" s="181"/>
      <c r="AH42" s="30"/>
    </row>
    <row r="43" spans="1:34" x14ac:dyDescent="0.2">
      <c r="V43" s="181"/>
      <c r="X43" s="30"/>
      <c r="Y43" s="30"/>
      <c r="Z43" s="181"/>
      <c r="AH43" s="30"/>
    </row>
    <row r="44" spans="1:34" x14ac:dyDescent="0.2">
      <c r="V44" s="181"/>
      <c r="X44" s="30"/>
      <c r="Y44" s="30"/>
      <c r="Z44" s="181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sortState xmlns:xlrd2="http://schemas.microsoft.com/office/spreadsheetml/2017/richdata2" ref="A6:AH11">
    <sortCondition descending="1" ref="J6:J11"/>
  </sortState>
  <conditionalFormatting sqref="D39:J39">
    <cfRule type="cellIs" dxfId="71" priority="1" operator="lessThan">
      <formula>0</formula>
    </cfRule>
  </conditionalFormatting>
  <conditionalFormatting sqref="W28">
    <cfRule type="cellIs" dxfId="70" priority="2" operator="greaterThan">
      <formula>1</formula>
    </cfRule>
  </conditionalFormatting>
  <conditionalFormatting sqref="AA28:AG28">
    <cfRule type="cellIs" dxfId="69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rgb="FF0000FF"/>
  </sheetPr>
  <dimension ref="A1:AN64"/>
  <sheetViews>
    <sheetView showGridLines="0" zoomScale="85" zoomScaleNormal="85"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defaultColWidth="8.7109375" defaultRowHeight="12.75" x14ac:dyDescent="0.2"/>
  <cols>
    <col min="1" max="1" width="22.5703125" style="17" customWidth="1"/>
    <col min="2" max="3" width="8.7109375" style="18"/>
    <col min="4" max="13" width="8.7109375" style="23"/>
    <col min="14" max="15" width="8.7109375" style="18"/>
    <col min="16" max="16" width="4.7109375" style="18" customWidth="1"/>
    <col min="17" max="18" width="8.7109375" style="26"/>
    <col min="19" max="19" width="8.7109375" style="23"/>
    <col min="20" max="21" width="8.7109375" style="26"/>
    <col min="22" max="23" width="8.7109375" style="25"/>
    <col min="24" max="25" width="8.7109375" style="26"/>
    <col min="26" max="26" width="8.7109375" style="25"/>
    <col min="27" max="27" width="8.7109375" style="18"/>
    <col min="28" max="28" width="0" style="18" hidden="1" customWidth="1"/>
    <col min="29" max="29" width="8.7109375" style="26"/>
    <col min="30" max="30" width="4.7109375" style="17" customWidth="1"/>
    <col min="31" max="32" width="8.7109375" style="18"/>
    <col min="33" max="16384" width="8.7109375" style="17"/>
  </cols>
  <sheetData>
    <row r="1" spans="1:40" s="15" customFormat="1" ht="25.5" customHeight="1" x14ac:dyDescent="0.2">
      <c r="A1" s="15" t="s">
        <v>0</v>
      </c>
      <c r="B1" s="15" t="s">
        <v>8</v>
      </c>
      <c r="C1" s="15" t="s">
        <v>122</v>
      </c>
      <c r="D1" s="159" t="s">
        <v>210</v>
      </c>
      <c r="E1" s="159" t="s">
        <v>1</v>
      </c>
      <c r="F1" s="159" t="s">
        <v>213</v>
      </c>
      <c r="G1" s="159" t="s">
        <v>228</v>
      </c>
      <c r="H1" s="159" t="s">
        <v>2</v>
      </c>
      <c r="I1" s="159" t="s">
        <v>229</v>
      </c>
      <c r="J1" s="159" t="s">
        <v>217</v>
      </c>
      <c r="K1" s="159" t="s">
        <v>230</v>
      </c>
      <c r="L1" s="159" t="s">
        <v>219</v>
      </c>
      <c r="M1" s="159" t="s">
        <v>4</v>
      </c>
      <c r="N1" s="159" t="s">
        <v>223</v>
      </c>
      <c r="O1" s="159" t="s">
        <v>231</v>
      </c>
      <c r="Q1" s="160" t="s">
        <v>281</v>
      </c>
      <c r="R1" s="133" t="s">
        <v>232</v>
      </c>
      <c r="S1" s="134" t="s">
        <v>451</v>
      </c>
      <c r="T1" s="133" t="s">
        <v>205</v>
      </c>
      <c r="U1" s="133" t="s">
        <v>209</v>
      </c>
      <c r="V1" s="135" t="s">
        <v>280</v>
      </c>
      <c r="W1" s="161" t="s">
        <v>282</v>
      </c>
      <c r="X1" s="133" t="s">
        <v>233</v>
      </c>
      <c r="Y1" s="179" t="s">
        <v>234</v>
      </c>
      <c r="Z1" s="135" t="s">
        <v>235</v>
      </c>
      <c r="AA1" s="160" t="s">
        <v>236</v>
      </c>
      <c r="AB1" s="160" t="s">
        <v>237</v>
      </c>
      <c r="AC1" s="10" t="s">
        <v>262</v>
      </c>
      <c r="AE1" s="136" t="s">
        <v>283</v>
      </c>
      <c r="AF1" s="137" t="s">
        <v>284</v>
      </c>
      <c r="AG1" s="136" t="s">
        <v>285</v>
      </c>
      <c r="AH1" s="136" t="s">
        <v>450</v>
      </c>
      <c r="AN1" s="15" t="s">
        <v>96</v>
      </c>
    </row>
    <row r="2" spans="1:40" x14ac:dyDescent="0.2">
      <c r="A2" s="17" t="s">
        <v>580</v>
      </c>
      <c r="B2" s="18" t="s">
        <v>9</v>
      </c>
      <c r="C2" s="18">
        <f>VLOOKUP($AN$1,DST!C:D,2,FALSE)</f>
        <v>14</v>
      </c>
      <c r="D2" s="146">
        <f>D$32*Q2</f>
        <v>553.38924999999995</v>
      </c>
      <c r="E2" s="146">
        <f>D2*R2</f>
        <v>344.97325081961122</v>
      </c>
      <c r="F2" s="146">
        <f>E2*S2</f>
        <v>3815.4041540649005</v>
      </c>
      <c r="G2" s="146">
        <f>D2*T2</f>
        <v>22.301586775000001</v>
      </c>
      <c r="H2" s="146">
        <f>E2*U2</f>
        <v>7.2656029534218431</v>
      </c>
      <c r="I2" s="146">
        <f>D$35*W2</f>
        <v>65.487779700000004</v>
      </c>
      <c r="J2" s="146">
        <f>I2*V2</f>
        <v>273.43925259927005</v>
      </c>
      <c r="K2" s="146">
        <f>I2*X2</f>
        <v>3.5363401038000002</v>
      </c>
      <c r="L2" s="147"/>
      <c r="M2" s="147"/>
      <c r="N2" s="147"/>
      <c r="O2" s="147"/>
      <c r="Q2" s="150">
        <f>(AE2/SUM(AE$2:AE$25))</f>
        <v>0.95</v>
      </c>
      <c r="R2" s="19">
        <v>0.62338263856699649</v>
      </c>
      <c r="S2" s="107">
        <v>11.06</v>
      </c>
      <c r="T2" s="19">
        <v>4.0300000000000002E-2</v>
      </c>
      <c r="U2" s="19">
        <v>2.1061351673382567E-2</v>
      </c>
      <c r="V2" s="107">
        <v>4.1754240844917518</v>
      </c>
      <c r="W2" s="150">
        <f>(AF2/SUM(AF$2:AF$20))*0.98</f>
        <v>0.14601999999999998</v>
      </c>
      <c r="X2" s="19">
        <v>5.3999999999999999E-2</v>
      </c>
      <c r="Y2" s="21"/>
      <c r="Z2" s="22"/>
      <c r="AA2" s="1"/>
      <c r="AB2" s="1"/>
      <c r="AC2" s="1"/>
      <c r="AE2" s="19">
        <v>0.95</v>
      </c>
      <c r="AF2" s="19">
        <v>0.14899999999999999</v>
      </c>
      <c r="AG2" s="168"/>
      <c r="AH2" s="168"/>
    </row>
    <row r="3" spans="1:40" x14ac:dyDescent="0.2">
      <c r="A3" s="17" t="s">
        <v>581</v>
      </c>
      <c r="B3" s="18" t="s">
        <v>9</v>
      </c>
      <c r="C3" s="18">
        <f>VLOOKUP($AN$1,DST!C:D,2,FALSE)</f>
        <v>14</v>
      </c>
      <c r="D3" s="146">
        <f>D$32*Q3</f>
        <v>23.300599999999999</v>
      </c>
      <c r="E3" s="146">
        <f t="shared" ref="E3:F3" si="0">D3*R3</f>
        <v>13.793955199999999</v>
      </c>
      <c r="F3" s="146">
        <f t="shared" si="0"/>
        <v>148.14707884800001</v>
      </c>
      <c r="G3" s="146">
        <f t="shared" ref="G3:G4" si="1">D3*T3</f>
        <v>0.88542279999999995</v>
      </c>
      <c r="H3" s="146">
        <f t="shared" ref="H3" si="2">E3*U3</f>
        <v>0.20415053695999999</v>
      </c>
      <c r="I3" s="146">
        <f>D$35*W3</f>
        <v>0.87903060000000011</v>
      </c>
      <c r="J3" s="146">
        <f>I3*V3</f>
        <v>3.9116861700000007</v>
      </c>
      <c r="K3" s="146">
        <f>I3*X3</f>
        <v>2.4612856800000003E-2</v>
      </c>
      <c r="L3" s="147"/>
      <c r="M3" s="147"/>
      <c r="N3" s="147"/>
      <c r="O3" s="147"/>
      <c r="Q3" s="150">
        <f>(AE3/SUM(AE$2:AE$25))</f>
        <v>0.04</v>
      </c>
      <c r="R3" s="19">
        <v>0.59199999999999997</v>
      </c>
      <c r="S3" s="107">
        <v>10.74</v>
      </c>
      <c r="T3" s="19">
        <v>3.7999999999999999E-2</v>
      </c>
      <c r="U3" s="19">
        <v>1.4800000000000001E-2</v>
      </c>
      <c r="V3" s="107">
        <v>4.45</v>
      </c>
      <c r="W3" s="150">
        <f>(AF3/SUM(AF$2:AF$20))*0.98</f>
        <v>1.9599999999999999E-3</v>
      </c>
      <c r="X3" s="19">
        <v>2.8000000000000001E-2</v>
      </c>
      <c r="Y3" s="21"/>
      <c r="Z3" s="22"/>
      <c r="AA3" s="1"/>
      <c r="AB3" s="1"/>
      <c r="AC3" s="1"/>
      <c r="AE3" s="19">
        <v>0.04</v>
      </c>
      <c r="AF3" s="19">
        <v>2E-3</v>
      </c>
      <c r="AG3" s="168"/>
      <c r="AH3" s="168"/>
    </row>
    <row r="4" spans="1:40" x14ac:dyDescent="0.2">
      <c r="A4" s="17" t="s">
        <v>435</v>
      </c>
      <c r="B4" s="18" t="s">
        <v>9</v>
      </c>
      <c r="C4" s="18">
        <f>VLOOKUP($AN$1,DST!C:D,2,FALSE)</f>
        <v>14</v>
      </c>
      <c r="D4" s="146">
        <f>D$32*Q4</f>
        <v>5.8251499999999998</v>
      </c>
      <c r="E4" s="146">
        <f>D4*R4</f>
        <v>3.5533414999999997</v>
      </c>
      <c r="F4" s="146">
        <f>E4*S4</f>
        <v>37.594353069999997</v>
      </c>
      <c r="G4" s="146">
        <f t="shared" si="1"/>
        <v>0.21553054999999999</v>
      </c>
      <c r="H4" s="146">
        <f>E4*U4</f>
        <v>0.10304690349999999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0.01</v>
      </c>
      <c r="R4" s="19">
        <v>0.61</v>
      </c>
      <c r="S4" s="107">
        <v>10.58</v>
      </c>
      <c r="T4" s="19">
        <v>3.6999999999999998E-2</v>
      </c>
      <c r="U4" s="19">
        <v>2.9000000000000001E-2</v>
      </c>
      <c r="V4" s="107">
        <v>2.8</v>
      </c>
      <c r="W4" s="150">
        <f>(AF4/SUM(AF$2:AF$20))*0.98</f>
        <v>0</v>
      </c>
      <c r="X4" s="19">
        <v>0.02</v>
      </c>
      <c r="Y4" s="21"/>
      <c r="Z4" s="22"/>
      <c r="AA4" s="1"/>
      <c r="AB4" s="1"/>
      <c r="AC4" s="1"/>
      <c r="AE4" s="19">
        <v>0.01</v>
      </c>
      <c r="AF4" s="19">
        <v>0</v>
      </c>
      <c r="AG4" s="168"/>
      <c r="AH4" s="168"/>
    </row>
    <row r="5" spans="1:40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40" x14ac:dyDescent="0.2">
      <c r="A6" s="172" t="s">
        <v>189</v>
      </c>
      <c r="B6" s="18" t="s">
        <v>207</v>
      </c>
      <c r="C6" s="18">
        <f>VLOOKUP($AN$1,DST!C:D,2,FALSE)</f>
        <v>14</v>
      </c>
      <c r="D6" s="147"/>
      <c r="E6" s="147"/>
      <c r="F6" s="147"/>
      <c r="G6" s="147"/>
      <c r="H6" s="147"/>
      <c r="I6" s="146">
        <f t="shared" ref="I6:I11" si="3">D$35*W6</f>
        <v>210.52782870000001</v>
      </c>
      <c r="J6" s="146">
        <f t="shared" ref="J6:J11" si="4">I6*V6</f>
        <v>863.16409766999993</v>
      </c>
      <c r="K6" s="146">
        <f t="shared" ref="K6:K11" si="5">I6*X6</f>
        <v>6.5263626897</v>
      </c>
      <c r="L6" s="146">
        <f t="shared" ref="L6:L11" si="6">((D$2+D$3+D$4)*AA6)</f>
        <v>52.783469748743713</v>
      </c>
      <c r="M6" s="146">
        <f t="shared" ref="M6:N11" si="7">L6*Y6</f>
        <v>38.795850265326628</v>
      </c>
      <c r="N6" s="146">
        <f t="shared" si="7"/>
        <v>266.52749132279394</v>
      </c>
      <c r="O6" s="146">
        <f t="shared" ref="O6:O11" si="8">M6*AH6</f>
        <v>1.3966506095517586</v>
      </c>
      <c r="Q6" s="13"/>
      <c r="R6" s="139"/>
      <c r="S6" s="138"/>
      <c r="T6" s="139"/>
      <c r="U6" s="139"/>
      <c r="V6" s="107">
        <v>4.0999999999999996</v>
      </c>
      <c r="W6" s="150">
        <f t="shared" ref="W6:W11" si="9">(AF6/SUM(AF$2:AF$20))*0.98</f>
        <v>0.46941999999999995</v>
      </c>
      <c r="X6" s="19">
        <v>3.1E-2</v>
      </c>
      <c r="Y6" s="19">
        <v>0.73499999999999999</v>
      </c>
      <c r="Z6" s="20">
        <v>6.87</v>
      </c>
      <c r="AA6" s="150">
        <f t="shared" ref="AA6:AA11" si="10">(AG6/SUM(AG$6:AG$25))*0.98</f>
        <v>9.0613065326633158E-2</v>
      </c>
      <c r="AB6" s="7">
        <v>6.8073917432316638E-2</v>
      </c>
      <c r="AC6" s="150">
        <f t="shared" ref="AC6:AC11" si="11">(AH6/SUM(AH$6:AH$25))*0.98</f>
        <v>5.8702163061564054E-2</v>
      </c>
      <c r="AE6" s="168"/>
      <c r="AF6" s="19">
        <v>0.47899999999999998</v>
      </c>
      <c r="AG6" s="19">
        <v>9.1999999999999998E-2</v>
      </c>
      <c r="AH6" s="19">
        <v>3.5999999999999997E-2</v>
      </c>
    </row>
    <row r="7" spans="1:40" x14ac:dyDescent="0.2">
      <c r="A7" s="17" t="s">
        <v>605</v>
      </c>
      <c r="B7" s="18" t="s">
        <v>207</v>
      </c>
      <c r="C7" s="18">
        <f>VLOOKUP($AN$1,DST!C:D,2,FALSE)</f>
        <v>14</v>
      </c>
      <c r="D7" s="147"/>
      <c r="E7" s="147"/>
      <c r="F7" s="147"/>
      <c r="G7" s="147"/>
      <c r="H7" s="147"/>
      <c r="I7" s="146">
        <f t="shared" si="3"/>
        <v>93.616758900000008</v>
      </c>
      <c r="J7" s="146">
        <f t="shared" si="4"/>
        <v>401.77053929659263</v>
      </c>
      <c r="K7" s="146">
        <f t="shared" si="5"/>
        <v>2.9957362848000004</v>
      </c>
      <c r="L7" s="146">
        <f t="shared" si="6"/>
        <v>6.3110670351758786</v>
      </c>
      <c r="M7" s="146">
        <f t="shared" si="7"/>
        <v>4.6070789356783921</v>
      </c>
      <c r="N7" s="146">
        <f t="shared" si="7"/>
        <v>31.512419920040202</v>
      </c>
      <c r="O7" s="146">
        <f t="shared" si="8"/>
        <v>0.11978405232763818</v>
      </c>
      <c r="Q7" s="13"/>
      <c r="R7" s="139"/>
      <c r="S7" s="138"/>
      <c r="T7" s="139"/>
      <c r="U7" s="139"/>
      <c r="V7" s="107">
        <v>4.2916518796143945</v>
      </c>
      <c r="W7" s="150">
        <f t="shared" si="9"/>
        <v>0.20873999999999998</v>
      </c>
      <c r="X7" s="19">
        <v>3.2000000000000001E-2</v>
      </c>
      <c r="Y7" s="19">
        <v>0.73000000000000009</v>
      </c>
      <c r="Z7" s="20">
        <v>6.84</v>
      </c>
      <c r="AA7" s="150">
        <f t="shared" si="10"/>
        <v>1.0834170854271356E-2</v>
      </c>
      <c r="AB7" s="7">
        <v>7.1621042610960422E-3</v>
      </c>
      <c r="AC7" s="150">
        <f t="shared" si="11"/>
        <v>4.2396006655574039E-2</v>
      </c>
      <c r="AE7" s="168"/>
      <c r="AF7" s="19">
        <v>0.21299999999999999</v>
      </c>
      <c r="AG7" s="19">
        <v>1.0999999999999999E-2</v>
      </c>
      <c r="AH7" s="19">
        <v>2.5999999999999999E-2</v>
      </c>
    </row>
    <row r="8" spans="1:40" x14ac:dyDescent="0.2">
      <c r="A8" s="17" t="s">
        <v>535</v>
      </c>
      <c r="B8" s="18" t="s">
        <v>207</v>
      </c>
      <c r="C8" s="18">
        <f>VLOOKUP($AN$1,DST!C:D,2,FALSE)</f>
        <v>14</v>
      </c>
      <c r="D8" s="147"/>
      <c r="E8" s="147"/>
      <c r="F8" s="147"/>
      <c r="G8" s="147"/>
      <c r="H8" s="147"/>
      <c r="I8" s="146">
        <f t="shared" si="3"/>
        <v>69.003902100000005</v>
      </c>
      <c r="J8" s="146">
        <f t="shared" si="4"/>
        <v>308.44744238700002</v>
      </c>
      <c r="K8" s="146">
        <f t="shared" si="5"/>
        <v>2.1391209651</v>
      </c>
      <c r="L8" s="146">
        <f t="shared" si="6"/>
        <v>52.209736381909536</v>
      </c>
      <c r="M8" s="146">
        <f t="shared" si="7"/>
        <v>39.679399650251241</v>
      </c>
      <c r="N8" s="146">
        <f t="shared" si="7"/>
        <v>298.78587936639184</v>
      </c>
      <c r="O8" s="146">
        <f t="shared" si="8"/>
        <v>1.4284583874090446</v>
      </c>
      <c r="Q8" s="13"/>
      <c r="R8" s="139"/>
      <c r="S8" s="138"/>
      <c r="T8" s="139"/>
      <c r="U8" s="139"/>
      <c r="V8" s="107">
        <v>4.47</v>
      </c>
      <c r="W8" s="150">
        <f t="shared" ref="W8:W10" si="12">(AF8/SUM(AF$2:AF$20))*0.98</f>
        <v>0.15386</v>
      </c>
      <c r="X8" s="19">
        <v>3.1E-2</v>
      </c>
      <c r="Y8" s="19">
        <v>0.7599999999999999</v>
      </c>
      <c r="Z8" s="20">
        <v>7.53</v>
      </c>
      <c r="AA8" s="150">
        <f t="shared" ref="AA8:AA10" si="13">(AG8/SUM(AG$6:AG$25))*0.98</f>
        <v>8.9628140703517573E-2</v>
      </c>
      <c r="AB8" s="7">
        <v>1.1650317612260847E-2</v>
      </c>
      <c r="AC8" s="150">
        <f t="shared" ref="AC8:AC10" si="14">(AH8/SUM(AH$6:AH$25))*0.98</f>
        <v>5.8702163061564054E-2</v>
      </c>
      <c r="AE8" s="168"/>
      <c r="AF8" s="19">
        <v>0.157</v>
      </c>
      <c r="AG8" s="19">
        <v>9.0999999999999998E-2</v>
      </c>
      <c r="AH8" s="19">
        <v>3.5999999999999997E-2</v>
      </c>
    </row>
    <row r="9" spans="1:40" x14ac:dyDescent="0.2">
      <c r="B9" s="18" t="s">
        <v>207</v>
      </c>
      <c r="C9" s="18">
        <f>VLOOKUP($AN$1,DST!C:D,2,FALSE)</f>
        <v>14</v>
      </c>
      <c r="D9" s="147"/>
      <c r="E9" s="147"/>
      <c r="F9" s="147"/>
      <c r="G9" s="147"/>
      <c r="H9" s="147"/>
      <c r="I9" s="146">
        <f t="shared" si="3"/>
        <v>0</v>
      </c>
      <c r="J9" s="146">
        <f t="shared" si="4"/>
        <v>0</v>
      </c>
      <c r="K9" s="146">
        <f t="shared" si="5"/>
        <v>0</v>
      </c>
      <c r="L9" s="146">
        <f t="shared" si="6"/>
        <v>0</v>
      </c>
      <c r="M9" s="146">
        <f t="shared" si="7"/>
        <v>0</v>
      </c>
      <c r="N9" s="146">
        <f t="shared" si="7"/>
        <v>0</v>
      </c>
      <c r="O9" s="146">
        <f t="shared" si="8"/>
        <v>0</v>
      </c>
      <c r="Q9" s="13"/>
      <c r="R9" s="139"/>
      <c r="S9" s="138"/>
      <c r="T9" s="139"/>
      <c r="U9" s="139"/>
      <c r="V9" s="107">
        <v>0</v>
      </c>
      <c r="W9" s="150">
        <f t="shared" si="12"/>
        <v>0</v>
      </c>
      <c r="X9" s="19">
        <v>0</v>
      </c>
      <c r="Y9" s="19">
        <v>0</v>
      </c>
      <c r="Z9" s="20">
        <v>0</v>
      </c>
      <c r="AA9" s="150">
        <f t="shared" si="13"/>
        <v>0</v>
      </c>
      <c r="AB9" s="7">
        <v>0</v>
      </c>
      <c r="AC9" s="150">
        <f t="shared" si="14"/>
        <v>0</v>
      </c>
      <c r="AE9" s="168"/>
      <c r="AF9" s="19">
        <v>0</v>
      </c>
      <c r="AG9" s="19">
        <v>0</v>
      </c>
      <c r="AH9" s="19">
        <v>0</v>
      </c>
    </row>
    <row r="10" spans="1:40" x14ac:dyDescent="0.2">
      <c r="B10" s="18" t="s">
        <v>207</v>
      </c>
      <c r="C10" s="18">
        <f>VLOOKUP($AN$1,DST!C:D,2,FALSE)</f>
        <v>14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4"/>
        <v>0</v>
      </c>
      <c r="K10" s="146">
        <f t="shared" si="5"/>
        <v>0</v>
      </c>
      <c r="L10" s="146">
        <f t="shared" si="6"/>
        <v>0</v>
      </c>
      <c r="M10" s="146">
        <f t="shared" si="7"/>
        <v>0</v>
      </c>
      <c r="N10" s="146">
        <f t="shared" si="7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12"/>
        <v>0</v>
      </c>
      <c r="X10" s="19">
        <v>0</v>
      </c>
      <c r="Y10" s="19">
        <v>0</v>
      </c>
      <c r="Z10" s="20">
        <v>0</v>
      </c>
      <c r="AA10" s="150">
        <f t="shared" si="13"/>
        <v>0</v>
      </c>
      <c r="AB10" s="7">
        <v>0</v>
      </c>
      <c r="AC10" s="150">
        <f t="shared" si="14"/>
        <v>0</v>
      </c>
      <c r="AE10" s="168"/>
      <c r="AF10" s="19">
        <v>0</v>
      </c>
      <c r="AG10" s="19">
        <v>0</v>
      </c>
      <c r="AH10" s="19">
        <v>0</v>
      </c>
    </row>
    <row r="11" spans="1:40" x14ac:dyDescent="0.2">
      <c r="B11" s="18" t="s">
        <v>207</v>
      </c>
      <c r="C11" s="18">
        <f>VLOOKUP($AN$1,DST!C:D,2,FALSE)</f>
        <v>14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4"/>
        <v>0</v>
      </c>
      <c r="K11" s="146">
        <f t="shared" si="5"/>
        <v>0</v>
      </c>
      <c r="L11" s="146">
        <f t="shared" si="6"/>
        <v>0</v>
      </c>
      <c r="M11" s="146">
        <f t="shared" si="7"/>
        <v>0</v>
      </c>
      <c r="N11" s="146">
        <f t="shared" si="7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9"/>
        <v>0</v>
      </c>
      <c r="X11" s="19">
        <v>0</v>
      </c>
      <c r="Y11" s="19">
        <v>0</v>
      </c>
      <c r="Z11" s="20">
        <v>0</v>
      </c>
      <c r="AA11" s="150">
        <f t="shared" si="10"/>
        <v>0</v>
      </c>
      <c r="AB11" s="7">
        <v>0</v>
      </c>
      <c r="AC11" s="150">
        <f t="shared" si="11"/>
        <v>0</v>
      </c>
      <c r="AE11" s="168"/>
      <c r="AF11" s="19">
        <v>0</v>
      </c>
      <c r="AG11" s="19">
        <v>0</v>
      </c>
      <c r="AH11" s="19">
        <v>0</v>
      </c>
    </row>
    <row r="12" spans="1:40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40" x14ac:dyDescent="0.2">
      <c r="A13" s="17" t="s">
        <v>37</v>
      </c>
      <c r="B13" s="18" t="s">
        <v>208</v>
      </c>
      <c r="C13" s="18">
        <f>VLOOKUP($AN$1,DST!C:D,2,FALSE)</f>
        <v>14</v>
      </c>
      <c r="D13" s="147"/>
      <c r="E13" s="147"/>
      <c r="F13" s="147"/>
      <c r="G13" s="147"/>
      <c r="H13" s="147"/>
      <c r="I13" s="146">
        <f t="shared" ref="I13:I20" si="15">D$35*W13</f>
        <v>0</v>
      </c>
      <c r="J13" s="146">
        <f t="shared" ref="J13:J20" si="16">I13*V13</f>
        <v>0</v>
      </c>
      <c r="K13" s="146">
        <f t="shared" ref="K13:K20" si="17">I13*X13</f>
        <v>0</v>
      </c>
      <c r="L13" s="146">
        <f t="shared" ref="L13:L20" si="18">((D$2+D$3+D$4)*AA13)</f>
        <v>121.05774040201003</v>
      </c>
      <c r="M13" s="146">
        <f t="shared" ref="M13:N20" si="19">L13*Y13</f>
        <v>73.239932943216047</v>
      </c>
      <c r="N13" s="146">
        <f t="shared" si="19"/>
        <v>920.62595709622576</v>
      </c>
      <c r="O13" s="146">
        <f t="shared" ref="O13:O20" si="20">M13*AH13</f>
        <v>6.152154367230148</v>
      </c>
      <c r="Q13" s="13"/>
      <c r="R13" s="139"/>
      <c r="S13" s="138"/>
      <c r="T13" s="139"/>
      <c r="U13" s="139"/>
      <c r="V13" s="107">
        <v>5.0199999999999996</v>
      </c>
      <c r="W13" s="150">
        <f t="shared" ref="W13:W20" si="21">(AF13/SUM(AF$2:AF$20))*0.98</f>
        <v>0</v>
      </c>
      <c r="X13" s="19">
        <v>0</v>
      </c>
      <c r="Y13" s="19">
        <v>0.60499999999999987</v>
      </c>
      <c r="Z13" s="20">
        <v>12.57</v>
      </c>
      <c r="AA13" s="150">
        <f t="shared" ref="AA13:AA20" si="22">(AG13/SUM(AG$6:AG$25))*0.98</f>
        <v>0.20781909547738689</v>
      </c>
      <c r="AB13" s="7">
        <v>0.17296040692049197</v>
      </c>
      <c r="AC13" s="150">
        <f t="shared" ref="AC13:AC20" si="23">(AH13/SUM(AH$6:AH$25))*0.98</f>
        <v>0.13697171381031614</v>
      </c>
      <c r="AE13" s="168"/>
      <c r="AF13" s="19">
        <v>0</v>
      </c>
      <c r="AG13" s="19">
        <v>0.21099999999999999</v>
      </c>
      <c r="AH13" s="19">
        <v>8.4000000000000005E-2</v>
      </c>
    </row>
    <row r="14" spans="1:40" x14ac:dyDescent="0.2">
      <c r="A14" s="17" t="s">
        <v>53</v>
      </c>
      <c r="B14" s="18" t="s">
        <v>208</v>
      </c>
      <c r="C14" s="18">
        <f>VLOOKUP($AN$1,DST!C:D,2,FALSE)</f>
        <v>14</v>
      </c>
      <c r="D14" s="147"/>
      <c r="E14" s="147"/>
      <c r="F14" s="147"/>
      <c r="G14" s="147"/>
      <c r="H14" s="147"/>
      <c r="I14" s="146">
        <f t="shared" si="15"/>
        <v>0</v>
      </c>
      <c r="J14" s="146">
        <f t="shared" si="16"/>
        <v>0</v>
      </c>
      <c r="K14" s="146">
        <f t="shared" si="17"/>
        <v>0</v>
      </c>
      <c r="L14" s="146">
        <f t="shared" si="18"/>
        <v>91.223605326633148</v>
      </c>
      <c r="M14" s="146">
        <f t="shared" si="19"/>
        <v>54.095597958693453</v>
      </c>
      <c r="N14" s="146">
        <f t="shared" si="19"/>
        <v>651.31099942266917</v>
      </c>
      <c r="O14" s="146">
        <f t="shared" si="20"/>
        <v>3.9489786509846216</v>
      </c>
      <c r="Q14" s="13"/>
      <c r="R14" s="139"/>
      <c r="S14" s="138"/>
      <c r="T14" s="139"/>
      <c r="U14" s="139"/>
      <c r="V14" s="107">
        <v>5.0199999999999996</v>
      </c>
      <c r="W14" s="150">
        <f t="shared" si="21"/>
        <v>0</v>
      </c>
      <c r="X14" s="19">
        <v>0</v>
      </c>
      <c r="Y14" s="19">
        <v>0.59299999999999997</v>
      </c>
      <c r="Z14" s="20">
        <v>12.04</v>
      </c>
      <c r="AA14" s="150">
        <f t="shared" si="22"/>
        <v>0.15660301507537686</v>
      </c>
      <c r="AB14" s="7">
        <v>0.16914700718371889</v>
      </c>
      <c r="AC14" s="150">
        <f t="shared" si="23"/>
        <v>0.11903494176372713</v>
      </c>
      <c r="AE14" s="168"/>
      <c r="AF14" s="19">
        <v>0</v>
      </c>
      <c r="AG14" s="19">
        <v>0.159</v>
      </c>
      <c r="AH14" s="19">
        <v>7.2999999999999995E-2</v>
      </c>
    </row>
    <row r="15" spans="1:40" x14ac:dyDescent="0.2">
      <c r="A15" s="17" t="s">
        <v>485</v>
      </c>
      <c r="B15" s="18" t="s">
        <v>208</v>
      </c>
      <c r="C15" s="18">
        <f>VLOOKUP($AN$1,DST!C:D,2,FALSE)</f>
        <v>14</v>
      </c>
      <c r="D15" s="147"/>
      <c r="E15" s="147"/>
      <c r="F15" s="147"/>
      <c r="G15" s="147"/>
      <c r="H15" s="147"/>
      <c r="I15" s="146">
        <f t="shared" si="15"/>
        <v>0</v>
      </c>
      <c r="J15" s="146">
        <f t="shared" si="16"/>
        <v>0</v>
      </c>
      <c r="K15" s="146">
        <f t="shared" si="17"/>
        <v>0</v>
      </c>
      <c r="L15" s="146">
        <f t="shared" si="18"/>
        <v>82.61760482412059</v>
      </c>
      <c r="M15" s="146">
        <f t="shared" si="19"/>
        <v>49.074857265527626</v>
      </c>
      <c r="N15" s="146">
        <f t="shared" si="19"/>
        <v>667.41805881117568</v>
      </c>
      <c r="O15" s="146">
        <f t="shared" si="20"/>
        <v>3.7787640094456272</v>
      </c>
      <c r="Q15" s="13"/>
      <c r="R15" s="139"/>
      <c r="S15" s="138"/>
      <c r="T15" s="139"/>
      <c r="U15" s="139"/>
      <c r="V15" s="107">
        <v>5.0199999999999996</v>
      </c>
      <c r="W15" s="150">
        <f t="shared" si="21"/>
        <v>0</v>
      </c>
      <c r="X15" s="19">
        <v>0</v>
      </c>
      <c r="Y15" s="19">
        <v>0.59399999999999997</v>
      </c>
      <c r="Z15" s="20">
        <v>13.6</v>
      </c>
      <c r="AA15" s="150">
        <f t="shared" si="22"/>
        <v>0.14182914572864319</v>
      </c>
      <c r="AB15" s="7">
        <v>1.7228678004791002E-2</v>
      </c>
      <c r="AC15" s="150">
        <f t="shared" si="23"/>
        <v>0.12555740432612311</v>
      </c>
      <c r="AE15" s="168"/>
      <c r="AF15" s="19">
        <v>0</v>
      </c>
      <c r="AG15" s="19">
        <v>0.14399999999999999</v>
      </c>
      <c r="AH15" s="19">
        <v>7.6999999999999999E-2</v>
      </c>
    </row>
    <row r="16" spans="1:40" x14ac:dyDescent="0.2">
      <c r="A16" s="17" t="s">
        <v>604</v>
      </c>
      <c r="B16" s="18" t="s">
        <v>208</v>
      </c>
      <c r="C16" s="18">
        <f>VLOOKUP($AN$1,DST!C:D,2,FALSE)</f>
        <v>14</v>
      </c>
      <c r="D16" s="147"/>
      <c r="E16" s="147"/>
      <c r="F16" s="147"/>
      <c r="G16" s="147"/>
      <c r="H16" s="147"/>
      <c r="I16" s="146">
        <f t="shared" si="15"/>
        <v>0</v>
      </c>
      <c r="J16" s="146">
        <f t="shared" si="16"/>
        <v>0</v>
      </c>
      <c r="K16" s="146">
        <f t="shared" si="17"/>
        <v>0</v>
      </c>
      <c r="L16" s="146">
        <f t="shared" si="18"/>
        <v>59.094536783919587</v>
      </c>
      <c r="M16" s="146">
        <f t="shared" si="19"/>
        <v>34.688493092160797</v>
      </c>
      <c r="N16" s="146">
        <f t="shared" si="19"/>
        <v>459.27564854020898</v>
      </c>
      <c r="O16" s="146">
        <f t="shared" si="20"/>
        <v>2.4281945164512559</v>
      </c>
      <c r="Q16" s="13"/>
      <c r="R16" s="139"/>
      <c r="S16" s="138"/>
      <c r="T16" s="139"/>
      <c r="U16" s="139"/>
      <c r="V16" s="107">
        <v>4.68</v>
      </c>
      <c r="W16" s="150">
        <f t="shared" si="21"/>
        <v>0</v>
      </c>
      <c r="X16" s="19">
        <v>8.4033613445378148E-3</v>
      </c>
      <c r="Y16" s="19">
        <v>0.58699999999999997</v>
      </c>
      <c r="Z16" s="20">
        <v>13.24</v>
      </c>
      <c r="AA16" s="150">
        <f t="shared" si="22"/>
        <v>0.10144723618090451</v>
      </c>
      <c r="AB16" s="7">
        <v>9.6930999688846331E-2</v>
      </c>
      <c r="AC16" s="150">
        <f t="shared" si="23"/>
        <v>0.11414309484193014</v>
      </c>
      <c r="AE16" s="168"/>
      <c r="AF16" s="19">
        <v>0</v>
      </c>
      <c r="AG16" s="19">
        <v>0.10299999999999999</v>
      </c>
      <c r="AH16" s="19">
        <v>7.0000000000000007E-2</v>
      </c>
    </row>
    <row r="17" spans="1:34" x14ac:dyDescent="0.2">
      <c r="A17" s="17" t="s">
        <v>683</v>
      </c>
      <c r="B17" s="18" t="s">
        <v>208</v>
      </c>
      <c r="C17" s="18">
        <f>VLOOKUP($AN$1,DST!C:D,2,FALSE)</f>
        <v>14</v>
      </c>
      <c r="D17" s="147"/>
      <c r="E17" s="147"/>
      <c r="F17" s="147"/>
      <c r="G17" s="147"/>
      <c r="H17" s="147"/>
      <c r="I17" s="146">
        <f t="shared" si="15"/>
        <v>0</v>
      </c>
      <c r="J17" s="146">
        <f t="shared" si="16"/>
        <v>0</v>
      </c>
      <c r="K17" s="146">
        <f t="shared" si="17"/>
        <v>0</v>
      </c>
      <c r="L17" s="146">
        <f t="shared" si="18"/>
        <v>23.523068040201004</v>
      </c>
      <c r="M17" s="146">
        <f t="shared" si="19"/>
        <v>13.549287191155777</v>
      </c>
      <c r="N17" s="146">
        <f t="shared" si="19"/>
        <v>173.97284753444018</v>
      </c>
      <c r="O17" s="146">
        <f t="shared" si="20"/>
        <v>0.97554867776321585</v>
      </c>
      <c r="Q17" s="13"/>
      <c r="R17" s="139"/>
      <c r="S17" s="138"/>
      <c r="T17" s="139"/>
      <c r="U17" s="139"/>
      <c r="V17" s="107">
        <v>5.0199999999999996</v>
      </c>
      <c r="W17" s="150">
        <f t="shared" si="21"/>
        <v>0</v>
      </c>
      <c r="X17" s="19">
        <v>0</v>
      </c>
      <c r="Y17" s="19">
        <v>0.57599999999999996</v>
      </c>
      <c r="Z17" s="20">
        <v>12.84</v>
      </c>
      <c r="AA17" s="150">
        <f t="shared" si="22"/>
        <v>4.0381909547738695E-2</v>
      </c>
      <c r="AB17" s="7">
        <v>4.0220732546576553E-3</v>
      </c>
      <c r="AC17" s="150">
        <f t="shared" si="23"/>
        <v>0.11740432612312811</v>
      </c>
      <c r="AE17" s="168"/>
      <c r="AF17" s="19">
        <v>0</v>
      </c>
      <c r="AG17" s="19">
        <v>4.1000000000000002E-2</v>
      </c>
      <c r="AH17" s="19">
        <v>7.1999999999999995E-2</v>
      </c>
    </row>
    <row r="18" spans="1:34" x14ac:dyDescent="0.2">
      <c r="B18" s="18" t="s">
        <v>208</v>
      </c>
      <c r="C18" s="18">
        <f>VLOOKUP($AN$1,DST!C:D,2,FALSE)</f>
        <v>14</v>
      </c>
      <c r="D18" s="147"/>
      <c r="E18" s="147"/>
      <c r="F18" s="147"/>
      <c r="G18" s="147"/>
      <c r="H18" s="147"/>
      <c r="I18" s="146">
        <f t="shared" si="15"/>
        <v>0</v>
      </c>
      <c r="J18" s="146">
        <f t="shared" si="16"/>
        <v>0</v>
      </c>
      <c r="K18" s="146">
        <f t="shared" si="17"/>
        <v>0</v>
      </c>
      <c r="L18" s="146">
        <f t="shared" si="18"/>
        <v>0</v>
      </c>
      <c r="M18" s="146">
        <f t="shared" si="19"/>
        <v>0</v>
      </c>
      <c r="N18" s="146">
        <f t="shared" si="19"/>
        <v>0</v>
      </c>
      <c r="O18" s="146">
        <f t="shared" si="20"/>
        <v>0</v>
      </c>
      <c r="Q18" s="13"/>
      <c r="R18" s="139"/>
      <c r="S18" s="138"/>
      <c r="T18" s="139"/>
      <c r="U18" s="139"/>
      <c r="V18" s="107">
        <v>0</v>
      </c>
      <c r="W18" s="150">
        <f t="shared" si="21"/>
        <v>0</v>
      </c>
      <c r="X18" s="19">
        <v>0</v>
      </c>
      <c r="Y18" s="19">
        <v>0</v>
      </c>
      <c r="Z18" s="20">
        <v>0</v>
      </c>
      <c r="AA18" s="150">
        <f t="shared" si="22"/>
        <v>0</v>
      </c>
      <c r="AB18" s="7">
        <v>0.10907946740763651</v>
      </c>
      <c r="AC18" s="150">
        <f t="shared" si="23"/>
        <v>0</v>
      </c>
      <c r="AE18" s="168"/>
      <c r="AF18" s="19">
        <v>0</v>
      </c>
      <c r="AG18" s="19">
        <v>0</v>
      </c>
      <c r="AH18" s="19">
        <v>0</v>
      </c>
    </row>
    <row r="19" spans="1:34" x14ac:dyDescent="0.2">
      <c r="B19" s="18" t="s">
        <v>208</v>
      </c>
      <c r="C19" s="18">
        <f>VLOOKUP($AN$1,DST!C:D,2,FALSE)</f>
        <v>14</v>
      </c>
      <c r="D19" s="147"/>
      <c r="E19" s="147"/>
      <c r="F19" s="147"/>
      <c r="G19" s="147"/>
      <c r="H19" s="147"/>
      <c r="I19" s="146">
        <f t="shared" si="15"/>
        <v>0</v>
      </c>
      <c r="J19" s="146">
        <f t="shared" si="16"/>
        <v>0</v>
      </c>
      <c r="K19" s="146">
        <f t="shared" si="17"/>
        <v>0</v>
      </c>
      <c r="L19" s="146">
        <f t="shared" si="18"/>
        <v>0</v>
      </c>
      <c r="M19" s="146">
        <f t="shared" si="19"/>
        <v>0</v>
      </c>
      <c r="N19" s="146">
        <f t="shared" si="19"/>
        <v>0</v>
      </c>
      <c r="O19" s="146">
        <f t="shared" si="20"/>
        <v>0</v>
      </c>
      <c r="Q19" s="13"/>
      <c r="R19" s="139"/>
      <c r="S19" s="138"/>
      <c r="T19" s="139"/>
      <c r="U19" s="139"/>
      <c r="V19" s="107">
        <v>0</v>
      </c>
      <c r="W19" s="150">
        <f t="shared" si="21"/>
        <v>0</v>
      </c>
      <c r="X19" s="19">
        <v>0</v>
      </c>
      <c r="Y19" s="19">
        <v>0</v>
      </c>
      <c r="Z19" s="20">
        <v>0</v>
      </c>
      <c r="AA19" s="150">
        <f t="shared" si="22"/>
        <v>0</v>
      </c>
      <c r="AB19" s="7">
        <v>0</v>
      </c>
      <c r="AC19" s="150">
        <f t="shared" si="23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208</v>
      </c>
      <c r="C20" s="18">
        <f>VLOOKUP($AN$1,DST!C:D,2,FALSE)</f>
        <v>14</v>
      </c>
      <c r="D20" s="147"/>
      <c r="E20" s="147"/>
      <c r="F20" s="147"/>
      <c r="G20" s="147"/>
      <c r="H20" s="147"/>
      <c r="I20" s="146">
        <f t="shared" si="15"/>
        <v>0</v>
      </c>
      <c r="J20" s="146">
        <f t="shared" si="16"/>
        <v>0</v>
      </c>
      <c r="K20" s="146">
        <f t="shared" si="17"/>
        <v>0</v>
      </c>
      <c r="L20" s="146">
        <f t="shared" si="18"/>
        <v>0</v>
      </c>
      <c r="M20" s="146">
        <f t="shared" si="19"/>
        <v>0</v>
      </c>
      <c r="N20" s="146">
        <f t="shared" si="19"/>
        <v>0</v>
      </c>
      <c r="O20" s="146">
        <f t="shared" si="20"/>
        <v>0</v>
      </c>
      <c r="Q20" s="13"/>
      <c r="R20" s="139"/>
      <c r="S20" s="138"/>
      <c r="T20" s="139"/>
      <c r="U20" s="139"/>
      <c r="V20" s="107">
        <v>0</v>
      </c>
      <c r="W20" s="150">
        <f t="shared" si="21"/>
        <v>0</v>
      </c>
      <c r="X20" s="19">
        <v>0</v>
      </c>
      <c r="Y20" s="19">
        <v>0</v>
      </c>
      <c r="Z20" s="20">
        <v>0</v>
      </c>
      <c r="AA20" s="150">
        <f t="shared" si="22"/>
        <v>0</v>
      </c>
      <c r="AB20" s="7">
        <v>0</v>
      </c>
      <c r="AC20" s="150">
        <f t="shared" si="23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425</v>
      </c>
      <c r="B22" s="18" t="s">
        <v>10</v>
      </c>
      <c r="C22" s="18">
        <f>VLOOKUP($AN$1,DST!C:D,2,FALSE)</f>
        <v>14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60.242003517587932</v>
      </c>
      <c r="M22" s="146">
        <f t="shared" ref="M22:N25" si="24">L22*Y22</f>
        <v>37.229558173869336</v>
      </c>
      <c r="N22" s="146">
        <f t="shared" si="24"/>
        <v>401.33463711431142</v>
      </c>
      <c r="O22" s="146">
        <f t="shared" ref="O22:O25" si="25">M22*AH22</f>
        <v>2.3082326067798986</v>
      </c>
      <c r="Q22" s="13"/>
      <c r="R22" s="139"/>
      <c r="S22" s="138"/>
      <c r="T22" s="139"/>
      <c r="U22" s="139"/>
      <c r="V22" s="140"/>
      <c r="W22" s="154"/>
      <c r="X22" s="139"/>
      <c r="Y22" s="19">
        <v>0.61799999999999988</v>
      </c>
      <c r="Z22" s="20">
        <v>10.78</v>
      </c>
      <c r="AA22" s="150">
        <f>(AG22/SUM(AG$6:AG$25))*0.98</f>
        <v>0.10341708542713567</v>
      </c>
      <c r="AB22" s="7">
        <v>0.16917769963646839</v>
      </c>
      <c r="AC22" s="150">
        <f>(AH22/SUM(AH$6:AH$25))*0.98</f>
        <v>0.1010981697171381</v>
      </c>
      <c r="AE22" s="168"/>
      <c r="AF22" s="168"/>
      <c r="AG22" s="19">
        <v>0.105</v>
      </c>
      <c r="AH22" s="19">
        <v>6.2E-2</v>
      </c>
    </row>
    <row r="23" spans="1:34" x14ac:dyDescent="0.2">
      <c r="A23" s="17" t="s">
        <v>157</v>
      </c>
      <c r="B23" s="18" t="s">
        <v>10</v>
      </c>
      <c r="C23" s="18">
        <f>VLOOKUP($AN$1,DST!C:D,2,FALSE)</f>
        <v>14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21.801867939698489</v>
      </c>
      <c r="M23" s="146">
        <f t="shared" si="24"/>
        <v>13.299139443216076</v>
      </c>
      <c r="N23" s="146">
        <f t="shared" si="24"/>
        <v>127.01160192857439</v>
      </c>
      <c r="O23" s="146">
        <f t="shared" si="25"/>
        <v>0.86444406380904493</v>
      </c>
      <c r="Q23" s="13"/>
      <c r="R23" s="139"/>
      <c r="S23" s="138"/>
      <c r="T23" s="139"/>
      <c r="U23" s="139"/>
      <c r="V23" s="140"/>
      <c r="W23" s="154"/>
      <c r="X23" s="139"/>
      <c r="Y23" s="19">
        <v>0.60999999999999988</v>
      </c>
      <c r="Z23" s="20">
        <v>9.5503624479524749</v>
      </c>
      <c r="AA23" s="150">
        <f>(AG23/SUM(AG$6:AG$25))*0.98</f>
        <v>3.7427135678391954E-2</v>
      </c>
      <c r="AB23" s="7">
        <v>5.5579734095602698E-2</v>
      </c>
      <c r="AC23" s="150">
        <f>(AH23/SUM(AH$6:AH$25))*0.98</f>
        <v>0.10599001663893511</v>
      </c>
      <c r="AE23" s="168"/>
      <c r="AF23" s="168"/>
      <c r="AG23" s="19">
        <v>3.7999999999999999E-2</v>
      </c>
      <c r="AH23" s="19">
        <v>6.5000000000000002E-2</v>
      </c>
    </row>
    <row r="24" spans="1:34" x14ac:dyDescent="0.2">
      <c r="B24" s="18" t="s">
        <v>10</v>
      </c>
      <c r="C24" s="18">
        <f>VLOOKUP($AN$1,DST!C:D,2,FALSE)</f>
        <v>14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0</v>
      </c>
      <c r="M24" s="146">
        <f t="shared" si="24"/>
        <v>0</v>
      </c>
      <c r="N24" s="146">
        <f t="shared" si="24"/>
        <v>0</v>
      </c>
      <c r="O24" s="146">
        <f t="shared" si="25"/>
        <v>0</v>
      </c>
      <c r="Q24" s="13"/>
      <c r="R24" s="139"/>
      <c r="S24" s="138"/>
      <c r="T24" s="139"/>
      <c r="U24" s="139"/>
      <c r="V24" s="140"/>
      <c r="W24" s="154"/>
      <c r="X24" s="139"/>
      <c r="Y24" s="19">
        <v>0</v>
      </c>
      <c r="Z24" s="20">
        <v>0</v>
      </c>
      <c r="AA24" s="150">
        <f>(AG24/SUM(AG$6:AG$25))*0.98</f>
        <v>0</v>
      </c>
      <c r="AB24" s="7">
        <v>1.574709966879094E-2</v>
      </c>
      <c r="AC24" s="150">
        <f>(AH24/SUM(AH$6:AH$25))*0.98</f>
        <v>0</v>
      </c>
      <c r="AE24" s="168"/>
      <c r="AF24" s="168"/>
      <c r="AG24" s="19">
        <v>0</v>
      </c>
      <c r="AH24" s="19">
        <v>0</v>
      </c>
    </row>
    <row r="25" spans="1:34" x14ac:dyDescent="0.2">
      <c r="B25" s="18" t="s">
        <v>10</v>
      </c>
      <c r="C25" s="18">
        <f>VLOOKUP($AN$1,DST!C:D,2,FALSE)</f>
        <v>14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24"/>
        <v>0</v>
      </c>
      <c r="N25" s="146">
        <f t="shared" si="24"/>
        <v>0</v>
      </c>
      <c r="O25" s="146">
        <f t="shared" si="25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8.4877984030362497E-3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264</v>
      </c>
      <c r="X27" s="30"/>
      <c r="Y27" s="30"/>
      <c r="Z27" s="31"/>
      <c r="AA27" s="9" t="s">
        <v>264</v>
      </c>
      <c r="AB27" s="9" t="s">
        <v>264</v>
      </c>
      <c r="AC27" s="9" t="s">
        <v>264</v>
      </c>
      <c r="AD27" s="44"/>
      <c r="AE27" s="9" t="s">
        <v>264</v>
      </c>
      <c r="AF27" s="9" t="s">
        <v>264</v>
      </c>
      <c r="AG27" s="9" t="s">
        <v>264</v>
      </c>
    </row>
    <row r="28" spans="1:34" s="27" customFormat="1" x14ac:dyDescent="0.2">
      <c r="A28" s="45" t="s">
        <v>265</v>
      </c>
      <c r="B28" s="28"/>
      <c r="C28" s="28"/>
      <c r="D28" s="34" t="s">
        <v>269</v>
      </c>
      <c r="E28" s="34" t="s">
        <v>266</v>
      </c>
      <c r="F28" s="155" t="s">
        <v>267</v>
      </c>
      <c r="G28" s="34" t="s">
        <v>286</v>
      </c>
      <c r="H28" s="34" t="s">
        <v>268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0.97999999999999987</v>
      </c>
      <c r="X28" s="30"/>
      <c r="Y28" s="30"/>
      <c r="Z28" s="31"/>
      <c r="AA28" s="150">
        <f>SUM(AA6:AA25)</f>
        <v>0.97999999999999976</v>
      </c>
      <c r="AB28" s="150">
        <f>SUM(AB2:AB4,AB6:AB11,AB13:AB20,AB22:AB25)</f>
        <v>0.90524730356971428</v>
      </c>
      <c r="AC28" s="150">
        <f>SUM(AC6:AC25)</f>
        <v>0.98000000000000009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0.99500000000000011</v>
      </c>
    </row>
    <row r="29" spans="1:34" s="27" customFormat="1" x14ac:dyDescent="0.2">
      <c r="A29" s="43"/>
      <c r="B29" s="28"/>
      <c r="C29" s="28"/>
      <c r="D29" s="46">
        <v>1031</v>
      </c>
      <c r="E29" s="47">
        <v>0.56499999999999995</v>
      </c>
      <c r="F29" s="2">
        <f>1-E29</f>
        <v>0.43500000000000005</v>
      </c>
      <c r="G29" s="106">
        <v>4.1500000000000004</v>
      </c>
      <c r="H29" s="126">
        <v>3.4000000000000002E-2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265</v>
      </c>
      <c r="B31" s="28"/>
      <c r="C31" s="28"/>
      <c r="D31" s="162" t="s">
        <v>278</v>
      </c>
      <c r="E31" s="162" t="s">
        <v>1</v>
      </c>
      <c r="F31" s="162" t="s">
        <v>263</v>
      </c>
      <c r="G31" s="162" t="s">
        <v>137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582.51499999999999</v>
      </c>
      <c r="E32" s="156">
        <f>SUM(E2:E4)</f>
        <v>362.32054751961118</v>
      </c>
      <c r="F32" s="156">
        <f>SUM(F2:F4)</f>
        <v>4001.1455859829007</v>
      </c>
      <c r="G32" s="156">
        <f>SUM(G2:G4)</f>
        <v>23.402540125000002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265</v>
      </c>
      <c r="B34" s="28"/>
      <c r="C34" s="28"/>
      <c r="D34" s="162" t="s">
        <v>270</v>
      </c>
      <c r="E34" s="162" t="s">
        <v>263</v>
      </c>
      <c r="F34" s="162" t="s">
        <v>137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448.48500000000007</v>
      </c>
      <c r="E35" s="156">
        <f>D35*G29</f>
        <v>1861.2127500000004</v>
      </c>
      <c r="F35" s="156">
        <f>D35*H29</f>
        <v>15.248490000000004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279</v>
      </c>
      <c r="B37" s="37"/>
      <c r="C37" s="37"/>
      <c r="D37" s="164" t="s">
        <v>273</v>
      </c>
      <c r="E37" s="164" t="s">
        <v>274</v>
      </c>
      <c r="F37" s="164" t="s">
        <v>275</v>
      </c>
      <c r="G37" s="164" t="s">
        <v>271</v>
      </c>
      <c r="H37" s="164" t="s">
        <v>272</v>
      </c>
      <c r="I37" s="160" t="s">
        <v>276</v>
      </c>
      <c r="J37" s="160" t="s">
        <v>277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3.5" thickBot="1" x14ac:dyDescent="0.25">
      <c r="D38" s="157">
        <f>SUM(I2:I20)</f>
        <v>439.51530000000002</v>
      </c>
      <c r="E38" s="157">
        <f>SUM(J2:J4,J6:J11,J13:J20)</f>
        <v>1850.7330181228626</v>
      </c>
      <c r="F38" s="157">
        <f>SUM(K2:K4,K6:K11,K13:K20)</f>
        <v>15.222172900200002</v>
      </c>
      <c r="G38" s="157">
        <f>SUM(L6:L11,L13:L20,L22:L25)</f>
        <v>570.86469999999986</v>
      </c>
      <c r="H38" s="157">
        <f>SUM(M6:M11,M13:M20,M22:M25)</f>
        <v>358.25919491909536</v>
      </c>
      <c r="I38" s="157">
        <f>SUM(N6:N11,N13:N20,N22:N25)</f>
        <v>3997.7755410568316</v>
      </c>
      <c r="J38" s="157">
        <f>SUM(O6:O11,O13:O20,O22:O25)</f>
        <v>23.401209941752253</v>
      </c>
      <c r="V38" s="181"/>
      <c r="X38" s="30"/>
      <c r="Y38" s="30"/>
      <c r="Z38" s="181"/>
      <c r="AH38" s="30"/>
    </row>
    <row r="39" spans="1:34" ht="13.5" thickTop="1" x14ac:dyDescent="0.2">
      <c r="D39" s="158">
        <f>D35-D38</f>
        <v>8.9697000000000457</v>
      </c>
      <c r="E39" s="158">
        <f>E35-E38</f>
        <v>10.479731877137738</v>
      </c>
      <c r="F39" s="158">
        <f>F35-F38</f>
        <v>2.6317099800001742E-2</v>
      </c>
      <c r="G39" s="158">
        <f>SUM(D2:D4)-G38</f>
        <v>11.650300000000129</v>
      </c>
      <c r="H39" s="158">
        <f>E32-H38</f>
        <v>4.0613526005158178</v>
      </c>
      <c r="I39" s="158">
        <f>F32-I38</f>
        <v>3.370044926069113</v>
      </c>
      <c r="J39" s="158">
        <f>G32-J38</f>
        <v>1.3301832477488063E-3</v>
      </c>
      <c r="V39" s="181"/>
      <c r="X39" s="30"/>
      <c r="Y39" s="30"/>
      <c r="Z39" s="181"/>
      <c r="AH39" s="30"/>
    </row>
    <row r="40" spans="1:34" x14ac:dyDescent="0.2">
      <c r="V40" s="181"/>
      <c r="X40" s="30"/>
      <c r="Y40" s="30"/>
      <c r="Z40" s="181"/>
      <c r="AH40" s="30"/>
    </row>
    <row r="41" spans="1:34" x14ac:dyDescent="0.2">
      <c r="V41" s="181"/>
      <c r="X41" s="30"/>
      <c r="Y41" s="30"/>
      <c r="Z41" s="181"/>
      <c r="AH41" s="30"/>
    </row>
    <row r="42" spans="1:34" x14ac:dyDescent="0.2">
      <c r="D42" s="53"/>
      <c r="V42" s="181"/>
      <c r="X42" s="30"/>
      <c r="Y42" s="30"/>
      <c r="Z42" s="181"/>
      <c r="AH42" s="30"/>
    </row>
    <row r="43" spans="1:34" x14ac:dyDescent="0.2">
      <c r="V43" s="181"/>
      <c r="X43" s="30"/>
      <c r="Y43" s="30"/>
      <c r="Z43" s="181"/>
      <c r="AH43" s="30"/>
    </row>
    <row r="44" spans="1:34" x14ac:dyDescent="0.2">
      <c r="V44" s="181"/>
      <c r="X44" s="30"/>
      <c r="Y44" s="30"/>
      <c r="Z44" s="181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sortState xmlns:xlrd2="http://schemas.microsoft.com/office/spreadsheetml/2017/richdata2" ref="A13:AH20">
    <sortCondition descending="1" ref="N13:N20"/>
  </sortState>
  <conditionalFormatting sqref="D39:J39">
    <cfRule type="cellIs" dxfId="68" priority="1" operator="lessThan">
      <formula>0</formula>
    </cfRule>
  </conditionalFormatting>
  <conditionalFormatting sqref="W28">
    <cfRule type="cellIs" dxfId="67" priority="2" operator="greaterThan">
      <formula>1</formula>
    </cfRule>
  </conditionalFormatting>
  <conditionalFormatting sqref="AA28:AG28">
    <cfRule type="cellIs" dxfId="66" priority="3" operator="greaterThan">
      <formula>1</formula>
    </cfRule>
  </conditionalFormatting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rgb="FF71A0FF"/>
  </sheetPr>
  <dimension ref="A1:AN64"/>
  <sheetViews>
    <sheetView showGridLines="0" zoomScale="85" zoomScaleNormal="85"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defaultColWidth="8.7109375" defaultRowHeight="12.75" x14ac:dyDescent="0.2"/>
  <cols>
    <col min="1" max="1" width="22.5703125" style="17" customWidth="1"/>
    <col min="2" max="3" width="8.7109375" style="18"/>
    <col min="4" max="13" width="8.7109375" style="23"/>
    <col min="14" max="15" width="8.7109375" style="18"/>
    <col min="16" max="16" width="4.7109375" style="18" customWidth="1"/>
    <col min="17" max="18" width="8.7109375" style="26"/>
    <col min="19" max="19" width="8.7109375" style="23"/>
    <col min="20" max="21" width="8.7109375" style="26"/>
    <col min="22" max="23" width="8.7109375" style="25"/>
    <col min="24" max="25" width="8.7109375" style="26"/>
    <col min="26" max="26" width="8.7109375" style="25"/>
    <col min="27" max="27" width="8.7109375" style="18"/>
    <col min="28" max="28" width="0" style="18" hidden="1" customWidth="1"/>
    <col min="29" max="29" width="8.7109375" style="26"/>
    <col min="30" max="30" width="4.7109375" style="17" customWidth="1"/>
    <col min="31" max="32" width="8.7109375" style="18"/>
    <col min="33" max="16384" width="8.7109375" style="17"/>
  </cols>
  <sheetData>
    <row r="1" spans="1:40" s="15" customFormat="1" ht="25.5" customHeight="1" x14ac:dyDescent="0.2">
      <c r="A1" s="15" t="s">
        <v>0</v>
      </c>
      <c r="B1" s="15" t="s">
        <v>8</v>
      </c>
      <c r="C1" s="15" t="s">
        <v>122</v>
      </c>
      <c r="D1" s="159" t="s">
        <v>210</v>
      </c>
      <c r="E1" s="159" t="s">
        <v>1</v>
      </c>
      <c r="F1" s="159" t="s">
        <v>213</v>
      </c>
      <c r="G1" s="159" t="s">
        <v>228</v>
      </c>
      <c r="H1" s="159" t="s">
        <v>2</v>
      </c>
      <c r="I1" s="159" t="s">
        <v>229</v>
      </c>
      <c r="J1" s="159" t="s">
        <v>217</v>
      </c>
      <c r="K1" s="159" t="s">
        <v>230</v>
      </c>
      <c r="L1" s="159" t="s">
        <v>219</v>
      </c>
      <c r="M1" s="159" t="s">
        <v>4</v>
      </c>
      <c r="N1" s="159" t="s">
        <v>223</v>
      </c>
      <c r="O1" s="159" t="s">
        <v>231</v>
      </c>
      <c r="Q1" s="160" t="s">
        <v>281</v>
      </c>
      <c r="R1" s="133" t="s">
        <v>232</v>
      </c>
      <c r="S1" s="134" t="s">
        <v>451</v>
      </c>
      <c r="T1" s="133" t="s">
        <v>205</v>
      </c>
      <c r="U1" s="133" t="s">
        <v>209</v>
      </c>
      <c r="V1" s="135" t="s">
        <v>280</v>
      </c>
      <c r="W1" s="161" t="s">
        <v>282</v>
      </c>
      <c r="X1" s="133" t="s">
        <v>233</v>
      </c>
      <c r="Y1" s="179" t="s">
        <v>234</v>
      </c>
      <c r="Z1" s="135" t="s">
        <v>235</v>
      </c>
      <c r="AA1" s="160" t="s">
        <v>236</v>
      </c>
      <c r="AB1" s="160" t="s">
        <v>237</v>
      </c>
      <c r="AC1" s="10" t="s">
        <v>262</v>
      </c>
      <c r="AE1" s="136" t="s">
        <v>283</v>
      </c>
      <c r="AF1" s="137" t="s">
        <v>284</v>
      </c>
      <c r="AG1" s="136" t="s">
        <v>285</v>
      </c>
      <c r="AH1" s="136" t="s">
        <v>450</v>
      </c>
      <c r="AN1" s="15" t="s">
        <v>97</v>
      </c>
    </row>
    <row r="2" spans="1:40" x14ac:dyDescent="0.2">
      <c r="A2" s="17" t="s">
        <v>54</v>
      </c>
      <c r="B2" s="18" t="s">
        <v>9</v>
      </c>
      <c r="C2" s="18">
        <f>VLOOKUP($AN$1,DST!C:D,2,FALSE)</f>
        <v>5</v>
      </c>
      <c r="D2" s="146">
        <f>D$32*Q2</f>
        <v>592.67459999999994</v>
      </c>
      <c r="E2" s="146">
        <f>D2*R2</f>
        <v>399.63111327548756</v>
      </c>
      <c r="F2" s="146">
        <f>E2*S2</f>
        <v>4482.2463890700856</v>
      </c>
      <c r="G2" s="146">
        <f>D2*T2</f>
        <v>30.819079199999994</v>
      </c>
      <c r="H2" s="146">
        <f>E2*U2</f>
        <v>6.4239213854865307</v>
      </c>
      <c r="I2" s="146">
        <f>D$35*W2</f>
        <v>31.297378000000009</v>
      </c>
      <c r="J2" s="146">
        <f>I2*V2</f>
        <v>60.704217478589875</v>
      </c>
      <c r="K2" s="146">
        <f>I2*X2</f>
        <v>1.23216195363023</v>
      </c>
      <c r="L2" s="147"/>
      <c r="M2" s="147"/>
      <c r="N2" s="147"/>
      <c r="O2" s="147"/>
      <c r="Q2" s="150">
        <f>(AE2/SUM(AE$2:AE$25))</f>
        <v>0.98</v>
      </c>
      <c r="R2" s="19">
        <v>0.67428419114888272</v>
      </c>
      <c r="S2" s="107">
        <v>11.215959519098375</v>
      </c>
      <c r="T2" s="19">
        <v>5.1999999999999998E-2</v>
      </c>
      <c r="U2" s="19">
        <v>1.6074627755667689E-2</v>
      </c>
      <c r="V2" s="107">
        <v>1.9395943480821256</v>
      </c>
      <c r="W2" s="150">
        <f>(AF2/SUM(AF$2:AF$20))*0.98</f>
        <v>6.8600000000000008E-2</v>
      </c>
      <c r="X2" s="19">
        <v>3.9369494582908178E-2</v>
      </c>
      <c r="Y2" s="21"/>
      <c r="Z2" s="22"/>
      <c r="AA2" s="1"/>
      <c r="AB2" s="1"/>
      <c r="AC2" s="1"/>
      <c r="AE2" s="19">
        <v>0.98</v>
      </c>
      <c r="AF2" s="19">
        <v>7.0000000000000007E-2</v>
      </c>
      <c r="AG2" s="168"/>
      <c r="AH2" s="168"/>
    </row>
    <row r="3" spans="1:40" x14ac:dyDescent="0.2">
      <c r="A3" s="17" t="s">
        <v>556</v>
      </c>
      <c r="B3" s="18" t="s">
        <v>9</v>
      </c>
      <c r="C3" s="18">
        <f>VLOOKUP($AN$1,DST!C:D,2,FALSE)</f>
        <v>5</v>
      </c>
      <c r="D3" s="146">
        <f>D$32*Q3</f>
        <v>12.09540000000001</v>
      </c>
      <c r="E3" s="146">
        <f t="shared" ref="E3:F4" si="0">D3*R3</f>
        <v>7.8102907970081281</v>
      </c>
      <c r="F3" s="146">
        <f t="shared" si="0"/>
        <v>82.323179939237278</v>
      </c>
      <c r="G3" s="146">
        <f t="shared" ref="G3:G4" si="1">D3*T3</f>
        <v>0.51380625560603266</v>
      </c>
      <c r="H3" s="146">
        <f t="shared" ref="H3:H4" si="2">E3*U3</f>
        <v>0.18473386771647521</v>
      </c>
      <c r="I3" s="146">
        <f>D$35*W3</f>
        <v>0</v>
      </c>
      <c r="J3" s="146">
        <f>I3*V3</f>
        <v>0</v>
      </c>
      <c r="K3" s="146">
        <f>I3*X3</f>
        <v>0</v>
      </c>
      <c r="L3" s="147"/>
      <c r="M3" s="147"/>
      <c r="N3" s="147"/>
      <c r="O3" s="147"/>
      <c r="Q3" s="150">
        <f>(AE3/SUM(AE$2:AE$25))</f>
        <v>2.0000000000000018E-2</v>
      </c>
      <c r="R3" s="19">
        <v>0.64572406013923656</v>
      </c>
      <c r="S3" s="107">
        <v>10.540347610459349</v>
      </c>
      <c r="T3" s="19">
        <v>4.2479476131920581E-2</v>
      </c>
      <c r="U3" s="19">
        <v>2.3652623508876369E-2</v>
      </c>
      <c r="V3" s="107">
        <v>4.2131147540983607</v>
      </c>
      <c r="W3" s="150">
        <f>(AF3/SUM(AF$2:AF$20))*0.98</f>
        <v>0</v>
      </c>
      <c r="X3" s="19">
        <v>4.9180327868852458E-2</v>
      </c>
      <c r="Y3" s="21"/>
      <c r="Z3" s="22"/>
      <c r="AA3" s="1"/>
      <c r="AB3" s="1"/>
      <c r="AC3" s="1"/>
      <c r="AE3" s="19">
        <v>2.0000000000000018E-2</v>
      </c>
      <c r="AF3" s="19">
        <v>0</v>
      </c>
      <c r="AG3" s="168"/>
      <c r="AH3" s="168"/>
    </row>
    <row r="4" spans="1:40" x14ac:dyDescent="0.2">
      <c r="B4" s="18" t="s">
        <v>9</v>
      </c>
      <c r="C4" s="18">
        <f>VLOOKUP($AN$1,DST!C:D,2,FALSE)</f>
        <v>5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/>
      <c r="AF4" s="19"/>
      <c r="AG4" s="168"/>
      <c r="AH4" s="168"/>
    </row>
    <row r="5" spans="1:40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40" x14ac:dyDescent="0.2">
      <c r="A6" s="172" t="s">
        <v>486</v>
      </c>
      <c r="B6" s="18" t="s">
        <v>207</v>
      </c>
      <c r="C6" s="18">
        <f>VLOOKUP($AN$1,DST!C:D,2,FALSE)</f>
        <v>5</v>
      </c>
      <c r="D6" s="147"/>
      <c r="E6" s="147"/>
      <c r="F6" s="147"/>
      <c r="G6" s="147"/>
      <c r="H6" s="147"/>
      <c r="I6" s="146">
        <f t="shared" ref="I6:I11" si="3">D$35*W6</f>
        <v>179.73637080000003</v>
      </c>
      <c r="J6" s="146">
        <f>I6*V6</f>
        <v>850.94060222053542</v>
      </c>
      <c r="K6" s="146">
        <f>I6*X6</f>
        <v>7.8443413727628721</v>
      </c>
      <c r="L6" s="146">
        <f>((D$2+D$3+D$4)*AA6)</f>
        <v>71.120952000000003</v>
      </c>
      <c r="M6" s="146">
        <f t="shared" ref="M6:N11" si="4">L6*Y6</f>
        <v>53.340714000000006</v>
      </c>
      <c r="N6" s="146">
        <f t="shared" si="4"/>
        <v>383.88051025592694</v>
      </c>
      <c r="O6" s="146">
        <f>M6*AH6</f>
        <v>2.4003321300000002</v>
      </c>
      <c r="Q6" s="13"/>
      <c r="R6" s="139"/>
      <c r="S6" s="138"/>
      <c r="T6" s="139"/>
      <c r="U6" s="139"/>
      <c r="V6" s="107">
        <v>4.7343817972568925</v>
      </c>
      <c r="W6" s="150">
        <f t="shared" ref="W6:W11" si="5">(AF6/SUM(AF$2:AF$20))*0.98</f>
        <v>0.39396000000000003</v>
      </c>
      <c r="X6" s="19">
        <v>4.3643594993311566E-2</v>
      </c>
      <c r="Y6" s="19">
        <v>0.75</v>
      </c>
      <c r="Z6" s="20">
        <v>7.1967636251724505</v>
      </c>
      <c r="AA6" s="150">
        <f t="shared" ref="AA6:AA11" si="6">(AG6/SUM(AG$6:AG$25))*0.98</f>
        <v>0.1176</v>
      </c>
      <c r="AB6" s="7">
        <v>0.13511926653164189</v>
      </c>
      <c r="AC6" s="150">
        <f t="shared" ref="AC6:AC11" si="7">(AH6/SUM(AH$6:AH$25))*0.98</f>
        <v>5.7824333232031719E-2</v>
      </c>
      <c r="AE6" s="168"/>
      <c r="AF6" s="19">
        <v>0.40200000000000002</v>
      </c>
      <c r="AG6" s="19">
        <v>0.12</v>
      </c>
      <c r="AH6" s="19">
        <v>4.4999999999999998E-2</v>
      </c>
    </row>
    <row r="7" spans="1:40" x14ac:dyDescent="0.2">
      <c r="A7" s="172" t="s">
        <v>27</v>
      </c>
      <c r="B7" s="18" t="s">
        <v>207</v>
      </c>
      <c r="C7" s="18">
        <f>VLOOKUP($AN$1,DST!C:D,2,FALSE)</f>
        <v>5</v>
      </c>
      <c r="D7" s="147"/>
      <c r="E7" s="147"/>
      <c r="F7" s="147"/>
      <c r="G7" s="147"/>
      <c r="H7" s="147"/>
      <c r="I7" s="146">
        <f t="shared" si="3"/>
        <v>200.30321920000003</v>
      </c>
      <c r="J7" s="146">
        <f>I7*V7</f>
        <v>889.34629324800017</v>
      </c>
      <c r="K7" s="146">
        <f>I7*X7</f>
        <v>10.135342891520001</v>
      </c>
      <c r="L7" s="146">
        <f>((D$2+D$3+D$4)*AA7)</f>
        <v>23.706983999999999</v>
      </c>
      <c r="M7" s="146">
        <f t="shared" si="4"/>
        <v>17.377219271999998</v>
      </c>
      <c r="N7" s="146">
        <f t="shared" si="4"/>
        <v>129.2344336827511</v>
      </c>
      <c r="O7" s="146">
        <f t="shared" ref="O7:O11" si="8">M7*AH7</f>
        <v>0.69508877087999987</v>
      </c>
      <c r="Q7" s="13"/>
      <c r="R7" s="139"/>
      <c r="S7" s="138"/>
      <c r="T7" s="139"/>
      <c r="U7" s="139"/>
      <c r="V7" s="107">
        <v>4.4400000000000004</v>
      </c>
      <c r="W7" s="150">
        <f t="shared" si="5"/>
        <v>0.43903999999999999</v>
      </c>
      <c r="X7" s="19">
        <v>5.0599999999999999E-2</v>
      </c>
      <c r="Y7" s="19">
        <v>0.73299999999999998</v>
      </c>
      <c r="Z7" s="20">
        <v>7.4370031050357523</v>
      </c>
      <c r="AA7" s="150">
        <f t="shared" si="6"/>
        <v>3.9199999999999999E-2</v>
      </c>
      <c r="AB7" s="7">
        <v>7.7498000103855033E-2</v>
      </c>
      <c r="AC7" s="150">
        <f t="shared" si="7"/>
        <v>5.1399407317361527E-2</v>
      </c>
      <c r="AE7" s="168"/>
      <c r="AF7" s="19">
        <v>0.44800000000000001</v>
      </c>
      <c r="AG7" s="19">
        <v>0.04</v>
      </c>
      <c r="AH7" s="19">
        <v>0.04</v>
      </c>
    </row>
    <row r="8" spans="1:40" x14ac:dyDescent="0.2">
      <c r="A8" s="176" t="s">
        <v>547</v>
      </c>
      <c r="B8" s="18" t="s">
        <v>207</v>
      </c>
      <c r="C8" s="18">
        <f>VLOOKUP($AN$1,DST!C:D,2,FALSE)</f>
        <v>5</v>
      </c>
      <c r="D8" s="147"/>
      <c r="E8" s="147"/>
      <c r="F8" s="147"/>
      <c r="G8" s="147"/>
      <c r="H8" s="147"/>
      <c r="I8" s="146">
        <f t="shared" si="3"/>
        <v>22.355270000000004</v>
      </c>
      <c r="J8" s="146">
        <f>I8*V8</f>
        <v>91.301901101870072</v>
      </c>
      <c r="K8" s="146">
        <f>I8*X8</f>
        <v>0.77862843475032495</v>
      </c>
      <c r="L8" s="146">
        <f>((D$2+D$3+D$4)*AA8)</f>
        <v>5.9267459999999996</v>
      </c>
      <c r="M8" s="146">
        <f t="shared" si="4"/>
        <v>4.1487221999999999</v>
      </c>
      <c r="N8" s="146">
        <f t="shared" si="4"/>
        <v>31.22544280265268</v>
      </c>
      <c r="O8" s="146">
        <f t="shared" si="8"/>
        <v>0.124461666</v>
      </c>
      <c r="Q8" s="13"/>
      <c r="R8" s="139"/>
      <c r="S8" s="138"/>
      <c r="T8" s="139"/>
      <c r="U8" s="139"/>
      <c r="V8" s="107">
        <v>4.084133231308325</v>
      </c>
      <c r="W8" s="150">
        <f t="shared" si="5"/>
        <v>4.9000000000000002E-2</v>
      </c>
      <c r="X8" s="19">
        <v>3.4829748634229191E-2</v>
      </c>
      <c r="Y8" s="19">
        <v>0.70000000000000007</v>
      </c>
      <c r="Z8" s="20">
        <v>7.5265205278513658</v>
      </c>
      <c r="AA8" s="150">
        <f t="shared" si="6"/>
        <v>9.7999999999999997E-3</v>
      </c>
      <c r="AB8" s="7">
        <v>1.9718285357934563E-2</v>
      </c>
      <c r="AC8" s="150">
        <f t="shared" si="7"/>
        <v>3.8549555488021144E-2</v>
      </c>
      <c r="AE8" s="168"/>
      <c r="AF8" s="19">
        <v>0.05</v>
      </c>
      <c r="AG8" s="19">
        <v>0.01</v>
      </c>
      <c r="AH8" s="19">
        <v>0.03</v>
      </c>
    </row>
    <row r="9" spans="1:40" x14ac:dyDescent="0.2">
      <c r="A9" s="172"/>
      <c r="B9" s="18" t="s">
        <v>207</v>
      </c>
      <c r="C9" s="18">
        <f>VLOOKUP($AN$1,DST!C:D,2,FALSE)</f>
        <v>5</v>
      </c>
      <c r="D9" s="147"/>
      <c r="E9" s="147"/>
      <c r="F9" s="147"/>
      <c r="G9" s="147"/>
      <c r="H9" s="147"/>
      <c r="I9" s="146">
        <f t="shared" si="3"/>
        <v>0</v>
      </c>
      <c r="J9" s="146">
        <f t="shared" ref="J9:J11" si="9">I9*V9</f>
        <v>0</v>
      </c>
      <c r="K9" s="146">
        <f t="shared" ref="K9:K11" si="10">I9*X9</f>
        <v>0</v>
      </c>
      <c r="L9" s="146">
        <f t="shared" ref="L9:L11" si="11">((D$2+D$3+D$4)*AA9)</f>
        <v>0</v>
      </c>
      <c r="M9" s="146">
        <f t="shared" si="4"/>
        <v>0</v>
      </c>
      <c r="N9" s="146">
        <f t="shared" si="4"/>
        <v>0</v>
      </c>
      <c r="O9" s="146">
        <f t="shared" si="8"/>
        <v>0</v>
      </c>
      <c r="Q9" s="13"/>
      <c r="R9" s="139"/>
      <c r="S9" s="138"/>
      <c r="T9" s="139"/>
      <c r="U9" s="139"/>
      <c r="V9" s="107">
        <v>0</v>
      </c>
      <c r="W9" s="150">
        <f t="shared" si="5"/>
        <v>0</v>
      </c>
      <c r="X9" s="19">
        <v>0</v>
      </c>
      <c r="Y9" s="19">
        <v>0</v>
      </c>
      <c r="Z9" s="20">
        <v>0</v>
      </c>
      <c r="AA9" s="150">
        <f t="shared" si="6"/>
        <v>0</v>
      </c>
      <c r="AB9" s="7">
        <v>5.7100796700318892E-3</v>
      </c>
      <c r="AC9" s="150">
        <f t="shared" si="7"/>
        <v>0</v>
      </c>
      <c r="AE9" s="168"/>
      <c r="AF9" s="19">
        <v>0</v>
      </c>
      <c r="AG9" s="19">
        <v>0</v>
      </c>
      <c r="AH9" s="19">
        <v>0</v>
      </c>
    </row>
    <row r="10" spans="1:40" x14ac:dyDescent="0.2">
      <c r="A10" s="172"/>
      <c r="B10" s="18" t="s">
        <v>207</v>
      </c>
      <c r="C10" s="18">
        <f>VLOOKUP($AN$1,DST!C:D,2,FALSE)</f>
        <v>5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9"/>
        <v>0</v>
      </c>
      <c r="K10" s="146">
        <f t="shared" si="10"/>
        <v>0</v>
      </c>
      <c r="L10" s="146">
        <f t="shared" si="11"/>
        <v>0</v>
      </c>
      <c r="M10" s="146">
        <f t="shared" si="4"/>
        <v>0</v>
      </c>
      <c r="N10" s="146">
        <f t="shared" si="4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5"/>
        <v>0</v>
      </c>
      <c r="X10" s="19">
        <v>0</v>
      </c>
      <c r="Y10" s="19">
        <v>0</v>
      </c>
      <c r="Z10" s="20">
        <v>0</v>
      </c>
      <c r="AA10" s="150">
        <f t="shared" si="6"/>
        <v>0</v>
      </c>
      <c r="AB10" s="7">
        <v>0</v>
      </c>
      <c r="AC10" s="150">
        <f t="shared" si="7"/>
        <v>0</v>
      </c>
      <c r="AE10" s="168"/>
      <c r="AF10" s="19">
        <v>0</v>
      </c>
      <c r="AG10" s="19">
        <v>0</v>
      </c>
      <c r="AH10" s="19">
        <v>0</v>
      </c>
    </row>
    <row r="11" spans="1:40" x14ac:dyDescent="0.2">
      <c r="A11" s="172"/>
      <c r="B11" s="18" t="s">
        <v>207</v>
      </c>
      <c r="C11" s="18">
        <f>VLOOKUP($AN$1,DST!C:D,2,FALSE)</f>
        <v>5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9"/>
        <v>0</v>
      </c>
      <c r="K11" s="146">
        <f t="shared" si="10"/>
        <v>0</v>
      </c>
      <c r="L11" s="146">
        <f t="shared" si="11"/>
        <v>0</v>
      </c>
      <c r="M11" s="146">
        <f t="shared" si="4"/>
        <v>0</v>
      </c>
      <c r="N11" s="146">
        <f t="shared" si="4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5"/>
        <v>0</v>
      </c>
      <c r="X11" s="19">
        <v>0</v>
      </c>
      <c r="Y11" s="19">
        <v>0</v>
      </c>
      <c r="Z11" s="20">
        <v>0</v>
      </c>
      <c r="AA11" s="150">
        <f t="shared" si="6"/>
        <v>0</v>
      </c>
      <c r="AB11" s="7">
        <v>0</v>
      </c>
      <c r="AC11" s="150">
        <f t="shared" si="7"/>
        <v>0</v>
      </c>
      <c r="AE11" s="168"/>
      <c r="AF11" s="19">
        <v>0</v>
      </c>
      <c r="AG11" s="19">
        <v>0</v>
      </c>
      <c r="AH11" s="19">
        <v>0</v>
      </c>
    </row>
    <row r="12" spans="1:40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40" x14ac:dyDescent="0.2">
      <c r="A13" s="17" t="s">
        <v>197</v>
      </c>
      <c r="B13" s="18" t="s">
        <v>208</v>
      </c>
      <c r="C13" s="18">
        <f>VLOOKUP($AN$1,DST!C:D,2,FALSE)</f>
        <v>5</v>
      </c>
      <c r="D13" s="147"/>
      <c r="E13" s="147"/>
      <c r="F13" s="147"/>
      <c r="G13" s="147"/>
      <c r="H13" s="147"/>
      <c r="I13" s="146">
        <f t="shared" ref="I13:I20" si="12">D$35*W13</f>
        <v>13.413162000000002</v>
      </c>
      <c r="J13" s="146">
        <f t="shared" ref="J13:J20" si="13">I13*V13</f>
        <v>123.26695878000001</v>
      </c>
      <c r="K13" s="146">
        <f t="shared" ref="K13:K20" si="14">I13*X13</f>
        <v>0.28167640200000005</v>
      </c>
      <c r="L13" s="146">
        <f t="shared" ref="L13:L20" si="15">((D$2+D$3+D$4)*AA13)</f>
        <v>151.72469759999998</v>
      </c>
      <c r="M13" s="146">
        <f t="shared" ref="M13:N20" si="16">L13*Y13</f>
        <v>108.17970938880001</v>
      </c>
      <c r="N13" s="146">
        <f t="shared" si="16"/>
        <v>1337.101208045568</v>
      </c>
      <c r="O13" s="146">
        <f t="shared" ref="O13:O20" si="17">M13*AH13</f>
        <v>8.2331388766299778</v>
      </c>
      <c r="Q13" s="13"/>
      <c r="R13" s="139"/>
      <c r="S13" s="138"/>
      <c r="T13" s="139"/>
      <c r="U13" s="139"/>
      <c r="V13" s="107">
        <v>9.19</v>
      </c>
      <c r="W13" s="150">
        <f t="shared" ref="W13:W20" si="18">(AF13/SUM(AF$2:AF$20))*0.98</f>
        <v>2.9399999999999999E-2</v>
      </c>
      <c r="X13" s="19">
        <v>2.1000000000000001E-2</v>
      </c>
      <c r="Y13" s="19">
        <v>0.71300000000000008</v>
      </c>
      <c r="Z13" s="20">
        <v>12.36</v>
      </c>
      <c r="AA13" s="150">
        <f t="shared" ref="AA13:AA20" si="19">(AG13/SUM(AG$6:AG$25))*0.98</f>
        <v>0.25087999999999999</v>
      </c>
      <c r="AB13" s="7">
        <v>0.10385551060617884</v>
      </c>
      <c r="AC13" s="150">
        <f t="shared" ref="AC13:AC20" si="20">(AH13/SUM(AH$6:AH$25))*0.98</f>
        <v>9.7795247604935964E-2</v>
      </c>
      <c r="AE13" s="168"/>
      <c r="AF13" s="19">
        <v>0.03</v>
      </c>
      <c r="AG13" s="19">
        <v>0.25600000000000001</v>
      </c>
      <c r="AH13" s="19">
        <v>7.6106128618259772E-2</v>
      </c>
    </row>
    <row r="14" spans="1:40" x14ac:dyDescent="0.2">
      <c r="A14" s="17" t="s">
        <v>391</v>
      </c>
      <c r="B14" s="18" t="s">
        <v>208</v>
      </c>
      <c r="C14" s="18">
        <f>VLOOKUP($AN$1,DST!C:D,2,FALSE)</f>
        <v>5</v>
      </c>
      <c r="D14" s="147"/>
      <c r="E14" s="147"/>
      <c r="F14" s="147"/>
      <c r="G14" s="147"/>
      <c r="H14" s="147"/>
      <c r="I14" s="146">
        <f t="shared" si="12"/>
        <v>0</v>
      </c>
      <c r="J14" s="146">
        <f t="shared" si="13"/>
        <v>0</v>
      </c>
      <c r="K14" s="146">
        <f t="shared" si="14"/>
        <v>0</v>
      </c>
      <c r="L14" s="146">
        <f t="shared" si="15"/>
        <v>109.05212639999999</v>
      </c>
      <c r="M14" s="146">
        <f t="shared" si="16"/>
        <v>65.21317158719998</v>
      </c>
      <c r="N14" s="146">
        <f t="shared" si="16"/>
        <v>945.59098801439973</v>
      </c>
      <c r="O14" s="146">
        <f t="shared" si="17"/>
        <v>6.288854839588943</v>
      </c>
      <c r="Q14" s="13"/>
      <c r="R14" s="139"/>
      <c r="S14" s="138"/>
      <c r="T14" s="139"/>
      <c r="U14" s="139"/>
      <c r="V14" s="107">
        <v>6.88</v>
      </c>
      <c r="W14" s="150">
        <f t="shared" si="18"/>
        <v>0</v>
      </c>
      <c r="X14" s="19">
        <v>2.0547945205479451E-2</v>
      </c>
      <c r="Y14" s="19">
        <v>0.59799999999999986</v>
      </c>
      <c r="Z14" s="20">
        <v>14.5</v>
      </c>
      <c r="AA14" s="150">
        <f t="shared" si="19"/>
        <v>0.18031999999999998</v>
      </c>
      <c r="AB14" s="7">
        <v>0.11731601383141904</v>
      </c>
      <c r="AC14" s="150">
        <f t="shared" si="20"/>
        <v>0.12391799217569358</v>
      </c>
      <c r="AE14" s="168"/>
      <c r="AF14" s="19">
        <v>0</v>
      </c>
      <c r="AG14" s="19">
        <v>0.184</v>
      </c>
      <c r="AH14" s="19">
        <v>9.6435347131979043E-2</v>
      </c>
    </row>
    <row r="15" spans="1:40" x14ac:dyDescent="0.2">
      <c r="A15" s="17" t="s">
        <v>557</v>
      </c>
      <c r="B15" s="18" t="s">
        <v>208</v>
      </c>
      <c r="C15" s="18">
        <f>VLOOKUP($AN$1,DST!C:D,2,FALSE)</f>
        <v>5</v>
      </c>
      <c r="D15" s="147"/>
      <c r="E15" s="147"/>
      <c r="F15" s="147"/>
      <c r="G15" s="147"/>
      <c r="H15" s="147"/>
      <c r="I15" s="146">
        <f t="shared" si="12"/>
        <v>0</v>
      </c>
      <c r="J15" s="146">
        <f t="shared" si="13"/>
        <v>0</v>
      </c>
      <c r="K15" s="146">
        <f t="shared" si="14"/>
        <v>0</v>
      </c>
      <c r="L15" s="146">
        <f t="shared" si="15"/>
        <v>50.377341000000001</v>
      </c>
      <c r="M15" s="146">
        <f t="shared" si="16"/>
        <v>35.465648063999993</v>
      </c>
      <c r="N15" s="146">
        <f t="shared" si="16"/>
        <v>425.48505462750603</v>
      </c>
      <c r="O15" s="146">
        <f t="shared" si="17"/>
        <v>2.5889923086719993</v>
      </c>
      <c r="Q15" s="13"/>
      <c r="R15" s="139"/>
      <c r="S15" s="138"/>
      <c r="T15" s="139"/>
      <c r="U15" s="139"/>
      <c r="V15" s="107">
        <v>5.0199999999999996</v>
      </c>
      <c r="W15" s="150">
        <f t="shared" si="18"/>
        <v>0</v>
      </c>
      <c r="X15" s="19">
        <v>6.6666666666666662E-3</v>
      </c>
      <c r="Y15" s="19">
        <v>0.70399999999999985</v>
      </c>
      <c r="Z15" s="20">
        <v>11.997103615862073</v>
      </c>
      <c r="AA15" s="150">
        <f t="shared" si="19"/>
        <v>8.3299999999999999E-2</v>
      </c>
      <c r="AB15" s="7">
        <v>0.10912152969861337</v>
      </c>
      <c r="AC15" s="150">
        <f t="shared" si="20"/>
        <v>9.3803918354184779E-2</v>
      </c>
      <c r="AE15" s="168"/>
      <c r="AF15" s="19">
        <v>0</v>
      </c>
      <c r="AG15" s="19">
        <v>8.5000000000000006E-2</v>
      </c>
      <c r="AH15" s="19">
        <v>7.2999999999999995E-2</v>
      </c>
    </row>
    <row r="16" spans="1:40" x14ac:dyDescent="0.2">
      <c r="A16" s="17" t="s">
        <v>555</v>
      </c>
      <c r="B16" s="18" t="s">
        <v>208</v>
      </c>
      <c r="C16" s="18">
        <f>VLOOKUP($AN$1,DST!C:D,2,FALSE)</f>
        <v>5</v>
      </c>
      <c r="D16" s="147"/>
      <c r="E16" s="147"/>
      <c r="F16" s="147"/>
      <c r="G16" s="147"/>
      <c r="H16" s="147"/>
      <c r="I16" s="146">
        <f t="shared" si="12"/>
        <v>0</v>
      </c>
      <c r="J16" s="146">
        <f t="shared" si="13"/>
        <v>0</v>
      </c>
      <c r="K16" s="146">
        <f t="shared" si="14"/>
        <v>0</v>
      </c>
      <c r="L16" s="146">
        <f t="shared" si="15"/>
        <v>23.706983999999999</v>
      </c>
      <c r="M16" s="146">
        <f t="shared" si="16"/>
        <v>13.323325008000003</v>
      </c>
      <c r="N16" s="146">
        <f t="shared" si="16"/>
        <v>170.93825985264004</v>
      </c>
      <c r="O16" s="146">
        <f t="shared" si="17"/>
        <v>0.94219304434245776</v>
      </c>
      <c r="Q16" s="13"/>
      <c r="R16" s="139"/>
      <c r="S16" s="138"/>
      <c r="T16" s="139"/>
      <c r="U16" s="139"/>
      <c r="V16" s="107">
        <v>5.0199999999999996</v>
      </c>
      <c r="W16" s="150">
        <f t="shared" si="18"/>
        <v>0</v>
      </c>
      <c r="X16" s="19">
        <v>0</v>
      </c>
      <c r="Y16" s="19">
        <v>0.56200000000000017</v>
      </c>
      <c r="Z16" s="20">
        <v>12.83</v>
      </c>
      <c r="AA16" s="150">
        <f t="shared" si="19"/>
        <v>3.9199999999999999E-2</v>
      </c>
      <c r="AB16" s="7">
        <v>9.3358826712061221E-2</v>
      </c>
      <c r="AC16" s="150">
        <f t="shared" si="20"/>
        <v>9.0871017611339741E-2</v>
      </c>
      <c r="AE16" s="168"/>
      <c r="AF16" s="19">
        <v>0</v>
      </c>
      <c r="AG16" s="19">
        <v>0.04</v>
      </c>
      <c r="AH16" s="19">
        <v>7.0717560652218348E-2</v>
      </c>
    </row>
    <row r="17" spans="1:34" x14ac:dyDescent="0.2">
      <c r="A17" s="17" t="s">
        <v>487</v>
      </c>
      <c r="B17" s="18" t="s">
        <v>208</v>
      </c>
      <c r="C17" s="18">
        <f>VLOOKUP($AN$1,DST!C:D,2,FALSE)</f>
        <v>5</v>
      </c>
      <c r="D17" s="147"/>
      <c r="E17" s="147"/>
      <c r="F17" s="147"/>
      <c r="G17" s="147"/>
      <c r="H17" s="147"/>
      <c r="I17" s="146">
        <f t="shared" si="12"/>
        <v>0</v>
      </c>
      <c r="J17" s="146">
        <f t="shared" si="13"/>
        <v>0</v>
      </c>
      <c r="K17" s="146">
        <f t="shared" si="14"/>
        <v>0</v>
      </c>
      <c r="L17" s="146">
        <f t="shared" si="15"/>
        <v>11.853491999999999</v>
      </c>
      <c r="M17" s="146">
        <f t="shared" si="16"/>
        <v>6.7564904400000003</v>
      </c>
      <c r="N17" s="146">
        <f t="shared" si="16"/>
        <v>87.901940624399998</v>
      </c>
      <c r="O17" s="146">
        <f t="shared" si="17"/>
        <v>0.44891383942220314</v>
      </c>
      <c r="Q17" s="13"/>
      <c r="R17" s="139"/>
      <c r="S17" s="138"/>
      <c r="T17" s="139"/>
      <c r="U17" s="139"/>
      <c r="V17" s="107">
        <v>5.0199999999999996</v>
      </c>
      <c r="W17" s="150">
        <f t="shared" si="18"/>
        <v>0</v>
      </c>
      <c r="X17" s="19">
        <v>0</v>
      </c>
      <c r="Y17" s="19">
        <v>0.57000000000000006</v>
      </c>
      <c r="Z17" s="20">
        <v>13.01</v>
      </c>
      <c r="AA17" s="150">
        <f t="shared" si="19"/>
        <v>1.9599999999999999E-2</v>
      </c>
      <c r="AB17" s="7">
        <v>1.6548511759957404E-2</v>
      </c>
      <c r="AC17" s="150">
        <f t="shared" si="20"/>
        <v>8.5376814663495795E-2</v>
      </c>
      <c r="AE17" s="168"/>
      <c r="AF17" s="19">
        <v>0</v>
      </c>
      <c r="AG17" s="19">
        <v>0.02</v>
      </c>
      <c r="AH17" s="19">
        <v>6.6441867032702134E-2</v>
      </c>
    </row>
    <row r="18" spans="1:34" x14ac:dyDescent="0.2">
      <c r="B18" s="18" t="s">
        <v>208</v>
      </c>
      <c r="C18" s="18">
        <f>VLOOKUP($AN$1,DST!C:D,2,FALSE)</f>
        <v>5</v>
      </c>
      <c r="D18" s="147"/>
      <c r="E18" s="147"/>
      <c r="F18" s="147"/>
      <c r="G18" s="147"/>
      <c r="H18" s="147"/>
      <c r="I18" s="146">
        <f t="shared" si="12"/>
        <v>0</v>
      </c>
      <c r="J18" s="146">
        <f t="shared" si="13"/>
        <v>0</v>
      </c>
      <c r="K18" s="146">
        <f t="shared" si="14"/>
        <v>0</v>
      </c>
      <c r="L18" s="146">
        <f t="shared" si="15"/>
        <v>0</v>
      </c>
      <c r="M18" s="146">
        <f t="shared" si="16"/>
        <v>0</v>
      </c>
      <c r="N18" s="146">
        <f t="shared" si="16"/>
        <v>0</v>
      </c>
      <c r="O18" s="146">
        <f t="shared" si="17"/>
        <v>0</v>
      </c>
      <c r="Q18" s="13"/>
      <c r="R18" s="139"/>
      <c r="S18" s="138"/>
      <c r="T18" s="139"/>
      <c r="U18" s="139"/>
      <c r="V18" s="107">
        <v>0</v>
      </c>
      <c r="W18" s="150">
        <f t="shared" si="18"/>
        <v>0</v>
      </c>
      <c r="X18" s="19">
        <v>0</v>
      </c>
      <c r="Y18" s="19">
        <v>0</v>
      </c>
      <c r="Z18" s="20">
        <v>0</v>
      </c>
      <c r="AA18" s="150">
        <f t="shared" si="19"/>
        <v>0</v>
      </c>
      <c r="AB18" s="7">
        <v>4.2483770187550354E-2</v>
      </c>
      <c r="AC18" s="150">
        <f t="shared" si="20"/>
        <v>0</v>
      </c>
      <c r="AE18" s="168"/>
      <c r="AF18" s="19">
        <v>0</v>
      </c>
      <c r="AG18" s="19">
        <v>0</v>
      </c>
      <c r="AH18" s="19">
        <v>0</v>
      </c>
    </row>
    <row r="19" spans="1:34" x14ac:dyDescent="0.2">
      <c r="B19" s="18" t="s">
        <v>208</v>
      </c>
      <c r="C19" s="18">
        <f>VLOOKUP($AN$1,DST!C:D,2,FALSE)</f>
        <v>5</v>
      </c>
      <c r="D19" s="147"/>
      <c r="E19" s="147"/>
      <c r="F19" s="147"/>
      <c r="G19" s="147"/>
      <c r="H19" s="147"/>
      <c r="I19" s="146">
        <f t="shared" si="12"/>
        <v>0</v>
      </c>
      <c r="J19" s="146">
        <f t="shared" si="13"/>
        <v>0</v>
      </c>
      <c r="K19" s="146">
        <f t="shared" si="14"/>
        <v>0</v>
      </c>
      <c r="L19" s="146">
        <f t="shared" si="15"/>
        <v>0</v>
      </c>
      <c r="M19" s="146">
        <f t="shared" si="16"/>
        <v>0</v>
      </c>
      <c r="N19" s="146">
        <f t="shared" si="16"/>
        <v>0</v>
      </c>
      <c r="O19" s="146">
        <f t="shared" si="17"/>
        <v>0</v>
      </c>
      <c r="Q19" s="13"/>
      <c r="R19" s="139"/>
      <c r="S19" s="138"/>
      <c r="T19" s="139"/>
      <c r="U19" s="139"/>
      <c r="V19" s="107">
        <v>0</v>
      </c>
      <c r="W19" s="150">
        <f t="shared" si="18"/>
        <v>0</v>
      </c>
      <c r="X19" s="19">
        <v>0</v>
      </c>
      <c r="Y19" s="19">
        <v>0</v>
      </c>
      <c r="Z19" s="20">
        <v>0</v>
      </c>
      <c r="AA19" s="150">
        <f t="shared" si="19"/>
        <v>0</v>
      </c>
      <c r="AB19" s="7">
        <v>0</v>
      </c>
      <c r="AC19" s="150">
        <f t="shared" si="20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208</v>
      </c>
      <c r="C20" s="18">
        <f>VLOOKUP($AN$1,DST!C:D,2,FALSE)</f>
        <v>5</v>
      </c>
      <c r="D20" s="147"/>
      <c r="E20" s="147"/>
      <c r="F20" s="147"/>
      <c r="G20" s="147"/>
      <c r="H20" s="147"/>
      <c r="I20" s="146">
        <f t="shared" si="12"/>
        <v>0</v>
      </c>
      <c r="J20" s="146">
        <f t="shared" si="13"/>
        <v>0</v>
      </c>
      <c r="K20" s="146">
        <f t="shared" si="14"/>
        <v>0</v>
      </c>
      <c r="L20" s="146">
        <f t="shared" si="15"/>
        <v>0</v>
      </c>
      <c r="M20" s="146">
        <f t="shared" si="16"/>
        <v>0</v>
      </c>
      <c r="N20" s="146">
        <f t="shared" si="16"/>
        <v>0</v>
      </c>
      <c r="O20" s="146">
        <f t="shared" si="17"/>
        <v>0</v>
      </c>
      <c r="Q20" s="13"/>
      <c r="R20" s="139"/>
      <c r="S20" s="138"/>
      <c r="T20" s="139"/>
      <c r="U20" s="139"/>
      <c r="V20" s="107">
        <v>0</v>
      </c>
      <c r="W20" s="150">
        <f t="shared" si="18"/>
        <v>0</v>
      </c>
      <c r="X20" s="19">
        <v>0</v>
      </c>
      <c r="Y20" s="19">
        <v>0</v>
      </c>
      <c r="Z20" s="20">
        <v>0</v>
      </c>
      <c r="AA20" s="150">
        <f t="shared" si="19"/>
        <v>0</v>
      </c>
      <c r="AB20" s="7">
        <v>0</v>
      </c>
      <c r="AC20" s="150">
        <f t="shared" si="20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488</v>
      </c>
      <c r="B22" s="18" t="s">
        <v>10</v>
      </c>
      <c r="C22" s="18">
        <f>VLOOKUP($AN$1,DST!C:D,2,FALSE)</f>
        <v>5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121.49829299999999</v>
      </c>
      <c r="M22" s="146">
        <f t="shared" ref="M22:N25" si="21">L22*Y22</f>
        <v>86.263788029999972</v>
      </c>
      <c r="N22" s="146">
        <f t="shared" si="21"/>
        <v>896.26531845526756</v>
      </c>
      <c r="O22" s="146">
        <f t="shared" ref="O22:O25" si="22">M22*AH22</f>
        <v>8.2963843386541338</v>
      </c>
      <c r="Q22" s="13"/>
      <c r="R22" s="139"/>
      <c r="S22" s="138"/>
      <c r="T22" s="139"/>
      <c r="U22" s="139"/>
      <c r="V22" s="140"/>
      <c r="W22" s="154"/>
      <c r="X22" s="139"/>
      <c r="Y22" s="19">
        <v>0.70999999999999985</v>
      </c>
      <c r="Z22" s="20">
        <v>10.389821023667233</v>
      </c>
      <c r="AA22" s="150">
        <f>(AG22/SUM(AG$6:AG$25))*0.98</f>
        <v>0.2009</v>
      </c>
      <c r="AB22" s="7">
        <v>0.17730790229672241</v>
      </c>
      <c r="AC22" s="150">
        <f>(AH22/SUM(AH$6:AH$25))*0.98</f>
        <v>0.12358292153121177</v>
      </c>
      <c r="AE22" s="168"/>
      <c r="AF22" s="168"/>
      <c r="AG22" s="19">
        <v>0.20499999999999999</v>
      </c>
      <c r="AH22" s="19">
        <v>9.6174588759873364E-2</v>
      </c>
    </row>
    <row r="23" spans="1:34" x14ac:dyDescent="0.2">
      <c r="A23" s="17" t="s">
        <v>449</v>
      </c>
      <c r="B23" s="18" t="s">
        <v>10</v>
      </c>
      <c r="C23" s="18">
        <f>VLOOKUP($AN$1,DST!C:D,2,FALSE)</f>
        <v>5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14.816865</v>
      </c>
      <c r="M23" s="146">
        <f t="shared" si="21"/>
        <v>9.7346803050000013</v>
      </c>
      <c r="N23" s="146">
        <f t="shared" si="21"/>
        <v>91.616653065463851</v>
      </c>
      <c r="O23" s="146">
        <f t="shared" si="22"/>
        <v>0.73762301057938029</v>
      </c>
      <c r="Q23" s="13"/>
      <c r="R23" s="139"/>
      <c r="S23" s="138"/>
      <c r="T23" s="139"/>
      <c r="U23" s="139"/>
      <c r="V23" s="140"/>
      <c r="W23" s="154"/>
      <c r="X23" s="139"/>
      <c r="Y23" s="19">
        <v>0.65700000000000014</v>
      </c>
      <c r="Z23" s="20">
        <v>9.4113674198840407</v>
      </c>
      <c r="AA23" s="150">
        <f>(AG23/SUM(AG$6:AG$25))*0.98</f>
        <v>2.4500000000000001E-2</v>
      </c>
      <c r="AB23" s="7">
        <v>4.5164638446128905E-2</v>
      </c>
      <c r="AC23" s="150">
        <f>(AH23/SUM(AH$6:AH$25))*0.98</f>
        <v>9.7366796801623468E-2</v>
      </c>
      <c r="AE23" s="168"/>
      <c r="AF23" s="168"/>
      <c r="AG23" s="19">
        <v>2.5000000000000001E-2</v>
      </c>
      <c r="AH23" s="19">
        <v>7.5772700023904918E-2</v>
      </c>
    </row>
    <row r="24" spans="1:34" x14ac:dyDescent="0.2">
      <c r="A24" s="17" t="s">
        <v>392</v>
      </c>
      <c r="B24" s="18" t="s">
        <v>10</v>
      </c>
      <c r="C24" s="18">
        <f>VLOOKUP($AN$1,DST!C:D,2,FALSE)</f>
        <v>5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8.8901190000000003</v>
      </c>
      <c r="M24" s="146">
        <f t="shared" si="21"/>
        <v>5.8852587779999999</v>
      </c>
      <c r="N24" s="146">
        <f t="shared" si="21"/>
        <v>56.587348622931877</v>
      </c>
      <c r="O24" s="146">
        <f t="shared" si="22"/>
        <v>0.54736741581672876</v>
      </c>
      <c r="Q24" s="13"/>
      <c r="R24" s="139"/>
      <c r="S24" s="138"/>
      <c r="T24" s="139"/>
      <c r="U24" s="139"/>
      <c r="V24" s="140"/>
      <c r="W24" s="154"/>
      <c r="X24" s="139"/>
      <c r="Y24" s="19">
        <v>0.66199999999999992</v>
      </c>
      <c r="Z24" s="20">
        <v>9.615099481175589</v>
      </c>
      <c r="AA24" s="150">
        <f>(AG24/SUM(AG$6:AG$25))*0.98</f>
        <v>1.47E-2</v>
      </c>
      <c r="AB24" s="7">
        <v>1.6379247292112945E-2</v>
      </c>
      <c r="AC24" s="150">
        <f>(AH24/SUM(AH$6:AH$25))*0.98</f>
        <v>0.11951199522010057</v>
      </c>
      <c r="AE24" s="168"/>
      <c r="AF24" s="168"/>
      <c r="AG24" s="19">
        <v>1.4999999999999999E-2</v>
      </c>
      <c r="AH24" s="19">
        <v>9.3006516189716601E-2</v>
      </c>
    </row>
    <row r="25" spans="1:34" x14ac:dyDescent="0.2">
      <c r="B25" s="18" t="s">
        <v>10</v>
      </c>
      <c r="C25" s="18">
        <f>VLOOKUP($AN$1,DST!C:D,2,FALSE)</f>
        <v>5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21"/>
        <v>0</v>
      </c>
      <c r="N25" s="146">
        <f t="shared" si="21"/>
        <v>0</v>
      </c>
      <c r="O25" s="146">
        <f t="shared" si="22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1.5418417505792198E-2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264</v>
      </c>
      <c r="X27" s="30"/>
      <c r="Y27" s="30"/>
      <c r="Z27" s="31"/>
      <c r="AA27" s="9" t="s">
        <v>264</v>
      </c>
      <c r="AB27" s="9" t="s">
        <v>264</v>
      </c>
      <c r="AC27" s="9" t="s">
        <v>264</v>
      </c>
      <c r="AD27" s="44"/>
      <c r="AE27" s="9" t="s">
        <v>264</v>
      </c>
      <c r="AF27" s="9" t="s">
        <v>264</v>
      </c>
      <c r="AG27" s="9" t="s">
        <v>264</v>
      </c>
    </row>
    <row r="28" spans="1:34" s="27" customFormat="1" x14ac:dyDescent="0.2">
      <c r="A28" s="45" t="s">
        <v>265</v>
      </c>
      <c r="B28" s="28"/>
      <c r="C28" s="28"/>
      <c r="D28" s="34" t="s">
        <v>269</v>
      </c>
      <c r="E28" s="34" t="s">
        <v>266</v>
      </c>
      <c r="F28" s="155" t="s">
        <v>267</v>
      </c>
      <c r="G28" s="34" t="s">
        <v>286</v>
      </c>
      <c r="H28" s="34" t="s">
        <v>268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0.98</v>
      </c>
      <c r="X28" s="30"/>
      <c r="Y28" s="30"/>
      <c r="Z28" s="31"/>
      <c r="AA28" s="150">
        <f>SUM(AA6:AA25)</f>
        <v>0.97999999999999987</v>
      </c>
      <c r="AB28" s="150">
        <f>SUM(AB2:AB4,AB6:AB11,AB13:AB20,AB22:AB25)</f>
        <v>0.97500000000000009</v>
      </c>
      <c r="AC28" s="150">
        <f>SUM(AC6:AC25)</f>
        <v>0.98000000000000009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</v>
      </c>
    </row>
    <row r="29" spans="1:34" s="27" customFormat="1" x14ac:dyDescent="0.2">
      <c r="A29" s="43"/>
      <c r="B29" s="28"/>
      <c r="C29" s="28"/>
      <c r="D29" s="46">
        <v>1061</v>
      </c>
      <c r="E29" s="47">
        <v>0.56999999999999995</v>
      </c>
      <c r="F29" s="2">
        <f>1-E29</f>
        <v>0.43000000000000005</v>
      </c>
      <c r="G29" s="106">
        <v>4.45</v>
      </c>
      <c r="H29" s="126">
        <v>4.4499999999999998E-2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265</v>
      </c>
      <c r="B31" s="28"/>
      <c r="C31" s="28"/>
      <c r="D31" s="162" t="s">
        <v>278</v>
      </c>
      <c r="E31" s="162" t="s">
        <v>1</v>
      </c>
      <c r="F31" s="162" t="s">
        <v>263</v>
      </c>
      <c r="G31" s="162" t="s">
        <v>137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604.77</v>
      </c>
      <c r="E32" s="156">
        <f>SUM(E2:E4)</f>
        <v>407.44140407249569</v>
      </c>
      <c r="F32" s="156">
        <f>SUM(F2:F4)</f>
        <v>4564.5695690093225</v>
      </c>
      <c r="G32" s="156">
        <f>SUM(G2:G4)</f>
        <v>31.332885455606025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265</v>
      </c>
      <c r="B34" s="28"/>
      <c r="C34" s="28"/>
      <c r="D34" s="162" t="s">
        <v>270</v>
      </c>
      <c r="E34" s="162" t="s">
        <v>263</v>
      </c>
      <c r="F34" s="162" t="s">
        <v>137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456.23000000000008</v>
      </c>
      <c r="E35" s="156">
        <f>D35*G29</f>
        <v>2030.2235000000005</v>
      </c>
      <c r="F35" s="156">
        <f>D35*H29</f>
        <v>20.302235000000003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279</v>
      </c>
      <c r="B37" s="37"/>
      <c r="C37" s="37"/>
      <c r="D37" s="164" t="s">
        <v>273</v>
      </c>
      <c r="E37" s="164" t="s">
        <v>274</v>
      </c>
      <c r="F37" s="164" t="s">
        <v>275</v>
      </c>
      <c r="G37" s="164" t="s">
        <v>271</v>
      </c>
      <c r="H37" s="164" t="s">
        <v>272</v>
      </c>
      <c r="I37" s="164" t="s">
        <v>276</v>
      </c>
      <c r="J37" s="164" t="s">
        <v>277</v>
      </c>
      <c r="P37" s="40"/>
      <c r="Q37" s="40"/>
      <c r="R37" s="40"/>
      <c r="S37" s="39"/>
      <c r="T37" s="41"/>
      <c r="U37" s="41"/>
      <c r="V37" s="181"/>
      <c r="W37" s="39"/>
      <c r="X37" s="30"/>
      <c r="Y37" s="30"/>
      <c r="Z37" s="181"/>
      <c r="AA37" s="37"/>
      <c r="AB37" s="37"/>
      <c r="AC37" s="37"/>
      <c r="AE37" s="37"/>
      <c r="AF37" s="37"/>
      <c r="AH37" s="30"/>
    </row>
    <row r="38" spans="1:34" ht="13.5" thickBot="1" x14ac:dyDescent="0.25">
      <c r="D38" s="157">
        <f>SUM(I2:I20)</f>
        <v>447.10540000000009</v>
      </c>
      <c r="E38" s="157">
        <f>SUM(J2:J4,J6:J11,J13:J20)</f>
        <v>2015.5599728289956</v>
      </c>
      <c r="F38" s="157">
        <f>SUM(K2:K4,K6:K11,K13:K20)</f>
        <v>20.272151054663425</v>
      </c>
      <c r="G38" s="157">
        <f>SUM(L6:L11,L13:L20,L22:L25)</f>
        <v>592.67459999999994</v>
      </c>
      <c r="H38" s="157">
        <f>SUM(M6:M11,M13:M20,M22:M25)</f>
        <v>405.68872707299988</v>
      </c>
      <c r="I38" s="157">
        <f>SUM(N6:N11,N13:N20,N22:N25)</f>
        <v>4555.8271580495075</v>
      </c>
      <c r="J38" s="157">
        <f>SUM(O6:O11,O13:O20,O22:O25)</f>
        <v>31.303350240585825</v>
      </c>
      <c r="P38" s="23"/>
      <c r="Q38" s="23"/>
      <c r="R38" s="23"/>
      <c r="S38" s="26"/>
      <c r="T38" s="25"/>
      <c r="U38" s="25"/>
      <c r="V38" s="181"/>
      <c r="W38" s="26"/>
      <c r="X38" s="30"/>
      <c r="Y38" s="30"/>
      <c r="Z38" s="181"/>
      <c r="AC38" s="18"/>
      <c r="AH38" s="30"/>
    </row>
    <row r="39" spans="1:34" ht="13.5" thickTop="1" x14ac:dyDescent="0.2">
      <c r="D39" s="158">
        <f>D35-D38</f>
        <v>9.1245999999999867</v>
      </c>
      <c r="E39" s="158">
        <f>E35-E38</f>
        <v>14.663527171004944</v>
      </c>
      <c r="F39" s="158">
        <f>F35-F38</f>
        <v>3.0083945336578211E-2</v>
      </c>
      <c r="G39" s="158">
        <f>SUM(D2:D4)-G38</f>
        <v>12.095400000000041</v>
      </c>
      <c r="H39" s="158">
        <f>E32-H38</f>
        <v>1.7526769994958045</v>
      </c>
      <c r="I39" s="158">
        <f>F32-I38</f>
        <v>8.7424109598150608</v>
      </c>
      <c r="J39" s="158">
        <f>G32-J38</f>
        <v>2.9535215020199956E-2</v>
      </c>
      <c r="P39" s="23"/>
      <c r="Q39" s="23"/>
      <c r="R39" s="23"/>
      <c r="S39" s="26"/>
      <c r="T39" s="25"/>
      <c r="U39" s="25"/>
      <c r="V39" s="181"/>
      <c r="W39" s="26"/>
      <c r="X39" s="30"/>
      <c r="Y39" s="30"/>
      <c r="Z39" s="181"/>
      <c r="AC39" s="18"/>
      <c r="AH39" s="30"/>
    </row>
    <row r="40" spans="1:34" x14ac:dyDescent="0.2">
      <c r="N40" s="23"/>
      <c r="O40" s="23"/>
      <c r="P40" s="23"/>
      <c r="Q40" s="23"/>
      <c r="R40" s="23"/>
      <c r="T40" s="23"/>
      <c r="U40" s="23"/>
      <c r="V40" s="181"/>
      <c r="W40" s="23"/>
      <c r="X40" s="30"/>
      <c r="Y40" s="30"/>
      <c r="Z40" s="181"/>
      <c r="AH40" s="30"/>
    </row>
    <row r="41" spans="1:34" x14ac:dyDescent="0.2">
      <c r="N41" s="23"/>
      <c r="O41" s="23"/>
      <c r="P41" s="23"/>
      <c r="Q41" s="23"/>
      <c r="R41" s="23"/>
      <c r="T41" s="23"/>
      <c r="U41" s="23"/>
      <c r="V41" s="181"/>
      <c r="W41" s="23"/>
      <c r="X41" s="30"/>
      <c r="Y41" s="30"/>
      <c r="Z41" s="181"/>
      <c r="AH41" s="30"/>
    </row>
    <row r="42" spans="1:34" x14ac:dyDescent="0.2">
      <c r="N42" s="23"/>
      <c r="O42" s="23"/>
      <c r="P42" s="23"/>
      <c r="Q42" s="23"/>
      <c r="R42" s="23"/>
      <c r="T42" s="23"/>
      <c r="U42" s="23"/>
      <c r="V42" s="181"/>
      <c r="W42" s="23"/>
      <c r="X42" s="30"/>
      <c r="Y42" s="30"/>
      <c r="Z42" s="181"/>
      <c r="AH42" s="30"/>
    </row>
    <row r="43" spans="1:34" x14ac:dyDescent="0.2">
      <c r="N43" s="23"/>
      <c r="O43" s="23"/>
      <c r="P43" s="23"/>
      <c r="Q43" s="23"/>
      <c r="R43" s="23"/>
      <c r="T43" s="23"/>
      <c r="U43" s="23"/>
      <c r="V43" s="181"/>
      <c r="W43" s="23"/>
      <c r="X43" s="30"/>
      <c r="Y43" s="30"/>
      <c r="Z43" s="181"/>
      <c r="AH43" s="30"/>
    </row>
    <row r="44" spans="1:34" x14ac:dyDescent="0.2">
      <c r="N44" s="23"/>
      <c r="O44" s="23"/>
      <c r="P44" s="23"/>
      <c r="Q44" s="23"/>
      <c r="R44" s="23"/>
      <c r="T44" s="23"/>
      <c r="U44" s="23"/>
      <c r="V44" s="181"/>
      <c r="W44" s="23"/>
      <c r="X44" s="30"/>
      <c r="Y44" s="30"/>
      <c r="Z44" s="181"/>
      <c r="AH44" s="30"/>
    </row>
    <row r="45" spans="1:34" x14ac:dyDescent="0.2">
      <c r="N45" s="23"/>
      <c r="O45" s="23"/>
      <c r="P45" s="23"/>
      <c r="Q45" s="23"/>
      <c r="R45" s="23"/>
      <c r="T45" s="23"/>
      <c r="U45" s="23"/>
      <c r="V45" s="181"/>
      <c r="W45" s="23"/>
      <c r="X45" s="30"/>
      <c r="Y45" s="30"/>
      <c r="Z45" s="181"/>
      <c r="AH45" s="30"/>
    </row>
    <row r="46" spans="1:34" x14ac:dyDescent="0.2">
      <c r="N46" s="23"/>
      <c r="O46" s="23"/>
      <c r="P46" s="23"/>
      <c r="Q46" s="23"/>
      <c r="R46" s="23"/>
      <c r="T46" s="23"/>
      <c r="U46" s="23"/>
      <c r="V46" s="181"/>
      <c r="W46" s="23"/>
      <c r="X46" s="30"/>
      <c r="Y46" s="30"/>
      <c r="Z46" s="181"/>
      <c r="AH46" s="30"/>
    </row>
    <row r="47" spans="1:34" x14ac:dyDescent="0.2">
      <c r="N47" s="23"/>
      <c r="O47" s="23"/>
      <c r="P47" s="23"/>
      <c r="Q47" s="23"/>
      <c r="R47" s="23"/>
      <c r="T47" s="23"/>
      <c r="U47" s="23"/>
      <c r="V47" s="181"/>
      <c r="W47" s="23"/>
      <c r="X47" s="30"/>
      <c r="Y47" s="30"/>
      <c r="Z47" s="181"/>
      <c r="AH47" s="30"/>
    </row>
    <row r="48" spans="1:34" x14ac:dyDescent="0.2">
      <c r="N48" s="23"/>
      <c r="O48" s="23"/>
      <c r="P48" s="23"/>
      <c r="Q48" s="23"/>
      <c r="R48" s="23"/>
      <c r="T48" s="23"/>
      <c r="U48" s="23"/>
      <c r="V48" s="181"/>
      <c r="W48" s="23"/>
      <c r="X48" s="30"/>
      <c r="Y48" s="30"/>
      <c r="Z48" s="181"/>
      <c r="AH48" s="30"/>
    </row>
    <row r="49" spans="14:34" x14ac:dyDescent="0.2">
      <c r="N49" s="23"/>
      <c r="O49" s="23"/>
      <c r="P49" s="23"/>
      <c r="Q49" s="23"/>
      <c r="R49" s="23"/>
      <c r="T49" s="23"/>
      <c r="U49" s="23"/>
      <c r="V49" s="181"/>
      <c r="W49" s="23"/>
      <c r="X49" s="30"/>
      <c r="Y49" s="30"/>
      <c r="Z49" s="181"/>
      <c r="AH49" s="30"/>
    </row>
    <row r="50" spans="14:34" x14ac:dyDescent="0.2">
      <c r="N50" s="23"/>
      <c r="O50" s="23"/>
      <c r="P50" s="23"/>
      <c r="Q50" s="23"/>
      <c r="R50" s="23"/>
      <c r="T50" s="23"/>
      <c r="U50" s="23"/>
      <c r="V50" s="181"/>
      <c r="W50" s="23"/>
      <c r="X50" s="30"/>
      <c r="Y50" s="30"/>
      <c r="Z50" s="181"/>
      <c r="AH50" s="30"/>
    </row>
    <row r="51" spans="14:34" x14ac:dyDescent="0.2">
      <c r="N51" s="23"/>
      <c r="O51" s="23"/>
      <c r="P51" s="23"/>
      <c r="Q51" s="23"/>
      <c r="R51" s="23"/>
      <c r="T51" s="23"/>
      <c r="U51" s="23"/>
      <c r="W51" s="23"/>
      <c r="X51" s="25"/>
      <c r="Y51" s="30"/>
      <c r="Z51" s="181"/>
      <c r="AH51" s="30"/>
    </row>
    <row r="52" spans="14:34" x14ac:dyDescent="0.2">
      <c r="N52" s="23"/>
      <c r="O52" s="23"/>
      <c r="P52" s="23"/>
      <c r="Q52" s="23"/>
      <c r="R52" s="23"/>
      <c r="T52" s="23"/>
      <c r="U52" s="23"/>
      <c r="W52" s="23"/>
      <c r="X52" s="25"/>
      <c r="Y52" s="30"/>
      <c r="Z52" s="181"/>
      <c r="AH52" s="30"/>
    </row>
    <row r="53" spans="14:34" x14ac:dyDescent="0.2">
      <c r="N53" s="23"/>
      <c r="O53" s="23"/>
      <c r="P53" s="23"/>
      <c r="Q53" s="23"/>
      <c r="R53" s="23"/>
      <c r="T53" s="23"/>
      <c r="U53" s="23"/>
      <c r="W53" s="23"/>
      <c r="X53" s="25"/>
      <c r="Y53" s="30"/>
      <c r="Z53" s="181"/>
      <c r="AH53" s="30"/>
    </row>
    <row r="54" spans="14:34" x14ac:dyDescent="0.2">
      <c r="N54" s="23"/>
      <c r="O54" s="23"/>
      <c r="P54" s="23"/>
      <c r="Q54" s="23"/>
      <c r="R54" s="23"/>
      <c r="T54" s="23"/>
      <c r="U54" s="23"/>
      <c r="W54" s="23"/>
      <c r="X54" s="25"/>
      <c r="Y54" s="30"/>
      <c r="Z54" s="181"/>
      <c r="AH54" s="30"/>
    </row>
    <row r="55" spans="14:34" x14ac:dyDescent="0.2">
      <c r="N55" s="23"/>
      <c r="O55" s="23"/>
      <c r="P55" s="23"/>
      <c r="Q55" s="23"/>
      <c r="R55" s="23"/>
      <c r="T55" s="23"/>
      <c r="U55" s="23"/>
      <c r="W55" s="23"/>
      <c r="X55" s="25"/>
      <c r="Y55" s="30"/>
      <c r="Z55" s="181"/>
      <c r="AH55" s="30"/>
    </row>
    <row r="56" spans="14:34" x14ac:dyDescent="0.2">
      <c r="N56" s="23"/>
      <c r="O56" s="23"/>
      <c r="P56" s="23"/>
      <c r="Q56" s="23"/>
      <c r="R56" s="23"/>
      <c r="T56" s="23"/>
      <c r="U56" s="23"/>
      <c r="W56" s="23"/>
      <c r="X56" s="25"/>
      <c r="Y56" s="25"/>
      <c r="AH56" s="25"/>
    </row>
    <row r="57" spans="14:34" x14ac:dyDescent="0.2">
      <c r="X57" s="25"/>
      <c r="Y57" s="25"/>
      <c r="AH57" s="25"/>
    </row>
    <row r="58" spans="14:34" x14ac:dyDescent="0.2">
      <c r="X58" s="25"/>
      <c r="Y58" s="25"/>
      <c r="AH58" s="25"/>
    </row>
    <row r="59" spans="14:34" x14ac:dyDescent="0.2">
      <c r="X59" s="25"/>
      <c r="Y59" s="25"/>
      <c r="AH59" s="25"/>
    </row>
    <row r="60" spans="14:34" x14ac:dyDescent="0.2">
      <c r="Y60" s="25"/>
      <c r="AH60" s="25"/>
    </row>
    <row r="61" spans="14:34" x14ac:dyDescent="0.2">
      <c r="Y61" s="25"/>
      <c r="AH61" s="25"/>
    </row>
    <row r="62" spans="14:34" x14ac:dyDescent="0.2">
      <c r="Y62" s="25"/>
      <c r="AH62" s="25"/>
    </row>
    <row r="63" spans="14:34" x14ac:dyDescent="0.2">
      <c r="Y63" s="25"/>
      <c r="AH63" s="25"/>
    </row>
    <row r="64" spans="14:34" x14ac:dyDescent="0.2">
      <c r="Y64" s="25"/>
      <c r="AH64" s="25"/>
    </row>
  </sheetData>
  <sheetProtection selectLockedCells="1"/>
  <conditionalFormatting sqref="D39:J39">
    <cfRule type="cellIs" dxfId="65" priority="1" operator="lessThan">
      <formula>0</formula>
    </cfRule>
  </conditionalFormatting>
  <conditionalFormatting sqref="W28">
    <cfRule type="cellIs" dxfId="64" priority="2" operator="greaterThan">
      <formula>1</formula>
    </cfRule>
  </conditionalFormatting>
  <conditionalFormatting sqref="AA28:AG28">
    <cfRule type="cellIs" dxfId="63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rgb="FF00B050"/>
  </sheetPr>
  <dimension ref="A1:AN64"/>
  <sheetViews>
    <sheetView showGridLines="0" zoomScale="85" zoomScaleNormal="85"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defaultColWidth="8.7109375" defaultRowHeight="12.75" x14ac:dyDescent="0.2"/>
  <cols>
    <col min="1" max="1" width="22.5703125" style="17" customWidth="1"/>
    <col min="2" max="3" width="8.7109375" style="18"/>
    <col min="4" max="13" width="8.7109375" style="23"/>
    <col min="14" max="15" width="8.7109375" style="18"/>
    <col min="16" max="16" width="4.7109375" style="18" customWidth="1"/>
    <col min="17" max="18" width="8.7109375" style="26"/>
    <col min="19" max="19" width="8.7109375" style="23"/>
    <col min="20" max="21" width="8.7109375" style="26"/>
    <col min="22" max="23" width="8.7109375" style="25"/>
    <col min="24" max="25" width="8.7109375" style="26"/>
    <col min="26" max="26" width="8.7109375" style="25"/>
    <col min="27" max="27" width="8.7109375" style="18"/>
    <col min="28" max="28" width="0" style="18" hidden="1" customWidth="1"/>
    <col min="29" max="29" width="8.7109375" style="26"/>
    <col min="30" max="30" width="4.7109375" style="17" customWidth="1"/>
    <col min="31" max="32" width="8.7109375" style="18"/>
    <col min="33" max="16384" width="8.7109375" style="17"/>
  </cols>
  <sheetData>
    <row r="1" spans="1:40" s="15" customFormat="1" ht="25.5" customHeight="1" x14ac:dyDescent="0.2">
      <c r="A1" s="15" t="s">
        <v>0</v>
      </c>
      <c r="B1" s="15" t="s">
        <v>8</v>
      </c>
      <c r="C1" s="15" t="s">
        <v>122</v>
      </c>
      <c r="D1" s="159" t="s">
        <v>210</v>
      </c>
      <c r="E1" s="159" t="s">
        <v>1</v>
      </c>
      <c r="F1" s="159" t="s">
        <v>213</v>
      </c>
      <c r="G1" s="159" t="s">
        <v>228</v>
      </c>
      <c r="H1" s="159" t="s">
        <v>2</v>
      </c>
      <c r="I1" s="159" t="s">
        <v>229</v>
      </c>
      <c r="J1" s="159" t="s">
        <v>217</v>
      </c>
      <c r="K1" s="159" t="s">
        <v>230</v>
      </c>
      <c r="L1" s="159" t="s">
        <v>219</v>
      </c>
      <c r="M1" s="159" t="s">
        <v>4</v>
      </c>
      <c r="N1" s="159" t="s">
        <v>223</v>
      </c>
      <c r="O1" s="159" t="s">
        <v>231</v>
      </c>
      <c r="Q1" s="160" t="s">
        <v>281</v>
      </c>
      <c r="R1" s="133" t="s">
        <v>232</v>
      </c>
      <c r="S1" s="134" t="s">
        <v>451</v>
      </c>
      <c r="T1" s="133" t="s">
        <v>205</v>
      </c>
      <c r="U1" s="133" t="s">
        <v>209</v>
      </c>
      <c r="V1" s="135" t="s">
        <v>280</v>
      </c>
      <c r="W1" s="161" t="s">
        <v>282</v>
      </c>
      <c r="X1" s="133" t="s">
        <v>233</v>
      </c>
      <c r="Y1" s="179" t="s">
        <v>234</v>
      </c>
      <c r="Z1" s="135" t="s">
        <v>235</v>
      </c>
      <c r="AA1" s="160" t="s">
        <v>236</v>
      </c>
      <c r="AB1" s="160" t="s">
        <v>237</v>
      </c>
      <c r="AC1" s="10" t="s">
        <v>262</v>
      </c>
      <c r="AE1" s="136" t="s">
        <v>283</v>
      </c>
      <c r="AF1" s="137" t="s">
        <v>284</v>
      </c>
      <c r="AG1" s="136" t="s">
        <v>285</v>
      </c>
      <c r="AH1" s="136" t="s">
        <v>450</v>
      </c>
      <c r="AN1" s="15" t="s">
        <v>98</v>
      </c>
    </row>
    <row r="2" spans="1:40" x14ac:dyDescent="0.2">
      <c r="A2" s="17" t="s">
        <v>148</v>
      </c>
      <c r="B2" s="18" t="s">
        <v>9</v>
      </c>
      <c r="C2" s="18">
        <f>VLOOKUP($AN$1,DST!C:D,2,FALSE)</f>
        <v>10</v>
      </c>
      <c r="D2" s="146">
        <f>D$32*Q2</f>
        <v>576.02160000000003</v>
      </c>
      <c r="E2" s="146">
        <f>D2*R2</f>
        <v>378.88504275461366</v>
      </c>
      <c r="F2" s="146">
        <f>E2*S2</f>
        <v>4322.6213086755724</v>
      </c>
      <c r="G2" s="146">
        <f>D2*T2</f>
        <v>31.969198800000001</v>
      </c>
      <c r="H2" s="146">
        <f>E2*U2</f>
        <v>6.8428246578237495</v>
      </c>
      <c r="I2" s="146">
        <f>D$35*W2</f>
        <v>49.281847999999997</v>
      </c>
      <c r="J2" s="146">
        <f>I2*V2</f>
        <v>217.58067603963559</v>
      </c>
      <c r="K2" s="146">
        <f>I2*X2</f>
        <v>2.2176831599999995</v>
      </c>
      <c r="L2" s="147"/>
      <c r="M2" s="147"/>
      <c r="N2" s="147"/>
      <c r="O2" s="147"/>
      <c r="Q2" s="150">
        <f>(AE2/SUM(AE$2:AE$25))</f>
        <v>0.99</v>
      </c>
      <c r="R2" s="19">
        <v>0.65776186649009971</v>
      </c>
      <c r="S2" s="107">
        <v>11.408793752449961</v>
      </c>
      <c r="T2" s="19">
        <v>5.5500000000000001E-2</v>
      </c>
      <c r="U2" s="19">
        <v>1.8060424365327957E-2</v>
      </c>
      <c r="V2" s="107">
        <v>4.4150267262630978</v>
      </c>
      <c r="W2" s="150">
        <f>(AF2/SUM(AF$2:AF$20))*0.98</f>
        <v>0.10779999999999999</v>
      </c>
      <c r="X2" s="19">
        <v>4.4999999999999998E-2</v>
      </c>
      <c r="Y2" s="21"/>
      <c r="Z2" s="22"/>
      <c r="AA2" s="1"/>
      <c r="AB2" s="1"/>
      <c r="AC2" s="1"/>
      <c r="AE2" s="19">
        <v>0.99</v>
      </c>
      <c r="AF2" s="19">
        <v>0.11</v>
      </c>
      <c r="AG2" s="168"/>
      <c r="AH2" s="168"/>
    </row>
    <row r="3" spans="1:40" x14ac:dyDescent="0.2">
      <c r="A3" s="17" t="s">
        <v>489</v>
      </c>
      <c r="B3" s="18" t="s">
        <v>9</v>
      </c>
      <c r="C3" s="18">
        <f>VLOOKUP($AN$1,DST!C:D,2,FALSE)</f>
        <v>10</v>
      </c>
      <c r="D3" s="146">
        <f>D$32*Q3</f>
        <v>5.8184000000000058</v>
      </c>
      <c r="E3" s="146">
        <f t="shared" ref="E3:F4" si="0">D3*R3</f>
        <v>3.6625231036463926</v>
      </c>
      <c r="F3" s="146">
        <f t="shared" si="0"/>
        <v>40.486071093469072</v>
      </c>
      <c r="G3" s="146">
        <f t="shared" ref="G3:G4" si="1">D3*T3</f>
        <v>0.30377610998709209</v>
      </c>
      <c r="H3" s="146">
        <f t="shared" ref="H3:H4" si="2">E3*U3</f>
        <v>9.167665644347156E-2</v>
      </c>
      <c r="I3" s="146">
        <f>D$35*W3</f>
        <v>0</v>
      </c>
      <c r="J3" s="146">
        <f>I3*V3</f>
        <v>0</v>
      </c>
      <c r="K3" s="146">
        <f>I3*X3</f>
        <v>0</v>
      </c>
      <c r="L3" s="147"/>
      <c r="M3" s="147"/>
      <c r="N3" s="147"/>
      <c r="O3" s="147"/>
      <c r="Q3" s="150">
        <f>(AE3/SUM(AE$2:AE$25))</f>
        <v>1.0000000000000009E-2</v>
      </c>
      <c r="R3" s="19">
        <v>0.62947255321847739</v>
      </c>
      <c r="S3" s="107">
        <v>11.054147632041232</v>
      </c>
      <c r="T3" s="19">
        <v>5.2209561045492195E-2</v>
      </c>
      <c r="U3" s="19">
        <v>2.5031011095110543E-2</v>
      </c>
      <c r="V3" s="107">
        <v>3.2</v>
      </c>
      <c r="W3" s="150">
        <f>(AF3/SUM(AF$2:AF$20))*0.98</f>
        <v>0</v>
      </c>
      <c r="X3" s="19">
        <v>1.5384615384615385E-2</v>
      </c>
      <c r="Y3" s="21"/>
      <c r="Z3" s="22"/>
      <c r="AA3" s="1"/>
      <c r="AB3" s="1"/>
      <c r="AC3" s="1"/>
      <c r="AE3" s="19">
        <v>1.0000000000000009E-2</v>
      </c>
      <c r="AF3" s="19">
        <v>0</v>
      </c>
      <c r="AG3" s="168"/>
      <c r="AH3" s="168"/>
    </row>
    <row r="4" spans="1:40" x14ac:dyDescent="0.2">
      <c r="B4" s="18" t="s">
        <v>9</v>
      </c>
      <c r="C4" s="18">
        <f>VLOOKUP($AN$1,DST!C:D,2,FALSE)</f>
        <v>10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/>
      <c r="AF4" s="19"/>
      <c r="AG4" s="168"/>
      <c r="AH4" s="168"/>
    </row>
    <row r="5" spans="1:40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40" x14ac:dyDescent="0.2">
      <c r="A6" s="17" t="s">
        <v>72</v>
      </c>
      <c r="B6" s="18" t="s">
        <v>207</v>
      </c>
      <c r="C6" s="18">
        <f>VLOOKUP($AN$1,DST!C:D,2,FALSE)</f>
        <v>10</v>
      </c>
      <c r="D6" s="147"/>
      <c r="E6" s="147"/>
      <c r="F6" s="147"/>
      <c r="G6" s="147"/>
      <c r="H6" s="147"/>
      <c r="I6" s="146">
        <f t="shared" ref="I6:I11" si="3">D$35*W6</f>
        <v>244.16915599999999</v>
      </c>
      <c r="J6" s="146">
        <f>I6*V6</f>
        <v>1020.6270720799998</v>
      </c>
      <c r="K6" s="146">
        <f>I6*X6</f>
        <v>8.5459204599999996</v>
      </c>
      <c r="L6" s="146">
        <f>((D$2+D$3+D$4)*AA6)</f>
        <v>54.169304000000004</v>
      </c>
      <c r="M6" s="146">
        <f t="shared" ref="M6:N11" si="4">L6*Y6</f>
        <v>41.331178952000002</v>
      </c>
      <c r="N6" s="146">
        <f t="shared" si="4"/>
        <v>313.83158277264693</v>
      </c>
      <c r="O6" s="146">
        <f>M6*AH6</f>
        <v>1.4756245863746227</v>
      </c>
      <c r="Q6" s="13"/>
      <c r="R6" s="139"/>
      <c r="S6" s="138"/>
      <c r="T6" s="139"/>
      <c r="U6" s="139"/>
      <c r="V6" s="107">
        <v>4.18</v>
      </c>
      <c r="W6" s="150">
        <f t="shared" ref="W6:W11" si="5">(AF6/SUM(AF$2:AF$20))*0.98</f>
        <v>0.53410000000000002</v>
      </c>
      <c r="X6" s="19">
        <v>3.5000000000000003E-2</v>
      </c>
      <c r="Y6" s="19">
        <v>0.76300000000000001</v>
      </c>
      <c r="Z6" s="20">
        <v>7.5930953515048651</v>
      </c>
      <c r="AA6" s="150">
        <f t="shared" ref="AA6:AA11" si="6">(AG6/SUM(AG$6:AG$25))*0.98</f>
        <v>9.3100000000000002E-2</v>
      </c>
      <c r="AB6" s="7">
        <v>0.11515131498282011</v>
      </c>
      <c r="AC6" s="150">
        <f t="shared" ref="AC6:AC11" si="7">(AH6/SUM(AH$6:AH$25))*0.98</f>
        <v>4.732001696775065E-2</v>
      </c>
      <c r="AE6" s="168"/>
      <c r="AF6" s="19">
        <v>0.54500000000000004</v>
      </c>
      <c r="AG6" s="19">
        <v>9.5000000000000001E-2</v>
      </c>
      <c r="AH6" s="19">
        <v>3.5702455719647884E-2</v>
      </c>
    </row>
    <row r="7" spans="1:40" x14ac:dyDescent="0.2">
      <c r="A7" s="177" t="s">
        <v>694</v>
      </c>
      <c r="B7" s="18" t="s">
        <v>207</v>
      </c>
      <c r="C7" s="18">
        <f>VLOOKUP($AN$1,DST!C:D,2,FALSE)</f>
        <v>10</v>
      </c>
      <c r="D7" s="147"/>
      <c r="E7" s="147"/>
      <c r="F7" s="147"/>
      <c r="G7" s="147"/>
      <c r="H7" s="147"/>
      <c r="I7" s="146">
        <f t="shared" si="3"/>
        <v>13.8885208</v>
      </c>
      <c r="J7" s="146">
        <f>I7*V7</f>
        <v>56.109624031999999</v>
      </c>
      <c r="K7" s="146">
        <f>I7*X7</f>
        <v>0.43054414480000003</v>
      </c>
      <c r="L7" s="146">
        <f>((D$2+D$3+D$4)*AA7)</f>
        <v>5.702032</v>
      </c>
      <c r="M7" s="146">
        <f t="shared" si="4"/>
        <v>4.4589890240000001</v>
      </c>
      <c r="N7" s="146">
        <f t="shared" si="4"/>
        <v>31.525052399680003</v>
      </c>
      <c r="O7" s="146">
        <f t="shared" ref="O7:O11" si="8">M7*AH7</f>
        <v>0.13376967072000001</v>
      </c>
      <c r="Q7" s="13"/>
      <c r="R7" s="139"/>
      <c r="S7" s="138"/>
      <c r="T7" s="139"/>
      <c r="U7" s="139"/>
      <c r="V7" s="107">
        <v>4.04</v>
      </c>
      <c r="W7" s="150">
        <f t="shared" si="5"/>
        <v>3.0380000000000001E-2</v>
      </c>
      <c r="X7" s="19">
        <v>3.1E-2</v>
      </c>
      <c r="Y7" s="19">
        <v>0.78200000000000003</v>
      </c>
      <c r="Z7" s="20">
        <v>7.07</v>
      </c>
      <c r="AA7" s="150">
        <f t="shared" si="6"/>
        <v>9.7999999999999997E-3</v>
      </c>
      <c r="AB7" s="7">
        <v>3.4989224075568495E-2</v>
      </c>
      <c r="AC7" s="150">
        <f t="shared" si="7"/>
        <v>3.9761985006854329E-2</v>
      </c>
      <c r="AE7" s="168"/>
      <c r="AF7" s="19">
        <v>3.1E-2</v>
      </c>
      <c r="AG7" s="19">
        <v>0.01</v>
      </c>
      <c r="AH7" s="19">
        <v>0.03</v>
      </c>
    </row>
    <row r="8" spans="1:40" x14ac:dyDescent="0.2">
      <c r="A8" s="17" t="s">
        <v>606</v>
      </c>
      <c r="B8" s="18" t="s">
        <v>207</v>
      </c>
      <c r="C8" s="18">
        <f>VLOOKUP($AN$1,DST!C:D,2,FALSE)</f>
        <v>10</v>
      </c>
      <c r="D8" s="147"/>
      <c r="E8" s="147"/>
      <c r="F8" s="147"/>
      <c r="G8" s="147"/>
      <c r="H8" s="147"/>
      <c r="I8" s="146">
        <f t="shared" si="3"/>
        <v>122.75660320000001</v>
      </c>
      <c r="J8" s="146">
        <f>I8*V8</f>
        <v>522.74098110395937</v>
      </c>
      <c r="K8" s="146">
        <f>I8*X8</f>
        <v>4.1737245088000012</v>
      </c>
      <c r="L8" s="146">
        <f>((D$2+D$3+D$4)*AA8)</f>
        <v>17.676299200000003</v>
      </c>
      <c r="M8" s="146">
        <f t="shared" si="4"/>
        <v>12.514819833600001</v>
      </c>
      <c r="N8" s="146">
        <f t="shared" si="4"/>
        <v>99.611614967870196</v>
      </c>
      <c r="O8" s="146">
        <f t="shared" si="8"/>
        <v>0.47556315367680002</v>
      </c>
      <c r="Q8" s="13"/>
      <c r="R8" s="139"/>
      <c r="S8" s="138"/>
      <c r="T8" s="139"/>
      <c r="U8" s="139"/>
      <c r="V8" s="107">
        <v>4.2583532573990226</v>
      </c>
      <c r="W8" s="150">
        <f t="shared" si="5"/>
        <v>0.26852000000000004</v>
      </c>
      <c r="X8" s="19">
        <v>3.4000000000000002E-2</v>
      </c>
      <c r="Y8" s="19">
        <v>0.70799999999999996</v>
      </c>
      <c r="Z8" s="20">
        <v>7.9594925290439456</v>
      </c>
      <c r="AA8" s="150">
        <f t="shared" si="6"/>
        <v>3.0380000000000001E-2</v>
      </c>
      <c r="AB8" s="7">
        <v>4.8163610572365808E-3</v>
      </c>
      <c r="AC8" s="150">
        <f t="shared" si="7"/>
        <v>5.0365181008682147E-2</v>
      </c>
      <c r="AE8" s="168"/>
      <c r="AF8" s="19">
        <v>0.27400000000000002</v>
      </c>
      <c r="AG8" s="19">
        <v>3.1E-2</v>
      </c>
      <c r="AH8" s="19">
        <v>3.7999999999999999E-2</v>
      </c>
    </row>
    <row r="9" spans="1:40" x14ac:dyDescent="0.2">
      <c r="A9" s="172"/>
      <c r="B9" s="18" t="s">
        <v>207</v>
      </c>
      <c r="C9" s="18">
        <f>VLOOKUP($AN$1,DST!C:D,2,FALSE)</f>
        <v>10</v>
      </c>
      <c r="D9" s="147"/>
      <c r="E9" s="147"/>
      <c r="F9" s="147"/>
      <c r="G9" s="147"/>
      <c r="H9" s="147"/>
      <c r="I9" s="146">
        <f t="shared" si="3"/>
        <v>0</v>
      </c>
      <c r="J9" s="146">
        <f t="shared" ref="J9:J11" si="9">I9*V9</f>
        <v>0</v>
      </c>
      <c r="K9" s="146">
        <f t="shared" ref="K9:K11" si="10">I9*X9</f>
        <v>0</v>
      </c>
      <c r="L9" s="146">
        <f t="shared" ref="L9:L11" si="11">((D$2+D$3+D$4)*AA9)</f>
        <v>0</v>
      </c>
      <c r="M9" s="146">
        <f t="shared" si="4"/>
        <v>0</v>
      </c>
      <c r="N9" s="146">
        <f t="shared" si="4"/>
        <v>0</v>
      </c>
      <c r="O9" s="146">
        <f t="shared" si="8"/>
        <v>0</v>
      </c>
      <c r="Q9" s="13"/>
      <c r="R9" s="139"/>
      <c r="S9" s="138"/>
      <c r="T9" s="139"/>
      <c r="U9" s="139"/>
      <c r="V9" s="107">
        <v>0</v>
      </c>
      <c r="W9" s="150">
        <f t="shared" si="5"/>
        <v>0</v>
      </c>
      <c r="X9" s="19">
        <v>0</v>
      </c>
      <c r="Y9" s="19">
        <v>0</v>
      </c>
      <c r="Z9" s="20">
        <v>0</v>
      </c>
      <c r="AA9" s="150">
        <f t="shared" si="6"/>
        <v>0</v>
      </c>
      <c r="AB9" s="7">
        <v>7.1663052743998279E-3</v>
      </c>
      <c r="AC9" s="150">
        <f t="shared" si="7"/>
        <v>0</v>
      </c>
      <c r="AE9" s="168"/>
      <c r="AF9" s="19">
        <v>0</v>
      </c>
      <c r="AG9" s="19">
        <v>0</v>
      </c>
      <c r="AH9" s="19">
        <v>0</v>
      </c>
    </row>
    <row r="10" spans="1:40" x14ac:dyDescent="0.2">
      <c r="B10" s="18" t="s">
        <v>207</v>
      </c>
      <c r="C10" s="18">
        <f>VLOOKUP($AN$1,DST!C:D,2,FALSE)</f>
        <v>10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9"/>
        <v>0</v>
      </c>
      <c r="K10" s="146">
        <f t="shared" si="10"/>
        <v>0</v>
      </c>
      <c r="L10" s="146">
        <f t="shared" si="11"/>
        <v>0</v>
      </c>
      <c r="M10" s="146">
        <f t="shared" si="4"/>
        <v>0</v>
      </c>
      <c r="N10" s="146">
        <f t="shared" si="4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5"/>
        <v>0</v>
      </c>
      <c r="X10" s="19">
        <v>0</v>
      </c>
      <c r="Y10" s="19">
        <v>0</v>
      </c>
      <c r="Z10" s="20">
        <v>0</v>
      </c>
      <c r="AA10" s="150">
        <f t="shared" si="6"/>
        <v>0</v>
      </c>
      <c r="AB10" s="7">
        <v>1.4894940866877114E-2</v>
      </c>
      <c r="AC10" s="150">
        <f t="shared" si="7"/>
        <v>0</v>
      </c>
      <c r="AE10" s="168"/>
      <c r="AF10" s="19">
        <v>0</v>
      </c>
      <c r="AG10" s="19">
        <v>0</v>
      </c>
      <c r="AH10" s="19">
        <v>0</v>
      </c>
    </row>
    <row r="11" spans="1:40" x14ac:dyDescent="0.2">
      <c r="B11" s="18" t="s">
        <v>207</v>
      </c>
      <c r="C11" s="18">
        <f>VLOOKUP($AN$1,DST!C:D,2,FALSE)</f>
        <v>10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9"/>
        <v>0</v>
      </c>
      <c r="K11" s="146">
        <f t="shared" si="10"/>
        <v>0</v>
      </c>
      <c r="L11" s="146">
        <f t="shared" si="11"/>
        <v>0</v>
      </c>
      <c r="M11" s="146">
        <f t="shared" si="4"/>
        <v>0</v>
      </c>
      <c r="N11" s="146">
        <f t="shared" si="4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5"/>
        <v>0</v>
      </c>
      <c r="X11" s="19">
        <v>0</v>
      </c>
      <c r="Y11" s="19">
        <v>0</v>
      </c>
      <c r="Z11" s="20">
        <v>0</v>
      </c>
      <c r="AA11" s="150">
        <f t="shared" si="6"/>
        <v>0</v>
      </c>
      <c r="AB11" s="7">
        <v>0</v>
      </c>
      <c r="AC11" s="150">
        <f t="shared" si="7"/>
        <v>0</v>
      </c>
      <c r="AE11" s="168"/>
      <c r="AF11" s="19">
        <v>0</v>
      </c>
      <c r="AG11" s="19">
        <v>0</v>
      </c>
      <c r="AH11" s="19">
        <v>0</v>
      </c>
    </row>
    <row r="12" spans="1:40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40" x14ac:dyDescent="0.2">
      <c r="A13" s="17" t="s">
        <v>424</v>
      </c>
      <c r="B13" s="18" t="s">
        <v>208</v>
      </c>
      <c r="C13" s="18">
        <f>VLOOKUP($AN$1,DST!C:D,2,FALSE)</f>
        <v>10</v>
      </c>
      <c r="D13" s="147"/>
      <c r="E13" s="147"/>
      <c r="F13" s="147"/>
      <c r="G13" s="147"/>
      <c r="H13" s="147"/>
      <c r="I13" s="146">
        <f t="shared" ref="I13:I20" si="12">D$35*W13</f>
        <v>4.4801679999999999</v>
      </c>
      <c r="J13" s="146">
        <f t="shared" ref="J13:J20" si="13">I13*V13</f>
        <v>29.210695359999999</v>
      </c>
      <c r="K13" s="146">
        <f t="shared" ref="K13:K20" si="14">I13*X13</f>
        <v>5.0365375419039952E-2</v>
      </c>
      <c r="L13" s="146">
        <f t="shared" ref="L13:L20" si="15">((D$2+D$3+D$4)*AA13)</f>
        <v>100.92596639999999</v>
      </c>
      <c r="M13" s="146">
        <f t="shared" ref="M13:N20" si="16">L13*Y13</f>
        <v>58.839838411199977</v>
      </c>
      <c r="N13" s="146">
        <f t="shared" si="16"/>
        <v>850.23566504183964</v>
      </c>
      <c r="O13" s="146">
        <f t="shared" ref="O13:O20" si="17">M13*AH13</f>
        <v>6.3664705160918382</v>
      </c>
      <c r="Q13" s="13"/>
      <c r="R13" s="139"/>
      <c r="S13" s="138"/>
      <c r="T13" s="139"/>
      <c r="U13" s="139"/>
      <c r="V13" s="107">
        <v>6.52</v>
      </c>
      <c r="W13" s="150">
        <f t="shared" ref="W13:W20" si="18">(AF13/SUM(AF$2:AF$20))*0.98</f>
        <v>9.7999999999999997E-3</v>
      </c>
      <c r="X13" s="19">
        <v>1.124184972952799E-2</v>
      </c>
      <c r="Y13" s="19">
        <v>0.58299999999999985</v>
      </c>
      <c r="Z13" s="20">
        <v>14.45</v>
      </c>
      <c r="AA13" s="150">
        <f t="shared" ref="AA13:AA20" si="19">(AG13/SUM(AG$6:AG$25))*0.98</f>
        <v>0.17345999999999998</v>
      </c>
      <c r="AB13" s="7">
        <v>0.25548478660812679</v>
      </c>
      <c r="AC13" s="150">
        <f t="shared" ref="AC13:AC20" si="20">(AH13/SUM(AH$6:AH$25))*0.98</f>
        <v>0.14340822592472127</v>
      </c>
      <c r="AE13" s="168"/>
      <c r="AF13" s="19">
        <v>0.01</v>
      </c>
      <c r="AG13" s="19">
        <v>0.17699999999999999</v>
      </c>
      <c r="AH13" s="19">
        <v>0.1082</v>
      </c>
    </row>
    <row r="14" spans="1:40" x14ac:dyDescent="0.2">
      <c r="A14" s="17" t="s">
        <v>407</v>
      </c>
      <c r="B14" s="18" t="s">
        <v>208</v>
      </c>
      <c r="C14" s="18">
        <f>VLOOKUP($AN$1,DST!C:D,2,FALSE)</f>
        <v>10</v>
      </c>
      <c r="D14" s="147"/>
      <c r="E14" s="147"/>
      <c r="F14" s="147"/>
      <c r="G14" s="147"/>
      <c r="H14" s="147"/>
      <c r="I14" s="146">
        <f t="shared" si="12"/>
        <v>0</v>
      </c>
      <c r="J14" s="146">
        <f t="shared" si="13"/>
        <v>0</v>
      </c>
      <c r="K14" s="146">
        <f t="shared" si="14"/>
        <v>0</v>
      </c>
      <c r="L14" s="146">
        <f t="shared" si="15"/>
        <v>108.90881120000002</v>
      </c>
      <c r="M14" s="146">
        <f t="shared" si="16"/>
        <v>68.939277489600016</v>
      </c>
      <c r="N14" s="146">
        <f t="shared" si="16"/>
        <v>818.99861657644828</v>
      </c>
      <c r="O14" s="146">
        <f t="shared" si="17"/>
        <v>7.1758097393709663</v>
      </c>
      <c r="Q14" s="13"/>
      <c r="R14" s="139"/>
      <c r="S14" s="138"/>
      <c r="T14" s="139"/>
      <c r="U14" s="139"/>
      <c r="V14" s="107">
        <v>5.0199999999999996</v>
      </c>
      <c r="W14" s="150">
        <f t="shared" si="18"/>
        <v>0</v>
      </c>
      <c r="X14" s="19">
        <v>0</v>
      </c>
      <c r="Y14" s="19">
        <v>0.63300000000000001</v>
      </c>
      <c r="Z14" s="20">
        <v>11.88</v>
      </c>
      <c r="AA14" s="150">
        <f t="shared" si="19"/>
        <v>0.18718000000000001</v>
      </c>
      <c r="AB14" s="7">
        <v>0.10098833470408203</v>
      </c>
      <c r="AC14" s="150">
        <f t="shared" si="20"/>
        <v>0.13795930257220484</v>
      </c>
      <c r="AE14" s="168"/>
      <c r="AF14" s="19">
        <v>0</v>
      </c>
      <c r="AG14" s="19">
        <v>0.191</v>
      </c>
      <c r="AH14" s="19">
        <v>0.10408884456982434</v>
      </c>
    </row>
    <row r="15" spans="1:40" x14ac:dyDescent="0.2">
      <c r="A15" s="17" t="s">
        <v>490</v>
      </c>
      <c r="B15" s="18" t="s">
        <v>208</v>
      </c>
      <c r="C15" s="18">
        <f>VLOOKUP($AN$1,DST!C:D,2,FALSE)</f>
        <v>10</v>
      </c>
      <c r="D15" s="147"/>
      <c r="E15" s="147"/>
      <c r="F15" s="147"/>
      <c r="G15" s="147"/>
      <c r="H15" s="147"/>
      <c r="I15" s="146">
        <f t="shared" si="12"/>
        <v>13.440503999999999</v>
      </c>
      <c r="J15" s="146">
        <f t="shared" si="13"/>
        <v>137.09314079999999</v>
      </c>
      <c r="K15" s="146">
        <f t="shared" si="14"/>
        <v>0.80643023999999985</v>
      </c>
      <c r="L15" s="146">
        <f t="shared" si="15"/>
        <v>82.679463999999996</v>
      </c>
      <c r="M15" s="146">
        <f t="shared" si="16"/>
        <v>55.312561416000001</v>
      </c>
      <c r="N15" s="146">
        <f t="shared" si="16"/>
        <v>680.89763103096004</v>
      </c>
      <c r="O15" s="146">
        <f t="shared" si="17"/>
        <v>5.199380773104</v>
      </c>
      <c r="Q15" s="13"/>
      <c r="R15" s="139"/>
      <c r="S15" s="138"/>
      <c r="T15" s="139"/>
      <c r="U15" s="139"/>
      <c r="V15" s="107">
        <v>10.199999999999999</v>
      </c>
      <c r="W15" s="150">
        <f t="shared" si="18"/>
        <v>2.9399999999999999E-2</v>
      </c>
      <c r="X15" s="19">
        <v>0.06</v>
      </c>
      <c r="Y15" s="19">
        <v>0.66900000000000004</v>
      </c>
      <c r="Z15" s="20">
        <v>12.31</v>
      </c>
      <c r="AA15" s="150">
        <f t="shared" si="19"/>
        <v>0.14209999999999998</v>
      </c>
      <c r="AB15" s="7">
        <v>8.4993689866582373E-2</v>
      </c>
      <c r="AC15" s="150">
        <f t="shared" si="20"/>
        <v>0.12458755302147689</v>
      </c>
      <c r="AE15" s="168"/>
      <c r="AF15" s="19">
        <v>0.03</v>
      </c>
      <c r="AG15" s="19">
        <v>0.14499999999999999</v>
      </c>
      <c r="AH15" s="19">
        <v>9.4E-2</v>
      </c>
    </row>
    <row r="16" spans="1:40" x14ac:dyDescent="0.2">
      <c r="A16" s="17" t="s">
        <v>558</v>
      </c>
      <c r="B16" s="18" t="s">
        <v>208</v>
      </c>
      <c r="C16" s="18">
        <f>VLOOKUP($AN$1,DST!C:D,2,FALSE)</f>
        <v>10</v>
      </c>
      <c r="D16" s="147"/>
      <c r="E16" s="147"/>
      <c r="F16" s="147"/>
      <c r="G16" s="147"/>
      <c r="H16" s="147"/>
      <c r="I16" s="146">
        <f t="shared" si="12"/>
        <v>0</v>
      </c>
      <c r="J16" s="146">
        <f t="shared" si="13"/>
        <v>0</v>
      </c>
      <c r="K16" s="146">
        <f t="shared" si="14"/>
        <v>0</v>
      </c>
      <c r="L16" s="146">
        <f t="shared" si="15"/>
        <v>77.547635200000016</v>
      </c>
      <c r="M16" s="146">
        <f t="shared" si="16"/>
        <v>49.320295987200012</v>
      </c>
      <c r="N16" s="146">
        <f t="shared" si="16"/>
        <v>632.28619455590422</v>
      </c>
      <c r="O16" s="146">
        <f t="shared" si="17"/>
        <v>4.8229422719613764</v>
      </c>
      <c r="Q16" s="13"/>
      <c r="R16" s="139"/>
      <c r="S16" s="138"/>
      <c r="T16" s="139"/>
      <c r="U16" s="139"/>
      <c r="V16" s="107">
        <v>5.0199999999999996</v>
      </c>
      <c r="W16" s="150">
        <f t="shared" si="18"/>
        <v>0</v>
      </c>
      <c r="X16" s="19">
        <v>0</v>
      </c>
      <c r="Y16" s="19">
        <v>0.63600000000000001</v>
      </c>
      <c r="Z16" s="20">
        <v>12.82</v>
      </c>
      <c r="AA16" s="150">
        <f t="shared" si="19"/>
        <v>0.13328000000000001</v>
      </c>
      <c r="AB16" s="7">
        <v>8.6851063600337328E-2</v>
      </c>
      <c r="AC16" s="150">
        <f t="shared" si="20"/>
        <v>0.12960841270189036</v>
      </c>
      <c r="AE16" s="168"/>
      <c r="AF16" s="19">
        <v>0</v>
      </c>
      <c r="AG16" s="19">
        <v>0.13600000000000001</v>
      </c>
      <c r="AH16" s="19">
        <v>9.7788185886253889E-2</v>
      </c>
    </row>
    <row r="17" spans="1:34" x14ac:dyDescent="0.2">
      <c r="A17" s="17" t="s">
        <v>559</v>
      </c>
      <c r="B17" s="18" t="s">
        <v>208</v>
      </c>
      <c r="C17" s="18">
        <f>VLOOKUP($AN$1,DST!C:D,2,FALSE)</f>
        <v>10</v>
      </c>
      <c r="D17" s="147"/>
      <c r="E17" s="147"/>
      <c r="F17" s="147"/>
      <c r="G17" s="147"/>
      <c r="H17" s="147"/>
      <c r="I17" s="146">
        <f t="shared" si="12"/>
        <v>0</v>
      </c>
      <c r="J17" s="146">
        <f t="shared" si="13"/>
        <v>0</v>
      </c>
      <c r="K17" s="146">
        <f t="shared" si="14"/>
        <v>0</v>
      </c>
      <c r="L17" s="146">
        <f t="shared" si="15"/>
        <v>11.404064</v>
      </c>
      <c r="M17" s="146">
        <f t="shared" si="16"/>
        <v>7.264388767999999</v>
      </c>
      <c r="N17" s="146">
        <f t="shared" si="16"/>
        <v>86.736801889919988</v>
      </c>
      <c r="O17" s="146">
        <f t="shared" si="17"/>
        <v>0.58115110143999993</v>
      </c>
      <c r="Q17" s="13"/>
      <c r="R17" s="139"/>
      <c r="S17" s="138"/>
      <c r="T17" s="139"/>
      <c r="U17" s="139"/>
      <c r="V17" s="107">
        <v>5.0199999999999996</v>
      </c>
      <c r="W17" s="150">
        <f t="shared" si="18"/>
        <v>0</v>
      </c>
      <c r="X17" s="19">
        <v>0</v>
      </c>
      <c r="Y17" s="19">
        <v>0.6369999999999999</v>
      </c>
      <c r="Z17" s="20">
        <v>11.94</v>
      </c>
      <c r="AA17" s="150">
        <f t="shared" si="19"/>
        <v>1.9599999999999999E-2</v>
      </c>
      <c r="AB17" s="7">
        <v>5.2675072579768667E-2</v>
      </c>
      <c r="AC17" s="150">
        <f t="shared" si="20"/>
        <v>0.10603196001827821</v>
      </c>
      <c r="AE17" s="168"/>
      <c r="AF17" s="19">
        <v>0</v>
      </c>
      <c r="AG17" s="19">
        <v>0.02</v>
      </c>
      <c r="AH17" s="19">
        <v>0.08</v>
      </c>
    </row>
    <row r="18" spans="1:34" x14ac:dyDescent="0.2">
      <c r="B18" s="18" t="s">
        <v>208</v>
      </c>
      <c r="C18" s="18">
        <f>VLOOKUP($AN$1,DST!C:D,2,FALSE)</f>
        <v>10</v>
      </c>
      <c r="D18" s="147"/>
      <c r="E18" s="147"/>
      <c r="F18" s="147"/>
      <c r="G18" s="147"/>
      <c r="H18" s="147"/>
      <c r="I18" s="146">
        <f t="shared" si="12"/>
        <v>0</v>
      </c>
      <c r="J18" s="146">
        <f t="shared" si="13"/>
        <v>0</v>
      </c>
      <c r="K18" s="146">
        <f t="shared" si="14"/>
        <v>0</v>
      </c>
      <c r="L18" s="146">
        <f t="shared" si="15"/>
        <v>0</v>
      </c>
      <c r="M18" s="146">
        <f t="shared" si="16"/>
        <v>0</v>
      </c>
      <c r="N18" s="146">
        <f t="shared" si="16"/>
        <v>0</v>
      </c>
      <c r="O18" s="146">
        <f t="shared" si="17"/>
        <v>0</v>
      </c>
      <c r="Q18" s="13"/>
      <c r="R18" s="139"/>
      <c r="S18" s="138"/>
      <c r="T18" s="139"/>
      <c r="U18" s="139"/>
      <c r="V18" s="107">
        <v>0</v>
      </c>
      <c r="W18" s="150">
        <f t="shared" si="18"/>
        <v>0</v>
      </c>
      <c r="X18" s="19">
        <v>0</v>
      </c>
      <c r="Y18" s="19">
        <v>0</v>
      </c>
      <c r="Z18" s="20">
        <v>0</v>
      </c>
      <c r="AA18" s="150">
        <f t="shared" si="19"/>
        <v>0</v>
      </c>
      <c r="AB18" s="7">
        <v>2.2509684315908614E-2</v>
      </c>
      <c r="AC18" s="150">
        <f t="shared" si="20"/>
        <v>0</v>
      </c>
      <c r="AE18" s="168"/>
      <c r="AF18" s="19">
        <v>0</v>
      </c>
      <c r="AG18" s="19">
        <v>0</v>
      </c>
      <c r="AH18" s="19">
        <v>0</v>
      </c>
    </row>
    <row r="19" spans="1:34" x14ac:dyDescent="0.2">
      <c r="B19" s="18" t="s">
        <v>208</v>
      </c>
      <c r="C19" s="18">
        <f>VLOOKUP($AN$1,DST!C:D,2,FALSE)</f>
        <v>10</v>
      </c>
      <c r="D19" s="147"/>
      <c r="E19" s="147"/>
      <c r="F19" s="147"/>
      <c r="G19" s="147"/>
      <c r="H19" s="147"/>
      <c r="I19" s="146">
        <f t="shared" si="12"/>
        <v>0</v>
      </c>
      <c r="J19" s="146">
        <f t="shared" si="13"/>
        <v>0</v>
      </c>
      <c r="K19" s="146">
        <f t="shared" si="14"/>
        <v>0</v>
      </c>
      <c r="L19" s="146">
        <f t="shared" si="15"/>
        <v>0</v>
      </c>
      <c r="M19" s="146">
        <f t="shared" si="16"/>
        <v>0</v>
      </c>
      <c r="N19" s="146">
        <f t="shared" si="16"/>
        <v>0</v>
      </c>
      <c r="O19" s="146">
        <f t="shared" si="17"/>
        <v>0</v>
      </c>
      <c r="Q19" s="13"/>
      <c r="R19" s="139"/>
      <c r="S19" s="138"/>
      <c r="T19" s="139"/>
      <c r="U19" s="139"/>
      <c r="V19" s="107">
        <v>0</v>
      </c>
      <c r="W19" s="150">
        <f t="shared" si="18"/>
        <v>0</v>
      </c>
      <c r="X19" s="19">
        <v>0</v>
      </c>
      <c r="Y19" s="19">
        <v>0</v>
      </c>
      <c r="Z19" s="20">
        <v>0</v>
      </c>
      <c r="AA19" s="150">
        <f t="shared" si="19"/>
        <v>0</v>
      </c>
      <c r="AB19" s="7">
        <v>1.8264449891116155E-3</v>
      </c>
      <c r="AC19" s="150">
        <f t="shared" si="20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208</v>
      </c>
      <c r="C20" s="18">
        <f>VLOOKUP($AN$1,DST!C:D,2,FALSE)</f>
        <v>10</v>
      </c>
      <c r="D20" s="147"/>
      <c r="E20" s="147"/>
      <c r="F20" s="147"/>
      <c r="G20" s="147"/>
      <c r="H20" s="147"/>
      <c r="I20" s="146">
        <f t="shared" si="12"/>
        <v>0</v>
      </c>
      <c r="J20" s="146">
        <f t="shared" si="13"/>
        <v>0</v>
      </c>
      <c r="K20" s="146">
        <f t="shared" si="14"/>
        <v>0</v>
      </c>
      <c r="L20" s="146">
        <f t="shared" si="15"/>
        <v>0</v>
      </c>
      <c r="M20" s="146">
        <f t="shared" si="16"/>
        <v>0</v>
      </c>
      <c r="N20" s="146">
        <f t="shared" si="16"/>
        <v>0</v>
      </c>
      <c r="O20" s="146">
        <f t="shared" si="17"/>
        <v>0</v>
      </c>
      <c r="Q20" s="13"/>
      <c r="R20" s="139"/>
      <c r="S20" s="138"/>
      <c r="T20" s="139"/>
      <c r="U20" s="139"/>
      <c r="V20" s="107">
        <v>0</v>
      </c>
      <c r="W20" s="150">
        <f t="shared" si="18"/>
        <v>0</v>
      </c>
      <c r="X20" s="19">
        <v>0</v>
      </c>
      <c r="Y20" s="19">
        <v>0</v>
      </c>
      <c r="Z20" s="20">
        <v>0</v>
      </c>
      <c r="AA20" s="150">
        <f t="shared" si="19"/>
        <v>0</v>
      </c>
      <c r="AB20" s="7">
        <v>0</v>
      </c>
      <c r="AC20" s="150">
        <f t="shared" si="20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491</v>
      </c>
      <c r="B22" s="18" t="s">
        <v>10</v>
      </c>
      <c r="C22" s="18">
        <f>VLOOKUP($AN$1,DST!C:D,2,FALSE)</f>
        <v>10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66.713774400000005</v>
      </c>
      <c r="M22" s="146">
        <f t="shared" ref="M22:N25" si="21">L22*Y22</f>
        <v>47.500207372800006</v>
      </c>
      <c r="N22" s="146">
        <f t="shared" si="21"/>
        <v>511.02483660131139</v>
      </c>
      <c r="O22" s="146">
        <f t="shared" ref="O22:O25" si="22">M22*AH22</f>
        <v>3.4923484555538193</v>
      </c>
      <c r="Q22" s="13"/>
      <c r="R22" s="139"/>
      <c r="S22" s="138"/>
      <c r="T22" s="139"/>
      <c r="U22" s="139"/>
      <c r="V22" s="140"/>
      <c r="W22" s="154"/>
      <c r="X22" s="139"/>
      <c r="Y22" s="19">
        <v>0.71200000000000008</v>
      </c>
      <c r="Z22" s="20">
        <v>10.758370644376155</v>
      </c>
      <c r="AA22" s="150">
        <f>(AG22/SUM(AG$6:AG$25))*0.98</f>
        <v>0.11466</v>
      </c>
      <c r="AB22" s="7">
        <v>0.11728049214373987</v>
      </c>
      <c r="AC22" s="150">
        <f>(AH22/SUM(AH$6:AH$25))*0.98</f>
        <v>9.744708820503567E-2</v>
      </c>
      <c r="AE22" s="168"/>
      <c r="AF22" s="168"/>
      <c r="AG22" s="19">
        <v>0.11700000000000001</v>
      </c>
      <c r="AH22" s="19">
        <v>7.3522804398400143E-2</v>
      </c>
    </row>
    <row r="23" spans="1:34" x14ac:dyDescent="0.2">
      <c r="A23" s="17" t="s">
        <v>492</v>
      </c>
      <c r="B23" s="18" t="s">
        <v>10</v>
      </c>
      <c r="C23" s="18">
        <f>VLOOKUP($AN$1,DST!C:D,2,FALSE)</f>
        <v>10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44.475849599999997</v>
      </c>
      <c r="M23" s="146">
        <f t="shared" si="21"/>
        <v>32.511846057600003</v>
      </c>
      <c r="N23" s="146">
        <f t="shared" si="21"/>
        <v>336.3689061118107</v>
      </c>
      <c r="O23" s="146">
        <f t="shared" si="22"/>
        <v>2.5390911281621866</v>
      </c>
      <c r="Q23" s="13"/>
      <c r="R23" s="139"/>
      <c r="S23" s="138"/>
      <c r="T23" s="139"/>
      <c r="U23" s="139"/>
      <c r="V23" s="140"/>
      <c r="W23" s="154"/>
      <c r="X23" s="139"/>
      <c r="Y23" s="19">
        <v>0.73100000000000009</v>
      </c>
      <c r="Z23" s="20">
        <v>10.34604142489721</v>
      </c>
      <c r="AA23" s="150">
        <f>(AG23/SUM(AG$6:AG$25))*0.98</f>
        <v>7.6439999999999994E-2</v>
      </c>
      <c r="AB23" s="7">
        <v>4.611590903692217E-2</v>
      </c>
      <c r="AC23" s="150">
        <f>(AH23/SUM(AH$6:AH$25))*0.98</f>
        <v>0.1035102745731058</v>
      </c>
      <c r="AE23" s="168"/>
      <c r="AF23" s="168"/>
      <c r="AG23" s="19">
        <v>7.8E-2</v>
      </c>
      <c r="AH23" s="19">
        <v>7.8097414821163197E-2</v>
      </c>
    </row>
    <row r="24" spans="1:34" x14ac:dyDescent="0.2">
      <c r="B24" s="18" t="s">
        <v>10</v>
      </c>
      <c r="C24" s="18">
        <f>VLOOKUP($AN$1,DST!C:D,2,FALSE)</f>
        <v>10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0</v>
      </c>
      <c r="M24" s="146">
        <f t="shared" si="21"/>
        <v>0</v>
      </c>
      <c r="N24" s="146">
        <f t="shared" si="21"/>
        <v>0</v>
      </c>
      <c r="O24" s="146">
        <f t="shared" si="22"/>
        <v>0</v>
      </c>
      <c r="Q24" s="13"/>
      <c r="R24" s="139"/>
      <c r="S24" s="138"/>
      <c r="T24" s="139"/>
      <c r="U24" s="139"/>
      <c r="V24" s="140"/>
      <c r="W24" s="154"/>
      <c r="X24" s="139"/>
      <c r="Y24" s="19">
        <v>0</v>
      </c>
      <c r="Z24" s="20">
        <v>0</v>
      </c>
      <c r="AA24" s="150">
        <f>(AG24/SUM(AG$6:AG$25))*0.98</f>
        <v>0</v>
      </c>
      <c r="AB24" s="7">
        <v>2.9256375898518251E-2</v>
      </c>
      <c r="AC24" s="150">
        <f>(AH24/SUM(AH$6:AH$25))*0.98</f>
        <v>0</v>
      </c>
      <c r="AE24" s="168"/>
      <c r="AF24" s="168"/>
      <c r="AG24" s="19">
        <v>0</v>
      </c>
      <c r="AH24" s="19">
        <v>0</v>
      </c>
    </row>
    <row r="25" spans="1:34" x14ac:dyDescent="0.2">
      <c r="B25" s="18" t="s">
        <v>10</v>
      </c>
      <c r="C25" s="18">
        <f>VLOOKUP($AN$1,DST!C:D,2,FALSE)</f>
        <v>10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21"/>
        <v>0</v>
      </c>
      <c r="N25" s="146">
        <f t="shared" si="21"/>
        <v>0</v>
      </c>
      <c r="O25" s="146">
        <f t="shared" si="22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0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264</v>
      </c>
      <c r="X27" s="30"/>
      <c r="Y27" s="30"/>
      <c r="Z27" s="31"/>
      <c r="AA27" s="9" t="s">
        <v>264</v>
      </c>
      <c r="AB27" s="9" t="s">
        <v>264</v>
      </c>
      <c r="AC27" s="9" t="s">
        <v>264</v>
      </c>
      <c r="AD27" s="44"/>
      <c r="AE27" s="9" t="s">
        <v>264</v>
      </c>
      <c r="AF27" s="9" t="s">
        <v>264</v>
      </c>
      <c r="AG27" s="9" t="s">
        <v>264</v>
      </c>
    </row>
    <row r="28" spans="1:34" s="27" customFormat="1" x14ac:dyDescent="0.2">
      <c r="A28" s="45" t="s">
        <v>265</v>
      </c>
      <c r="B28" s="28"/>
      <c r="C28" s="28"/>
      <c r="D28" s="34" t="s">
        <v>269</v>
      </c>
      <c r="E28" s="34" t="s">
        <v>266</v>
      </c>
      <c r="F28" s="155" t="s">
        <v>267</v>
      </c>
      <c r="G28" s="34" t="s">
        <v>286</v>
      </c>
      <c r="H28" s="34" t="s">
        <v>268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0.98000000000000009</v>
      </c>
      <c r="X28" s="30"/>
      <c r="Y28" s="30"/>
      <c r="Z28" s="31"/>
      <c r="AA28" s="150">
        <f>SUM(AA6:AA25)</f>
        <v>0.98</v>
      </c>
      <c r="AB28" s="150">
        <f>SUM(AB2:AB4,AB6:AB11,AB13:AB20,AB22:AB25)</f>
        <v>0.97499999999999998</v>
      </c>
      <c r="AC28" s="150">
        <f>SUM(AC6:AC25)</f>
        <v>0.9800000000000002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</v>
      </c>
    </row>
    <row r="29" spans="1:34" s="27" customFormat="1" x14ac:dyDescent="0.2">
      <c r="A29" s="43"/>
      <c r="B29" s="28"/>
      <c r="C29" s="28"/>
      <c r="D29" s="46">
        <v>1039</v>
      </c>
      <c r="E29" s="47">
        <v>0.56000000000000005</v>
      </c>
      <c r="F29" s="2">
        <f>1-E29</f>
        <v>0.43999999999999995</v>
      </c>
      <c r="G29" s="106">
        <v>4.3499999999999996</v>
      </c>
      <c r="H29" s="126">
        <v>3.5499999999999997E-2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265</v>
      </c>
      <c r="B31" s="28"/>
      <c r="C31" s="28"/>
      <c r="D31" s="162" t="s">
        <v>278</v>
      </c>
      <c r="E31" s="162" t="s">
        <v>1</v>
      </c>
      <c r="F31" s="162" t="s">
        <v>263</v>
      </c>
      <c r="G31" s="162" t="s">
        <v>137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581.84</v>
      </c>
      <c r="E32" s="156">
        <f>SUM(E2:E4)</f>
        <v>382.54756585826004</v>
      </c>
      <c r="F32" s="156">
        <f>SUM(F2:F4)</f>
        <v>4363.1073797690415</v>
      </c>
      <c r="G32" s="156">
        <f>SUM(G2:G4)</f>
        <v>32.272974909987092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265</v>
      </c>
      <c r="B34" s="28"/>
      <c r="C34" s="28"/>
      <c r="D34" s="162" t="s">
        <v>270</v>
      </c>
      <c r="E34" s="162" t="s">
        <v>263</v>
      </c>
      <c r="F34" s="162" t="s">
        <v>137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457.15999999999997</v>
      </c>
      <c r="E35" s="156">
        <f>D35*G29</f>
        <v>1988.6459999999997</v>
      </c>
      <c r="F35" s="156">
        <f>D35*H29</f>
        <v>16.229179999999996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279</v>
      </c>
      <c r="B37" s="37"/>
      <c r="C37" s="37"/>
      <c r="D37" s="164" t="s">
        <v>273</v>
      </c>
      <c r="E37" s="164" t="s">
        <v>274</v>
      </c>
      <c r="F37" s="164" t="s">
        <v>275</v>
      </c>
      <c r="G37" s="164" t="s">
        <v>271</v>
      </c>
      <c r="H37" s="164" t="s">
        <v>272</v>
      </c>
      <c r="I37" s="160" t="s">
        <v>276</v>
      </c>
      <c r="J37" s="160" t="s">
        <v>277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3.5" thickBot="1" x14ac:dyDescent="0.25">
      <c r="D38" s="157">
        <f>SUM(I2:I20)</f>
        <v>448.01679999999999</v>
      </c>
      <c r="E38" s="157">
        <f>SUM(J2:J4,J6:J11,J13:J20)</f>
        <v>1983.3621894155947</v>
      </c>
      <c r="F38" s="157">
        <f>SUM(K2:K4,K6:K11,K13:K20)</f>
        <v>16.224667889019042</v>
      </c>
      <c r="G38" s="157">
        <f>SUM(L6:L11,L13:L20,L22:L25)</f>
        <v>570.20319999999992</v>
      </c>
      <c r="H38" s="157">
        <f>SUM(M6:M11,M13:M20,M22:M25)</f>
        <v>377.993403312</v>
      </c>
      <c r="I38" s="157">
        <f>SUM(N6:N11,N13:N20,N22:N25)</f>
        <v>4361.516901948391</v>
      </c>
      <c r="J38" s="157">
        <f>SUM(O6:O11,O13:O20,O22:O25)</f>
        <v>32.262151396455607</v>
      </c>
      <c r="V38" s="181"/>
      <c r="X38" s="30"/>
      <c r="Y38" s="30"/>
      <c r="Z38" s="181"/>
      <c r="AH38" s="30"/>
    </row>
    <row r="39" spans="1:34" ht="13.5" thickTop="1" x14ac:dyDescent="0.2">
      <c r="D39" s="158">
        <f>D35-D38</f>
        <v>9.1431999999999789</v>
      </c>
      <c r="E39" s="158">
        <f>E35-E38</f>
        <v>5.283810584405046</v>
      </c>
      <c r="F39" s="158">
        <f>F35-F38</f>
        <v>4.5121109809542759E-3</v>
      </c>
      <c r="G39" s="158">
        <f>SUM(D2:D4)-G38</f>
        <v>11.636800000000108</v>
      </c>
      <c r="H39" s="158">
        <f>E32-H38</f>
        <v>4.554162546260045</v>
      </c>
      <c r="I39" s="158">
        <f>F32-I38</f>
        <v>1.5904778206504488</v>
      </c>
      <c r="J39" s="158">
        <f>G32-J38</f>
        <v>1.0823513531484252E-2</v>
      </c>
      <c r="V39" s="181"/>
      <c r="X39" s="30"/>
      <c r="Y39" s="30"/>
      <c r="Z39" s="181"/>
      <c r="AH39" s="30"/>
    </row>
    <row r="40" spans="1:34" x14ac:dyDescent="0.2">
      <c r="V40" s="181"/>
      <c r="X40" s="30"/>
      <c r="Y40" s="30"/>
      <c r="Z40" s="181"/>
      <c r="AH40" s="30"/>
    </row>
    <row r="41" spans="1:34" x14ac:dyDescent="0.2">
      <c r="V41" s="181"/>
      <c r="X41" s="30"/>
      <c r="Y41" s="30"/>
      <c r="Z41" s="181"/>
      <c r="AH41" s="30"/>
    </row>
    <row r="42" spans="1:34" x14ac:dyDescent="0.2">
      <c r="V42" s="181"/>
      <c r="X42" s="30"/>
      <c r="Y42" s="30"/>
      <c r="Z42" s="181"/>
      <c r="AH42" s="30"/>
    </row>
    <row r="43" spans="1:34" x14ac:dyDescent="0.2">
      <c r="V43" s="181"/>
      <c r="X43" s="30"/>
      <c r="Y43" s="30"/>
      <c r="Z43" s="181"/>
      <c r="AH43" s="30"/>
    </row>
    <row r="44" spans="1:34" x14ac:dyDescent="0.2">
      <c r="V44" s="181"/>
      <c r="X44" s="30"/>
      <c r="Y44" s="30"/>
      <c r="Z44" s="181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sortState xmlns:xlrd2="http://schemas.microsoft.com/office/spreadsheetml/2017/richdata2" ref="A13:AH20">
    <sortCondition descending="1" ref="N13:N20"/>
  </sortState>
  <conditionalFormatting sqref="D39:J39">
    <cfRule type="cellIs" dxfId="62" priority="1" operator="lessThan">
      <formula>0</formula>
    </cfRule>
  </conditionalFormatting>
  <conditionalFormatting sqref="W28">
    <cfRule type="cellIs" dxfId="61" priority="2" operator="greaterThan">
      <formula>1</formula>
    </cfRule>
  </conditionalFormatting>
  <conditionalFormatting sqref="AA28:AG28">
    <cfRule type="cellIs" dxfId="60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rgb="FF002CB8"/>
  </sheetPr>
  <dimension ref="A1:AN64"/>
  <sheetViews>
    <sheetView showGridLines="0" zoomScale="85" zoomScaleNormal="85"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defaultColWidth="8.7109375" defaultRowHeight="12.75" x14ac:dyDescent="0.2"/>
  <cols>
    <col min="1" max="1" width="22.5703125" style="17" customWidth="1"/>
    <col min="2" max="3" width="8.7109375" style="18"/>
    <col min="4" max="13" width="8.7109375" style="23"/>
    <col min="14" max="15" width="8.7109375" style="18"/>
    <col min="16" max="16" width="4.7109375" style="18" customWidth="1"/>
    <col min="17" max="18" width="8.7109375" style="26"/>
    <col min="19" max="19" width="8.7109375" style="23"/>
    <col min="20" max="21" width="8.7109375" style="26"/>
    <col min="22" max="23" width="8.7109375" style="25"/>
    <col min="24" max="25" width="8.7109375" style="26"/>
    <col min="26" max="26" width="8.7109375" style="25"/>
    <col min="27" max="27" width="8.7109375" style="18"/>
    <col min="28" max="28" width="0" style="18" hidden="1" customWidth="1"/>
    <col min="29" max="29" width="8.7109375" style="26"/>
    <col min="30" max="30" width="4.7109375" style="17" customWidth="1"/>
    <col min="31" max="32" width="8.7109375" style="18"/>
    <col min="33" max="16384" width="8.7109375" style="17"/>
  </cols>
  <sheetData>
    <row r="1" spans="1:40" s="15" customFormat="1" ht="25.5" customHeight="1" x14ac:dyDescent="0.2">
      <c r="A1" s="15" t="s">
        <v>0</v>
      </c>
      <c r="B1" s="15" t="s">
        <v>8</v>
      </c>
      <c r="C1" s="15" t="s">
        <v>122</v>
      </c>
      <c r="D1" s="159" t="s">
        <v>210</v>
      </c>
      <c r="E1" s="159" t="s">
        <v>1</v>
      </c>
      <c r="F1" s="159" t="s">
        <v>213</v>
      </c>
      <c r="G1" s="159" t="s">
        <v>228</v>
      </c>
      <c r="H1" s="159" t="s">
        <v>2</v>
      </c>
      <c r="I1" s="159" t="s">
        <v>229</v>
      </c>
      <c r="J1" s="159" t="s">
        <v>217</v>
      </c>
      <c r="K1" s="159" t="s">
        <v>230</v>
      </c>
      <c r="L1" s="159" t="s">
        <v>219</v>
      </c>
      <c r="M1" s="159" t="s">
        <v>4</v>
      </c>
      <c r="N1" s="159" t="s">
        <v>223</v>
      </c>
      <c r="O1" s="159" t="s">
        <v>231</v>
      </c>
      <c r="Q1" s="160" t="s">
        <v>281</v>
      </c>
      <c r="R1" s="133" t="s">
        <v>232</v>
      </c>
      <c r="S1" s="134" t="s">
        <v>451</v>
      </c>
      <c r="T1" s="133" t="s">
        <v>205</v>
      </c>
      <c r="U1" s="133" t="s">
        <v>209</v>
      </c>
      <c r="V1" s="135" t="s">
        <v>280</v>
      </c>
      <c r="W1" s="161" t="s">
        <v>282</v>
      </c>
      <c r="X1" s="133" t="s">
        <v>233</v>
      </c>
      <c r="Y1" s="179" t="s">
        <v>234</v>
      </c>
      <c r="Z1" s="135" t="s">
        <v>235</v>
      </c>
      <c r="AA1" s="160" t="s">
        <v>236</v>
      </c>
      <c r="AB1" s="160" t="s">
        <v>237</v>
      </c>
      <c r="AC1" s="10" t="s">
        <v>262</v>
      </c>
      <c r="AE1" s="136" t="s">
        <v>283</v>
      </c>
      <c r="AF1" s="137" t="s">
        <v>284</v>
      </c>
      <c r="AG1" s="136" t="s">
        <v>285</v>
      </c>
      <c r="AH1" s="136" t="s">
        <v>450</v>
      </c>
      <c r="AN1" s="15" t="s">
        <v>99</v>
      </c>
    </row>
    <row r="2" spans="1:40" x14ac:dyDescent="0.2">
      <c r="A2" s="17" t="s">
        <v>493</v>
      </c>
      <c r="B2" s="18" t="s">
        <v>9</v>
      </c>
      <c r="C2" s="18">
        <f>VLOOKUP($AN$1,DST!C:D,2,FALSE)</f>
        <v>14</v>
      </c>
      <c r="D2" s="146">
        <f>D$32*Q2</f>
        <v>600.25679999999988</v>
      </c>
      <c r="E2" s="146">
        <f t="shared" ref="E2" si="0">D2*R2</f>
        <v>392.76631066734694</v>
      </c>
      <c r="F2" s="146">
        <f>E2*S2</f>
        <v>4705.3404017948169</v>
      </c>
      <c r="G2" s="146">
        <f>D2*T2</f>
        <v>31.513481999999993</v>
      </c>
      <c r="H2" s="146">
        <f t="shared" ref="H2" si="1">E2*U2</f>
        <v>5.6543183371276093</v>
      </c>
      <c r="I2" s="146">
        <f>D$35*W2</f>
        <v>38.250576000000002</v>
      </c>
      <c r="J2" s="146">
        <f>I2*V2</f>
        <v>158.51481338402735</v>
      </c>
      <c r="K2" s="146">
        <f>I2*X2</f>
        <v>1.9242119760818577</v>
      </c>
      <c r="L2" s="147"/>
      <c r="M2" s="147"/>
      <c r="N2" s="147"/>
      <c r="O2" s="147"/>
      <c r="Q2" s="150">
        <f>(AE2/SUM(AE$2:AE$25))</f>
        <v>0.99</v>
      </c>
      <c r="R2" s="19">
        <v>0.65433046434017406</v>
      </c>
      <c r="S2" s="107">
        <v>11.98</v>
      </c>
      <c r="T2" s="19">
        <v>5.2499999999999998E-2</v>
      </c>
      <c r="U2" s="19">
        <v>1.4396138832580601E-2</v>
      </c>
      <c r="V2" s="107">
        <v>4.1441157221796434</v>
      </c>
      <c r="W2" s="150">
        <f>(AF2/SUM(AF$2:AF$20))*0.98</f>
        <v>8.8200000000000001E-2</v>
      </c>
      <c r="X2" s="19">
        <v>5.0305437912408366E-2</v>
      </c>
      <c r="Y2" s="21"/>
      <c r="Z2" s="22"/>
      <c r="AA2" s="1"/>
      <c r="AB2" s="1"/>
      <c r="AC2" s="1"/>
      <c r="AE2" s="19">
        <v>0.99</v>
      </c>
      <c r="AF2" s="19">
        <v>0.09</v>
      </c>
      <c r="AG2" s="168"/>
      <c r="AH2" s="168"/>
    </row>
    <row r="3" spans="1:40" x14ac:dyDescent="0.2">
      <c r="A3" s="17" t="s">
        <v>607</v>
      </c>
      <c r="B3" s="18" t="s">
        <v>9</v>
      </c>
      <c r="C3" s="18">
        <f>VLOOKUP($AN$1,DST!C:D,2,FALSE)</f>
        <v>14</v>
      </c>
      <c r="D3" s="146">
        <f>D$32*Q3</f>
        <v>6.0631999999999993</v>
      </c>
      <c r="E3" s="146">
        <f>D3*R3</f>
        <v>3.7760003718600279</v>
      </c>
      <c r="F3" s="146">
        <f>E3*S3</f>
        <v>40.8627664792416</v>
      </c>
      <c r="G3" s="146">
        <f t="shared" ref="G3:G4" si="2">D3*T3</f>
        <v>0.29103359999999995</v>
      </c>
      <c r="H3" s="146">
        <f>E3*U3</f>
        <v>9.8725444638517984E-2</v>
      </c>
      <c r="I3" s="146">
        <f>D$35*W3</f>
        <v>0</v>
      </c>
      <c r="J3" s="146">
        <f>I3*V3</f>
        <v>0</v>
      </c>
      <c r="K3" s="146">
        <f>I3*X3</f>
        <v>0</v>
      </c>
      <c r="L3" s="147"/>
      <c r="M3" s="147"/>
      <c r="N3" s="147"/>
      <c r="O3" s="147"/>
      <c r="Q3" s="150">
        <f>(AE3/SUM(AE$2:AE$25))</f>
        <v>0.01</v>
      </c>
      <c r="R3" s="19">
        <v>0.62277351429278738</v>
      </c>
      <c r="S3" s="107">
        <v>10.821706158655097</v>
      </c>
      <c r="T3" s="19">
        <v>4.8000000000000001E-2</v>
      </c>
      <c r="U3" s="19">
        <v>2.6145507128190935E-2</v>
      </c>
      <c r="V3" s="107">
        <v>3.5500000000000003</v>
      </c>
      <c r="W3" s="150">
        <f>(AF3/SUM(AF$2:AF$20))*0.98</f>
        <v>0</v>
      </c>
      <c r="X3" s="19">
        <v>2.5000000000000001E-2</v>
      </c>
      <c r="Y3" s="21"/>
      <c r="Z3" s="22"/>
      <c r="AA3" s="1"/>
      <c r="AB3" s="1"/>
      <c r="AC3" s="1"/>
      <c r="AE3" s="19">
        <v>0.01</v>
      </c>
      <c r="AF3" s="19">
        <v>0</v>
      </c>
      <c r="AG3" s="168"/>
      <c r="AH3" s="168"/>
    </row>
    <row r="4" spans="1:40" x14ac:dyDescent="0.2">
      <c r="B4" s="18" t="s">
        <v>9</v>
      </c>
      <c r="C4" s="18">
        <f>VLOOKUP($AN$1,DST!C:D,2,FALSE)</f>
        <v>14</v>
      </c>
      <c r="D4" s="146">
        <f>D$32*Q4</f>
        <v>0</v>
      </c>
      <c r="E4" s="146">
        <f>D4*R4</f>
        <v>0</v>
      </c>
      <c r="F4" s="146">
        <f>E4*S4</f>
        <v>0</v>
      </c>
      <c r="G4" s="146">
        <f t="shared" si="2"/>
        <v>0</v>
      </c>
      <c r="H4" s="146">
        <f>E4*U4</f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/>
      <c r="AF4" s="19"/>
      <c r="AG4" s="168"/>
      <c r="AH4" s="168"/>
    </row>
    <row r="5" spans="1:40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40" x14ac:dyDescent="0.2">
      <c r="A6" s="176" t="s">
        <v>29</v>
      </c>
      <c r="B6" s="18" t="s">
        <v>207</v>
      </c>
      <c r="C6" s="18">
        <f>VLOOKUP($AN$1,DST!C:D,2,FALSE)</f>
        <v>14</v>
      </c>
      <c r="D6" s="147"/>
      <c r="E6" s="147"/>
      <c r="F6" s="147"/>
      <c r="G6" s="147"/>
      <c r="H6" s="147"/>
      <c r="I6" s="146">
        <f t="shared" ref="I6:I11" si="3">D$35*W6</f>
        <v>255.00384000000003</v>
      </c>
      <c r="J6" s="146">
        <f>I6*V6</f>
        <v>1081.2162816000002</v>
      </c>
      <c r="K6" s="146">
        <f>I6*X6</f>
        <v>9.6901459200000009</v>
      </c>
      <c r="L6" s="146">
        <f>((D$2+D$3+D$4)*AA6)</f>
        <v>46.347100799999993</v>
      </c>
      <c r="M6" s="146">
        <f t="shared" ref="M6:N11" si="4">L6*Y6</f>
        <v>35.733614716799998</v>
      </c>
      <c r="N6" s="146">
        <f t="shared" si="4"/>
        <v>267.39757649316999</v>
      </c>
      <c r="O6" s="146">
        <f>M6*AH6</f>
        <v>1.7866807358400001</v>
      </c>
      <c r="Q6" s="13"/>
      <c r="R6" s="139"/>
      <c r="S6" s="138"/>
      <c r="T6" s="139"/>
      <c r="U6" s="139"/>
      <c r="V6" s="107">
        <v>4.24</v>
      </c>
      <c r="W6" s="150">
        <f t="shared" ref="W6:W11" si="5">(AF6/SUM(AF$2:AF$20))*0.98</f>
        <v>0.58799999999999997</v>
      </c>
      <c r="X6" s="19">
        <v>3.7999999999999999E-2</v>
      </c>
      <c r="Y6" s="19">
        <v>0.77100000000000013</v>
      </c>
      <c r="Z6" s="20">
        <v>7.4830822073943226</v>
      </c>
      <c r="AA6" s="150">
        <f t="shared" ref="AA6:AA11" si="6">(AG6/SUM(AG$6:AG$25))*0.98</f>
        <v>7.6439999999999994E-2</v>
      </c>
      <c r="AB6" s="7">
        <v>8.6548073411343282E-2</v>
      </c>
      <c r="AC6" s="150">
        <f t="shared" ref="AC6:AC11" si="7">(AH6/SUM(AH$6:AH$25))*0.98</f>
        <v>5.8032195608873266E-2</v>
      </c>
      <c r="AE6" s="168"/>
      <c r="AF6" s="19">
        <v>0.6</v>
      </c>
      <c r="AG6" s="19">
        <v>7.8E-2</v>
      </c>
      <c r="AH6" s="19">
        <v>0.05</v>
      </c>
    </row>
    <row r="7" spans="1:40" x14ac:dyDescent="0.2">
      <c r="A7" s="176" t="s">
        <v>408</v>
      </c>
      <c r="B7" s="18" t="s">
        <v>207</v>
      </c>
      <c r="C7" s="18">
        <f>VLOOKUP($AN$1,DST!C:D,2,FALSE)</f>
        <v>14</v>
      </c>
      <c r="D7" s="147"/>
      <c r="E7" s="147"/>
      <c r="F7" s="147"/>
      <c r="G7" s="147"/>
      <c r="H7" s="147"/>
      <c r="I7" s="146">
        <f t="shared" si="3"/>
        <v>64.600972800000008</v>
      </c>
      <c r="J7" s="146">
        <f>I7*V7</f>
        <v>260.34192038400005</v>
      </c>
      <c r="K7" s="146">
        <f>I7*X7</f>
        <v>1.9380291840000001</v>
      </c>
      <c r="L7" s="146">
        <f>((D$2+D$3+D$4)*AA7)</f>
        <v>5.9419359999999992</v>
      </c>
      <c r="M7" s="146">
        <f t="shared" si="4"/>
        <v>4.2306584319999994</v>
      </c>
      <c r="N7" s="146">
        <f t="shared" si="4"/>
        <v>30.550307876084961</v>
      </c>
      <c r="O7" s="146">
        <f t="shared" ref="O7:O11" si="8">M7*AH7</f>
        <v>0.10198107656411776</v>
      </c>
      <c r="Q7" s="13"/>
      <c r="R7" s="139"/>
      <c r="S7" s="138"/>
      <c r="T7" s="139"/>
      <c r="U7" s="139"/>
      <c r="V7" s="107">
        <v>4.03</v>
      </c>
      <c r="W7" s="150">
        <f t="shared" si="5"/>
        <v>0.14895999999999998</v>
      </c>
      <c r="X7" s="19">
        <v>0.03</v>
      </c>
      <c r="Y7" s="19">
        <v>0.71199999999999997</v>
      </c>
      <c r="Z7" s="20">
        <v>7.221170975422524</v>
      </c>
      <c r="AA7" s="150">
        <f t="shared" si="6"/>
        <v>9.7999999999999997E-3</v>
      </c>
      <c r="AB7" s="7">
        <v>4.092025767842479E-2</v>
      </c>
      <c r="AC7" s="150">
        <f t="shared" si="7"/>
        <v>2.7977610949672448E-2</v>
      </c>
      <c r="AE7" s="168"/>
      <c r="AF7" s="19">
        <v>0.152</v>
      </c>
      <c r="AG7" s="19">
        <v>0.01</v>
      </c>
      <c r="AH7" s="19">
        <v>2.4105249384528373E-2</v>
      </c>
    </row>
    <row r="8" spans="1:40" x14ac:dyDescent="0.2">
      <c r="A8" s="176" t="s">
        <v>701</v>
      </c>
      <c r="B8" s="18" t="s">
        <v>207</v>
      </c>
      <c r="C8" s="18">
        <f>VLOOKUP($AN$1,DST!C:D,2,FALSE)</f>
        <v>14</v>
      </c>
      <c r="D8" s="147"/>
      <c r="E8" s="147"/>
      <c r="F8" s="147"/>
      <c r="G8" s="147"/>
      <c r="H8" s="147"/>
      <c r="I8" s="146">
        <f t="shared" si="3"/>
        <v>50.150755200000006</v>
      </c>
      <c r="J8" s="146">
        <f>I8*V8</f>
        <v>206.62111142400002</v>
      </c>
      <c r="K8" s="146">
        <f>I8*X8</f>
        <v>1.4543719008000002</v>
      </c>
      <c r="L8" s="146">
        <f>((D$2+D$3+D$4)*AA8)</f>
        <v>23.767743999999997</v>
      </c>
      <c r="M8" s="146">
        <f t="shared" si="4"/>
        <v>18.420001599999999</v>
      </c>
      <c r="N8" s="146">
        <f t="shared" si="4"/>
        <v>133.54501159999998</v>
      </c>
      <c r="O8" s="146">
        <f t="shared" si="8"/>
        <v>0.64470005600000002</v>
      </c>
      <c r="Q8" s="13"/>
      <c r="R8" s="139"/>
      <c r="S8" s="138"/>
      <c r="T8" s="139"/>
      <c r="U8" s="139"/>
      <c r="V8" s="107">
        <v>4.12</v>
      </c>
      <c r="W8" s="150">
        <f t="shared" si="5"/>
        <v>0.11563999999999999</v>
      </c>
      <c r="X8" s="19">
        <v>2.9000000000000001E-2</v>
      </c>
      <c r="Y8" s="19">
        <v>0.77500000000000002</v>
      </c>
      <c r="Z8" s="20">
        <v>7.25</v>
      </c>
      <c r="AA8" s="150">
        <f t="shared" si="6"/>
        <v>3.9199999999999999E-2</v>
      </c>
      <c r="AB8" s="7">
        <v>6.0625889618527939E-2</v>
      </c>
      <c r="AC8" s="150">
        <f t="shared" si="7"/>
        <v>4.0622536926211289E-2</v>
      </c>
      <c r="AE8" s="168"/>
      <c r="AF8" s="19">
        <v>0.11799999999999999</v>
      </c>
      <c r="AG8" s="19">
        <v>0.04</v>
      </c>
      <c r="AH8" s="19">
        <v>3.5000000000000003E-2</v>
      </c>
    </row>
    <row r="9" spans="1:40" x14ac:dyDescent="0.2">
      <c r="A9" s="172"/>
      <c r="B9" s="18" t="s">
        <v>207</v>
      </c>
      <c r="C9" s="18">
        <f>VLOOKUP($AN$1,DST!C:D,2,FALSE)</f>
        <v>14</v>
      </c>
      <c r="D9" s="147"/>
      <c r="E9" s="147"/>
      <c r="F9" s="147"/>
      <c r="G9" s="147"/>
      <c r="H9" s="147"/>
      <c r="I9" s="146">
        <f t="shared" si="3"/>
        <v>0</v>
      </c>
      <c r="J9" s="146">
        <f t="shared" ref="J9:J11" si="9">I9*V9</f>
        <v>0</v>
      </c>
      <c r="K9" s="146">
        <f t="shared" ref="K9:K11" si="10">I9*X9</f>
        <v>0</v>
      </c>
      <c r="L9" s="146">
        <f t="shared" ref="L9:L11" si="11">((D$2+D$3+D$4)*AA9)</f>
        <v>0</v>
      </c>
      <c r="M9" s="146">
        <f t="shared" si="4"/>
        <v>0</v>
      </c>
      <c r="N9" s="146">
        <f t="shared" si="4"/>
        <v>0</v>
      </c>
      <c r="O9" s="146">
        <f t="shared" si="8"/>
        <v>0</v>
      </c>
      <c r="Q9" s="13"/>
      <c r="R9" s="139"/>
      <c r="S9" s="138"/>
      <c r="T9" s="139"/>
      <c r="U9" s="139"/>
      <c r="V9" s="107">
        <v>0</v>
      </c>
      <c r="W9" s="150">
        <f t="shared" si="5"/>
        <v>0</v>
      </c>
      <c r="X9" s="19">
        <v>0</v>
      </c>
      <c r="Y9" s="19">
        <v>0</v>
      </c>
      <c r="Z9" s="20">
        <v>0</v>
      </c>
      <c r="AA9" s="150">
        <f t="shared" si="6"/>
        <v>0</v>
      </c>
      <c r="AB9" s="7">
        <v>2.100701999793686E-2</v>
      </c>
      <c r="AC9" s="150">
        <f t="shared" si="7"/>
        <v>0</v>
      </c>
      <c r="AE9" s="168"/>
      <c r="AF9" s="19">
        <v>0</v>
      </c>
      <c r="AG9" s="19">
        <v>0</v>
      </c>
      <c r="AH9" s="19">
        <v>0</v>
      </c>
    </row>
    <row r="10" spans="1:40" x14ac:dyDescent="0.2">
      <c r="A10" s="172"/>
      <c r="B10" s="18" t="s">
        <v>207</v>
      </c>
      <c r="C10" s="18">
        <f>VLOOKUP($AN$1,DST!C:D,2,FALSE)</f>
        <v>14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9"/>
        <v>0</v>
      </c>
      <c r="K10" s="146">
        <f t="shared" si="10"/>
        <v>0</v>
      </c>
      <c r="L10" s="146">
        <f t="shared" si="11"/>
        <v>0</v>
      </c>
      <c r="M10" s="146">
        <f t="shared" si="4"/>
        <v>0</v>
      </c>
      <c r="N10" s="146">
        <f t="shared" si="4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5"/>
        <v>0</v>
      </c>
      <c r="X10" s="19">
        <v>0</v>
      </c>
      <c r="Y10" s="19">
        <v>0</v>
      </c>
      <c r="Z10" s="20">
        <v>0</v>
      </c>
      <c r="AA10" s="150">
        <f t="shared" si="6"/>
        <v>0</v>
      </c>
      <c r="AB10" s="7">
        <v>1.4721221052939397E-2</v>
      </c>
      <c r="AC10" s="150">
        <f t="shared" si="7"/>
        <v>0</v>
      </c>
      <c r="AE10" s="168"/>
      <c r="AF10" s="19">
        <v>0</v>
      </c>
      <c r="AG10" s="19">
        <v>0</v>
      </c>
      <c r="AH10" s="19">
        <v>0</v>
      </c>
    </row>
    <row r="11" spans="1:40" x14ac:dyDescent="0.2">
      <c r="A11" s="172"/>
      <c r="B11" s="18" t="s">
        <v>207</v>
      </c>
      <c r="C11" s="18">
        <f>VLOOKUP($AN$1,DST!C:D,2,FALSE)</f>
        <v>14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9"/>
        <v>0</v>
      </c>
      <c r="K11" s="146">
        <f t="shared" si="10"/>
        <v>0</v>
      </c>
      <c r="L11" s="146">
        <f t="shared" si="11"/>
        <v>0</v>
      </c>
      <c r="M11" s="146">
        <f t="shared" si="4"/>
        <v>0</v>
      </c>
      <c r="N11" s="146">
        <f t="shared" si="4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5"/>
        <v>0</v>
      </c>
      <c r="X11" s="19">
        <v>0</v>
      </c>
      <c r="Y11" s="19">
        <v>0</v>
      </c>
      <c r="Z11" s="20">
        <v>0</v>
      </c>
      <c r="AA11" s="150">
        <f t="shared" si="6"/>
        <v>0</v>
      </c>
      <c r="AB11" s="7">
        <v>0</v>
      </c>
      <c r="AC11" s="150">
        <f t="shared" si="7"/>
        <v>0</v>
      </c>
      <c r="AE11" s="168"/>
      <c r="AF11" s="19">
        <v>0</v>
      </c>
      <c r="AG11" s="19">
        <v>0</v>
      </c>
      <c r="AH11" s="19">
        <v>0</v>
      </c>
    </row>
    <row r="12" spans="1:40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40" x14ac:dyDescent="0.2">
      <c r="A13" s="17" t="s">
        <v>83</v>
      </c>
      <c r="B13" s="18" t="s">
        <v>208</v>
      </c>
      <c r="C13" s="18">
        <f>VLOOKUP($AN$1,DST!C:D,2,FALSE)</f>
        <v>14</v>
      </c>
      <c r="D13" s="147"/>
      <c r="E13" s="147"/>
      <c r="F13" s="147"/>
      <c r="G13" s="147"/>
      <c r="H13" s="147"/>
      <c r="I13" s="146">
        <f t="shared" ref="I13:I20" si="12">D$35*W13</f>
        <v>4.2500640000000001</v>
      </c>
      <c r="J13" s="146">
        <f t="shared" ref="J13:J20" si="13">I13*V13</f>
        <v>21.335321279999999</v>
      </c>
      <c r="K13" s="146">
        <f t="shared" ref="K13:K20" si="14">I13*X13</f>
        <v>2.1230708481496999E-2</v>
      </c>
      <c r="L13" s="146">
        <f t="shared" ref="L13:L20" si="15">((D$2+D$3+D$4)*AA13)</f>
        <v>124.78065599999998</v>
      </c>
      <c r="M13" s="146">
        <f t="shared" ref="M13:N20" si="16">L13*Y13</f>
        <v>83.603039519999996</v>
      </c>
      <c r="N13" s="146">
        <f t="shared" si="16"/>
        <v>1014.1048693776</v>
      </c>
      <c r="O13" s="146">
        <f t="shared" ref="O13:O20" si="17">M13*AH13</f>
        <v>6.6169173018700276</v>
      </c>
      <c r="Q13" s="13"/>
      <c r="R13" s="139"/>
      <c r="S13" s="138"/>
      <c r="T13" s="139"/>
      <c r="U13" s="139"/>
      <c r="V13" s="107">
        <v>5.0199999999999996</v>
      </c>
      <c r="W13" s="150">
        <f t="shared" ref="W13:W20" si="18">(AF13/SUM(AF$2:AF$20))*0.98</f>
        <v>9.7999999999999997E-3</v>
      </c>
      <c r="X13" s="19">
        <v>4.9953855945456347E-3</v>
      </c>
      <c r="Y13" s="19">
        <v>0.67</v>
      </c>
      <c r="Z13" s="20">
        <v>12.13</v>
      </c>
      <c r="AA13" s="150">
        <f t="shared" ref="AA13:AA19" si="19">(AG13/SUM(AG$6:AG$25))*0.98</f>
        <v>0.20579999999999998</v>
      </c>
      <c r="AB13" s="7">
        <v>0.17942503850764749</v>
      </c>
      <c r="AC13" s="150">
        <f t="shared" ref="AC13:AC19" si="20">(AH13/SUM(AH$6:AH$25))*0.98</f>
        <v>9.1861310640027158E-2</v>
      </c>
      <c r="AE13" s="168"/>
      <c r="AF13" s="19">
        <v>0.01</v>
      </c>
      <c r="AG13" s="19">
        <v>0.21</v>
      </c>
      <c r="AH13" s="19">
        <v>7.9146850878395292E-2</v>
      </c>
    </row>
    <row r="14" spans="1:40" x14ac:dyDescent="0.2">
      <c r="A14" s="17" t="s">
        <v>198</v>
      </c>
      <c r="B14" s="18" t="s">
        <v>208</v>
      </c>
      <c r="C14" s="18">
        <f>VLOOKUP($AN$1,DST!C:D,2,FALSE)</f>
        <v>14</v>
      </c>
      <c r="D14" s="147"/>
      <c r="E14" s="147"/>
      <c r="F14" s="147"/>
      <c r="G14" s="147"/>
      <c r="H14" s="147"/>
      <c r="I14" s="146">
        <f t="shared" si="12"/>
        <v>0</v>
      </c>
      <c r="J14" s="146">
        <f t="shared" si="13"/>
        <v>0</v>
      </c>
      <c r="K14" s="146">
        <f t="shared" si="14"/>
        <v>0</v>
      </c>
      <c r="L14" s="146">
        <f t="shared" si="15"/>
        <v>125.96904319999999</v>
      </c>
      <c r="M14" s="146">
        <f t="shared" si="16"/>
        <v>81.627939993599981</v>
      </c>
      <c r="N14" s="146">
        <f t="shared" si="16"/>
        <v>1186.8702475069435</v>
      </c>
      <c r="O14" s="146">
        <f t="shared" si="17"/>
        <v>7.8362822393855982</v>
      </c>
      <c r="Q14" s="13"/>
      <c r="R14" s="139"/>
      <c r="S14" s="138"/>
      <c r="T14" s="139"/>
      <c r="U14" s="139"/>
      <c r="V14" s="107">
        <v>5.0199999999999996</v>
      </c>
      <c r="W14" s="150">
        <f t="shared" si="18"/>
        <v>0</v>
      </c>
      <c r="X14" s="19">
        <v>0</v>
      </c>
      <c r="Y14" s="19">
        <v>0.64799999999999991</v>
      </c>
      <c r="Z14" s="20">
        <v>14.54</v>
      </c>
      <c r="AA14" s="150">
        <f t="shared" si="19"/>
        <v>0.20776</v>
      </c>
      <c r="AB14" s="7">
        <v>0.10762371294118071</v>
      </c>
      <c r="AC14" s="150">
        <f t="shared" si="20"/>
        <v>0.11142181556903666</v>
      </c>
      <c r="AE14" s="168"/>
      <c r="AF14" s="19">
        <v>0</v>
      </c>
      <c r="AG14" s="19">
        <v>0.21199999999999999</v>
      </c>
      <c r="AH14" s="19">
        <v>9.6000000000000002E-2</v>
      </c>
    </row>
    <row r="15" spans="1:40" x14ac:dyDescent="0.2">
      <c r="A15" s="17" t="s">
        <v>523</v>
      </c>
      <c r="B15" s="18" t="s">
        <v>208</v>
      </c>
      <c r="C15" s="18">
        <f>VLOOKUP($AN$1,DST!C:D,2,FALSE)</f>
        <v>14</v>
      </c>
      <c r="D15" s="147"/>
      <c r="E15" s="147"/>
      <c r="F15" s="147"/>
      <c r="G15" s="147"/>
      <c r="H15" s="147"/>
      <c r="I15" s="146">
        <f t="shared" si="12"/>
        <v>12.750192000000002</v>
      </c>
      <c r="J15" s="146">
        <f t="shared" si="13"/>
        <v>106.20909936000001</v>
      </c>
      <c r="K15" s="146">
        <f t="shared" si="14"/>
        <v>9.8735493019248236E-2</v>
      </c>
      <c r="L15" s="146">
        <f t="shared" si="15"/>
        <v>109.33162239999997</v>
      </c>
      <c r="M15" s="146">
        <f t="shared" si="16"/>
        <v>67.238947775999989</v>
      </c>
      <c r="N15" s="146">
        <f t="shared" si="16"/>
        <v>970.93040588543977</v>
      </c>
      <c r="O15" s="146">
        <f t="shared" si="17"/>
        <v>6.6566558298239995</v>
      </c>
      <c r="Q15" s="13"/>
      <c r="R15" s="139"/>
      <c r="S15" s="138"/>
      <c r="T15" s="139"/>
      <c r="U15" s="139"/>
      <c r="V15" s="107">
        <v>8.33</v>
      </c>
      <c r="W15" s="150">
        <f t="shared" si="18"/>
        <v>2.9399999999999999E-2</v>
      </c>
      <c r="X15" s="19">
        <v>7.7438436236292145E-3</v>
      </c>
      <c r="Y15" s="19">
        <v>0.6150000000000001</v>
      </c>
      <c r="Z15" s="20">
        <v>14.44</v>
      </c>
      <c r="AA15" s="150">
        <f t="shared" si="19"/>
        <v>0.18031999999999998</v>
      </c>
      <c r="AB15" s="7">
        <v>6.0141004490805408E-2</v>
      </c>
      <c r="AC15" s="150">
        <f t="shared" si="20"/>
        <v>0.11490374730556906</v>
      </c>
      <c r="AE15" s="168"/>
      <c r="AF15" s="19">
        <v>0.03</v>
      </c>
      <c r="AG15" s="19">
        <v>0.184</v>
      </c>
      <c r="AH15" s="19">
        <v>9.9000000000000005E-2</v>
      </c>
    </row>
    <row r="16" spans="1:40" x14ac:dyDescent="0.2">
      <c r="A16" s="17" t="s">
        <v>51</v>
      </c>
      <c r="B16" s="18" t="s">
        <v>208</v>
      </c>
      <c r="C16" s="18">
        <f>VLOOKUP($AN$1,DST!C:D,2,FALSE)</f>
        <v>14</v>
      </c>
      <c r="D16" s="147"/>
      <c r="E16" s="147"/>
      <c r="F16" s="147"/>
      <c r="G16" s="147"/>
      <c r="H16" s="147"/>
      <c r="I16" s="146">
        <f t="shared" si="12"/>
        <v>0</v>
      </c>
      <c r="J16" s="146">
        <f t="shared" si="13"/>
        <v>0</v>
      </c>
      <c r="K16" s="146">
        <f t="shared" si="14"/>
        <v>0</v>
      </c>
      <c r="L16" s="146">
        <f t="shared" si="15"/>
        <v>23.767743999999997</v>
      </c>
      <c r="M16" s="146">
        <f t="shared" si="16"/>
        <v>14.640930303999996</v>
      </c>
      <c r="N16" s="146">
        <f t="shared" si="16"/>
        <v>162.5096094716055</v>
      </c>
      <c r="O16" s="146">
        <f t="shared" si="17"/>
        <v>0.97500091100811492</v>
      </c>
      <c r="Q16" s="13"/>
      <c r="R16" s="139"/>
      <c r="S16" s="138"/>
      <c r="T16" s="139"/>
      <c r="U16" s="139"/>
      <c r="V16" s="107">
        <v>5.0199999999999996</v>
      </c>
      <c r="W16" s="150">
        <f t="shared" si="18"/>
        <v>0</v>
      </c>
      <c r="X16" s="19">
        <v>0</v>
      </c>
      <c r="Y16" s="19">
        <v>0.61599999999999988</v>
      </c>
      <c r="Z16" s="20">
        <v>11.099677827658727</v>
      </c>
      <c r="AA16" s="150">
        <f t="shared" si="19"/>
        <v>3.9199999999999999E-2</v>
      </c>
      <c r="AB16" s="7">
        <v>7.2371601418819084E-2</v>
      </c>
      <c r="AC16" s="150">
        <f t="shared" si="20"/>
        <v>7.72921425232031E-2</v>
      </c>
      <c r="AE16" s="168"/>
      <c r="AF16" s="19">
        <v>0</v>
      </c>
      <c r="AG16" s="19">
        <v>0.04</v>
      </c>
      <c r="AH16" s="19">
        <v>6.6594191131538846E-2</v>
      </c>
    </row>
    <row r="17" spans="1:34" x14ac:dyDescent="0.2">
      <c r="A17" s="17" t="s">
        <v>494</v>
      </c>
      <c r="B17" s="18" t="s">
        <v>208</v>
      </c>
      <c r="C17" s="18">
        <f>VLOOKUP($AN$1,DST!C:D,2,FALSE)</f>
        <v>14</v>
      </c>
      <c r="D17" s="147"/>
      <c r="E17" s="147"/>
      <c r="F17" s="147"/>
      <c r="G17" s="147"/>
      <c r="H17" s="147"/>
      <c r="I17" s="146">
        <f t="shared" si="12"/>
        <v>0</v>
      </c>
      <c r="J17" s="146">
        <f t="shared" si="13"/>
        <v>0</v>
      </c>
      <c r="K17" s="146">
        <f t="shared" si="14"/>
        <v>0</v>
      </c>
      <c r="L17" s="146">
        <f t="shared" si="15"/>
        <v>11.883871999999998</v>
      </c>
      <c r="M17" s="146">
        <f t="shared" si="16"/>
        <v>6.6074328319999998</v>
      </c>
      <c r="N17" s="146">
        <f t="shared" si="16"/>
        <v>82.880429860884632</v>
      </c>
      <c r="O17" s="146">
        <f t="shared" si="17"/>
        <v>0.46907235215565302</v>
      </c>
      <c r="Q17" s="13"/>
      <c r="R17" s="139"/>
      <c r="S17" s="138"/>
      <c r="T17" s="139"/>
      <c r="U17" s="139"/>
      <c r="V17" s="107">
        <v>4.51</v>
      </c>
      <c r="W17" s="150">
        <f t="shared" si="18"/>
        <v>0</v>
      </c>
      <c r="X17" s="19">
        <v>0</v>
      </c>
      <c r="Y17" s="19">
        <v>0.55600000000000005</v>
      </c>
      <c r="Z17" s="20">
        <v>12.543514549174404</v>
      </c>
      <c r="AA17" s="150">
        <f t="shared" si="19"/>
        <v>1.9599999999999999E-2</v>
      </c>
      <c r="AB17" s="7">
        <v>2.0087981085509972E-2</v>
      </c>
      <c r="AC17" s="150">
        <f t="shared" si="20"/>
        <v>8.2395990052831283E-2</v>
      </c>
      <c r="AE17" s="168"/>
      <c r="AF17" s="19">
        <v>0</v>
      </c>
      <c r="AG17" s="19">
        <v>0.02</v>
      </c>
      <c r="AH17" s="19">
        <v>7.0991618694013991E-2</v>
      </c>
    </row>
    <row r="18" spans="1:34" x14ac:dyDescent="0.2">
      <c r="A18" s="17" t="s">
        <v>423</v>
      </c>
      <c r="B18" s="18" t="s">
        <v>208</v>
      </c>
      <c r="C18" s="18">
        <f>VLOOKUP($AN$1,DST!C:D,2,FALSE)</f>
        <v>14</v>
      </c>
      <c r="D18" s="147"/>
      <c r="E18" s="147"/>
      <c r="F18" s="147"/>
      <c r="G18" s="147"/>
      <c r="H18" s="147"/>
      <c r="I18" s="146">
        <f t="shared" si="12"/>
        <v>0</v>
      </c>
      <c r="J18" s="146">
        <f t="shared" si="13"/>
        <v>0</v>
      </c>
      <c r="K18" s="146">
        <f t="shared" si="14"/>
        <v>0</v>
      </c>
      <c r="L18" s="146">
        <f t="shared" si="15"/>
        <v>23.767743999999997</v>
      </c>
      <c r="M18" s="146">
        <f t="shared" si="16"/>
        <v>14.569627072000001</v>
      </c>
      <c r="N18" s="146">
        <f t="shared" si="16"/>
        <v>171.92159944960002</v>
      </c>
      <c r="O18" s="146">
        <f t="shared" si="17"/>
        <v>1.107291657472</v>
      </c>
      <c r="Q18" s="13"/>
      <c r="R18" s="139"/>
      <c r="S18" s="138"/>
      <c r="T18" s="139"/>
      <c r="U18" s="139"/>
      <c r="V18" s="107">
        <v>5.0199999999999996</v>
      </c>
      <c r="W18" s="150">
        <f t="shared" si="18"/>
        <v>0</v>
      </c>
      <c r="X18" s="19">
        <v>0</v>
      </c>
      <c r="Y18" s="19">
        <v>0.6130000000000001</v>
      </c>
      <c r="Z18" s="20">
        <v>11.8</v>
      </c>
      <c r="AA18" s="150">
        <f t="shared" si="19"/>
        <v>3.9199999999999999E-2</v>
      </c>
      <c r="AB18" s="7">
        <v>7.7912972139078204E-2</v>
      </c>
      <c r="AC18" s="150">
        <f t="shared" si="20"/>
        <v>8.8208937325487347E-2</v>
      </c>
      <c r="AE18" s="168"/>
      <c r="AF18" s="19">
        <v>0</v>
      </c>
      <c r="AG18" s="19">
        <v>0.04</v>
      </c>
      <c r="AH18" s="19">
        <v>7.5999999999999998E-2</v>
      </c>
    </row>
    <row r="19" spans="1:34" x14ac:dyDescent="0.2">
      <c r="B19" s="18" t="s">
        <v>208</v>
      </c>
      <c r="C19" s="18">
        <f>VLOOKUP($AN$1,DST!C:D,2,FALSE)</f>
        <v>14</v>
      </c>
      <c r="D19" s="147"/>
      <c r="E19" s="147"/>
      <c r="F19" s="147"/>
      <c r="G19" s="147"/>
      <c r="H19" s="147"/>
      <c r="I19" s="146">
        <f t="shared" si="12"/>
        <v>0</v>
      </c>
      <c r="J19" s="146">
        <f t="shared" si="13"/>
        <v>0</v>
      </c>
      <c r="K19" s="146">
        <f t="shared" si="14"/>
        <v>0</v>
      </c>
      <c r="L19" s="146">
        <f t="shared" si="15"/>
        <v>0</v>
      </c>
      <c r="M19" s="146">
        <f t="shared" si="16"/>
        <v>0</v>
      </c>
      <c r="N19" s="146">
        <f t="shared" si="16"/>
        <v>0</v>
      </c>
      <c r="O19" s="146">
        <f t="shared" si="17"/>
        <v>0</v>
      </c>
      <c r="Q19" s="13"/>
      <c r="R19" s="139"/>
      <c r="S19" s="138"/>
      <c r="T19" s="139"/>
      <c r="U19" s="139"/>
      <c r="V19" s="107">
        <v>0</v>
      </c>
      <c r="W19" s="150">
        <f t="shared" si="18"/>
        <v>0</v>
      </c>
      <c r="X19" s="19">
        <v>0</v>
      </c>
      <c r="Y19" s="19">
        <v>0</v>
      </c>
      <c r="Z19" s="20">
        <v>0</v>
      </c>
      <c r="AA19" s="150">
        <f t="shared" si="19"/>
        <v>0</v>
      </c>
      <c r="AB19" s="7">
        <v>2.9270861327960175E-2</v>
      </c>
      <c r="AC19" s="150">
        <f t="shared" si="20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208</v>
      </c>
      <c r="C20" s="18">
        <f>VLOOKUP($AN$1,DST!C:D,2,FALSE)</f>
        <v>14</v>
      </c>
      <c r="D20" s="147"/>
      <c r="E20" s="147"/>
      <c r="F20" s="147"/>
      <c r="G20" s="147"/>
      <c r="H20" s="147"/>
      <c r="I20" s="146">
        <f t="shared" si="12"/>
        <v>0</v>
      </c>
      <c r="J20" s="146">
        <f t="shared" si="13"/>
        <v>0</v>
      </c>
      <c r="K20" s="146">
        <f t="shared" si="14"/>
        <v>0</v>
      </c>
      <c r="L20" s="146">
        <f t="shared" si="15"/>
        <v>0</v>
      </c>
      <c r="M20" s="146">
        <f t="shared" si="16"/>
        <v>0</v>
      </c>
      <c r="N20" s="146">
        <f t="shared" si="16"/>
        <v>0</v>
      </c>
      <c r="O20" s="146">
        <f t="shared" si="17"/>
        <v>0</v>
      </c>
      <c r="Q20" s="13"/>
      <c r="R20" s="139"/>
      <c r="S20" s="138"/>
      <c r="T20" s="139"/>
      <c r="U20" s="139"/>
      <c r="V20" s="107">
        <v>0</v>
      </c>
      <c r="W20" s="150">
        <f t="shared" si="18"/>
        <v>0</v>
      </c>
      <c r="X20" s="19">
        <v>0</v>
      </c>
      <c r="Y20" s="19">
        <v>0</v>
      </c>
      <c r="Z20" s="20">
        <v>0</v>
      </c>
      <c r="AA20" s="150">
        <v>0</v>
      </c>
      <c r="AB20" s="7">
        <v>1.9963981202266081E-2</v>
      </c>
      <c r="AC20" s="150"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135</v>
      </c>
      <c r="B22" s="18" t="s">
        <v>10</v>
      </c>
      <c r="C22" s="18">
        <f>VLOOKUP($AN$1,DST!C:D,2,FALSE)</f>
        <v>14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68.926457599999992</v>
      </c>
      <c r="M22" s="146">
        <f t="shared" ref="M22:N25" si="21">L22*Y22</f>
        <v>47.007844083199998</v>
      </c>
      <c r="N22" s="146">
        <f t="shared" si="21"/>
        <v>511.44534362521603</v>
      </c>
      <c r="O22" s="146">
        <f t="shared" ref="O22:O25" si="22">M22*AH22</f>
        <v>3.9685813344360383</v>
      </c>
      <c r="Q22" s="13"/>
      <c r="R22" s="139"/>
      <c r="S22" s="138"/>
      <c r="T22" s="139"/>
      <c r="U22" s="139"/>
      <c r="V22" s="140"/>
      <c r="W22" s="154"/>
      <c r="X22" s="139"/>
      <c r="Y22" s="19">
        <v>0.68200000000000005</v>
      </c>
      <c r="Z22" s="20">
        <v>10.88</v>
      </c>
      <c r="AA22" s="150">
        <f>(AG22/SUM(AG$6:AG$25))*0.98</f>
        <v>0.11368</v>
      </c>
      <c r="AB22" s="7">
        <v>8.9148774761302313E-2</v>
      </c>
      <c r="AC22" s="150">
        <f>(AH22/SUM(AH$6:AH$25))*0.98</f>
        <v>9.7985982034017025E-2</v>
      </c>
      <c r="AE22" s="168"/>
      <c r="AF22" s="168"/>
      <c r="AG22" s="19">
        <v>0.11600000000000001</v>
      </c>
      <c r="AH22" s="19">
        <v>8.4423810788088416E-2</v>
      </c>
    </row>
    <row r="23" spans="1:34" x14ac:dyDescent="0.2">
      <c r="A23" s="176" t="s">
        <v>608</v>
      </c>
      <c r="B23" s="18" t="s">
        <v>10</v>
      </c>
      <c r="C23" s="18">
        <f>VLOOKUP($AN$1,DST!C:D,2,FALSE)</f>
        <v>14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23.767743999999997</v>
      </c>
      <c r="M23" s="146">
        <f t="shared" si="21"/>
        <v>15.995691711999999</v>
      </c>
      <c r="N23" s="146">
        <f t="shared" si="21"/>
        <v>168.91197013890178</v>
      </c>
      <c r="O23" s="146">
        <f t="shared" si="22"/>
        <v>1.2972052419868549</v>
      </c>
      <c r="Q23" s="13"/>
      <c r="R23" s="139"/>
      <c r="S23" s="138"/>
      <c r="T23" s="139"/>
      <c r="U23" s="139"/>
      <c r="V23" s="140"/>
      <c r="W23" s="154"/>
      <c r="X23" s="139"/>
      <c r="Y23" s="19">
        <v>0.67300000000000004</v>
      </c>
      <c r="Z23" s="20">
        <v>10.559841561098835</v>
      </c>
      <c r="AA23" s="150">
        <f>(AG23/SUM(AG$6:AG$25))*0.98</f>
        <v>3.9199999999999999E-2</v>
      </c>
      <c r="AB23" s="7">
        <v>3.3310197927779797E-2</v>
      </c>
      <c r="AC23" s="150">
        <f>(AH23/SUM(AH$6:AH$25))*0.98</f>
        <v>9.4124930266519191E-2</v>
      </c>
      <c r="AE23" s="168"/>
      <c r="AF23" s="168"/>
      <c r="AG23" s="19">
        <v>0.04</v>
      </c>
      <c r="AH23" s="19">
        <v>8.1097164495467805E-2</v>
      </c>
    </row>
    <row r="24" spans="1:34" x14ac:dyDescent="0.2">
      <c r="A24" s="172" t="s">
        <v>181</v>
      </c>
      <c r="B24" s="18" t="s">
        <v>10</v>
      </c>
      <c r="C24" s="18">
        <f>VLOOKUP($AN$1,DST!C:D,2,FALSE)</f>
        <v>14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5.9419359999999992</v>
      </c>
      <c r="M24" s="146">
        <f t="shared" si="21"/>
        <v>4.0642842239999988</v>
      </c>
      <c r="N24" s="146">
        <f t="shared" si="21"/>
        <v>44.138126672639984</v>
      </c>
      <c r="O24" s="146">
        <f t="shared" si="22"/>
        <v>0.3332713063679999</v>
      </c>
      <c r="Q24" s="13"/>
      <c r="R24" s="139"/>
      <c r="S24" s="138"/>
      <c r="T24" s="139"/>
      <c r="U24" s="139"/>
      <c r="V24" s="140"/>
      <c r="W24" s="154"/>
      <c r="X24" s="139"/>
      <c r="Y24" s="19">
        <v>0.68399999999999994</v>
      </c>
      <c r="Z24" s="20">
        <v>10.86</v>
      </c>
      <c r="AA24" s="150">
        <f>(AG24/SUM(AG$6:AG$25))*0.98</f>
        <v>9.7999999999999997E-3</v>
      </c>
      <c r="AB24" s="7">
        <v>4.8459962150580752E-2</v>
      </c>
      <c r="AC24" s="150">
        <f>(AH24/SUM(AH$6:AH$25))*0.98</f>
        <v>9.5172800798552157E-2</v>
      </c>
      <c r="AE24" s="168"/>
      <c r="AF24" s="168"/>
      <c r="AG24" s="19">
        <v>0.01</v>
      </c>
      <c r="AH24" s="19">
        <v>8.2000000000000003E-2</v>
      </c>
    </row>
    <row r="25" spans="1:34" x14ac:dyDescent="0.2">
      <c r="A25" s="172"/>
      <c r="B25" s="18" t="s">
        <v>10</v>
      </c>
      <c r="C25" s="18">
        <f>VLOOKUP($AN$1,DST!C:D,2,FALSE)</f>
        <v>14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21"/>
        <v>0</v>
      </c>
      <c r="N25" s="146">
        <f t="shared" si="21"/>
        <v>0</v>
      </c>
      <c r="O25" s="146">
        <f t="shared" si="22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1.34614502878979E-2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5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264</v>
      </c>
      <c r="X27" s="30"/>
      <c r="Y27" s="30"/>
      <c r="Z27" s="31"/>
      <c r="AA27" s="9" t="s">
        <v>264</v>
      </c>
      <c r="AB27" s="9" t="s">
        <v>264</v>
      </c>
      <c r="AC27" s="9" t="s">
        <v>264</v>
      </c>
      <c r="AD27" s="44"/>
      <c r="AE27" s="9" t="s">
        <v>264</v>
      </c>
      <c r="AF27" s="9" t="s">
        <v>264</v>
      </c>
      <c r="AG27" s="9" t="s">
        <v>264</v>
      </c>
    </row>
    <row r="28" spans="1:34" s="27" customFormat="1" x14ac:dyDescent="0.2">
      <c r="A28" s="45" t="s">
        <v>265</v>
      </c>
      <c r="B28" s="28"/>
      <c r="C28" s="28"/>
      <c r="D28" s="34" t="s">
        <v>269</v>
      </c>
      <c r="E28" s="34" t="s">
        <v>266</v>
      </c>
      <c r="F28" s="155" t="s">
        <v>267</v>
      </c>
      <c r="G28" s="34" t="s">
        <v>286</v>
      </c>
      <c r="H28" s="34" t="s">
        <v>268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0.97999999999999987</v>
      </c>
      <c r="X28" s="30"/>
      <c r="Y28" s="30"/>
      <c r="Z28" s="31"/>
      <c r="AA28" s="150">
        <f>SUM(AA6:AA25)</f>
        <v>0.98</v>
      </c>
      <c r="AB28" s="150">
        <f>SUM(AB2:AB4,AB6:AB11,AB13:AB20,AB22:AB25)</f>
        <v>0.9750000000000002</v>
      </c>
      <c r="AC28" s="150">
        <f>SUM(AC6:AC25)</f>
        <v>0.98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</v>
      </c>
    </row>
    <row r="29" spans="1:34" s="27" customFormat="1" x14ac:dyDescent="0.2">
      <c r="A29" s="43"/>
      <c r="B29" s="28"/>
      <c r="C29" s="28"/>
      <c r="D29" s="46">
        <v>1040</v>
      </c>
      <c r="E29" s="47">
        <v>0.58299999999999996</v>
      </c>
      <c r="F29" s="2">
        <f>1-E29</f>
        <v>0.41700000000000004</v>
      </c>
      <c r="G29" s="106">
        <v>4.25</v>
      </c>
      <c r="H29" s="126">
        <v>3.5000000000000003E-2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265</v>
      </c>
      <c r="B31" s="28"/>
      <c r="C31" s="28"/>
      <c r="D31" s="162" t="s">
        <v>278</v>
      </c>
      <c r="E31" s="162" t="s">
        <v>1</v>
      </c>
      <c r="F31" s="162" t="s">
        <v>263</v>
      </c>
      <c r="G31" s="162" t="s">
        <v>137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606.31999999999994</v>
      </c>
      <c r="E32" s="156">
        <f>SUM(E2:E4)</f>
        <v>396.54231103920699</v>
      </c>
      <c r="F32" s="156">
        <f>SUM(F2:F4)</f>
        <v>4746.203168274058</v>
      </c>
      <c r="G32" s="156">
        <f>SUM(G2:G4)</f>
        <v>31.804515599999991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265</v>
      </c>
      <c r="B34" s="28"/>
      <c r="C34" s="28"/>
      <c r="D34" s="162" t="s">
        <v>270</v>
      </c>
      <c r="E34" s="162" t="s">
        <v>263</v>
      </c>
      <c r="F34" s="162" t="s">
        <v>137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433.68000000000006</v>
      </c>
      <c r="E35" s="156">
        <f>D35*G29</f>
        <v>1843.1400000000003</v>
      </c>
      <c r="F35" s="156">
        <f>D35*H29</f>
        <v>15.178800000000004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279</v>
      </c>
      <c r="B37" s="37"/>
      <c r="C37" s="37"/>
      <c r="D37" s="164" t="s">
        <v>273</v>
      </c>
      <c r="E37" s="164" t="s">
        <v>274</v>
      </c>
      <c r="F37" s="164" t="s">
        <v>275</v>
      </c>
      <c r="G37" s="164" t="s">
        <v>271</v>
      </c>
      <c r="H37" s="164" t="s">
        <v>272</v>
      </c>
      <c r="I37" s="164" t="s">
        <v>276</v>
      </c>
      <c r="J37" s="164" t="s">
        <v>277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3.5" thickBot="1" x14ac:dyDescent="0.25">
      <c r="D38" s="157">
        <f>SUM(I2:I20)</f>
        <v>425.0064000000001</v>
      </c>
      <c r="E38" s="157">
        <f>SUM(J2:J4,J6:J11,J13:J20)</f>
        <v>1834.2385474320276</v>
      </c>
      <c r="F38" s="157">
        <f>SUM(K2:K4,K6:K11,K13:K20)</f>
        <v>15.126725182382604</v>
      </c>
      <c r="G38" s="157">
        <f>SUM(L6:L11,L13:L20,L22:L25)</f>
        <v>594.19359999999995</v>
      </c>
      <c r="H38" s="157">
        <f>SUM(M6:M11,M13:M20,M22:M25)</f>
        <v>393.74001226559989</v>
      </c>
      <c r="I38" s="157">
        <f>SUM(N6:N11,N13:N20,N22:N25)</f>
        <v>4745.2054979580862</v>
      </c>
      <c r="J38" s="157">
        <f>SUM(O6:O11,O13:O20,O22:O25)</f>
        <v>31.793640042910408</v>
      </c>
      <c r="V38" s="181"/>
      <c r="X38" s="30"/>
      <c r="Y38" s="30"/>
      <c r="Z38" s="181"/>
      <c r="AH38" s="30"/>
    </row>
    <row r="39" spans="1:34" ht="13.5" thickTop="1" x14ac:dyDescent="0.2">
      <c r="D39" s="158">
        <f>D35-D38</f>
        <v>8.6735999999999649</v>
      </c>
      <c r="E39" s="158">
        <f>E35-E38</f>
        <v>8.901452567972683</v>
      </c>
      <c r="F39" s="158">
        <f>F35-F38</f>
        <v>5.2074817617400626E-2</v>
      </c>
      <c r="G39" s="158">
        <f>SUM(D2:D4)-G38</f>
        <v>12.12639999999999</v>
      </c>
      <c r="H39" s="158">
        <f>E32-H38</f>
        <v>2.8022987736071059</v>
      </c>
      <c r="I39" s="158">
        <f>F32-I38</f>
        <v>0.99767031597184541</v>
      </c>
      <c r="J39" s="158">
        <f>G32-J38</f>
        <v>1.0875557089583765E-2</v>
      </c>
      <c r="V39" s="181"/>
      <c r="X39" s="30"/>
      <c r="Y39" s="30"/>
      <c r="Z39" s="181"/>
      <c r="AH39" s="30"/>
    </row>
    <row r="40" spans="1:34" x14ac:dyDescent="0.2">
      <c r="V40" s="181"/>
      <c r="X40" s="30"/>
      <c r="Y40" s="30"/>
      <c r="Z40" s="181"/>
      <c r="AH40" s="30"/>
    </row>
    <row r="41" spans="1:34" x14ac:dyDescent="0.2">
      <c r="V41" s="181"/>
      <c r="X41" s="30"/>
      <c r="Y41" s="30"/>
      <c r="Z41" s="181"/>
      <c r="AH41" s="30"/>
    </row>
    <row r="42" spans="1:34" x14ac:dyDescent="0.2">
      <c r="V42" s="181"/>
      <c r="X42" s="30"/>
      <c r="Y42" s="30"/>
      <c r="Z42" s="181"/>
      <c r="AH42" s="30"/>
    </row>
    <row r="43" spans="1:34" x14ac:dyDescent="0.2">
      <c r="V43" s="181"/>
      <c r="X43" s="30"/>
      <c r="Y43" s="30"/>
      <c r="Z43" s="181"/>
      <c r="AH43" s="30"/>
    </row>
    <row r="44" spans="1:34" x14ac:dyDescent="0.2">
      <c r="V44" s="181"/>
      <c r="X44" s="30"/>
      <c r="Y44" s="30"/>
      <c r="Z44" s="181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14:34" x14ac:dyDescent="0.2">
      <c r="V49" s="181"/>
      <c r="X49" s="30"/>
      <c r="Y49" s="30"/>
      <c r="Z49" s="181"/>
      <c r="AH49" s="30"/>
    </row>
    <row r="50" spans="14:34" x14ac:dyDescent="0.2">
      <c r="N50" s="23"/>
      <c r="O50" s="23"/>
      <c r="V50" s="181"/>
      <c r="X50" s="30"/>
      <c r="Y50" s="30"/>
      <c r="Z50" s="181"/>
      <c r="AH50" s="30"/>
    </row>
    <row r="51" spans="14:34" x14ac:dyDescent="0.2">
      <c r="X51" s="25"/>
      <c r="Y51" s="30"/>
      <c r="Z51" s="181"/>
      <c r="AH51" s="30"/>
    </row>
    <row r="52" spans="14:34" x14ac:dyDescent="0.2">
      <c r="X52" s="25"/>
      <c r="Y52" s="30"/>
      <c r="Z52" s="181"/>
      <c r="AH52" s="30"/>
    </row>
    <row r="53" spans="14:34" x14ac:dyDescent="0.2">
      <c r="X53" s="25"/>
      <c r="Y53" s="30"/>
      <c r="Z53" s="181"/>
      <c r="AH53" s="30"/>
    </row>
    <row r="54" spans="14:34" x14ac:dyDescent="0.2">
      <c r="X54" s="25"/>
      <c r="Y54" s="30"/>
      <c r="Z54" s="181"/>
      <c r="AH54" s="30"/>
    </row>
    <row r="55" spans="14:34" x14ac:dyDescent="0.2">
      <c r="X55" s="25"/>
      <c r="Y55" s="30"/>
      <c r="Z55" s="181"/>
      <c r="AH55" s="30"/>
    </row>
    <row r="56" spans="14:34" x14ac:dyDescent="0.2">
      <c r="X56" s="25"/>
      <c r="Y56" s="25"/>
      <c r="AH56" s="25"/>
    </row>
    <row r="57" spans="14:34" x14ac:dyDescent="0.2">
      <c r="X57" s="25"/>
      <c r="Y57" s="25"/>
      <c r="AH57" s="25"/>
    </row>
    <row r="58" spans="14:34" x14ac:dyDescent="0.2">
      <c r="X58" s="25"/>
      <c r="Y58" s="25"/>
      <c r="AH58" s="25"/>
    </row>
    <row r="59" spans="14:34" x14ac:dyDescent="0.2">
      <c r="X59" s="25"/>
      <c r="Y59" s="25"/>
      <c r="AH59" s="25"/>
    </row>
    <row r="60" spans="14:34" x14ac:dyDescent="0.2">
      <c r="Y60" s="25"/>
      <c r="AH60" s="25"/>
    </row>
    <row r="61" spans="14:34" x14ac:dyDescent="0.2">
      <c r="Y61" s="25"/>
      <c r="AH61" s="25"/>
    </row>
    <row r="62" spans="14:34" x14ac:dyDescent="0.2">
      <c r="Y62" s="25"/>
      <c r="AH62" s="25"/>
    </row>
    <row r="63" spans="14:34" x14ac:dyDescent="0.2">
      <c r="Y63" s="25"/>
      <c r="AH63" s="25"/>
    </row>
    <row r="64" spans="14:34" x14ac:dyDescent="0.2">
      <c r="Y64" s="25"/>
      <c r="AH64" s="25"/>
    </row>
  </sheetData>
  <sheetProtection selectLockedCells="1"/>
  <conditionalFormatting sqref="D39:J39">
    <cfRule type="cellIs" dxfId="59" priority="1" operator="lessThan">
      <formula>0</formula>
    </cfRule>
  </conditionalFormatting>
  <conditionalFormatting sqref="W28">
    <cfRule type="cellIs" dxfId="58" priority="2" operator="greaterThan">
      <formula>1</formula>
    </cfRule>
  </conditionalFormatting>
  <conditionalFormatting sqref="AA28:AG28">
    <cfRule type="cellIs" dxfId="57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8">
    <tabColor rgb="FFC8E6FA"/>
  </sheetPr>
  <dimension ref="A1:E28"/>
  <sheetViews>
    <sheetView showGridLines="0" zoomScaleNormal="100" workbookViewId="0">
      <selection activeCell="B1" sqref="B1"/>
    </sheetView>
  </sheetViews>
  <sheetFormatPr defaultColWidth="9.140625" defaultRowHeight="15" x14ac:dyDescent="0.25"/>
  <cols>
    <col min="1" max="1" width="20.85546875" style="68" bestFit="1" customWidth="1"/>
    <col min="2" max="2" width="6.5703125" style="77" bestFit="1" customWidth="1"/>
    <col min="3" max="3" width="5.7109375" style="68" customWidth="1"/>
    <col min="4" max="4" width="20.140625" style="68" bestFit="1" customWidth="1"/>
    <col min="5" max="5" width="6.5703125" style="77" bestFit="1" customWidth="1"/>
    <col min="6" max="16384" width="9.140625" style="68"/>
  </cols>
  <sheetData>
    <row r="1" spans="1:5" s="64" customFormat="1" x14ac:dyDescent="0.25">
      <c r="A1" s="62" t="s">
        <v>322</v>
      </c>
      <c r="B1" s="63" t="s">
        <v>323</v>
      </c>
      <c r="D1" s="65" t="s">
        <v>324</v>
      </c>
      <c r="E1" s="63" t="s">
        <v>365</v>
      </c>
    </row>
    <row r="2" spans="1:5" x14ac:dyDescent="0.25">
      <c r="A2" s="66" t="s">
        <v>212</v>
      </c>
      <c r="B2" s="67">
        <v>0</v>
      </c>
      <c r="D2" s="69" t="s">
        <v>287</v>
      </c>
      <c r="E2" s="70">
        <v>12</v>
      </c>
    </row>
    <row r="3" spans="1:5" x14ac:dyDescent="0.25">
      <c r="A3" s="66" t="s">
        <v>211</v>
      </c>
      <c r="B3" s="67">
        <v>0</v>
      </c>
      <c r="D3" s="69" t="s">
        <v>288</v>
      </c>
      <c r="E3" s="70">
        <v>1</v>
      </c>
    </row>
    <row r="4" spans="1:5" x14ac:dyDescent="0.25">
      <c r="A4" s="66" t="s">
        <v>213</v>
      </c>
      <c r="B4" s="67">
        <v>0.04</v>
      </c>
      <c r="D4" s="69" t="s">
        <v>289</v>
      </c>
      <c r="E4" s="70">
        <v>2</v>
      </c>
    </row>
    <row r="5" spans="1:5" x14ac:dyDescent="0.25">
      <c r="A5" s="66" t="s">
        <v>214</v>
      </c>
      <c r="B5" s="67">
        <v>4</v>
      </c>
      <c r="D5" s="69" t="s">
        <v>290</v>
      </c>
      <c r="E5" s="70">
        <v>3</v>
      </c>
    </row>
    <row r="6" spans="1:5" x14ac:dyDescent="0.25">
      <c r="A6" s="66" t="s">
        <v>215</v>
      </c>
      <c r="B6" s="67">
        <v>-2</v>
      </c>
      <c r="D6" s="69" t="s">
        <v>291</v>
      </c>
      <c r="E6" s="70">
        <v>1</v>
      </c>
    </row>
    <row r="7" spans="1:5" x14ac:dyDescent="0.25">
      <c r="A7" s="71" t="s">
        <v>216</v>
      </c>
      <c r="B7" s="72">
        <v>0</v>
      </c>
      <c r="D7" s="69" t="s">
        <v>292</v>
      </c>
      <c r="E7" s="70">
        <v>1</v>
      </c>
    </row>
    <row r="8" spans="1:5" x14ac:dyDescent="0.25">
      <c r="A8" s="71" t="s">
        <v>217</v>
      </c>
      <c r="B8" s="72">
        <v>0.1</v>
      </c>
      <c r="D8" s="69" t="s">
        <v>294</v>
      </c>
      <c r="E8" s="70">
        <v>0</v>
      </c>
    </row>
    <row r="9" spans="1:5" x14ac:dyDescent="0.25">
      <c r="A9" s="71" t="s">
        <v>218</v>
      </c>
      <c r="B9" s="72">
        <v>6</v>
      </c>
      <c r="D9" s="73" t="s">
        <v>293</v>
      </c>
      <c r="E9" s="74">
        <v>1</v>
      </c>
    </row>
    <row r="10" spans="1:5" x14ac:dyDescent="0.25">
      <c r="A10" s="75" t="s">
        <v>219</v>
      </c>
      <c r="B10" s="76">
        <v>0</v>
      </c>
      <c r="D10" s="73" t="s">
        <v>359</v>
      </c>
      <c r="E10" s="86">
        <v>200</v>
      </c>
    </row>
    <row r="11" spans="1:5" x14ac:dyDescent="0.25">
      <c r="A11" s="75" t="s">
        <v>220</v>
      </c>
      <c r="B11" s="76">
        <v>0.5</v>
      </c>
    </row>
    <row r="12" spans="1:5" x14ac:dyDescent="0.25">
      <c r="A12" s="75" t="s">
        <v>221</v>
      </c>
      <c r="B12" s="76">
        <v>0.5</v>
      </c>
    </row>
    <row r="13" spans="1:5" x14ac:dyDescent="0.25">
      <c r="A13" s="75" t="s">
        <v>222</v>
      </c>
      <c r="B13" s="76">
        <v>0.5</v>
      </c>
    </row>
    <row r="14" spans="1:5" x14ac:dyDescent="0.25">
      <c r="A14" s="75" t="s">
        <v>223</v>
      </c>
      <c r="B14" s="76">
        <v>0.1</v>
      </c>
    </row>
    <row r="15" spans="1:5" x14ac:dyDescent="0.25">
      <c r="A15" s="75" t="s">
        <v>224</v>
      </c>
      <c r="B15" s="76">
        <v>6</v>
      </c>
    </row>
    <row r="16" spans="1:5" x14ac:dyDescent="0.25">
      <c r="A16" s="78" t="s">
        <v>242</v>
      </c>
      <c r="B16" s="79">
        <v>1</v>
      </c>
    </row>
    <row r="17" spans="1:2" x14ac:dyDescent="0.25">
      <c r="A17" s="78" t="s">
        <v>243</v>
      </c>
      <c r="B17" s="79">
        <v>2</v>
      </c>
    </row>
    <row r="18" spans="1:2" x14ac:dyDescent="0.25">
      <c r="A18" s="78" t="s">
        <v>253</v>
      </c>
      <c r="B18" s="79">
        <v>1</v>
      </c>
    </row>
    <row r="19" spans="1:2" x14ac:dyDescent="0.25">
      <c r="A19" s="78" t="s">
        <v>252</v>
      </c>
      <c r="B19" s="79">
        <v>1</v>
      </c>
    </row>
    <row r="20" spans="1:2" x14ac:dyDescent="0.25">
      <c r="A20" s="78" t="s">
        <v>244</v>
      </c>
      <c r="B20" s="79">
        <v>2</v>
      </c>
    </row>
    <row r="21" spans="1:2" x14ac:dyDescent="0.25">
      <c r="A21" s="78" t="s">
        <v>245</v>
      </c>
      <c r="B21" s="79">
        <v>6</v>
      </c>
    </row>
    <row r="22" spans="1:2" x14ac:dyDescent="0.25">
      <c r="A22" s="78" t="s">
        <v>246</v>
      </c>
      <c r="B22" s="79">
        <v>7</v>
      </c>
    </row>
    <row r="23" spans="1:2" x14ac:dyDescent="0.25">
      <c r="A23" s="78" t="s">
        <v>247</v>
      </c>
      <c r="B23" s="79">
        <v>5</v>
      </c>
    </row>
    <row r="24" spans="1:2" x14ac:dyDescent="0.25">
      <c r="A24" s="78" t="s">
        <v>248</v>
      </c>
      <c r="B24" s="79">
        <v>3</v>
      </c>
    </row>
    <row r="25" spans="1:2" x14ac:dyDescent="0.25">
      <c r="A25" s="78" t="s">
        <v>249</v>
      </c>
      <c r="B25" s="79">
        <v>1</v>
      </c>
    </row>
    <row r="26" spans="1:2" x14ac:dyDescent="0.25">
      <c r="A26" s="78" t="s">
        <v>250</v>
      </c>
      <c r="B26" s="79">
        <v>0</v>
      </c>
    </row>
    <row r="27" spans="1:2" x14ac:dyDescent="0.25">
      <c r="A27" s="78" t="s">
        <v>251</v>
      </c>
      <c r="B27" s="79">
        <v>-1</v>
      </c>
    </row>
    <row r="28" spans="1:2" x14ac:dyDescent="0.25">
      <c r="A28" s="78" t="s">
        <v>254</v>
      </c>
      <c r="B28" s="79">
        <v>-3</v>
      </c>
    </row>
  </sheetData>
  <pageMargins left="0.7" right="0.7" top="0.75" bottom="0.75" header="0.3" footer="0.3"/>
  <pageSetup orientation="portrait" horizontalDpi="90" verticalDpi="90" r:id="rId1"/>
  <tableParts count="2"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/>
  </sheetPr>
  <dimension ref="A1:AN64"/>
  <sheetViews>
    <sheetView showGridLines="0" zoomScale="85" zoomScaleNormal="85"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defaultColWidth="8.7109375" defaultRowHeight="12.75" x14ac:dyDescent="0.2"/>
  <cols>
    <col min="1" max="1" width="22.5703125" style="17" customWidth="1"/>
    <col min="2" max="3" width="8.7109375" style="18"/>
    <col min="4" max="13" width="8.7109375" style="23"/>
    <col min="14" max="15" width="8.7109375" style="18"/>
    <col min="16" max="16" width="4.7109375" style="18" customWidth="1"/>
    <col min="17" max="18" width="8.7109375" style="26"/>
    <col min="19" max="19" width="8.7109375" style="23"/>
    <col min="20" max="21" width="8.7109375" style="26"/>
    <col min="22" max="23" width="8.7109375" style="25"/>
    <col min="24" max="25" width="8.7109375" style="26"/>
    <col min="26" max="26" width="8.7109375" style="25"/>
    <col min="27" max="27" width="8.7109375" style="18"/>
    <col min="28" max="28" width="0" style="18" hidden="1" customWidth="1"/>
    <col min="29" max="29" width="8.7109375" style="26"/>
    <col min="30" max="30" width="4.7109375" style="17" customWidth="1"/>
    <col min="31" max="32" width="8.7109375" style="18"/>
    <col min="33" max="16384" width="8.7109375" style="17"/>
  </cols>
  <sheetData>
    <row r="1" spans="1:40" s="15" customFormat="1" ht="25.5" customHeight="1" x14ac:dyDescent="0.2">
      <c r="A1" s="15" t="s">
        <v>0</v>
      </c>
      <c r="B1" s="15" t="s">
        <v>8</v>
      </c>
      <c r="C1" s="15" t="s">
        <v>122</v>
      </c>
      <c r="D1" s="159" t="s">
        <v>210</v>
      </c>
      <c r="E1" s="159" t="s">
        <v>1</v>
      </c>
      <c r="F1" s="159" t="s">
        <v>213</v>
      </c>
      <c r="G1" s="159" t="s">
        <v>228</v>
      </c>
      <c r="H1" s="159" t="s">
        <v>2</v>
      </c>
      <c r="I1" s="159" t="s">
        <v>229</v>
      </c>
      <c r="J1" s="159" t="s">
        <v>217</v>
      </c>
      <c r="K1" s="159" t="s">
        <v>230</v>
      </c>
      <c r="L1" s="159" t="s">
        <v>219</v>
      </c>
      <c r="M1" s="159" t="s">
        <v>4</v>
      </c>
      <c r="N1" s="159" t="s">
        <v>223</v>
      </c>
      <c r="O1" s="159" t="s">
        <v>231</v>
      </c>
      <c r="Q1" s="160" t="s">
        <v>281</v>
      </c>
      <c r="R1" s="133" t="s">
        <v>232</v>
      </c>
      <c r="S1" s="134" t="s">
        <v>451</v>
      </c>
      <c r="T1" s="133" t="s">
        <v>205</v>
      </c>
      <c r="U1" s="133" t="s">
        <v>209</v>
      </c>
      <c r="V1" s="135" t="s">
        <v>280</v>
      </c>
      <c r="W1" s="161" t="s">
        <v>282</v>
      </c>
      <c r="X1" s="133" t="s">
        <v>233</v>
      </c>
      <c r="Y1" s="179" t="s">
        <v>234</v>
      </c>
      <c r="Z1" s="135" t="s">
        <v>235</v>
      </c>
      <c r="AA1" s="160" t="s">
        <v>236</v>
      </c>
      <c r="AB1" s="160" t="s">
        <v>237</v>
      </c>
      <c r="AC1" s="10" t="s">
        <v>262</v>
      </c>
      <c r="AE1" s="136" t="s">
        <v>283</v>
      </c>
      <c r="AF1" s="137" t="s">
        <v>284</v>
      </c>
      <c r="AG1" s="136" t="s">
        <v>285</v>
      </c>
      <c r="AH1" s="136" t="s">
        <v>450</v>
      </c>
      <c r="AN1" s="15" t="s">
        <v>100</v>
      </c>
    </row>
    <row r="2" spans="1:40" x14ac:dyDescent="0.2">
      <c r="A2" s="17" t="s">
        <v>495</v>
      </c>
      <c r="B2" s="18" t="s">
        <v>9</v>
      </c>
      <c r="C2" s="18">
        <f>VLOOKUP($AN$1,DST!C:D,2,FALSE)</f>
        <v>14</v>
      </c>
      <c r="D2" s="146">
        <f>D$32*Q2</f>
        <v>520.20100000000002</v>
      </c>
      <c r="E2" s="146">
        <f>D2*R2</f>
        <v>326.36403489000071</v>
      </c>
      <c r="F2" s="146">
        <f>E2*S2</f>
        <v>3655.8084668775996</v>
      </c>
      <c r="G2" s="146">
        <f>D2*T2</f>
        <v>22.368642999999999</v>
      </c>
      <c r="H2" s="146">
        <f>E2*U2</f>
        <v>6.0357611036852434</v>
      </c>
      <c r="I2" s="146">
        <f>D$35*W2</f>
        <v>136.49204800000001</v>
      </c>
      <c r="J2" s="146">
        <f>I2*V2</f>
        <v>686.03471248911717</v>
      </c>
      <c r="K2" s="146">
        <f>I2*X2</f>
        <v>8.5105514237598872</v>
      </c>
      <c r="L2" s="147"/>
      <c r="M2" s="147"/>
      <c r="N2" s="147"/>
      <c r="O2" s="147"/>
      <c r="Q2" s="150">
        <f>(AE2/SUM(AE$2:AE$25))</f>
        <v>0.95</v>
      </c>
      <c r="R2" s="19">
        <v>0.62738063727290161</v>
      </c>
      <c r="S2" s="107">
        <v>11.201627863529051</v>
      </c>
      <c r="T2" s="19">
        <v>4.2999999999999997E-2</v>
      </c>
      <c r="U2" s="19">
        <v>1.8493952943434974E-2</v>
      </c>
      <c r="V2" s="107">
        <v>5.0261881372687522</v>
      </c>
      <c r="W2" s="150">
        <f>(AF2/SUM(AF$2:AF$20))*0.98</f>
        <v>0.27440000000000003</v>
      </c>
      <c r="X2" s="19">
        <v>6.2351994482197873E-2</v>
      </c>
      <c r="Y2" s="21"/>
      <c r="Z2" s="22"/>
      <c r="AA2" s="1"/>
      <c r="AB2" s="1"/>
      <c r="AC2" s="1"/>
      <c r="AE2" s="19">
        <v>0.95</v>
      </c>
      <c r="AF2" s="19">
        <v>0.28000000000000003</v>
      </c>
      <c r="AG2" s="168"/>
      <c r="AH2" s="168"/>
    </row>
    <row r="3" spans="1:40" x14ac:dyDescent="0.2">
      <c r="A3" s="17" t="s">
        <v>560</v>
      </c>
      <c r="B3" s="18" t="s">
        <v>9</v>
      </c>
      <c r="C3" s="18">
        <f>VLOOKUP($AN$1,DST!C:D,2,FALSE)</f>
        <v>14</v>
      </c>
      <c r="D3" s="146">
        <f>D$32*Q3</f>
        <v>27.379000000000026</v>
      </c>
      <c r="E3" s="146">
        <f t="shared" ref="E3:F4" si="0">D3*R3</f>
        <v>17.271477138695317</v>
      </c>
      <c r="F3" s="146">
        <f t="shared" si="0"/>
        <v>195.17699964440982</v>
      </c>
      <c r="G3" s="146">
        <f t="shared" ref="G3:G4" si="1">D3*T3</f>
        <v>1.1600043658534644</v>
      </c>
      <c r="H3" s="146">
        <f t="shared" ref="H3:H4" si="2">E3*U3</f>
        <v>0.38951239763541862</v>
      </c>
      <c r="I3" s="146">
        <f>D$35*W3</f>
        <v>0</v>
      </c>
      <c r="J3" s="146">
        <f>I3*V3</f>
        <v>0</v>
      </c>
      <c r="K3" s="146">
        <f>I3*X3</f>
        <v>0</v>
      </c>
      <c r="L3" s="147"/>
      <c r="M3" s="147"/>
      <c r="N3" s="147"/>
      <c r="O3" s="147"/>
      <c r="Q3" s="150">
        <f>(AE3/SUM(AE$2:AE$25))</f>
        <v>5.0000000000000044E-2</v>
      </c>
      <c r="R3" s="19">
        <v>0.63082936333303996</v>
      </c>
      <c r="S3" s="107">
        <v>11.300538921892898</v>
      </c>
      <c r="T3" s="19">
        <v>4.2368397890845663E-2</v>
      </c>
      <c r="U3" s="19">
        <v>2.2552350010801813E-2</v>
      </c>
      <c r="V3" s="107">
        <v>3.2799999999999994</v>
      </c>
      <c r="W3" s="150">
        <f>(AF3/SUM(AF$2:AF$20))*0.98</f>
        <v>0</v>
      </c>
      <c r="X3" s="19">
        <v>0.02</v>
      </c>
      <c r="Y3" s="21"/>
      <c r="Z3" s="22"/>
      <c r="AA3" s="1"/>
      <c r="AB3" s="1"/>
      <c r="AC3" s="1"/>
      <c r="AE3" s="19">
        <v>5.0000000000000044E-2</v>
      </c>
      <c r="AF3" s="19">
        <v>0</v>
      </c>
      <c r="AG3" s="168"/>
      <c r="AH3" s="168"/>
    </row>
    <row r="4" spans="1:40" x14ac:dyDescent="0.2">
      <c r="B4" s="18" t="s">
        <v>9</v>
      </c>
      <c r="C4" s="18">
        <f>VLOOKUP($AN$1,DST!C:D,2,FALSE)</f>
        <v>14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/>
      <c r="AF4" s="19"/>
      <c r="AG4" s="168"/>
      <c r="AH4" s="168"/>
    </row>
    <row r="5" spans="1:40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40" x14ac:dyDescent="0.2">
      <c r="A6" s="172" t="s">
        <v>150</v>
      </c>
      <c r="B6" s="18" t="s">
        <v>207</v>
      </c>
      <c r="C6" s="18">
        <f>VLOOKUP($AN$1,DST!C:D,2,FALSE)</f>
        <v>14</v>
      </c>
      <c r="D6" s="147"/>
      <c r="E6" s="147"/>
      <c r="F6" s="147"/>
      <c r="G6" s="147"/>
      <c r="H6" s="147"/>
      <c r="I6" s="146">
        <f t="shared" ref="I6:I11" si="3">D$35*W6</f>
        <v>292.48295999999993</v>
      </c>
      <c r="J6" s="146">
        <f>I6*V6</f>
        <v>1318.4647511290004</v>
      </c>
      <c r="K6" s="146">
        <f>I6*X6</f>
        <v>11.114352479999997</v>
      </c>
      <c r="L6" s="146">
        <f>((D$2+D$3+D$4)*AA6)</f>
        <v>54.199468400000001</v>
      </c>
      <c r="M6" s="146">
        <f t="shared" ref="M6:N11" si="4">L6*Y6</f>
        <v>39.782409805599997</v>
      </c>
      <c r="N6" s="146">
        <f t="shared" si="4"/>
        <v>313.48538926812796</v>
      </c>
      <c r="O6" s="146">
        <f>M6*AH6</f>
        <v>1.9891204902799999</v>
      </c>
      <c r="Q6" s="13"/>
      <c r="R6" s="139"/>
      <c r="S6" s="138"/>
      <c r="T6" s="139"/>
      <c r="U6" s="139"/>
      <c r="V6" s="107">
        <v>4.5078344089823243</v>
      </c>
      <c r="W6" s="150">
        <f t="shared" ref="W6:W11" si="5">(AF6/SUM(AF$2:AF$20))*0.98</f>
        <v>0.58799999999999997</v>
      </c>
      <c r="X6" s="19">
        <v>3.7999999999999999E-2</v>
      </c>
      <c r="Y6" s="19">
        <v>0.73399999999999999</v>
      </c>
      <c r="Z6" s="20">
        <v>7.88</v>
      </c>
      <c r="AA6" s="150">
        <f t="shared" ref="AA6:AA11" si="6">(AG6/SUM(AG$6:AG$25))*0.98</f>
        <v>9.8979999999999999E-2</v>
      </c>
      <c r="AB6" s="7">
        <v>9.3727079934566485E-2</v>
      </c>
      <c r="AC6" s="150">
        <f t="shared" ref="AC6:AC11" si="7">(AH6/SUM(AH$6:AH$25))*0.98</f>
        <v>6.5738933562926802E-2</v>
      </c>
      <c r="AE6" s="168"/>
      <c r="AF6" s="19">
        <v>0.6</v>
      </c>
      <c r="AG6" s="19">
        <v>0.10100000000000001</v>
      </c>
      <c r="AH6" s="19">
        <v>0.05</v>
      </c>
    </row>
    <row r="7" spans="1:40" x14ac:dyDescent="0.2">
      <c r="A7" s="176" t="s">
        <v>561</v>
      </c>
      <c r="B7" s="18" t="s">
        <v>207</v>
      </c>
      <c r="C7" s="18">
        <f>VLOOKUP($AN$1,DST!C:D,2,FALSE)</f>
        <v>14</v>
      </c>
      <c r="D7" s="147"/>
      <c r="E7" s="147"/>
      <c r="F7" s="147"/>
      <c r="G7" s="147"/>
      <c r="H7" s="147"/>
      <c r="I7" s="146">
        <f t="shared" si="3"/>
        <v>41.435085999999998</v>
      </c>
      <c r="J7" s="146">
        <f>I7*V7</f>
        <v>179.16653108141364</v>
      </c>
      <c r="K7" s="146">
        <f>I7*X7</f>
        <v>1.2430525799999999</v>
      </c>
      <c r="L7" s="146">
        <f>((D$2+D$3+D$4)*AA7)</f>
        <v>16.098852000000001</v>
      </c>
      <c r="M7" s="146">
        <f t="shared" si="4"/>
        <v>11.2691964</v>
      </c>
      <c r="N7" s="146">
        <f t="shared" si="4"/>
        <v>82.265133719999994</v>
      </c>
      <c r="O7" s="146">
        <f t="shared" ref="O7:O11" si="8">M7*AH7</f>
        <v>0.33807589199999999</v>
      </c>
      <c r="Q7" s="13"/>
      <c r="R7" s="139"/>
      <c r="S7" s="138"/>
      <c r="T7" s="139"/>
      <c r="U7" s="139"/>
      <c r="V7" s="107">
        <v>4.3240294247588542</v>
      </c>
      <c r="W7" s="150">
        <f t="shared" si="5"/>
        <v>8.3299999999999999E-2</v>
      </c>
      <c r="X7" s="19">
        <v>0.03</v>
      </c>
      <c r="Y7" s="19">
        <v>0.7</v>
      </c>
      <c r="Z7" s="20">
        <v>7.3</v>
      </c>
      <c r="AA7" s="150">
        <f t="shared" si="6"/>
        <v>2.9399999999999999E-2</v>
      </c>
      <c r="AB7" s="7">
        <v>0.11770674506824931</v>
      </c>
      <c r="AC7" s="150">
        <f t="shared" si="7"/>
        <v>3.9443360137756074E-2</v>
      </c>
      <c r="AE7" s="168"/>
      <c r="AF7" s="19">
        <v>8.5000000000000006E-2</v>
      </c>
      <c r="AG7" s="19">
        <v>0.03</v>
      </c>
      <c r="AH7" s="19">
        <v>0.03</v>
      </c>
    </row>
    <row r="8" spans="1:40" x14ac:dyDescent="0.2">
      <c r="A8" s="176" t="s">
        <v>700</v>
      </c>
      <c r="B8" s="18" t="s">
        <v>207</v>
      </c>
      <c r="C8" s="18">
        <f>VLOOKUP($AN$1,DST!C:D,2,FALSE)</f>
        <v>14</v>
      </c>
      <c r="D8" s="147"/>
      <c r="E8" s="147"/>
      <c r="F8" s="147"/>
      <c r="G8" s="147"/>
      <c r="H8" s="147"/>
      <c r="I8" s="146">
        <f t="shared" si="3"/>
        <v>17.061506000000001</v>
      </c>
      <c r="J8" s="146">
        <f>I8*V8</f>
        <v>71.645545261300398</v>
      </c>
      <c r="K8" s="146">
        <f>I8*X8</f>
        <v>0.51184518000000001</v>
      </c>
      <c r="L8" s="146">
        <f>((D$2+D$3+D$4)*AA8)</f>
        <v>10.732568000000001</v>
      </c>
      <c r="M8" s="146">
        <f t="shared" si="4"/>
        <v>7.652320984000001</v>
      </c>
      <c r="N8" s="146">
        <f t="shared" si="4"/>
        <v>57.460332163281961</v>
      </c>
      <c r="O8" s="146">
        <f t="shared" si="8"/>
        <v>0.27068250890800621</v>
      </c>
      <c r="Q8" s="13"/>
      <c r="R8" s="139"/>
      <c r="S8" s="138"/>
      <c r="T8" s="139"/>
      <c r="U8" s="139"/>
      <c r="V8" s="107">
        <v>4.1992509489666618</v>
      </c>
      <c r="W8" s="150">
        <f t="shared" si="5"/>
        <v>3.4300000000000004E-2</v>
      </c>
      <c r="X8" s="19">
        <v>0.03</v>
      </c>
      <c r="Y8" s="19">
        <v>0.71300000000000008</v>
      </c>
      <c r="Z8" s="20">
        <v>7.5088763635796214</v>
      </c>
      <c r="AA8" s="150">
        <f t="shared" si="6"/>
        <v>1.9599999999999999E-2</v>
      </c>
      <c r="AB8" s="7">
        <v>1.8213381069160487E-2</v>
      </c>
      <c r="AC8" s="150">
        <f t="shared" si="7"/>
        <v>4.6507143406439626E-2</v>
      </c>
      <c r="AE8" s="168"/>
      <c r="AF8" s="19">
        <v>3.5000000000000003E-2</v>
      </c>
      <c r="AG8" s="19">
        <v>0.02</v>
      </c>
      <c r="AH8" s="19">
        <v>3.5372602570379344E-2</v>
      </c>
    </row>
    <row r="9" spans="1:40" x14ac:dyDescent="0.2">
      <c r="A9" s="175"/>
      <c r="B9" s="18" t="s">
        <v>207</v>
      </c>
      <c r="C9" s="18">
        <f>VLOOKUP($AN$1,DST!C:D,2,FALSE)</f>
        <v>14</v>
      </c>
      <c r="D9" s="147"/>
      <c r="E9" s="147"/>
      <c r="F9" s="147"/>
      <c r="G9" s="147"/>
      <c r="H9" s="147"/>
      <c r="I9" s="146">
        <f t="shared" si="3"/>
        <v>0</v>
      </c>
      <c r="J9" s="146">
        <f t="shared" ref="J9:J11" si="9">I9*V9</f>
        <v>0</v>
      </c>
      <c r="K9" s="146">
        <f t="shared" ref="K9:K11" si="10">I9*X9</f>
        <v>0</v>
      </c>
      <c r="L9" s="146">
        <f t="shared" ref="L9:L11" si="11">((D$2+D$3+D$4)*AA9)</f>
        <v>0</v>
      </c>
      <c r="M9" s="146">
        <f t="shared" si="4"/>
        <v>0</v>
      </c>
      <c r="N9" s="146">
        <f t="shared" si="4"/>
        <v>0</v>
      </c>
      <c r="O9" s="146">
        <f t="shared" si="8"/>
        <v>0</v>
      </c>
      <c r="Q9" s="13"/>
      <c r="R9" s="139"/>
      <c r="S9" s="138"/>
      <c r="T9" s="139"/>
      <c r="U9" s="139"/>
      <c r="V9" s="107">
        <v>0</v>
      </c>
      <c r="W9" s="150">
        <f t="shared" si="5"/>
        <v>0</v>
      </c>
      <c r="X9" s="19">
        <v>0</v>
      </c>
      <c r="Y9" s="19">
        <v>0</v>
      </c>
      <c r="Z9" s="20">
        <v>0</v>
      </c>
      <c r="AA9" s="150">
        <f t="shared" si="6"/>
        <v>0</v>
      </c>
      <c r="AB9" s="7">
        <v>9.8319978366045672E-3</v>
      </c>
      <c r="AC9" s="150">
        <f t="shared" si="7"/>
        <v>0</v>
      </c>
      <c r="AE9" s="168"/>
      <c r="AF9" s="19">
        <v>0</v>
      </c>
      <c r="AG9" s="19">
        <v>0</v>
      </c>
      <c r="AH9" s="19">
        <v>0</v>
      </c>
    </row>
    <row r="10" spans="1:40" x14ac:dyDescent="0.2">
      <c r="A10" s="172"/>
      <c r="B10" s="18" t="s">
        <v>207</v>
      </c>
      <c r="C10" s="18">
        <f>VLOOKUP($AN$1,DST!C:D,2,FALSE)</f>
        <v>14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9"/>
        <v>0</v>
      </c>
      <c r="K10" s="146">
        <f t="shared" si="10"/>
        <v>0</v>
      </c>
      <c r="L10" s="146">
        <f t="shared" si="11"/>
        <v>0</v>
      </c>
      <c r="M10" s="146">
        <f t="shared" si="4"/>
        <v>0</v>
      </c>
      <c r="N10" s="146">
        <f t="shared" si="4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5"/>
        <v>0</v>
      </c>
      <c r="X10" s="19">
        <v>0</v>
      </c>
      <c r="Y10" s="19">
        <v>0</v>
      </c>
      <c r="Z10" s="20">
        <v>0</v>
      </c>
      <c r="AA10" s="150">
        <f t="shared" si="6"/>
        <v>0</v>
      </c>
      <c r="AB10" s="7">
        <v>0</v>
      </c>
      <c r="AC10" s="150">
        <f t="shared" si="7"/>
        <v>0</v>
      </c>
      <c r="AE10" s="168"/>
      <c r="AF10" s="19">
        <v>0</v>
      </c>
      <c r="AG10" s="19">
        <v>0</v>
      </c>
      <c r="AH10" s="19">
        <v>0</v>
      </c>
    </row>
    <row r="11" spans="1:40" x14ac:dyDescent="0.2">
      <c r="A11" s="172"/>
      <c r="B11" s="18" t="s">
        <v>207</v>
      </c>
      <c r="C11" s="18">
        <f>VLOOKUP($AN$1,DST!C:D,2,FALSE)</f>
        <v>14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9"/>
        <v>0</v>
      </c>
      <c r="K11" s="146">
        <f t="shared" si="10"/>
        <v>0</v>
      </c>
      <c r="L11" s="146">
        <f t="shared" si="11"/>
        <v>0</v>
      </c>
      <c r="M11" s="146">
        <f t="shared" si="4"/>
        <v>0</v>
      </c>
      <c r="N11" s="146">
        <f t="shared" si="4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5"/>
        <v>0</v>
      </c>
      <c r="X11" s="19">
        <v>0</v>
      </c>
      <c r="Y11" s="19">
        <v>0</v>
      </c>
      <c r="Z11" s="20">
        <v>0</v>
      </c>
      <c r="AA11" s="150">
        <f t="shared" si="6"/>
        <v>0</v>
      </c>
      <c r="AB11" s="7">
        <v>0</v>
      </c>
      <c r="AC11" s="150">
        <f t="shared" si="7"/>
        <v>0</v>
      </c>
      <c r="AE11" s="168"/>
      <c r="AF11" s="19">
        <v>0</v>
      </c>
      <c r="AG11" s="19">
        <v>0</v>
      </c>
      <c r="AH11" s="19">
        <v>0</v>
      </c>
    </row>
    <row r="12" spans="1:40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40" x14ac:dyDescent="0.2">
      <c r="A13" s="17" t="s">
        <v>443</v>
      </c>
      <c r="B13" s="18" t="s">
        <v>208</v>
      </c>
      <c r="C13" s="18">
        <f>VLOOKUP($AN$1,DST!C:D,2,FALSE)</f>
        <v>14</v>
      </c>
      <c r="D13" s="147"/>
      <c r="E13" s="147"/>
      <c r="F13" s="147"/>
      <c r="G13" s="147"/>
      <c r="H13" s="147"/>
      <c r="I13" s="146">
        <f t="shared" ref="I13:I20" si="12">D$35*W13</f>
        <v>0</v>
      </c>
      <c r="J13" s="146">
        <f t="shared" ref="J13:J20" si="13">I13*V13</f>
        <v>0</v>
      </c>
      <c r="K13" s="146">
        <f t="shared" ref="K13:K20" si="14">I13*X13</f>
        <v>0</v>
      </c>
      <c r="L13" s="146">
        <f t="shared" ref="L13:L20" si="15">((D$2+D$3+D$4)*AA13)</f>
        <v>133.08384320000002</v>
      </c>
      <c r="M13" s="146">
        <f t="shared" ref="M13:N20" si="16">L13*Y13</f>
        <v>84.242072745599998</v>
      </c>
      <c r="N13" s="146">
        <f t="shared" si="16"/>
        <v>963.72931220966393</v>
      </c>
      <c r="O13" s="146">
        <f t="shared" ref="O13:O20" si="17">M13*AH13</f>
        <v>5.8127030194464</v>
      </c>
      <c r="Q13" s="13"/>
      <c r="R13" s="139"/>
      <c r="S13" s="138"/>
      <c r="T13" s="139"/>
      <c r="U13" s="139"/>
      <c r="V13" s="107">
        <v>5.0199999999999996</v>
      </c>
      <c r="W13" s="150">
        <f t="shared" ref="W13:W20" si="18">(AF13/SUM(AF$2:AF$20))*0.98</f>
        <v>0</v>
      </c>
      <c r="X13" s="19">
        <v>0</v>
      </c>
      <c r="Y13" s="19">
        <v>0.6329999999999999</v>
      </c>
      <c r="Z13" s="20">
        <v>11.44</v>
      </c>
      <c r="AA13" s="150">
        <f t="shared" ref="AA13:AA20" si="19">(AG13/SUM(AG$6:AG$25))*0.98</f>
        <v>0.24304000000000001</v>
      </c>
      <c r="AB13" s="7">
        <v>0.1390248423636668</v>
      </c>
      <c r="AC13" s="150">
        <f t="shared" ref="AC13:AC20" si="20">(AH13/SUM(AH$6:AH$25))*0.98</f>
        <v>9.0719728316838971E-2</v>
      </c>
      <c r="AE13" s="168"/>
      <c r="AF13" s="19">
        <v>0</v>
      </c>
      <c r="AG13" s="19">
        <v>0.248</v>
      </c>
      <c r="AH13" s="19">
        <v>6.9000000000000006E-2</v>
      </c>
    </row>
    <row r="14" spans="1:40" x14ac:dyDescent="0.2">
      <c r="A14" s="17" t="s">
        <v>591</v>
      </c>
      <c r="B14" s="18" t="s">
        <v>208</v>
      </c>
      <c r="C14" s="18">
        <f>VLOOKUP($AN$1,DST!C:D,2,FALSE)</f>
        <v>14</v>
      </c>
      <c r="D14" s="147"/>
      <c r="E14" s="147"/>
      <c r="F14" s="147"/>
      <c r="G14" s="147"/>
      <c r="H14" s="147"/>
      <c r="I14" s="146">
        <f t="shared" si="12"/>
        <v>0</v>
      </c>
      <c r="J14" s="146">
        <f t="shared" si="13"/>
        <v>0</v>
      </c>
      <c r="K14" s="146">
        <f t="shared" si="14"/>
        <v>0</v>
      </c>
      <c r="L14" s="146">
        <f t="shared" si="15"/>
        <v>109.4721936</v>
      </c>
      <c r="M14" s="146">
        <f t="shared" si="16"/>
        <v>65.68331615999999</v>
      </c>
      <c r="N14" s="146">
        <f t="shared" si="16"/>
        <v>891.97943345279987</v>
      </c>
      <c r="O14" s="146">
        <f t="shared" si="17"/>
        <v>4.991932028159999</v>
      </c>
      <c r="Q14" s="13"/>
      <c r="R14" s="139"/>
      <c r="S14" s="138"/>
      <c r="T14" s="139"/>
      <c r="U14" s="139"/>
      <c r="V14" s="107">
        <v>5.0199999999999996</v>
      </c>
      <c r="W14" s="150">
        <f t="shared" si="18"/>
        <v>0</v>
      </c>
      <c r="X14" s="19">
        <v>0</v>
      </c>
      <c r="Y14" s="19">
        <v>0.6</v>
      </c>
      <c r="Z14" s="20">
        <v>13.58</v>
      </c>
      <c r="AA14" s="150">
        <f t="shared" si="19"/>
        <v>0.19991999999999999</v>
      </c>
      <c r="AB14" s="7">
        <v>0.15474265316641159</v>
      </c>
      <c r="AC14" s="150">
        <f t="shared" si="20"/>
        <v>9.9923179015648719E-2</v>
      </c>
      <c r="AE14" s="168"/>
      <c r="AF14" s="19">
        <v>0</v>
      </c>
      <c r="AG14" s="19">
        <v>0.20399999999999999</v>
      </c>
      <c r="AH14" s="19">
        <v>7.5999999999999998E-2</v>
      </c>
    </row>
    <row r="15" spans="1:40" x14ac:dyDescent="0.2">
      <c r="A15" s="17" t="s">
        <v>496</v>
      </c>
      <c r="B15" s="18" t="s">
        <v>208</v>
      </c>
      <c r="C15" s="18">
        <f>VLOOKUP($AN$1,DST!C:D,2,FALSE)</f>
        <v>14</v>
      </c>
      <c r="D15" s="147"/>
      <c r="E15" s="147"/>
      <c r="F15" s="147"/>
      <c r="G15" s="147"/>
      <c r="H15" s="147"/>
      <c r="I15" s="146">
        <f t="shared" si="12"/>
        <v>0</v>
      </c>
      <c r="J15" s="146">
        <f t="shared" si="13"/>
        <v>0</v>
      </c>
      <c r="K15" s="146">
        <f t="shared" si="14"/>
        <v>0</v>
      </c>
      <c r="L15" s="146">
        <f t="shared" si="15"/>
        <v>90.153571200000016</v>
      </c>
      <c r="M15" s="146">
        <f t="shared" si="16"/>
        <v>57.247517712000004</v>
      </c>
      <c r="N15" s="146">
        <f t="shared" si="16"/>
        <v>665.63086757443432</v>
      </c>
      <c r="O15" s="146">
        <f t="shared" si="17"/>
        <v>3.8355836867040005</v>
      </c>
      <c r="Q15" s="13"/>
      <c r="R15" s="139"/>
      <c r="S15" s="138"/>
      <c r="T15" s="139"/>
      <c r="U15" s="139"/>
      <c r="V15" s="107">
        <v>5.0199999999999996</v>
      </c>
      <c r="W15" s="150">
        <f t="shared" si="18"/>
        <v>0</v>
      </c>
      <c r="X15" s="19">
        <v>0</v>
      </c>
      <c r="Y15" s="19">
        <v>0.6349999999999999</v>
      </c>
      <c r="Z15" s="20">
        <v>11.627244187653352</v>
      </c>
      <c r="AA15" s="150">
        <f t="shared" si="19"/>
        <v>0.16464000000000001</v>
      </c>
      <c r="AB15" s="7">
        <v>0.15474265316641159</v>
      </c>
      <c r="AC15" s="150">
        <f t="shared" si="20"/>
        <v>8.809017097432191E-2</v>
      </c>
      <c r="AE15" s="168"/>
      <c r="AF15" s="19">
        <v>0</v>
      </c>
      <c r="AG15" s="19">
        <v>0.16800000000000001</v>
      </c>
      <c r="AH15" s="19">
        <v>6.7000000000000004E-2</v>
      </c>
    </row>
    <row r="16" spans="1:40" x14ac:dyDescent="0.2">
      <c r="A16" s="17" t="s">
        <v>609</v>
      </c>
      <c r="B16" s="18" t="s">
        <v>208</v>
      </c>
      <c r="C16" s="18">
        <f>VLOOKUP($AN$1,DST!C:D,2,FALSE)</f>
        <v>14</v>
      </c>
      <c r="D16" s="147"/>
      <c r="E16" s="147"/>
      <c r="F16" s="147"/>
      <c r="G16" s="147"/>
      <c r="H16" s="147"/>
      <c r="I16" s="146">
        <f t="shared" si="12"/>
        <v>0</v>
      </c>
      <c r="J16" s="146">
        <f t="shared" si="13"/>
        <v>0</v>
      </c>
      <c r="K16" s="146">
        <f t="shared" si="14"/>
        <v>0</v>
      </c>
      <c r="L16" s="146">
        <f t="shared" si="15"/>
        <v>23.075021199999998</v>
      </c>
      <c r="M16" s="146">
        <f t="shared" si="16"/>
        <v>13.568112465599999</v>
      </c>
      <c r="N16" s="146">
        <f t="shared" si="16"/>
        <v>161.05349496667196</v>
      </c>
      <c r="O16" s="146">
        <f t="shared" si="17"/>
        <v>0.86835919779839998</v>
      </c>
      <c r="Q16" s="13"/>
      <c r="R16" s="139"/>
      <c r="S16" s="138"/>
      <c r="T16" s="139"/>
      <c r="U16" s="139"/>
      <c r="V16" s="107">
        <v>5.51</v>
      </c>
      <c r="W16" s="150">
        <f t="shared" si="18"/>
        <v>0</v>
      </c>
      <c r="X16" s="19">
        <v>0</v>
      </c>
      <c r="Y16" s="19">
        <v>0.58799999999999997</v>
      </c>
      <c r="Z16" s="20">
        <v>11.87</v>
      </c>
      <c r="AA16" s="150">
        <f t="shared" si="19"/>
        <v>4.2139999999999997E-2</v>
      </c>
      <c r="AB16" s="7">
        <v>6.4537463353103244E-2</v>
      </c>
      <c r="AC16" s="150">
        <f t="shared" si="20"/>
        <v>8.4145834960546284E-2</v>
      </c>
      <c r="AE16" s="168"/>
      <c r="AF16" s="19">
        <v>0</v>
      </c>
      <c r="AG16" s="19">
        <v>4.2999999999999997E-2</v>
      </c>
      <c r="AH16" s="19">
        <v>6.4000000000000001E-2</v>
      </c>
    </row>
    <row r="17" spans="1:34" x14ac:dyDescent="0.2">
      <c r="A17" s="17" t="s">
        <v>422</v>
      </c>
      <c r="B17" s="18" t="s">
        <v>208</v>
      </c>
      <c r="C17" s="18">
        <f>VLOOKUP($AN$1,DST!C:D,2,FALSE)</f>
        <v>14</v>
      </c>
      <c r="D17" s="147"/>
      <c r="E17" s="147"/>
      <c r="F17" s="147"/>
      <c r="G17" s="147"/>
      <c r="H17" s="147"/>
      <c r="I17" s="146">
        <f t="shared" si="12"/>
        <v>0</v>
      </c>
      <c r="J17" s="146">
        <f t="shared" si="13"/>
        <v>0</v>
      </c>
      <c r="K17" s="146">
        <f t="shared" si="14"/>
        <v>0</v>
      </c>
      <c r="L17" s="146">
        <f t="shared" si="15"/>
        <v>19.8552508</v>
      </c>
      <c r="M17" s="146">
        <f t="shared" si="16"/>
        <v>10.225454162000002</v>
      </c>
      <c r="N17" s="146">
        <f t="shared" si="16"/>
        <v>152.74291920424301</v>
      </c>
      <c r="O17" s="146">
        <f t="shared" si="17"/>
        <v>0.77713451631200015</v>
      </c>
      <c r="Q17" s="13"/>
      <c r="R17" s="139"/>
      <c r="S17" s="138"/>
      <c r="T17" s="139"/>
      <c r="U17" s="139"/>
      <c r="V17" s="107">
        <v>5.0199999999999996</v>
      </c>
      <c r="W17" s="150">
        <f t="shared" si="18"/>
        <v>0</v>
      </c>
      <c r="X17" s="19">
        <v>0</v>
      </c>
      <c r="Y17" s="19">
        <v>0.51500000000000012</v>
      </c>
      <c r="Z17" s="20">
        <v>14.93751933013095</v>
      </c>
      <c r="AA17" s="150">
        <f t="shared" si="19"/>
        <v>3.6260000000000001E-2</v>
      </c>
      <c r="AB17" s="7">
        <v>0.1161120744092163</v>
      </c>
      <c r="AC17" s="150">
        <f t="shared" si="20"/>
        <v>9.9923179015648719E-2</v>
      </c>
      <c r="AE17" s="168"/>
      <c r="AF17" s="19">
        <v>0</v>
      </c>
      <c r="AG17" s="19">
        <v>3.6999999999999998E-2</v>
      </c>
      <c r="AH17" s="19">
        <v>7.5999999999999998E-2</v>
      </c>
    </row>
    <row r="18" spans="1:34" x14ac:dyDescent="0.2">
      <c r="B18" s="18" t="s">
        <v>208</v>
      </c>
      <c r="C18" s="18">
        <f>VLOOKUP($AN$1,DST!C:D,2,FALSE)</f>
        <v>14</v>
      </c>
      <c r="D18" s="147"/>
      <c r="E18" s="147"/>
      <c r="F18" s="147"/>
      <c r="G18" s="147"/>
      <c r="H18" s="147"/>
      <c r="I18" s="146">
        <f t="shared" si="12"/>
        <v>0</v>
      </c>
      <c r="J18" s="146">
        <f t="shared" si="13"/>
        <v>0</v>
      </c>
      <c r="K18" s="146">
        <f t="shared" si="14"/>
        <v>0</v>
      </c>
      <c r="L18" s="146">
        <f t="shared" si="15"/>
        <v>0</v>
      </c>
      <c r="M18" s="146">
        <f t="shared" si="16"/>
        <v>0</v>
      </c>
      <c r="N18" s="146">
        <f t="shared" si="16"/>
        <v>0</v>
      </c>
      <c r="O18" s="146">
        <f t="shared" si="17"/>
        <v>0</v>
      </c>
      <c r="Q18" s="13"/>
      <c r="R18" s="139"/>
      <c r="S18" s="138"/>
      <c r="T18" s="139"/>
      <c r="U18" s="139"/>
      <c r="V18" s="107">
        <v>0</v>
      </c>
      <c r="W18" s="150">
        <f t="shared" si="18"/>
        <v>0</v>
      </c>
      <c r="X18" s="19">
        <v>0</v>
      </c>
      <c r="Y18" s="19">
        <v>0</v>
      </c>
      <c r="Z18" s="20">
        <v>0</v>
      </c>
      <c r="AA18" s="150">
        <f t="shared" si="19"/>
        <v>0</v>
      </c>
      <c r="AB18" s="7">
        <v>4.1433466025726281E-3</v>
      </c>
      <c r="AC18" s="150">
        <f t="shared" si="20"/>
        <v>0</v>
      </c>
      <c r="AE18" s="168"/>
      <c r="AF18" s="19">
        <v>0</v>
      </c>
      <c r="AG18" s="19">
        <v>0</v>
      </c>
      <c r="AH18" s="19">
        <v>0</v>
      </c>
    </row>
    <row r="19" spans="1:34" x14ac:dyDescent="0.2">
      <c r="B19" s="18" t="s">
        <v>208</v>
      </c>
      <c r="C19" s="18">
        <f>VLOOKUP($AN$1,DST!C:D,2,FALSE)</f>
        <v>14</v>
      </c>
      <c r="D19" s="147"/>
      <c r="E19" s="147"/>
      <c r="F19" s="147"/>
      <c r="G19" s="147"/>
      <c r="H19" s="147"/>
      <c r="I19" s="146">
        <f t="shared" si="12"/>
        <v>0</v>
      </c>
      <c r="J19" s="146">
        <f t="shared" si="13"/>
        <v>0</v>
      </c>
      <c r="K19" s="146">
        <f t="shared" si="14"/>
        <v>0</v>
      </c>
      <c r="L19" s="146">
        <f t="shared" si="15"/>
        <v>0</v>
      </c>
      <c r="M19" s="146">
        <f t="shared" si="16"/>
        <v>0</v>
      </c>
      <c r="N19" s="146">
        <f t="shared" si="16"/>
        <v>0</v>
      </c>
      <c r="O19" s="146">
        <f t="shared" si="17"/>
        <v>0</v>
      </c>
      <c r="Q19" s="13"/>
      <c r="R19" s="139"/>
      <c r="S19" s="138"/>
      <c r="T19" s="139"/>
      <c r="U19" s="139"/>
      <c r="V19" s="107">
        <v>0</v>
      </c>
      <c r="W19" s="150">
        <f t="shared" si="18"/>
        <v>0</v>
      </c>
      <c r="X19" s="19">
        <v>0</v>
      </c>
      <c r="Y19" s="19">
        <v>0</v>
      </c>
      <c r="Z19" s="20">
        <v>0</v>
      </c>
      <c r="AA19" s="150">
        <f t="shared" si="19"/>
        <v>0</v>
      </c>
      <c r="AB19" s="7">
        <v>0</v>
      </c>
      <c r="AC19" s="150">
        <f t="shared" si="20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208</v>
      </c>
      <c r="C20" s="18">
        <f>VLOOKUP($AN$1,DST!C:D,2,FALSE)</f>
        <v>14</v>
      </c>
      <c r="D20" s="147"/>
      <c r="E20" s="147"/>
      <c r="F20" s="147"/>
      <c r="G20" s="147"/>
      <c r="H20" s="147"/>
      <c r="I20" s="146">
        <f t="shared" si="12"/>
        <v>0</v>
      </c>
      <c r="J20" s="146">
        <f t="shared" si="13"/>
        <v>0</v>
      </c>
      <c r="K20" s="146">
        <f t="shared" si="14"/>
        <v>0</v>
      </c>
      <c r="L20" s="146">
        <f t="shared" si="15"/>
        <v>0</v>
      </c>
      <c r="M20" s="146">
        <f t="shared" si="16"/>
        <v>0</v>
      </c>
      <c r="N20" s="146">
        <f t="shared" si="16"/>
        <v>0</v>
      </c>
      <c r="O20" s="146">
        <f t="shared" si="17"/>
        <v>0</v>
      </c>
      <c r="Q20" s="13"/>
      <c r="R20" s="139"/>
      <c r="S20" s="138"/>
      <c r="T20" s="139"/>
      <c r="U20" s="139"/>
      <c r="V20" s="107">
        <v>0</v>
      </c>
      <c r="W20" s="150">
        <f t="shared" si="18"/>
        <v>0</v>
      </c>
      <c r="X20" s="19">
        <v>0</v>
      </c>
      <c r="Y20" s="19">
        <v>0</v>
      </c>
      <c r="Z20" s="20">
        <v>0</v>
      </c>
      <c r="AA20" s="150">
        <f t="shared" si="19"/>
        <v>0</v>
      </c>
      <c r="AB20" s="7">
        <v>0</v>
      </c>
      <c r="AC20" s="150">
        <f t="shared" si="20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6" t="s">
        <v>690</v>
      </c>
      <c r="B22" s="18" t="s">
        <v>10</v>
      </c>
      <c r="C22" s="18">
        <f>VLOOKUP($AN$1,DST!C:D,2,FALSE)</f>
        <v>14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6.4395408000000005</v>
      </c>
      <c r="M22" s="146">
        <f t="shared" ref="M22:N25" si="21">L22*Y22</f>
        <v>3.8894826432</v>
      </c>
      <c r="N22" s="146">
        <f t="shared" si="21"/>
        <v>41.850833240832003</v>
      </c>
      <c r="O22" s="146">
        <f>M22*AH22</f>
        <v>0.33060602467200001</v>
      </c>
      <c r="Q22" s="13"/>
      <c r="R22" s="139"/>
      <c r="S22" s="138"/>
      <c r="T22" s="139"/>
      <c r="U22" s="139"/>
      <c r="V22" s="140"/>
      <c r="W22" s="154"/>
      <c r="X22" s="139"/>
      <c r="Y22" s="19">
        <v>0.60399999999999998</v>
      </c>
      <c r="Z22" s="20">
        <v>10.76</v>
      </c>
      <c r="AA22" s="150">
        <f>(AG22/SUM(AG$6:AG$25))*0.98</f>
        <v>1.176E-2</v>
      </c>
      <c r="AB22" s="7">
        <v>3.6421728617919272E-2</v>
      </c>
      <c r="AC22" s="150">
        <f>(AH22/SUM(AH$6:AH$25))*0.98</f>
        <v>0.11175618705697554</v>
      </c>
      <c r="AE22" s="168"/>
      <c r="AF22" s="168"/>
      <c r="AG22" s="19">
        <v>1.2E-2</v>
      </c>
      <c r="AH22" s="19">
        <v>8.5000000000000006E-2</v>
      </c>
    </row>
    <row r="23" spans="1:34" x14ac:dyDescent="0.2">
      <c r="A23" s="172" t="s">
        <v>101</v>
      </c>
      <c r="B23" s="18" t="s">
        <v>10</v>
      </c>
      <c r="C23" s="18">
        <f>VLOOKUP($AN$1,DST!C:D,2,FALSE)</f>
        <v>14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33.270960800000005</v>
      </c>
      <c r="M23" s="146">
        <f t="shared" si="21"/>
        <v>20.395098970400003</v>
      </c>
      <c r="N23" s="146">
        <f t="shared" si="21"/>
        <v>237.34846304434652</v>
      </c>
      <c r="O23" s="146">
        <f>M23*AH23</f>
        <v>2.3046461836552004</v>
      </c>
      <c r="Q23" s="13"/>
      <c r="R23" s="139"/>
      <c r="S23" s="138"/>
      <c r="T23" s="139"/>
      <c r="U23" s="139"/>
      <c r="V23" s="140"/>
      <c r="W23" s="154"/>
      <c r="X23" s="139"/>
      <c r="Y23" s="19">
        <v>0.61299999999999999</v>
      </c>
      <c r="Z23" s="20">
        <v>11.637524455694832</v>
      </c>
      <c r="AA23" s="150">
        <f>(AG23/SUM(AG$6:AG$25))*0.98</f>
        <v>6.0760000000000002E-2</v>
      </c>
      <c r="AB23" s="7">
        <v>8.729723877618624E-2</v>
      </c>
      <c r="AC23" s="150">
        <f>(AH23/SUM(AH$6:AH$25))*0.98</f>
        <v>0.14856998985221453</v>
      </c>
      <c r="AE23" s="168"/>
      <c r="AF23" s="168"/>
      <c r="AG23" s="19">
        <v>6.2E-2</v>
      </c>
      <c r="AH23" s="19">
        <v>0.113</v>
      </c>
    </row>
    <row r="24" spans="1:34" x14ac:dyDescent="0.2">
      <c r="A24" s="172" t="s">
        <v>182</v>
      </c>
      <c r="B24" s="18" t="s">
        <v>10</v>
      </c>
      <c r="C24" s="18">
        <f>VLOOKUP($AN$1,DST!C:D,2,FALSE)</f>
        <v>14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40.247129999999999</v>
      </c>
      <c r="M24" s="146">
        <f t="shared" si="21"/>
        <v>24.832479209999999</v>
      </c>
      <c r="N24" s="146">
        <f t="shared" si="21"/>
        <v>276.35942204912243</v>
      </c>
      <c r="O24" s="146">
        <f>M24*AH24</f>
        <v>1.9865983368</v>
      </c>
      <c r="Q24" s="13"/>
      <c r="R24" s="139"/>
      <c r="S24" s="138"/>
      <c r="T24" s="139"/>
      <c r="U24" s="139"/>
      <c r="V24" s="140"/>
      <c r="W24" s="154"/>
      <c r="X24" s="139"/>
      <c r="Y24" s="19">
        <v>0.61699999999999999</v>
      </c>
      <c r="Z24" s="20">
        <v>11.128950102486462</v>
      </c>
      <c r="AA24" s="150">
        <f>(AG24/SUM(AG$6:AG$25))*0.98</f>
        <v>7.3499999999999996E-2</v>
      </c>
      <c r="AB24" s="7">
        <v>7.2579869582103482E-2</v>
      </c>
      <c r="AC24" s="150">
        <f>(AH24/SUM(AH$6:AH$25))*0.98</f>
        <v>0.10518229370068287</v>
      </c>
      <c r="AE24" s="168"/>
      <c r="AF24" s="168"/>
      <c r="AG24" s="19">
        <v>7.4999999999999997E-2</v>
      </c>
      <c r="AH24" s="19">
        <v>0.08</v>
      </c>
    </row>
    <row r="25" spans="1:34" x14ac:dyDescent="0.2">
      <c r="A25" s="172"/>
      <c r="B25" s="18" t="s">
        <v>10</v>
      </c>
      <c r="C25" s="18">
        <f>VLOOKUP($AN$1,DST!C:D,2,FALSE)</f>
        <v>14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21"/>
        <v>0</v>
      </c>
      <c r="N25" s="146">
        <f t="shared" si="21"/>
        <v>0</v>
      </c>
      <c r="O25" s="146">
        <f>M25*AH25</f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4.5552889413706506E-2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264</v>
      </c>
      <c r="X27" s="30"/>
      <c r="Y27" s="30"/>
      <c r="Z27" s="31"/>
      <c r="AA27" s="9" t="s">
        <v>264</v>
      </c>
      <c r="AB27" s="9" t="s">
        <v>264</v>
      </c>
      <c r="AC27" s="9" t="s">
        <v>264</v>
      </c>
      <c r="AD27" s="44"/>
      <c r="AE27" s="9" t="s">
        <v>264</v>
      </c>
      <c r="AF27" s="9" t="s">
        <v>264</v>
      </c>
      <c r="AG27" s="9" t="s">
        <v>264</v>
      </c>
    </row>
    <row r="28" spans="1:34" s="27" customFormat="1" x14ac:dyDescent="0.2">
      <c r="A28" s="45" t="s">
        <v>265</v>
      </c>
      <c r="B28" s="28"/>
      <c r="C28" s="28"/>
      <c r="D28" s="34" t="s">
        <v>269</v>
      </c>
      <c r="E28" s="34" t="s">
        <v>266</v>
      </c>
      <c r="F28" s="155" t="s">
        <v>267</v>
      </c>
      <c r="G28" s="34" t="s">
        <v>286</v>
      </c>
      <c r="H28" s="34" t="s">
        <v>268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0.98000000000000009</v>
      </c>
      <c r="X28" s="30"/>
      <c r="Y28" s="30"/>
      <c r="Z28" s="31"/>
      <c r="AA28" s="150">
        <f>SUM(AA6:AA25)</f>
        <v>0.98</v>
      </c>
      <c r="AB28" s="150">
        <f>SUM(AB2:AB4,AB6:AB11,AB13:AB20,AB22:AB25)</f>
        <v>1.1146339633598785</v>
      </c>
      <c r="AC28" s="150">
        <f>SUM(AC6:AC25)</f>
        <v>0.98000000000000009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</v>
      </c>
    </row>
    <row r="29" spans="1:34" s="27" customFormat="1" x14ac:dyDescent="0.2">
      <c r="A29" s="43"/>
      <c r="B29" s="28"/>
      <c r="C29" s="28"/>
      <c r="D29" s="46">
        <v>1045</v>
      </c>
      <c r="E29" s="47">
        <v>0.52400000000000002</v>
      </c>
      <c r="F29" s="2">
        <f>1-E29</f>
        <v>0.47599999999999998</v>
      </c>
      <c r="G29" s="106">
        <v>4.55</v>
      </c>
      <c r="H29" s="126">
        <v>4.2999999999999997E-2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265</v>
      </c>
      <c r="B31" s="28"/>
      <c r="C31" s="28"/>
      <c r="D31" s="162" t="s">
        <v>278</v>
      </c>
      <c r="E31" s="162" t="s">
        <v>1</v>
      </c>
      <c r="F31" s="162" t="s">
        <v>263</v>
      </c>
      <c r="G31" s="162" t="s">
        <v>137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547.58000000000004</v>
      </c>
      <c r="E32" s="156">
        <f>SUM(E2:E4)</f>
        <v>343.63551202869604</v>
      </c>
      <c r="F32" s="156">
        <f>SUM(F2:F4)</f>
        <v>3850.9854665220096</v>
      </c>
      <c r="G32" s="156">
        <f>SUM(G2:G4)</f>
        <v>23.528647365853463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265</v>
      </c>
      <c r="B34" s="28"/>
      <c r="C34" s="28"/>
      <c r="D34" s="162" t="s">
        <v>270</v>
      </c>
      <c r="E34" s="162" t="s">
        <v>263</v>
      </c>
      <c r="F34" s="162" t="s">
        <v>137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497.41999999999996</v>
      </c>
      <c r="E35" s="156">
        <f>D35*G29</f>
        <v>2263.2609999999995</v>
      </c>
      <c r="F35" s="156">
        <f>D35*H29</f>
        <v>21.389059999999997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279</v>
      </c>
      <c r="B37" s="37"/>
      <c r="C37" s="37"/>
      <c r="D37" s="164" t="s">
        <v>273</v>
      </c>
      <c r="E37" s="164" t="s">
        <v>274</v>
      </c>
      <c r="F37" s="164" t="s">
        <v>275</v>
      </c>
      <c r="G37" s="164" t="s">
        <v>271</v>
      </c>
      <c r="H37" s="164" t="s">
        <v>272</v>
      </c>
      <c r="I37" s="164" t="s">
        <v>276</v>
      </c>
      <c r="J37" s="164" t="s">
        <v>277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3.5" thickBot="1" x14ac:dyDescent="0.25">
      <c r="D38" s="157">
        <f>SUM(I2:I20)</f>
        <v>487.47159999999997</v>
      </c>
      <c r="E38" s="157">
        <f>SUM(J2:J4,J6:J11,J13:J20)</f>
        <v>2255.3115399608319</v>
      </c>
      <c r="F38" s="157">
        <f>SUM(K2:K4,K6:K11,K13:K20)</f>
        <v>21.379801663759888</v>
      </c>
      <c r="G38" s="157">
        <f>SUM(L6:L11,L13:L20,L22:L25)</f>
        <v>536.62839999999994</v>
      </c>
      <c r="H38" s="157">
        <f>SUM(M6:M11,M13:M20,M22:M25)</f>
        <v>338.78746125839996</v>
      </c>
      <c r="I38" s="157">
        <f>SUM(N6:N11,N13:N20,N22:N25)</f>
        <v>3843.905600893524</v>
      </c>
      <c r="J38" s="157">
        <f>SUM(O6:O11,O13:O20,O22:O25)</f>
        <v>23.505441884736008</v>
      </c>
      <c r="V38" s="181"/>
      <c r="X38" s="30"/>
      <c r="Y38" s="30"/>
      <c r="Z38" s="181"/>
      <c r="AH38" s="30"/>
    </row>
    <row r="39" spans="1:34" ht="13.5" thickTop="1" x14ac:dyDescent="0.2">
      <c r="D39" s="158">
        <f>D35-D38</f>
        <v>9.9483999999999924</v>
      </c>
      <c r="E39" s="158">
        <f>E35-E38</f>
        <v>7.9494600391676613</v>
      </c>
      <c r="F39" s="158">
        <f>F35-F38</f>
        <v>9.2583362401086333E-3</v>
      </c>
      <c r="G39" s="158">
        <f>SUM(D2:D4)-G38</f>
        <v>10.951600000000099</v>
      </c>
      <c r="H39" s="158">
        <f>E32-H38</f>
        <v>4.8480507702960836</v>
      </c>
      <c r="I39" s="158">
        <f>F32-I38</f>
        <v>7.0798656284855497</v>
      </c>
      <c r="J39" s="158">
        <f>G32-J38</f>
        <v>2.3205481117454241E-2</v>
      </c>
      <c r="V39" s="181"/>
      <c r="X39" s="30"/>
      <c r="Y39" s="30"/>
      <c r="Z39" s="181"/>
      <c r="AH39" s="30"/>
    </row>
    <row r="40" spans="1:34" x14ac:dyDescent="0.2">
      <c r="N40" s="23"/>
      <c r="O40" s="23"/>
      <c r="V40" s="181"/>
      <c r="X40" s="30"/>
      <c r="Y40" s="30"/>
      <c r="Z40" s="181"/>
      <c r="AH40" s="30"/>
    </row>
    <row r="41" spans="1:34" x14ac:dyDescent="0.2">
      <c r="N41" s="23"/>
      <c r="O41" s="23"/>
      <c r="V41" s="181"/>
      <c r="X41" s="30"/>
      <c r="Y41" s="30"/>
      <c r="Z41" s="181"/>
      <c r="AH41" s="30"/>
    </row>
    <row r="42" spans="1:34" x14ac:dyDescent="0.2">
      <c r="N42" s="23"/>
      <c r="O42" s="23"/>
      <c r="V42" s="181"/>
      <c r="X42" s="30"/>
      <c r="Y42" s="30"/>
      <c r="Z42" s="181"/>
      <c r="AH42" s="30"/>
    </row>
    <row r="43" spans="1:34" x14ac:dyDescent="0.2">
      <c r="N43" s="23"/>
      <c r="O43" s="23"/>
      <c r="V43" s="181"/>
      <c r="X43" s="30"/>
      <c r="Y43" s="30"/>
      <c r="Z43" s="181"/>
      <c r="AH43" s="30"/>
    </row>
    <row r="44" spans="1:34" x14ac:dyDescent="0.2">
      <c r="N44" s="23"/>
      <c r="O44" s="23"/>
      <c r="V44" s="181"/>
      <c r="X44" s="30"/>
      <c r="Y44" s="30"/>
      <c r="Z44" s="181"/>
      <c r="AH44" s="30"/>
    </row>
    <row r="45" spans="1:34" x14ac:dyDescent="0.2">
      <c r="N45" s="23"/>
      <c r="O45" s="23"/>
      <c r="V45" s="181"/>
      <c r="X45" s="30"/>
      <c r="Y45" s="30"/>
      <c r="Z45" s="181"/>
      <c r="AH45" s="30"/>
    </row>
    <row r="46" spans="1:34" x14ac:dyDescent="0.2">
      <c r="N46" s="23"/>
      <c r="O46" s="23"/>
      <c r="V46" s="181"/>
      <c r="X46" s="30"/>
      <c r="Y46" s="30"/>
      <c r="Z46" s="181"/>
      <c r="AH46" s="30"/>
    </row>
    <row r="47" spans="1:34" x14ac:dyDescent="0.2">
      <c r="N47" s="23"/>
      <c r="O47" s="23"/>
      <c r="V47" s="181"/>
      <c r="X47" s="30"/>
      <c r="Y47" s="30"/>
      <c r="Z47" s="181"/>
      <c r="AH47" s="30"/>
    </row>
    <row r="48" spans="1:34" x14ac:dyDescent="0.2">
      <c r="N48" s="23"/>
      <c r="O48" s="23"/>
      <c r="V48" s="181"/>
      <c r="X48" s="30"/>
      <c r="Y48" s="30"/>
      <c r="Z48" s="181"/>
      <c r="AH48" s="30"/>
    </row>
    <row r="49" spans="14:34" x14ac:dyDescent="0.2">
      <c r="N49" s="23"/>
      <c r="O49" s="23"/>
      <c r="V49" s="181"/>
      <c r="X49" s="30"/>
      <c r="Y49" s="30"/>
      <c r="Z49" s="181"/>
      <c r="AH49" s="30"/>
    </row>
    <row r="50" spans="14:34" x14ac:dyDescent="0.2">
      <c r="N50" s="23"/>
      <c r="O50" s="23"/>
      <c r="V50" s="181"/>
      <c r="X50" s="30"/>
      <c r="Y50" s="30"/>
      <c r="Z50" s="181"/>
      <c r="AH50" s="30"/>
    </row>
    <row r="51" spans="14:34" x14ac:dyDescent="0.2">
      <c r="N51" s="23"/>
      <c r="O51" s="23"/>
      <c r="X51" s="25"/>
      <c r="Y51" s="30"/>
      <c r="Z51" s="181"/>
      <c r="AH51" s="30"/>
    </row>
    <row r="52" spans="14:34" x14ac:dyDescent="0.2">
      <c r="X52" s="25"/>
      <c r="Y52" s="30"/>
      <c r="Z52" s="181"/>
      <c r="AH52" s="30"/>
    </row>
    <row r="53" spans="14:34" x14ac:dyDescent="0.2">
      <c r="X53" s="25"/>
      <c r="Y53" s="30"/>
      <c r="Z53" s="181"/>
      <c r="AH53" s="30"/>
    </row>
    <row r="54" spans="14:34" x14ac:dyDescent="0.2">
      <c r="X54" s="25"/>
      <c r="Y54" s="30"/>
      <c r="Z54" s="181"/>
      <c r="AH54" s="30"/>
    </row>
    <row r="55" spans="14:34" x14ac:dyDescent="0.2">
      <c r="X55" s="25"/>
      <c r="Y55" s="30"/>
      <c r="Z55" s="181"/>
      <c r="AH55" s="30"/>
    </row>
    <row r="56" spans="14:34" x14ac:dyDescent="0.2">
      <c r="X56" s="25"/>
      <c r="Y56" s="25"/>
      <c r="AH56" s="25"/>
    </row>
    <row r="57" spans="14:34" x14ac:dyDescent="0.2">
      <c r="X57" s="25"/>
      <c r="Y57" s="25"/>
      <c r="AH57" s="25"/>
    </row>
    <row r="58" spans="14:34" x14ac:dyDescent="0.2">
      <c r="X58" s="25"/>
      <c r="Y58" s="25"/>
      <c r="AH58" s="25"/>
    </row>
    <row r="59" spans="14:34" x14ac:dyDescent="0.2">
      <c r="X59" s="25"/>
      <c r="Y59" s="25"/>
      <c r="AH59" s="25"/>
    </row>
    <row r="60" spans="14:34" x14ac:dyDescent="0.2">
      <c r="Y60" s="25"/>
      <c r="AH60" s="25"/>
    </row>
    <row r="61" spans="14:34" x14ac:dyDescent="0.2">
      <c r="Y61" s="25"/>
      <c r="AH61" s="25"/>
    </row>
    <row r="62" spans="14:34" x14ac:dyDescent="0.2">
      <c r="Y62" s="25"/>
      <c r="AH62" s="25"/>
    </row>
    <row r="63" spans="14:34" x14ac:dyDescent="0.2">
      <c r="Y63" s="25"/>
      <c r="AH63" s="25"/>
    </row>
    <row r="64" spans="14:34" x14ac:dyDescent="0.2">
      <c r="Y64" s="25"/>
      <c r="AH64" s="25"/>
    </row>
  </sheetData>
  <sheetProtection selectLockedCells="1"/>
  <sortState xmlns:xlrd2="http://schemas.microsoft.com/office/spreadsheetml/2017/richdata2" ref="A22:AH25">
    <sortCondition descending="1" ref="N22:N25"/>
  </sortState>
  <conditionalFormatting sqref="D39:J39">
    <cfRule type="cellIs" dxfId="56" priority="1" operator="lessThan">
      <formula>0</formula>
    </cfRule>
  </conditionalFormatting>
  <conditionalFormatting sqref="W28">
    <cfRule type="cellIs" dxfId="55" priority="2" operator="greaterThan">
      <formula>1</formula>
    </cfRule>
  </conditionalFormatting>
  <conditionalFormatting sqref="AA28:AG28">
    <cfRule type="cellIs" dxfId="54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rgb="FF36C0B3"/>
  </sheetPr>
  <dimension ref="A1:AN64"/>
  <sheetViews>
    <sheetView showGridLines="0" zoomScale="85" zoomScaleNormal="85"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defaultColWidth="8.7109375" defaultRowHeight="12.75" x14ac:dyDescent="0.2"/>
  <cols>
    <col min="1" max="1" width="22.5703125" style="17" customWidth="1"/>
    <col min="2" max="3" width="8.7109375" style="18"/>
    <col min="4" max="13" width="8.7109375" style="23"/>
    <col min="14" max="15" width="8.7109375" style="18"/>
    <col min="16" max="16" width="4.7109375" style="18" customWidth="1"/>
    <col min="17" max="18" width="8.7109375" style="26"/>
    <col min="19" max="19" width="8.7109375" style="23"/>
    <col min="20" max="21" width="8.7109375" style="26"/>
    <col min="22" max="23" width="8.7109375" style="25"/>
    <col min="24" max="25" width="8.7109375" style="26"/>
    <col min="26" max="26" width="8.7109375" style="25"/>
    <col min="27" max="27" width="8.7109375" style="18"/>
    <col min="28" max="28" width="0" style="18" hidden="1" customWidth="1"/>
    <col min="29" max="29" width="8.7109375" style="26"/>
    <col min="30" max="30" width="4.7109375" style="17" customWidth="1"/>
    <col min="31" max="32" width="8.7109375" style="18"/>
    <col min="33" max="16384" width="8.7109375" style="17"/>
  </cols>
  <sheetData>
    <row r="1" spans="1:40" s="15" customFormat="1" ht="25.5" customHeight="1" x14ac:dyDescent="0.2">
      <c r="A1" s="15" t="s">
        <v>0</v>
      </c>
      <c r="B1" s="15" t="s">
        <v>8</v>
      </c>
      <c r="C1" s="15" t="s">
        <v>122</v>
      </c>
      <c r="D1" s="159" t="s">
        <v>210</v>
      </c>
      <c r="E1" s="159" t="s">
        <v>1</v>
      </c>
      <c r="F1" s="159" t="s">
        <v>213</v>
      </c>
      <c r="G1" s="159" t="s">
        <v>228</v>
      </c>
      <c r="H1" s="159" t="s">
        <v>2</v>
      </c>
      <c r="I1" s="159" t="s">
        <v>229</v>
      </c>
      <c r="J1" s="159" t="s">
        <v>217</v>
      </c>
      <c r="K1" s="159" t="s">
        <v>230</v>
      </c>
      <c r="L1" s="159" t="s">
        <v>219</v>
      </c>
      <c r="M1" s="159" t="s">
        <v>4</v>
      </c>
      <c r="N1" s="159" t="s">
        <v>223</v>
      </c>
      <c r="O1" s="159" t="s">
        <v>231</v>
      </c>
      <c r="Q1" s="160" t="s">
        <v>281</v>
      </c>
      <c r="R1" s="133" t="s">
        <v>232</v>
      </c>
      <c r="S1" s="134" t="s">
        <v>451</v>
      </c>
      <c r="T1" s="133" t="s">
        <v>205</v>
      </c>
      <c r="U1" s="133" t="s">
        <v>209</v>
      </c>
      <c r="V1" s="135" t="s">
        <v>280</v>
      </c>
      <c r="W1" s="161" t="s">
        <v>282</v>
      </c>
      <c r="X1" s="133" t="s">
        <v>233</v>
      </c>
      <c r="Y1" s="179" t="s">
        <v>234</v>
      </c>
      <c r="Z1" s="135" t="s">
        <v>235</v>
      </c>
      <c r="AA1" s="160" t="s">
        <v>236</v>
      </c>
      <c r="AB1" s="160" t="s">
        <v>237</v>
      </c>
      <c r="AC1" s="10" t="s">
        <v>262</v>
      </c>
      <c r="AE1" s="136" t="s">
        <v>283</v>
      </c>
      <c r="AF1" s="137" t="s">
        <v>284</v>
      </c>
      <c r="AG1" s="136" t="s">
        <v>285</v>
      </c>
      <c r="AH1" s="136" t="s">
        <v>450</v>
      </c>
      <c r="AN1" s="15" t="s">
        <v>118</v>
      </c>
    </row>
    <row r="2" spans="1:40" x14ac:dyDescent="0.2">
      <c r="A2" s="17" t="s">
        <v>173</v>
      </c>
      <c r="B2" s="18" t="s">
        <v>9</v>
      </c>
      <c r="C2" s="18">
        <f>VLOOKUP($AN$1,DST!C:D,2,FALSE)</f>
        <v>12</v>
      </c>
      <c r="D2" s="146">
        <f>D$32*Q2</f>
        <v>608.33717999999999</v>
      </c>
      <c r="E2" s="146">
        <f>D2*R2</f>
        <v>397.1554754441085</v>
      </c>
      <c r="F2" s="146">
        <f>E2*S2</f>
        <v>4420.3404416929279</v>
      </c>
      <c r="G2" s="146">
        <f>D2*T2</f>
        <v>26.766835919999998</v>
      </c>
      <c r="H2" s="146">
        <f>E2*U2</f>
        <v>7.4530853637280483</v>
      </c>
      <c r="I2" s="146">
        <f>D$35*W2</f>
        <v>60.301869600000011</v>
      </c>
      <c r="J2" s="146">
        <f>I2*V2</f>
        <v>279.35918862580735</v>
      </c>
      <c r="K2" s="146">
        <f>I2*X2</f>
        <v>3.0753953496000004</v>
      </c>
      <c r="L2" s="147"/>
      <c r="M2" s="147"/>
      <c r="N2" s="147"/>
      <c r="O2" s="147"/>
      <c r="Q2" s="150">
        <f>(AE2/SUM(AE$2:AE$25))</f>
        <v>0.99</v>
      </c>
      <c r="R2" s="19">
        <v>0.65285418761369884</v>
      </c>
      <c r="S2" s="107">
        <v>11.13</v>
      </c>
      <c r="T2" s="19">
        <v>4.3999999999999997E-2</v>
      </c>
      <c r="U2" s="19">
        <v>1.8766165455465104E-2</v>
      </c>
      <c r="V2" s="107">
        <v>4.6326787291816789</v>
      </c>
      <c r="W2" s="150">
        <f>(AF2/SUM(AF$2:AF$20))*0.98</f>
        <v>0.13720000000000002</v>
      </c>
      <c r="X2" s="19">
        <v>5.0999999999999997E-2</v>
      </c>
      <c r="Y2" s="21"/>
      <c r="Z2" s="22"/>
      <c r="AA2" s="1"/>
      <c r="AB2" s="1"/>
      <c r="AC2" s="1"/>
      <c r="AE2" s="19">
        <v>0.99</v>
      </c>
      <c r="AF2" s="19">
        <v>0.14000000000000001</v>
      </c>
      <c r="AG2" s="168"/>
      <c r="AH2" s="168"/>
    </row>
    <row r="3" spans="1:40" x14ac:dyDescent="0.2">
      <c r="A3" s="17" t="s">
        <v>175</v>
      </c>
      <c r="B3" s="18" t="s">
        <v>9</v>
      </c>
      <c r="C3" s="18">
        <f>VLOOKUP($AN$1,DST!C:D,2,FALSE)</f>
        <v>12</v>
      </c>
      <c r="D3" s="146">
        <f>D$32*Q3</f>
        <v>6.1448200000000055</v>
      </c>
      <c r="E3" s="146">
        <f t="shared" ref="E3:F4" si="0">D3*R3</f>
        <v>4.1265444873741135</v>
      </c>
      <c r="F3" s="146">
        <f t="shared" si="0"/>
        <v>44.106535516988409</v>
      </c>
      <c r="G3" s="146">
        <f t="shared" ref="G3:G4" si="1">D3*T3</f>
        <v>0.25808244000000025</v>
      </c>
      <c r="H3" s="146">
        <f t="shared" ref="H3:H4" si="2">E3*U3</f>
        <v>0.12025715801226826</v>
      </c>
      <c r="I3" s="146">
        <f>D$35*W3</f>
        <v>0</v>
      </c>
      <c r="J3" s="146">
        <f>I3*V3</f>
        <v>0</v>
      </c>
      <c r="K3" s="146">
        <f>I3*X3</f>
        <v>0</v>
      </c>
      <c r="L3" s="147"/>
      <c r="M3" s="147"/>
      <c r="N3" s="147"/>
      <c r="O3" s="147"/>
      <c r="Q3" s="150">
        <f>(AE3/SUM(AE$2:AE$25))</f>
        <v>1.0000000000000009E-2</v>
      </c>
      <c r="R3" s="19">
        <v>0.67154847292094966</v>
      </c>
      <c r="S3" s="107">
        <v>10.688491461061449</v>
      </c>
      <c r="T3" s="19">
        <v>4.2000000000000003E-2</v>
      </c>
      <c r="U3" s="19">
        <v>2.9142338918244096E-2</v>
      </c>
      <c r="V3" s="107">
        <v>3.425925925925926</v>
      </c>
      <c r="W3" s="150">
        <f>(AF3/SUM(AF$2:AF$20))*0.98</f>
        <v>0</v>
      </c>
      <c r="X3" s="19">
        <v>1.8518518518518517E-2</v>
      </c>
      <c r="Y3" s="21"/>
      <c r="Z3" s="22"/>
      <c r="AA3" s="1"/>
      <c r="AB3" s="1"/>
      <c r="AC3" s="1"/>
      <c r="AE3" s="19">
        <v>1.0000000000000009E-2</v>
      </c>
      <c r="AF3" s="19">
        <v>0</v>
      </c>
      <c r="AG3" s="168"/>
      <c r="AH3" s="168"/>
    </row>
    <row r="4" spans="1:40" x14ac:dyDescent="0.2">
      <c r="B4" s="18" t="s">
        <v>9</v>
      </c>
      <c r="C4" s="18">
        <f>VLOOKUP($AN$1,DST!C:D,2,FALSE)</f>
        <v>12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/>
      <c r="AF4" s="19"/>
      <c r="AG4" s="168"/>
      <c r="AH4" s="168"/>
    </row>
    <row r="5" spans="1:40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40" x14ac:dyDescent="0.2">
      <c r="A6" s="172" t="s">
        <v>393</v>
      </c>
      <c r="B6" s="18" t="s">
        <v>207</v>
      </c>
      <c r="C6" s="18">
        <f>VLOOKUP($AN$1,DST!C:D,2,FALSE)</f>
        <v>12</v>
      </c>
      <c r="D6" s="147"/>
      <c r="E6" s="147"/>
      <c r="F6" s="147"/>
      <c r="G6" s="147"/>
      <c r="H6" s="147"/>
      <c r="I6" s="146">
        <f t="shared" ref="I6:I11" si="3">D$35*W6</f>
        <v>232.59292560000003</v>
      </c>
      <c r="J6" s="146">
        <f>I6*V6</f>
        <v>976.89028752000013</v>
      </c>
      <c r="K6" s="146">
        <f>I6*X6</f>
        <v>8.4855596084532596</v>
      </c>
      <c r="L6" s="146">
        <f>((D$2+D$3+D$4)*AA6)</f>
        <v>42.153465200000007</v>
      </c>
      <c r="M6" s="146">
        <f t="shared" ref="M6:N11" si="4">L6*Y6</f>
        <v>32.879702856000009</v>
      </c>
      <c r="N6" s="146">
        <f t="shared" si="4"/>
        <v>252.51611793408006</v>
      </c>
      <c r="O6" s="146">
        <f>M6*AH6</f>
        <v>0.93979127108425942</v>
      </c>
      <c r="Q6" s="13"/>
      <c r="R6" s="139"/>
      <c r="S6" s="138"/>
      <c r="T6" s="139"/>
      <c r="U6" s="139"/>
      <c r="V6" s="107">
        <v>4.2</v>
      </c>
      <c r="W6" s="150">
        <f t="shared" ref="W6:W11" si="5">(AF6/SUM(AF$2:AF$20))*0.98</f>
        <v>0.5292</v>
      </c>
      <c r="X6" s="19">
        <v>3.648244926866881E-2</v>
      </c>
      <c r="Y6" s="19">
        <v>0.78</v>
      </c>
      <c r="Z6" s="20">
        <v>7.68</v>
      </c>
      <c r="AA6" s="150">
        <f t="shared" ref="AA6:AA11" si="6">(AG6/SUM(AG$6:AG$25))*0.98</f>
        <v>6.8600000000000008E-2</v>
      </c>
      <c r="AB6" s="7">
        <v>0.1220035318382197</v>
      </c>
      <c r="AC6" s="150">
        <f t="shared" ref="AC6:AC11" si="7">(AH6/SUM(AH$6:AH$25))*0.98</f>
        <v>3.6222191501387696E-2</v>
      </c>
      <c r="AE6" s="168"/>
      <c r="AF6" s="19">
        <v>0.54</v>
      </c>
      <c r="AG6" s="19">
        <v>7.0000000000000007E-2</v>
      </c>
      <c r="AH6" s="19">
        <v>2.8582717891343805E-2</v>
      </c>
    </row>
    <row r="7" spans="1:40" x14ac:dyDescent="0.2">
      <c r="A7" s="172" t="s">
        <v>497</v>
      </c>
      <c r="B7" s="18" t="s">
        <v>207</v>
      </c>
      <c r="C7" s="18">
        <f>VLOOKUP($AN$1,DST!C:D,2,FALSE)</f>
        <v>12</v>
      </c>
      <c r="D7" s="147"/>
      <c r="E7" s="147"/>
      <c r="F7" s="147"/>
      <c r="G7" s="147"/>
      <c r="H7" s="147"/>
      <c r="I7" s="146">
        <f t="shared" si="3"/>
        <v>93.467897879999995</v>
      </c>
      <c r="J7" s="146">
        <f>I7*V7</f>
        <v>382.28370232919997</v>
      </c>
      <c r="K7" s="146">
        <f>I7*X7</f>
        <v>3.1779085279200001</v>
      </c>
      <c r="L7" s="146">
        <f>((D$2+D$3+D$4)*AA7)</f>
        <v>6.0219235999999992</v>
      </c>
      <c r="M7" s="146">
        <f t="shared" si="4"/>
        <v>4.2334122907999996</v>
      </c>
      <c r="N7" s="146">
        <f t="shared" si="4"/>
        <v>30.495338068351781</v>
      </c>
      <c r="O7" s="146">
        <f t="shared" ref="O7:O11" si="8">M7*AH7</f>
        <v>0.13123578101479999</v>
      </c>
      <c r="Q7" s="13"/>
      <c r="R7" s="139"/>
      <c r="S7" s="138"/>
      <c r="T7" s="139"/>
      <c r="U7" s="139"/>
      <c r="V7" s="107">
        <v>4.09</v>
      </c>
      <c r="W7" s="150">
        <f t="shared" si="5"/>
        <v>0.21265999999999999</v>
      </c>
      <c r="X7" s="19">
        <v>3.4000000000000002E-2</v>
      </c>
      <c r="Y7" s="19">
        <v>0.70299999999999996</v>
      </c>
      <c r="Z7" s="20">
        <v>7.2034888108167214</v>
      </c>
      <c r="AA7" s="150">
        <f t="shared" si="6"/>
        <v>9.7999999999999997E-3</v>
      </c>
      <c r="AB7" s="7">
        <v>6.9707707494243057E-2</v>
      </c>
      <c r="AC7" s="150">
        <f t="shared" si="7"/>
        <v>3.9285555027049474E-2</v>
      </c>
      <c r="AE7" s="168"/>
      <c r="AF7" s="19">
        <v>0.217</v>
      </c>
      <c r="AG7" s="19">
        <v>0.01</v>
      </c>
      <c r="AH7" s="19">
        <v>3.1E-2</v>
      </c>
    </row>
    <row r="8" spans="1:40" x14ac:dyDescent="0.2">
      <c r="A8" s="172" t="s">
        <v>163</v>
      </c>
      <c r="B8" s="18" t="s">
        <v>207</v>
      </c>
      <c r="C8" s="18">
        <f>VLOOKUP($AN$1,DST!C:D,2,FALSE)</f>
        <v>12</v>
      </c>
      <c r="D8" s="147"/>
      <c r="E8" s="147"/>
      <c r="F8" s="147"/>
      <c r="G8" s="147"/>
      <c r="H8" s="147"/>
      <c r="I8" s="146">
        <f t="shared" si="3"/>
        <v>31.44311772</v>
      </c>
      <c r="J8" s="146">
        <f>I8*V8</f>
        <v>130.04767663581285</v>
      </c>
      <c r="K8" s="146">
        <f>I8*X8</f>
        <v>1.0061797670400001</v>
      </c>
      <c r="L8" s="146">
        <f>((D$2+D$3+D$4)*AA8)</f>
        <v>6.0219235999999992</v>
      </c>
      <c r="M8" s="146">
        <f t="shared" si="4"/>
        <v>4.6007496303999993</v>
      </c>
      <c r="N8" s="146">
        <f t="shared" si="4"/>
        <v>32.751415648943748</v>
      </c>
      <c r="O8" s="146">
        <f t="shared" si="8"/>
        <v>0.13751176359983391</v>
      </c>
      <c r="Q8" s="13"/>
      <c r="R8" s="139"/>
      <c r="S8" s="138"/>
      <c r="T8" s="139"/>
      <c r="U8" s="139"/>
      <c r="V8" s="107">
        <v>4.1359663438557019</v>
      </c>
      <c r="W8" s="150">
        <f t="shared" si="5"/>
        <v>7.1539999999999992E-2</v>
      </c>
      <c r="X8" s="19">
        <v>3.2000000000000001E-2</v>
      </c>
      <c r="Y8" s="19">
        <v>0.76400000000000001</v>
      </c>
      <c r="Z8" s="20">
        <v>7.1187128794261874</v>
      </c>
      <c r="AA8" s="150">
        <f t="shared" si="6"/>
        <v>9.7999999999999997E-3</v>
      </c>
      <c r="AB8" s="7">
        <v>2.3044401513163112E-2</v>
      </c>
      <c r="AC8" s="150">
        <f t="shared" si="7"/>
        <v>3.7877599828599354E-2</v>
      </c>
      <c r="AE8" s="168"/>
      <c r="AF8" s="19">
        <v>7.2999999999999995E-2</v>
      </c>
      <c r="AG8" s="19">
        <v>0.01</v>
      </c>
      <c r="AH8" s="19">
        <v>2.9888990848623582E-2</v>
      </c>
    </row>
    <row r="9" spans="1:40" x14ac:dyDescent="0.2">
      <c r="A9" s="176" t="s">
        <v>639</v>
      </c>
      <c r="B9" s="18" t="s">
        <v>207</v>
      </c>
      <c r="C9" s="18">
        <f>VLOOKUP($AN$1,DST!C:D,2,FALSE)</f>
        <v>12</v>
      </c>
      <c r="D9" s="147"/>
      <c r="E9" s="147"/>
      <c r="F9" s="147"/>
      <c r="G9" s="147"/>
      <c r="H9" s="147"/>
      <c r="I9" s="146">
        <f t="shared" si="3"/>
        <v>8.6145528000000002</v>
      </c>
      <c r="J9" s="146">
        <f t="shared" ref="J9:J11" si="9">I9*V9</f>
        <v>34.716647784000003</v>
      </c>
      <c r="K9" s="146">
        <f t="shared" ref="K9:K11" si="10">I9*X9</f>
        <v>0.26705113680000003</v>
      </c>
      <c r="L9" s="146">
        <f t="shared" ref="L9:L11" si="11">((D$2+D$3+D$4)*AA9)</f>
        <v>11.441654839999998</v>
      </c>
      <c r="M9" s="146">
        <f t="shared" si="4"/>
        <v>8.4668245815999992</v>
      </c>
      <c r="N9" s="146">
        <f t="shared" si="4"/>
        <v>59.860449791911996</v>
      </c>
      <c r="O9" s="146">
        <f t="shared" si="8"/>
        <v>0.25400473744799995</v>
      </c>
      <c r="Q9" s="13"/>
      <c r="R9" s="139"/>
      <c r="S9" s="138"/>
      <c r="T9" s="139"/>
      <c r="U9" s="139"/>
      <c r="V9" s="107">
        <v>4.03</v>
      </c>
      <c r="W9" s="150">
        <f t="shared" si="5"/>
        <v>1.9599999999999999E-2</v>
      </c>
      <c r="X9" s="19">
        <v>3.1E-2</v>
      </c>
      <c r="Y9" s="19">
        <v>0.74</v>
      </c>
      <c r="Z9" s="20">
        <v>7.07</v>
      </c>
      <c r="AA9" s="150">
        <f t="shared" si="6"/>
        <v>1.8619999999999998E-2</v>
      </c>
      <c r="AB9" s="7">
        <v>1.8477734236269725E-2</v>
      </c>
      <c r="AC9" s="150">
        <f t="shared" si="7"/>
        <v>3.8018279058434974E-2</v>
      </c>
      <c r="AE9" s="168"/>
      <c r="AF9" s="19">
        <v>0.02</v>
      </c>
      <c r="AG9" s="19">
        <v>1.9E-2</v>
      </c>
      <c r="AH9" s="19">
        <v>0.03</v>
      </c>
    </row>
    <row r="10" spans="1:40" x14ac:dyDescent="0.2">
      <c r="A10" s="172"/>
      <c r="B10" s="18" t="s">
        <v>207</v>
      </c>
      <c r="C10" s="18">
        <f>VLOOKUP($AN$1,DST!C:D,2,FALSE)</f>
        <v>12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9"/>
        <v>0</v>
      </c>
      <c r="K10" s="146">
        <f t="shared" si="10"/>
        <v>0</v>
      </c>
      <c r="L10" s="146">
        <f t="shared" si="11"/>
        <v>0</v>
      </c>
      <c r="M10" s="146">
        <f t="shared" si="4"/>
        <v>0</v>
      </c>
      <c r="N10" s="146">
        <f t="shared" si="4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5"/>
        <v>0</v>
      </c>
      <c r="X10" s="19">
        <v>0</v>
      </c>
      <c r="Y10" s="19">
        <v>0</v>
      </c>
      <c r="Z10" s="20">
        <v>0</v>
      </c>
      <c r="AA10" s="150">
        <f t="shared" si="6"/>
        <v>0</v>
      </c>
      <c r="AB10" s="7">
        <v>6.9745705418589033E-4</v>
      </c>
      <c r="AC10" s="150">
        <f t="shared" si="7"/>
        <v>0</v>
      </c>
      <c r="AE10" s="168"/>
      <c r="AF10" s="19">
        <v>0</v>
      </c>
      <c r="AG10" s="19">
        <v>0</v>
      </c>
      <c r="AH10" s="19">
        <v>0</v>
      </c>
    </row>
    <row r="11" spans="1:40" x14ac:dyDescent="0.2">
      <c r="A11" s="172"/>
      <c r="B11" s="18" t="s">
        <v>207</v>
      </c>
      <c r="C11" s="18">
        <f>VLOOKUP($AN$1,DST!C:D,2,FALSE)</f>
        <v>12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9"/>
        <v>0</v>
      </c>
      <c r="K11" s="146">
        <f t="shared" si="10"/>
        <v>0</v>
      </c>
      <c r="L11" s="146">
        <f t="shared" si="11"/>
        <v>0</v>
      </c>
      <c r="M11" s="146">
        <f t="shared" si="4"/>
        <v>0</v>
      </c>
      <c r="N11" s="146">
        <f t="shared" si="4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5"/>
        <v>0</v>
      </c>
      <c r="X11" s="19">
        <v>0</v>
      </c>
      <c r="Y11" s="19">
        <v>0</v>
      </c>
      <c r="Z11" s="20">
        <v>0</v>
      </c>
      <c r="AA11" s="150">
        <f t="shared" si="6"/>
        <v>0</v>
      </c>
      <c r="AB11" s="7">
        <v>0</v>
      </c>
      <c r="AC11" s="150">
        <f t="shared" si="7"/>
        <v>0</v>
      </c>
      <c r="AE11" s="168"/>
      <c r="AF11" s="19">
        <v>0</v>
      </c>
      <c r="AG11" s="19">
        <v>0</v>
      </c>
      <c r="AH11" s="19">
        <v>0</v>
      </c>
    </row>
    <row r="12" spans="1:40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40" x14ac:dyDescent="0.2">
      <c r="A13" s="17" t="s">
        <v>84</v>
      </c>
      <c r="B13" s="18" t="s">
        <v>208</v>
      </c>
      <c r="C13" s="18">
        <f>VLOOKUP($AN$1,DST!C:D,2,FALSE)</f>
        <v>12</v>
      </c>
      <c r="D13" s="147"/>
      <c r="E13" s="147"/>
      <c r="F13" s="147"/>
      <c r="G13" s="147"/>
      <c r="H13" s="147"/>
      <c r="I13" s="146">
        <f t="shared" ref="I13:I20" si="12">D$35*W13</f>
        <v>4.3072764000000001</v>
      </c>
      <c r="J13" s="146">
        <f t="shared" ref="J13:J20" si="13">I13*V13</f>
        <v>20.158053551999998</v>
      </c>
      <c r="K13" s="146">
        <f t="shared" ref="K13:K20" si="14">I13*X13</f>
        <v>1.9425730309908129E-2</v>
      </c>
      <c r="L13" s="146">
        <f t="shared" ref="L13:L20" si="15">((D$2+D$3+D$4)*AA13)</f>
        <v>132.48231919999998</v>
      </c>
      <c r="M13" s="146">
        <f t="shared" ref="M13:N20" si="16">L13*Y13</f>
        <v>86.24598979919999</v>
      </c>
      <c r="N13" s="146">
        <f t="shared" si="16"/>
        <v>1066.8628938161039</v>
      </c>
      <c r="O13" s="146">
        <f t="shared" ref="O13:O20" si="17">M13*AH13</f>
        <v>5.6059893369479994</v>
      </c>
      <c r="Q13" s="13"/>
      <c r="R13" s="139"/>
      <c r="S13" s="138"/>
      <c r="T13" s="139"/>
      <c r="U13" s="139"/>
      <c r="V13" s="107">
        <v>4.68</v>
      </c>
      <c r="W13" s="150">
        <f t="shared" ref="W13:W20" si="18">(AF13/SUM(AF$2:AF$20))*0.98</f>
        <v>9.7999999999999997E-3</v>
      </c>
      <c r="X13" s="19">
        <v>4.5099799747952392E-3</v>
      </c>
      <c r="Y13" s="19">
        <v>0.65100000000000002</v>
      </c>
      <c r="Z13" s="20">
        <v>12.37</v>
      </c>
      <c r="AA13" s="150">
        <f t="shared" ref="AA13:AA20" si="19">(AG13/SUM(AG$6:AG$25))*0.98</f>
        <v>0.21559999999999999</v>
      </c>
      <c r="AB13" s="7">
        <v>0.16950561878668605</v>
      </c>
      <c r="AC13" s="150">
        <f t="shared" ref="AC13:AC20" si="20">(AH13/SUM(AH$6:AH$25))*0.98</f>
        <v>8.2372937959942452E-2</v>
      </c>
      <c r="AE13" s="168"/>
      <c r="AF13" s="19">
        <v>0.01</v>
      </c>
      <c r="AG13" s="19">
        <v>0.22</v>
      </c>
      <c r="AH13" s="19">
        <v>6.5000000000000002E-2</v>
      </c>
    </row>
    <row r="14" spans="1:40" x14ac:dyDescent="0.2">
      <c r="A14" s="17" t="s">
        <v>583</v>
      </c>
      <c r="B14" s="18" t="s">
        <v>208</v>
      </c>
      <c r="C14" s="18">
        <f>VLOOKUP($AN$1,DST!C:D,2,FALSE)</f>
        <v>12</v>
      </c>
      <c r="D14" s="147"/>
      <c r="E14" s="147"/>
      <c r="F14" s="147"/>
      <c r="G14" s="147"/>
      <c r="H14" s="147"/>
      <c r="I14" s="146">
        <f t="shared" si="12"/>
        <v>0</v>
      </c>
      <c r="J14" s="146">
        <f t="shared" si="13"/>
        <v>0</v>
      </c>
      <c r="K14" s="146">
        <f t="shared" si="14"/>
        <v>0</v>
      </c>
      <c r="L14" s="146">
        <f t="shared" si="15"/>
        <v>125.25601087999999</v>
      </c>
      <c r="M14" s="146">
        <f t="shared" si="16"/>
        <v>78.285006799999991</v>
      </c>
      <c r="N14" s="146">
        <f t="shared" si="16"/>
        <v>1025.53358908</v>
      </c>
      <c r="O14" s="146">
        <f t="shared" si="17"/>
        <v>6.5759405711999994</v>
      </c>
      <c r="Q14" s="13"/>
      <c r="R14" s="139"/>
      <c r="S14" s="138"/>
      <c r="T14" s="139"/>
      <c r="U14" s="139"/>
      <c r="V14" s="107">
        <v>5.0199999999999996</v>
      </c>
      <c r="W14" s="150">
        <f t="shared" si="18"/>
        <v>0</v>
      </c>
      <c r="X14" s="19">
        <v>0</v>
      </c>
      <c r="Y14" s="19">
        <v>0.625</v>
      </c>
      <c r="Z14" s="20">
        <v>13.1</v>
      </c>
      <c r="AA14" s="150">
        <f t="shared" si="19"/>
        <v>0.20383999999999999</v>
      </c>
      <c r="AB14" s="7">
        <v>0.16950561878668605</v>
      </c>
      <c r="AC14" s="150">
        <f t="shared" si="20"/>
        <v>0.10645118136361793</v>
      </c>
      <c r="AE14" s="168"/>
      <c r="AF14" s="19">
        <v>0</v>
      </c>
      <c r="AG14" s="19">
        <v>0.20799999999999999</v>
      </c>
      <c r="AH14" s="19">
        <v>8.4000000000000005E-2</v>
      </c>
    </row>
    <row r="15" spans="1:40" x14ac:dyDescent="0.2">
      <c r="A15" s="17" t="s">
        <v>475</v>
      </c>
      <c r="B15" s="18" t="s">
        <v>208</v>
      </c>
      <c r="C15" s="18">
        <f>VLOOKUP($AN$1,DST!C:D,2,FALSE)</f>
        <v>12</v>
      </c>
      <c r="D15" s="147"/>
      <c r="E15" s="147"/>
      <c r="F15" s="147"/>
      <c r="G15" s="147"/>
      <c r="H15" s="147"/>
      <c r="I15" s="146">
        <f t="shared" si="12"/>
        <v>0</v>
      </c>
      <c r="J15" s="146">
        <f t="shared" si="13"/>
        <v>0</v>
      </c>
      <c r="K15" s="146">
        <f t="shared" si="14"/>
        <v>0</v>
      </c>
      <c r="L15" s="146">
        <f t="shared" si="15"/>
        <v>91.533238719999986</v>
      </c>
      <c r="M15" s="146">
        <f t="shared" si="16"/>
        <v>53.089278457599988</v>
      </c>
      <c r="N15" s="146">
        <f t="shared" si="16"/>
        <v>743.24989840639978</v>
      </c>
      <c r="O15" s="146">
        <f t="shared" si="17"/>
        <v>5.2558385673023995</v>
      </c>
      <c r="Q15" s="13"/>
      <c r="R15" s="139"/>
      <c r="S15" s="138"/>
      <c r="T15" s="139"/>
      <c r="U15" s="139"/>
      <c r="V15" s="107">
        <v>5.0199999999999996</v>
      </c>
      <c r="W15" s="150">
        <f t="shared" si="18"/>
        <v>0</v>
      </c>
      <c r="X15" s="19">
        <v>0</v>
      </c>
      <c r="Y15" s="19">
        <v>0.57999999999999996</v>
      </c>
      <c r="Z15" s="20">
        <v>14</v>
      </c>
      <c r="AA15" s="150">
        <f t="shared" si="19"/>
        <v>0.14895999999999998</v>
      </c>
      <c r="AB15" s="7">
        <v>0.15073293874139865</v>
      </c>
      <c r="AC15" s="150">
        <f t="shared" si="20"/>
        <v>0.1254603208928354</v>
      </c>
      <c r="AE15" s="168"/>
      <c r="AF15" s="19">
        <v>0</v>
      </c>
      <c r="AG15" s="19">
        <v>0.152</v>
      </c>
      <c r="AH15" s="19">
        <v>9.9000000000000005E-2</v>
      </c>
    </row>
    <row r="16" spans="1:40" x14ac:dyDescent="0.2">
      <c r="A16" s="176" t="s">
        <v>498</v>
      </c>
      <c r="B16" s="18" t="s">
        <v>208</v>
      </c>
      <c r="C16" s="18">
        <f>VLOOKUP($AN$1,DST!C:D,2,FALSE)</f>
        <v>12</v>
      </c>
      <c r="D16" s="147"/>
      <c r="E16" s="147"/>
      <c r="F16" s="147"/>
      <c r="G16" s="147"/>
      <c r="H16" s="147"/>
      <c r="I16" s="146">
        <f t="shared" si="12"/>
        <v>0</v>
      </c>
      <c r="J16" s="146">
        <f t="shared" si="13"/>
        <v>0</v>
      </c>
      <c r="K16" s="146">
        <f t="shared" si="14"/>
        <v>0</v>
      </c>
      <c r="L16" s="146">
        <f t="shared" si="15"/>
        <v>16.861386079999999</v>
      </c>
      <c r="M16" s="146">
        <f t="shared" si="16"/>
        <v>11.550049464800002</v>
      </c>
      <c r="N16" s="146">
        <f t="shared" si="16"/>
        <v>116.53999909983203</v>
      </c>
      <c r="O16" s="146">
        <f t="shared" si="17"/>
        <v>0.77385331414160019</v>
      </c>
      <c r="Q16" s="13"/>
      <c r="R16" s="139"/>
      <c r="S16" s="138"/>
      <c r="T16" s="139"/>
      <c r="U16" s="139"/>
      <c r="V16" s="107">
        <v>5.0199999999999996</v>
      </c>
      <c r="W16" s="150">
        <f t="shared" si="18"/>
        <v>0</v>
      </c>
      <c r="X16" s="19">
        <v>0</v>
      </c>
      <c r="Y16" s="19">
        <v>0.68500000000000016</v>
      </c>
      <c r="Z16" s="20">
        <v>10.09</v>
      </c>
      <c r="AA16" s="150">
        <f t="shared" si="19"/>
        <v>2.7439999999999999E-2</v>
      </c>
      <c r="AB16" s="7">
        <v>4.1138075122283672E-2</v>
      </c>
      <c r="AC16" s="150">
        <f t="shared" si="20"/>
        <v>8.4907489897171451E-2</v>
      </c>
      <c r="AE16" s="168"/>
      <c r="AF16" s="19">
        <v>0</v>
      </c>
      <c r="AG16" s="19">
        <v>2.8000000000000001E-2</v>
      </c>
      <c r="AH16" s="19">
        <v>6.7000000000000004E-2</v>
      </c>
    </row>
    <row r="17" spans="1:34" x14ac:dyDescent="0.2">
      <c r="A17" s="172" t="s">
        <v>459</v>
      </c>
      <c r="B17" s="18" t="s">
        <v>208</v>
      </c>
      <c r="C17" s="18">
        <f>VLOOKUP($AN$1,DST!C:D,2,FALSE)</f>
        <v>12</v>
      </c>
      <c r="D17" s="147"/>
      <c r="E17" s="147"/>
      <c r="F17" s="147"/>
      <c r="G17" s="147"/>
      <c r="H17" s="147"/>
      <c r="I17" s="146">
        <f t="shared" si="12"/>
        <v>0</v>
      </c>
      <c r="J17" s="146">
        <f t="shared" si="13"/>
        <v>0</v>
      </c>
      <c r="K17" s="146">
        <f t="shared" si="14"/>
        <v>0</v>
      </c>
      <c r="L17" s="146">
        <f t="shared" si="15"/>
        <v>12.043847199999998</v>
      </c>
      <c r="M17" s="146">
        <f t="shared" si="16"/>
        <v>6.8649929039999975</v>
      </c>
      <c r="N17" s="146">
        <f t="shared" si="16"/>
        <v>73.043524498559975</v>
      </c>
      <c r="O17" s="146">
        <f t="shared" si="17"/>
        <v>0.45244498229927416</v>
      </c>
      <c r="Q17" s="13"/>
      <c r="R17" s="139"/>
      <c r="S17" s="138"/>
      <c r="T17" s="139"/>
      <c r="U17" s="139"/>
      <c r="V17" s="107">
        <v>5.0199999999999996</v>
      </c>
      <c r="W17" s="150">
        <f t="shared" si="18"/>
        <v>0</v>
      </c>
      <c r="X17" s="19">
        <v>0</v>
      </c>
      <c r="Y17" s="19">
        <v>0.56999999999999984</v>
      </c>
      <c r="Z17" s="20">
        <v>10.64</v>
      </c>
      <c r="AA17" s="150">
        <f t="shared" si="19"/>
        <v>1.9599999999999999E-2</v>
      </c>
      <c r="AB17" s="7">
        <v>3.4599412088359975E-2</v>
      </c>
      <c r="AC17" s="150">
        <f t="shared" si="20"/>
        <v>8.3521230277455616E-2</v>
      </c>
      <c r="AE17" s="168"/>
      <c r="AF17" s="19">
        <v>0</v>
      </c>
      <c r="AG17" s="19">
        <v>0.02</v>
      </c>
      <c r="AH17" s="19">
        <v>6.5906110701971721E-2</v>
      </c>
    </row>
    <row r="18" spans="1:34" x14ac:dyDescent="0.2">
      <c r="A18" s="176" t="s">
        <v>140</v>
      </c>
      <c r="B18" s="18" t="s">
        <v>208</v>
      </c>
      <c r="C18" s="18">
        <f>VLOOKUP($AN$1,DST!C:D,2,FALSE)</f>
        <v>12</v>
      </c>
      <c r="D18" s="147"/>
      <c r="E18" s="147"/>
      <c r="F18" s="147"/>
      <c r="G18" s="147"/>
      <c r="H18" s="147"/>
      <c r="I18" s="146">
        <f t="shared" si="12"/>
        <v>0</v>
      </c>
      <c r="J18" s="146">
        <f t="shared" si="13"/>
        <v>0</v>
      </c>
      <c r="K18" s="146">
        <f t="shared" si="14"/>
        <v>0</v>
      </c>
      <c r="L18" s="146">
        <f t="shared" si="15"/>
        <v>6.0219235999999992</v>
      </c>
      <c r="M18" s="146">
        <f t="shared" si="16"/>
        <v>3.9624257287999982</v>
      </c>
      <c r="N18" s="146">
        <f t="shared" si="16"/>
        <v>37.921826363946415</v>
      </c>
      <c r="O18" s="146">
        <f t="shared" si="17"/>
        <v>0.24317386951205217</v>
      </c>
      <c r="Q18" s="13"/>
      <c r="R18" s="139"/>
      <c r="S18" s="138"/>
      <c r="T18" s="139"/>
      <c r="U18" s="139"/>
      <c r="V18" s="107">
        <v>5.76</v>
      </c>
      <c r="W18" s="150">
        <f t="shared" si="18"/>
        <v>0</v>
      </c>
      <c r="X18" s="19">
        <v>5.1546391752577327E-3</v>
      </c>
      <c r="Y18" s="19">
        <v>0.65799999999999981</v>
      </c>
      <c r="Z18" s="20">
        <v>9.570356382536124</v>
      </c>
      <c r="AA18" s="150">
        <f t="shared" si="19"/>
        <v>9.7999999999999997E-3</v>
      </c>
      <c r="AB18" s="7">
        <v>4.1015619403726288E-3</v>
      </c>
      <c r="AC18" s="150">
        <f t="shared" si="20"/>
        <v>7.777266304015977E-2</v>
      </c>
      <c r="AE18" s="168"/>
      <c r="AF18" s="19">
        <v>0</v>
      </c>
      <c r="AG18" s="19">
        <v>0.01</v>
      </c>
      <c r="AH18" s="19">
        <v>6.1369950165777926E-2</v>
      </c>
    </row>
    <row r="19" spans="1:34" x14ac:dyDescent="0.2">
      <c r="A19" s="172"/>
      <c r="B19" s="18" t="s">
        <v>208</v>
      </c>
      <c r="C19" s="18">
        <f>VLOOKUP($AN$1,DST!C:D,2,FALSE)</f>
        <v>12</v>
      </c>
      <c r="D19" s="147"/>
      <c r="E19" s="147"/>
      <c r="F19" s="147"/>
      <c r="G19" s="147"/>
      <c r="H19" s="147"/>
      <c r="I19" s="146">
        <f t="shared" si="12"/>
        <v>0</v>
      </c>
      <c r="J19" s="146">
        <f t="shared" si="13"/>
        <v>0</v>
      </c>
      <c r="K19" s="146">
        <f t="shared" si="14"/>
        <v>0</v>
      </c>
      <c r="L19" s="146">
        <f t="shared" si="15"/>
        <v>0</v>
      </c>
      <c r="M19" s="146">
        <f t="shared" si="16"/>
        <v>0</v>
      </c>
      <c r="N19" s="146">
        <f t="shared" si="16"/>
        <v>0</v>
      </c>
      <c r="O19" s="146">
        <f t="shared" si="17"/>
        <v>0</v>
      </c>
      <c r="Q19" s="13"/>
      <c r="R19" s="139"/>
      <c r="S19" s="138"/>
      <c r="T19" s="139"/>
      <c r="U19" s="139"/>
      <c r="V19" s="107">
        <v>0</v>
      </c>
      <c r="W19" s="150">
        <f t="shared" si="18"/>
        <v>0</v>
      </c>
      <c r="X19" s="19">
        <v>0</v>
      </c>
      <c r="Y19" s="19">
        <v>0</v>
      </c>
      <c r="Z19" s="20">
        <v>0</v>
      </c>
      <c r="AA19" s="150">
        <f t="shared" si="19"/>
        <v>0</v>
      </c>
      <c r="AB19" s="7">
        <v>6.9183240052310092E-3</v>
      </c>
      <c r="AC19" s="150">
        <f t="shared" si="20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A20" s="172"/>
      <c r="B20" s="18" t="s">
        <v>208</v>
      </c>
      <c r="C20" s="18">
        <f>VLOOKUP($AN$1,DST!C:D,2,FALSE)</f>
        <v>12</v>
      </c>
      <c r="D20" s="147"/>
      <c r="E20" s="147"/>
      <c r="F20" s="147"/>
      <c r="G20" s="147"/>
      <c r="H20" s="147"/>
      <c r="I20" s="146">
        <f t="shared" si="12"/>
        <v>0</v>
      </c>
      <c r="J20" s="146">
        <f t="shared" si="13"/>
        <v>0</v>
      </c>
      <c r="K20" s="146">
        <f t="shared" si="14"/>
        <v>0</v>
      </c>
      <c r="L20" s="146">
        <f t="shared" si="15"/>
        <v>0</v>
      </c>
      <c r="M20" s="146">
        <f t="shared" si="16"/>
        <v>0</v>
      </c>
      <c r="N20" s="146">
        <f t="shared" si="16"/>
        <v>0</v>
      </c>
      <c r="O20" s="146">
        <f t="shared" si="17"/>
        <v>0</v>
      </c>
      <c r="Q20" s="13"/>
      <c r="R20" s="139"/>
      <c r="S20" s="138"/>
      <c r="T20" s="139"/>
      <c r="U20" s="139"/>
      <c r="V20" s="107">
        <v>0</v>
      </c>
      <c r="W20" s="150">
        <f t="shared" si="18"/>
        <v>0</v>
      </c>
      <c r="X20" s="19">
        <v>0</v>
      </c>
      <c r="Y20" s="19">
        <v>0</v>
      </c>
      <c r="Z20" s="20">
        <v>0</v>
      </c>
      <c r="AA20" s="150">
        <f t="shared" si="19"/>
        <v>0</v>
      </c>
      <c r="AB20" s="7">
        <v>6.9183240052310092E-3</v>
      </c>
      <c r="AC20" s="150">
        <f t="shared" si="20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152"/>
      <c r="AC21" s="152"/>
      <c r="AE21" s="124"/>
      <c r="AF21" s="124"/>
      <c r="AG21" s="26"/>
      <c r="AH21" s="26"/>
    </row>
    <row r="22" spans="1:34" x14ac:dyDescent="0.2">
      <c r="A22" s="17" t="s">
        <v>74</v>
      </c>
      <c r="B22" s="18" t="s">
        <v>10</v>
      </c>
      <c r="C22" s="18">
        <f>VLOOKUP($AN$1,DST!C:D,2,FALSE)</f>
        <v>12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125.25601087999999</v>
      </c>
      <c r="M22" s="146">
        <f t="shared" ref="M22:N25" si="21">L22*Y22</f>
        <v>91.687399964159994</v>
      </c>
      <c r="N22" s="146">
        <f t="shared" si="21"/>
        <v>851.11767420050876</v>
      </c>
      <c r="O22" s="146">
        <f>M22*AH22</f>
        <v>5.1969700216565844</v>
      </c>
      <c r="Q22" s="13"/>
      <c r="R22" s="139"/>
      <c r="S22" s="138"/>
      <c r="T22" s="139"/>
      <c r="U22" s="139"/>
      <c r="V22" s="140"/>
      <c r="W22" s="154"/>
      <c r="X22" s="139"/>
      <c r="Y22" s="19">
        <v>0.73199999999999998</v>
      </c>
      <c r="Z22" s="20">
        <v>9.2828204806026253</v>
      </c>
      <c r="AA22" s="150">
        <f>(AG22/SUM(AG$6:AG$25))*0.98</f>
        <v>0.20383999999999999</v>
      </c>
      <c r="AB22" s="7">
        <v>6.1946892407587266E-2</v>
      </c>
      <c r="AC22" s="150">
        <f>(AH22/SUM(AH$6:AH$25))*0.98</f>
        <v>7.1830973728448891E-2</v>
      </c>
      <c r="AE22" s="168"/>
      <c r="AF22" s="168"/>
      <c r="AG22" s="19">
        <v>0.20799999999999999</v>
      </c>
      <c r="AH22" s="19">
        <v>5.6681398138545162E-2</v>
      </c>
    </row>
    <row r="23" spans="1:34" x14ac:dyDescent="0.2">
      <c r="A23" s="17" t="s">
        <v>499</v>
      </c>
      <c r="B23" s="18" t="s">
        <v>10</v>
      </c>
      <c r="C23" s="18">
        <f>VLOOKUP($AN$1,DST!C:D,2,FALSE)</f>
        <v>12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18.065770799999999</v>
      </c>
      <c r="M23" s="146">
        <f t="shared" si="21"/>
        <v>11.977606040399998</v>
      </c>
      <c r="N23" s="146">
        <f t="shared" si="21"/>
        <v>112.97281335824182</v>
      </c>
      <c r="O23" s="146">
        <f>M23*AH23</f>
        <v>0.95820848323199981</v>
      </c>
      <c r="Q23" s="13"/>
      <c r="R23" s="139"/>
      <c r="S23" s="138"/>
      <c r="T23" s="139"/>
      <c r="U23" s="139"/>
      <c r="V23" s="140"/>
      <c r="W23" s="154"/>
      <c r="X23" s="139"/>
      <c r="Y23" s="19">
        <v>0.66299999999999992</v>
      </c>
      <c r="Z23" s="20">
        <v>9.4320027706028178</v>
      </c>
      <c r="AA23" s="150">
        <f>(AG23/SUM(AG$6:AG$25))*0.98</f>
        <v>2.9399999999999999E-2</v>
      </c>
      <c r="AB23" s="7">
        <v>4.2632384400887881E-2</v>
      </c>
      <c r="AC23" s="150">
        <f>(AH23/SUM(AH$6:AH$25))*0.98</f>
        <v>0.10138207748915994</v>
      </c>
      <c r="AE23" s="168"/>
      <c r="AF23" s="168"/>
      <c r="AG23" s="19">
        <v>0.03</v>
      </c>
      <c r="AH23" s="19">
        <v>0.08</v>
      </c>
    </row>
    <row r="24" spans="1:34" x14ac:dyDescent="0.2">
      <c r="A24" s="17" t="s">
        <v>447</v>
      </c>
      <c r="B24" s="18" t="s">
        <v>10</v>
      </c>
      <c r="C24" s="18">
        <f>VLOOKUP($AN$1,DST!C:D,2,FALSE)</f>
        <v>12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9.0328853999999996</v>
      </c>
      <c r="M24" s="146">
        <f t="shared" si="21"/>
        <v>6.1423620719999992</v>
      </c>
      <c r="N24" s="146">
        <f t="shared" si="21"/>
        <v>60.14511884123884</v>
      </c>
      <c r="O24" s="146">
        <f>M24*AH24</f>
        <v>0.45995885566280226</v>
      </c>
      <c r="Q24" s="13"/>
      <c r="R24" s="139"/>
      <c r="S24" s="138"/>
      <c r="T24" s="139"/>
      <c r="U24" s="139"/>
      <c r="V24" s="140"/>
      <c r="W24" s="154"/>
      <c r="X24" s="139"/>
      <c r="Y24" s="19">
        <v>0.67999999999999994</v>
      </c>
      <c r="Z24" s="20">
        <v>9.7918550121639338</v>
      </c>
      <c r="AA24" s="150">
        <f>(AG24/SUM(AG$6:AG$25))*0.98</f>
        <v>1.47E-2</v>
      </c>
      <c r="AB24" s="7">
        <v>3.9883448794435047E-2</v>
      </c>
      <c r="AC24" s="150">
        <f>(AH24/SUM(AH$6:AH$25))*0.98</f>
        <v>9.4897499935737151E-2</v>
      </c>
      <c r="AE24" s="168"/>
      <c r="AF24" s="168"/>
      <c r="AG24" s="19">
        <v>1.4999999999999999E-2</v>
      </c>
      <c r="AH24" s="19">
        <v>7.4883058059948618E-2</v>
      </c>
    </row>
    <row r="25" spans="1:34" x14ac:dyDescent="0.2">
      <c r="B25" s="18" t="s">
        <v>10</v>
      </c>
      <c r="C25" s="18">
        <f>VLOOKUP($AN$1,DST!C:D,2,FALSE)</f>
        <v>12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21"/>
        <v>0</v>
      </c>
      <c r="N25" s="146">
        <f t="shared" si="21"/>
        <v>0</v>
      </c>
      <c r="O25" s="146">
        <f>M25*AH25</f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3.1001430878106674E-2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264</v>
      </c>
      <c r="X27" s="30"/>
      <c r="Y27" s="30"/>
      <c r="Z27" s="31"/>
      <c r="AA27" s="9" t="s">
        <v>264</v>
      </c>
      <c r="AB27" s="9" t="s">
        <v>264</v>
      </c>
      <c r="AC27" s="9" t="s">
        <v>264</v>
      </c>
      <c r="AD27" s="44"/>
      <c r="AE27" s="9" t="s">
        <v>264</v>
      </c>
      <c r="AF27" s="9" t="s">
        <v>264</v>
      </c>
      <c r="AG27" s="9" t="s">
        <v>264</v>
      </c>
    </row>
    <row r="28" spans="1:34" s="27" customFormat="1" x14ac:dyDescent="0.2">
      <c r="A28" s="45" t="s">
        <v>265</v>
      </c>
      <c r="B28" s="28"/>
      <c r="C28" s="28"/>
      <c r="D28" s="34" t="s">
        <v>269</v>
      </c>
      <c r="E28" s="34" t="s">
        <v>266</v>
      </c>
      <c r="F28" s="155" t="s">
        <v>267</v>
      </c>
      <c r="G28" s="34" t="s">
        <v>286</v>
      </c>
      <c r="H28" s="34" t="s">
        <v>268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0.97999999999999987</v>
      </c>
      <c r="X28" s="30"/>
      <c r="Y28" s="30"/>
      <c r="Z28" s="31"/>
      <c r="AA28" s="150">
        <f>SUM(AA6:AA25)</f>
        <v>0.98</v>
      </c>
      <c r="AB28" s="150">
        <f>SUM(AB2:AB4,AB6:AB11,AB13:AB20,AB22:AB25)</f>
        <v>0.99281486209334724</v>
      </c>
      <c r="AC28" s="150">
        <f>SUM(AC6:AC25)</f>
        <v>0.98000000000000009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</v>
      </c>
    </row>
    <row r="29" spans="1:34" s="27" customFormat="1" x14ac:dyDescent="0.2">
      <c r="A29" s="43"/>
      <c r="B29" s="28"/>
      <c r="C29" s="28"/>
      <c r="D29" s="46">
        <v>1054</v>
      </c>
      <c r="E29" s="47">
        <v>0.58299999999999996</v>
      </c>
      <c r="F29" s="2">
        <f>1-E29</f>
        <v>0.41700000000000004</v>
      </c>
      <c r="G29" s="106">
        <v>4.1500000000000004</v>
      </c>
      <c r="H29" s="126">
        <v>3.6499999999999998E-2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265</v>
      </c>
      <c r="B31" s="28"/>
      <c r="C31" s="28"/>
      <c r="D31" s="162" t="s">
        <v>278</v>
      </c>
      <c r="E31" s="162" t="s">
        <v>1</v>
      </c>
      <c r="F31" s="162" t="s">
        <v>263</v>
      </c>
      <c r="G31" s="162" t="s">
        <v>137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614.48199999999997</v>
      </c>
      <c r="E32" s="156">
        <f>SUM(E2:E4)</f>
        <v>401.28201993148264</v>
      </c>
      <c r="F32" s="156">
        <f>SUM(F2:F4)</f>
        <v>4464.4469772099164</v>
      </c>
      <c r="G32" s="156">
        <f>SUM(G2:G4)</f>
        <v>27.024918359999997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265</v>
      </c>
      <c r="B34" s="28"/>
      <c r="C34" s="28"/>
      <c r="D34" s="162" t="s">
        <v>270</v>
      </c>
      <c r="E34" s="162" t="s">
        <v>263</v>
      </c>
      <c r="F34" s="162" t="s">
        <v>137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439.51800000000003</v>
      </c>
      <c r="E35" s="156">
        <f>D35*G29</f>
        <v>1823.9997000000003</v>
      </c>
      <c r="F35" s="156">
        <f>D35*H29</f>
        <v>16.042407000000001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279</v>
      </c>
      <c r="B37" s="37"/>
      <c r="C37" s="37"/>
      <c r="D37" s="164" t="s">
        <v>273</v>
      </c>
      <c r="E37" s="164" t="s">
        <v>274</v>
      </c>
      <c r="F37" s="164" t="s">
        <v>275</v>
      </c>
      <c r="G37" s="164" t="s">
        <v>271</v>
      </c>
      <c r="H37" s="164" t="s">
        <v>272</v>
      </c>
      <c r="I37" s="164" t="s">
        <v>276</v>
      </c>
      <c r="J37" s="164" t="s">
        <v>277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3.5" thickBot="1" x14ac:dyDescent="0.25">
      <c r="D38" s="157">
        <f>SUM(I2:I20)</f>
        <v>430.72764000000001</v>
      </c>
      <c r="E38" s="157">
        <f>SUM(J2:J4,J6:J11,J13:J20)</f>
        <v>1823.4555564468203</v>
      </c>
      <c r="F38" s="157">
        <f>SUM(K2:K4,K6:K11,K13:K20)</f>
        <v>16.031520120123169</v>
      </c>
      <c r="G38" s="157">
        <f>SUM(L6:L11,L13:L20,L22:L25)</f>
        <v>602.19236000000001</v>
      </c>
      <c r="H38" s="157">
        <f>SUM(M6:M11,M13:M20,M22:M25)</f>
        <v>399.98580058976</v>
      </c>
      <c r="I38" s="157">
        <f>SUM(N6:N11,N13:N20,N22:N25)</f>
        <v>4463.0106591081185</v>
      </c>
      <c r="J38" s="157">
        <f>SUM(O6:O11,O13:O20,O22:O25)</f>
        <v>26.984921555101604</v>
      </c>
      <c r="V38" s="181"/>
      <c r="X38" s="30"/>
      <c r="Y38" s="30"/>
      <c r="Z38" s="181"/>
      <c r="AH38" s="30"/>
    </row>
    <row r="39" spans="1:34" ht="13.5" thickTop="1" x14ac:dyDescent="0.2">
      <c r="D39" s="158">
        <f>D35-D38</f>
        <v>8.790360000000021</v>
      </c>
      <c r="E39" s="158">
        <f>E35-E38</f>
        <v>0.54414355317999252</v>
      </c>
      <c r="F39" s="158">
        <f>F35-F38</f>
        <v>1.0886879876832012E-2</v>
      </c>
      <c r="G39" s="158">
        <f>SUM(D2:D4)-G38</f>
        <v>12.289639999999963</v>
      </c>
      <c r="H39" s="158">
        <f>E32-H38</f>
        <v>1.2962193417226331</v>
      </c>
      <c r="I39" s="158">
        <f>F32-I38</f>
        <v>1.4363181017979514</v>
      </c>
      <c r="J39" s="158">
        <f>G32-J38</f>
        <v>3.9996804898393634E-2</v>
      </c>
      <c r="V39" s="181"/>
      <c r="X39" s="30"/>
      <c r="Y39" s="30"/>
      <c r="Z39" s="181"/>
      <c r="AH39" s="30"/>
    </row>
    <row r="40" spans="1:34" x14ac:dyDescent="0.2">
      <c r="N40" s="23"/>
      <c r="O40" s="23"/>
      <c r="V40" s="181"/>
      <c r="X40" s="30"/>
      <c r="Y40" s="30"/>
      <c r="Z40" s="181"/>
      <c r="AH40" s="30"/>
    </row>
    <row r="41" spans="1:34" x14ac:dyDescent="0.2">
      <c r="A41" s="52"/>
      <c r="B41" s="26"/>
      <c r="C41" s="25"/>
      <c r="D41" s="26"/>
      <c r="E41" s="26"/>
      <c r="F41" s="25"/>
      <c r="G41" s="26"/>
      <c r="H41" s="18"/>
      <c r="I41" s="18"/>
      <c r="J41" s="18"/>
      <c r="K41" s="18"/>
      <c r="L41" s="18"/>
      <c r="M41" s="18"/>
      <c r="Q41" s="18"/>
      <c r="R41" s="18"/>
      <c r="S41" s="18"/>
      <c r="T41" s="18"/>
      <c r="U41" s="18"/>
      <c r="V41" s="181"/>
      <c r="W41" s="18"/>
      <c r="X41" s="30"/>
      <c r="Y41" s="30"/>
      <c r="Z41" s="181"/>
      <c r="AC41" s="18"/>
      <c r="AH41" s="30"/>
    </row>
    <row r="42" spans="1:34" x14ac:dyDescent="0.2">
      <c r="A42" s="52"/>
      <c r="B42" s="26"/>
      <c r="C42" s="25"/>
      <c r="D42" s="26"/>
      <c r="E42" s="26"/>
      <c r="F42" s="25"/>
      <c r="G42" s="26"/>
      <c r="H42" s="18"/>
      <c r="I42" s="18"/>
      <c r="J42" s="18"/>
      <c r="K42" s="18"/>
      <c r="L42" s="18"/>
      <c r="M42" s="18"/>
      <c r="Q42" s="18"/>
      <c r="R42" s="18"/>
      <c r="S42" s="18"/>
      <c r="T42" s="18"/>
      <c r="U42" s="18"/>
      <c r="V42" s="181"/>
      <c r="W42" s="18"/>
      <c r="X42" s="30"/>
      <c r="Y42" s="30"/>
      <c r="Z42" s="181"/>
      <c r="AC42" s="18"/>
      <c r="AH42" s="30"/>
    </row>
    <row r="43" spans="1:34" x14ac:dyDescent="0.2">
      <c r="A43" s="52"/>
      <c r="B43" s="26"/>
      <c r="C43" s="25"/>
      <c r="D43" s="26"/>
      <c r="E43" s="26"/>
      <c r="F43" s="25"/>
      <c r="G43" s="26"/>
      <c r="H43" s="18"/>
      <c r="I43" s="18"/>
      <c r="J43" s="18"/>
      <c r="K43" s="18"/>
      <c r="L43" s="18"/>
      <c r="M43" s="18"/>
      <c r="Q43" s="18"/>
      <c r="R43" s="18"/>
      <c r="S43" s="18"/>
      <c r="T43" s="18"/>
      <c r="U43" s="18"/>
      <c r="V43" s="181"/>
      <c r="W43" s="18"/>
      <c r="X43" s="30"/>
      <c r="Y43" s="30"/>
      <c r="Z43" s="181"/>
      <c r="AC43" s="18"/>
      <c r="AH43" s="30"/>
    </row>
    <row r="44" spans="1:34" x14ac:dyDescent="0.2">
      <c r="A44" s="52"/>
      <c r="B44" s="26"/>
      <c r="C44" s="25"/>
      <c r="D44" s="26"/>
      <c r="E44" s="26"/>
      <c r="F44" s="25"/>
      <c r="G44" s="26"/>
      <c r="H44" s="18"/>
      <c r="I44" s="18"/>
      <c r="J44" s="18"/>
      <c r="K44" s="18"/>
      <c r="L44" s="18"/>
      <c r="M44" s="18"/>
      <c r="Q44" s="18"/>
      <c r="R44" s="18"/>
      <c r="S44" s="18"/>
      <c r="T44" s="18"/>
      <c r="U44" s="18"/>
      <c r="V44" s="181"/>
      <c r="W44" s="18"/>
      <c r="X44" s="30"/>
      <c r="Y44" s="30"/>
      <c r="Z44" s="181"/>
      <c r="AC44" s="18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sortState xmlns:xlrd2="http://schemas.microsoft.com/office/spreadsheetml/2017/richdata2" ref="A22:AH25">
    <sortCondition descending="1" ref="N22:N25"/>
  </sortState>
  <conditionalFormatting sqref="D39:J39">
    <cfRule type="cellIs" dxfId="53" priority="1" operator="lessThan">
      <formula>0</formula>
    </cfRule>
  </conditionalFormatting>
  <conditionalFormatting sqref="W28">
    <cfRule type="cellIs" dxfId="52" priority="2" operator="greaterThan">
      <formula>1</formula>
    </cfRule>
  </conditionalFormatting>
  <conditionalFormatting sqref="AA28:AG28">
    <cfRule type="cellIs" dxfId="51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rgb="FFFF3300"/>
  </sheetPr>
  <dimension ref="A1:AN64"/>
  <sheetViews>
    <sheetView showGridLines="0" zoomScale="85" zoomScaleNormal="85"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defaultColWidth="8.7109375" defaultRowHeight="12.75" x14ac:dyDescent="0.2"/>
  <cols>
    <col min="1" max="1" width="22.5703125" style="17" customWidth="1"/>
    <col min="2" max="3" width="8.7109375" style="18"/>
    <col min="4" max="13" width="8.7109375" style="23"/>
    <col min="14" max="15" width="8.7109375" style="18"/>
    <col min="16" max="16" width="4.7109375" style="18" customWidth="1"/>
    <col min="17" max="18" width="8.7109375" style="26"/>
    <col min="19" max="19" width="8.7109375" style="23"/>
    <col min="20" max="21" width="8.7109375" style="26"/>
    <col min="22" max="23" width="8.7109375" style="25"/>
    <col min="24" max="25" width="8.7109375" style="26"/>
    <col min="26" max="26" width="8.7109375" style="25"/>
    <col min="27" max="27" width="8.7109375" style="18"/>
    <col min="28" max="28" width="0" style="18" hidden="1" customWidth="1"/>
    <col min="29" max="29" width="8.7109375" style="26"/>
    <col min="30" max="30" width="4.7109375" style="17" customWidth="1"/>
    <col min="31" max="32" width="8.7109375" style="18"/>
    <col min="33" max="16384" width="8.7109375" style="17"/>
  </cols>
  <sheetData>
    <row r="1" spans="1:40" s="15" customFormat="1" ht="25.5" customHeight="1" x14ac:dyDescent="0.2">
      <c r="A1" s="15" t="s">
        <v>0</v>
      </c>
      <c r="B1" s="15" t="s">
        <v>8</v>
      </c>
      <c r="C1" s="15" t="s">
        <v>122</v>
      </c>
      <c r="D1" s="159" t="s">
        <v>210</v>
      </c>
      <c r="E1" s="159" t="s">
        <v>1</v>
      </c>
      <c r="F1" s="159" t="s">
        <v>213</v>
      </c>
      <c r="G1" s="159" t="s">
        <v>228</v>
      </c>
      <c r="H1" s="159" t="s">
        <v>2</v>
      </c>
      <c r="I1" s="159" t="s">
        <v>229</v>
      </c>
      <c r="J1" s="159" t="s">
        <v>217</v>
      </c>
      <c r="K1" s="159" t="s">
        <v>230</v>
      </c>
      <c r="L1" s="159" t="s">
        <v>219</v>
      </c>
      <c r="M1" s="159" t="s">
        <v>4</v>
      </c>
      <c r="N1" s="159" t="s">
        <v>223</v>
      </c>
      <c r="O1" s="159" t="s">
        <v>231</v>
      </c>
      <c r="Q1" s="160" t="s">
        <v>281</v>
      </c>
      <c r="R1" s="133" t="s">
        <v>232</v>
      </c>
      <c r="S1" s="134" t="s">
        <v>451</v>
      </c>
      <c r="T1" s="133" t="s">
        <v>205</v>
      </c>
      <c r="U1" s="133" t="s">
        <v>209</v>
      </c>
      <c r="V1" s="135" t="s">
        <v>280</v>
      </c>
      <c r="W1" s="161" t="s">
        <v>282</v>
      </c>
      <c r="X1" s="133" t="s">
        <v>233</v>
      </c>
      <c r="Y1" s="179" t="s">
        <v>234</v>
      </c>
      <c r="Z1" s="135" t="s">
        <v>235</v>
      </c>
      <c r="AA1" s="160" t="s">
        <v>236</v>
      </c>
      <c r="AB1" s="160" t="s">
        <v>237</v>
      </c>
      <c r="AC1" s="10" t="s">
        <v>262</v>
      </c>
      <c r="AE1" s="136" t="s">
        <v>283</v>
      </c>
      <c r="AF1" s="137" t="s">
        <v>284</v>
      </c>
      <c r="AG1" s="136" t="s">
        <v>285</v>
      </c>
      <c r="AH1" s="136" t="s">
        <v>450</v>
      </c>
      <c r="AN1" s="15" t="s">
        <v>102</v>
      </c>
    </row>
    <row r="2" spans="1:40" x14ac:dyDescent="0.2">
      <c r="A2" s="17" t="s">
        <v>45</v>
      </c>
      <c r="B2" s="18" t="s">
        <v>9</v>
      </c>
      <c r="C2" s="18">
        <f>VLOOKUP($AN$1,DST!C:D,2,FALSE)</f>
        <v>6</v>
      </c>
      <c r="D2" s="146">
        <f>D$32*Q2</f>
        <v>636.76799999999992</v>
      </c>
      <c r="E2" s="146">
        <f>D2*R2</f>
        <v>429.18163199999998</v>
      </c>
      <c r="F2" s="146">
        <f>E2*S2</f>
        <v>4871.2115231999996</v>
      </c>
      <c r="G2" s="146">
        <f>D2*T2</f>
        <v>35.659007999999993</v>
      </c>
      <c r="H2" s="146">
        <f>E2*U2</f>
        <v>6.9918730139150211</v>
      </c>
      <c r="I2" s="146">
        <f>D$35*W2</f>
        <v>58.831360000000011</v>
      </c>
      <c r="J2" s="146">
        <f>I2*V2</f>
        <v>311.80620800000003</v>
      </c>
      <c r="K2" s="146">
        <f>I2*X2</f>
        <v>2.0002662400000006</v>
      </c>
      <c r="L2" s="147"/>
      <c r="M2" s="147"/>
      <c r="N2" s="147"/>
      <c r="O2" s="147"/>
      <c r="Q2" s="150">
        <f>(AE2/SUM(AE$2:AE$25))</f>
        <v>0.99</v>
      </c>
      <c r="R2" s="19">
        <v>0.67400000000000004</v>
      </c>
      <c r="S2" s="107">
        <v>11.35</v>
      </c>
      <c r="T2" s="19">
        <v>5.6000000000000001E-2</v>
      </c>
      <c r="U2" s="19">
        <v>1.6291174860705644E-2</v>
      </c>
      <c r="V2" s="107">
        <v>5.3</v>
      </c>
      <c r="W2" s="150">
        <f>(AF2/SUM(AF$2:AF$20))*0.98</f>
        <v>0.13720000000000002</v>
      </c>
      <c r="X2" s="19">
        <v>3.4000000000000002E-2</v>
      </c>
      <c r="Y2" s="21"/>
      <c r="Z2" s="22"/>
      <c r="AA2" s="1"/>
      <c r="AB2" s="1"/>
      <c r="AC2" s="1"/>
      <c r="AE2" s="19">
        <v>0.99</v>
      </c>
      <c r="AF2" s="19">
        <v>0.14000000000000001</v>
      </c>
      <c r="AG2" s="168"/>
      <c r="AH2" s="168"/>
    </row>
    <row r="3" spans="1:40" x14ac:dyDescent="0.2">
      <c r="A3" s="17" t="s">
        <v>571</v>
      </c>
      <c r="B3" s="18" t="s">
        <v>9</v>
      </c>
      <c r="C3" s="18">
        <f>VLOOKUP($AN$1,DST!C:D,2,FALSE)</f>
        <v>6</v>
      </c>
      <c r="D3" s="146">
        <f>D$32*Q3</f>
        <v>6.4320000000000048</v>
      </c>
      <c r="E3" s="146">
        <f t="shared" ref="E3:F4" si="0">D3*R3</f>
        <v>4.122912000000003</v>
      </c>
      <c r="F3" s="146">
        <f t="shared" si="0"/>
        <v>43.690640662688217</v>
      </c>
      <c r="G3" s="146">
        <f t="shared" ref="G3:G4" si="1">D3*T3</f>
        <v>0.33696536097145974</v>
      </c>
      <c r="H3" s="146">
        <f t="shared" ref="H3:H4" si="2">E3*U3</f>
        <v>0.1147235772256726</v>
      </c>
      <c r="I3" s="146">
        <f>D$35*W3</f>
        <v>0</v>
      </c>
      <c r="J3" s="146">
        <f>I3*V3</f>
        <v>0</v>
      </c>
      <c r="K3" s="146">
        <f>I3*X3</f>
        <v>0</v>
      </c>
      <c r="L3" s="147"/>
      <c r="M3" s="147"/>
      <c r="N3" s="147"/>
      <c r="O3" s="147"/>
      <c r="Q3" s="150">
        <f>(AE3/SUM(AE$2:AE$25))</f>
        <v>1.0000000000000009E-2</v>
      </c>
      <c r="R3" s="19">
        <v>0.64100000000000001</v>
      </c>
      <c r="S3" s="107">
        <v>10.597034489867401</v>
      </c>
      <c r="T3" s="19">
        <v>5.2388893185861242E-2</v>
      </c>
      <c r="U3" s="19">
        <v>2.7825861242168768E-2</v>
      </c>
      <c r="V3" s="107">
        <v>4.3461538461538467</v>
      </c>
      <c r="W3" s="150">
        <f>(AF3/SUM(AF$2:AF$20))*0.98</f>
        <v>0</v>
      </c>
      <c r="X3" s="19">
        <v>3.8461538461538457E-2</v>
      </c>
      <c r="Y3" s="21"/>
      <c r="Z3" s="22"/>
      <c r="AA3" s="1"/>
      <c r="AB3" s="1"/>
      <c r="AC3" s="1"/>
      <c r="AE3" s="19">
        <v>1.0000000000000009E-2</v>
      </c>
      <c r="AF3" s="19">
        <v>0</v>
      </c>
      <c r="AG3" s="168"/>
      <c r="AH3" s="168"/>
    </row>
    <row r="4" spans="1:40" x14ac:dyDescent="0.2">
      <c r="B4" s="18" t="s">
        <v>9</v>
      </c>
      <c r="C4" s="18">
        <f>VLOOKUP($AN$1,DST!C:D,2,FALSE)</f>
        <v>6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/>
      <c r="AF4" s="19"/>
      <c r="AG4" s="168"/>
      <c r="AH4" s="168"/>
    </row>
    <row r="5" spans="1:40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40" x14ac:dyDescent="0.2">
      <c r="A6" s="172" t="s">
        <v>457</v>
      </c>
      <c r="B6" s="18" t="s">
        <v>207</v>
      </c>
      <c r="C6" s="18">
        <f>VLOOKUP($AN$1,DST!C:D,2,FALSE)</f>
        <v>6</v>
      </c>
      <c r="D6" s="147"/>
      <c r="E6" s="147"/>
      <c r="F6" s="147"/>
      <c r="G6" s="147"/>
      <c r="H6" s="147"/>
      <c r="I6" s="146">
        <f t="shared" ref="I6:I11" si="3">D$35*W6</f>
        <v>247.93215999999998</v>
      </c>
      <c r="J6" s="146">
        <f>I6*V6</f>
        <v>1115.69472</v>
      </c>
      <c r="K6" s="146">
        <f>I6*X6</f>
        <v>8.9242082202101223</v>
      </c>
      <c r="L6" s="146">
        <f>((D$2+D$3+D$4)*AA6)</f>
        <v>39.711167999999994</v>
      </c>
      <c r="M6" s="146">
        <f t="shared" ref="M6:N11" si="4">L6*Y6</f>
        <v>32.761713599999993</v>
      </c>
      <c r="N6" s="146">
        <f t="shared" si="4"/>
        <v>223.43488675199995</v>
      </c>
      <c r="O6" s="146">
        <f>M6*AH6</f>
        <v>1.7036091071999995</v>
      </c>
      <c r="Q6" s="13"/>
      <c r="R6" s="139"/>
      <c r="S6" s="138"/>
      <c r="T6" s="139"/>
      <c r="U6" s="139"/>
      <c r="V6" s="107">
        <v>4.5</v>
      </c>
      <c r="W6" s="150">
        <f t="shared" ref="W6:W11" si="5">(AF6/SUM(AF$2:AF$20))*0.98</f>
        <v>0.57819999999999994</v>
      </c>
      <c r="X6" s="19">
        <v>3.5994556818325314E-2</v>
      </c>
      <c r="Y6" s="19">
        <v>0.82499999999999996</v>
      </c>
      <c r="Z6" s="20">
        <v>6.82</v>
      </c>
      <c r="AA6" s="150">
        <f t="shared" ref="AA6:AA11" si="6">(AG6/SUM(AG$6:AG$25))*0.98</f>
        <v>6.1739999999999996E-2</v>
      </c>
      <c r="AB6" s="7">
        <v>0.10371538121132873</v>
      </c>
      <c r="AC6" s="150">
        <f t="shared" ref="AC6:AC11" si="7">(AH6/SUM(AH$6:AH$25))*0.98</f>
        <v>5.7561775716680808E-2</v>
      </c>
      <c r="AE6" s="168"/>
      <c r="AF6" s="19">
        <v>0.59</v>
      </c>
      <c r="AG6" s="19">
        <v>6.3E-2</v>
      </c>
      <c r="AH6" s="19">
        <v>5.1999999999999998E-2</v>
      </c>
    </row>
    <row r="7" spans="1:40" x14ac:dyDescent="0.2">
      <c r="A7" s="176" t="s">
        <v>151</v>
      </c>
      <c r="B7" s="18" t="s">
        <v>207</v>
      </c>
      <c r="C7" s="18">
        <f>VLOOKUP($AN$1,DST!C:D,2,FALSE)</f>
        <v>6</v>
      </c>
      <c r="D7" s="147"/>
      <c r="E7" s="147"/>
      <c r="F7" s="147"/>
      <c r="G7" s="147"/>
      <c r="H7" s="147"/>
      <c r="I7" s="146">
        <f t="shared" si="3"/>
        <v>19.750527999999999</v>
      </c>
      <c r="J7" s="146">
        <f>I7*V7</f>
        <v>80.661667049375268</v>
      </c>
      <c r="K7" s="146">
        <f>I7*X7</f>
        <v>0.61224123248061002</v>
      </c>
      <c r="L7" s="146">
        <f>((D$2+D$3+D$4)*AA7)</f>
        <v>7.5640319999999992</v>
      </c>
      <c r="M7" s="146">
        <f t="shared" si="4"/>
        <v>5.3931548159999991</v>
      </c>
      <c r="N7" s="146">
        <f t="shared" si="4"/>
        <v>39.639687897599991</v>
      </c>
      <c r="O7" s="146">
        <f t="shared" ref="O7:O11" si="8">M7*AH7</f>
        <v>0.25887143116799999</v>
      </c>
      <c r="Q7" s="13"/>
      <c r="R7" s="139"/>
      <c r="S7" s="138"/>
      <c r="T7" s="139"/>
      <c r="U7" s="139"/>
      <c r="V7" s="107">
        <v>4.0840258574036739</v>
      </c>
      <c r="W7" s="150">
        <f t="shared" si="5"/>
        <v>4.6059999999999997E-2</v>
      </c>
      <c r="X7" s="19">
        <v>3.0998727349497192E-2</v>
      </c>
      <c r="Y7" s="19">
        <v>0.71299999999999997</v>
      </c>
      <c r="Z7" s="20">
        <v>7.35</v>
      </c>
      <c r="AA7" s="150">
        <f t="shared" si="6"/>
        <v>1.176E-2</v>
      </c>
      <c r="AB7" s="7">
        <v>5.0130531502141203E-2</v>
      </c>
      <c r="AC7" s="150">
        <f t="shared" si="7"/>
        <v>5.3133946815397674E-2</v>
      </c>
      <c r="AE7" s="168"/>
      <c r="AF7" s="19">
        <v>4.7E-2</v>
      </c>
      <c r="AG7" s="19">
        <v>1.2E-2</v>
      </c>
      <c r="AH7" s="19">
        <v>4.8000000000000001E-2</v>
      </c>
    </row>
    <row r="8" spans="1:40" x14ac:dyDescent="0.2">
      <c r="A8" s="176" t="s">
        <v>686</v>
      </c>
      <c r="B8" s="18" t="s">
        <v>207</v>
      </c>
      <c r="C8" s="18">
        <f>VLOOKUP($AN$1,DST!C:D,2,FALSE)</f>
        <v>6</v>
      </c>
      <c r="D8" s="147"/>
      <c r="E8" s="147"/>
      <c r="F8" s="147"/>
      <c r="G8" s="147"/>
      <c r="H8" s="147"/>
      <c r="I8" s="146">
        <f t="shared" si="3"/>
        <v>5.4629120000000002</v>
      </c>
      <c r="J8" s="146">
        <f>I8*V8</f>
        <v>22.83497216</v>
      </c>
      <c r="K8" s="146">
        <f>I8*X8</f>
        <v>0.15932459105706268</v>
      </c>
      <c r="L8" s="146">
        <f>((D$2+D$3+D$4)*AA8)</f>
        <v>6.3033599999999987</v>
      </c>
      <c r="M8" s="146">
        <f t="shared" si="4"/>
        <v>4.4123519999999985</v>
      </c>
      <c r="N8" s="146">
        <f t="shared" si="4"/>
        <v>30.77728973892112</v>
      </c>
      <c r="O8" s="146">
        <f t="shared" si="8"/>
        <v>0.24267935999999993</v>
      </c>
      <c r="Q8" s="13"/>
      <c r="R8" s="139"/>
      <c r="S8" s="138"/>
      <c r="T8" s="139"/>
      <c r="U8" s="139"/>
      <c r="V8" s="107">
        <v>4.18</v>
      </c>
      <c r="W8" s="150">
        <f t="shared" si="5"/>
        <v>1.274E-2</v>
      </c>
      <c r="X8" s="19">
        <v>2.9164773486569557E-2</v>
      </c>
      <c r="Y8" s="19">
        <v>0.7</v>
      </c>
      <c r="Z8" s="20">
        <v>6.9752571279265867</v>
      </c>
      <c r="AA8" s="150">
        <f t="shared" si="6"/>
        <v>9.7999999999999997E-3</v>
      </c>
      <c r="AB8" s="7">
        <v>3.9200736462205031E-2</v>
      </c>
      <c r="AC8" s="150">
        <f t="shared" si="7"/>
        <v>6.0882647392643173E-2</v>
      </c>
      <c r="AE8" s="168"/>
      <c r="AF8" s="19">
        <v>1.2999999999999999E-2</v>
      </c>
      <c r="AG8" s="19">
        <v>0.01</v>
      </c>
      <c r="AH8" s="19">
        <v>5.5E-2</v>
      </c>
    </row>
    <row r="9" spans="1:40" x14ac:dyDescent="0.2">
      <c r="A9" s="176" t="s">
        <v>188</v>
      </c>
      <c r="B9" s="18" t="s">
        <v>207</v>
      </c>
      <c r="C9" s="18">
        <f>VLOOKUP($AN$1,DST!C:D,2,FALSE)</f>
        <v>6</v>
      </c>
      <c r="D9" s="147"/>
      <c r="E9" s="147"/>
      <c r="F9" s="147"/>
      <c r="G9" s="147"/>
      <c r="H9" s="147"/>
      <c r="I9" s="146">
        <f t="shared" si="3"/>
        <v>71.438079999999999</v>
      </c>
      <c r="J9" s="146">
        <f t="shared" ref="J9:J11" si="9">I9*V9</f>
        <v>307.18374399999999</v>
      </c>
      <c r="K9" s="146">
        <f t="shared" ref="K9:K11" si="10">I9*X9</f>
        <v>2.3574566400000001</v>
      </c>
      <c r="L9" s="146">
        <f t="shared" ref="L9:L11" si="11">((D$2+D$3+D$4)*AA9)</f>
        <v>20.170751999999997</v>
      </c>
      <c r="M9" s="146">
        <f t="shared" si="4"/>
        <v>17.084626943999996</v>
      </c>
      <c r="N9" s="146">
        <f t="shared" si="4"/>
        <v>133.26009016319998</v>
      </c>
      <c r="O9" s="146">
        <f t="shared" si="8"/>
        <v>0.82006209331199986</v>
      </c>
      <c r="Q9" s="13"/>
      <c r="R9" s="139"/>
      <c r="S9" s="138"/>
      <c r="T9" s="139"/>
      <c r="U9" s="139"/>
      <c r="V9" s="107">
        <v>4.3</v>
      </c>
      <c r="W9" s="150">
        <f t="shared" si="5"/>
        <v>0.1666</v>
      </c>
      <c r="X9" s="19">
        <v>3.3000000000000002E-2</v>
      </c>
      <c r="Y9" s="19">
        <v>0.84699999999999998</v>
      </c>
      <c r="Z9" s="20">
        <v>7.8</v>
      </c>
      <c r="AA9" s="150">
        <f t="shared" si="6"/>
        <v>3.1359999999999999E-2</v>
      </c>
      <c r="AB9" s="7">
        <v>9.7662724555475783E-3</v>
      </c>
      <c r="AC9" s="150">
        <f t="shared" si="7"/>
        <v>5.3133946815397674E-2</v>
      </c>
      <c r="AE9" s="168"/>
      <c r="AF9" s="19">
        <v>0.17</v>
      </c>
      <c r="AG9" s="19">
        <v>3.2000000000000001E-2</v>
      </c>
      <c r="AH9" s="19">
        <v>4.8000000000000001E-2</v>
      </c>
    </row>
    <row r="10" spans="1:40" x14ac:dyDescent="0.2">
      <c r="A10" s="172"/>
      <c r="B10" s="18" t="s">
        <v>207</v>
      </c>
      <c r="C10" s="18">
        <f>VLOOKUP($AN$1,DST!C:D,2,FALSE)</f>
        <v>6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9"/>
        <v>0</v>
      </c>
      <c r="K10" s="146">
        <f t="shared" si="10"/>
        <v>0</v>
      </c>
      <c r="L10" s="146">
        <f t="shared" si="11"/>
        <v>0</v>
      </c>
      <c r="M10" s="146">
        <f t="shared" si="4"/>
        <v>0</v>
      </c>
      <c r="N10" s="146">
        <f t="shared" si="4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5"/>
        <v>0</v>
      </c>
      <c r="X10" s="19">
        <v>0</v>
      </c>
      <c r="Y10" s="19">
        <v>0</v>
      </c>
      <c r="Z10" s="20">
        <v>0</v>
      </c>
      <c r="AA10" s="150">
        <f t="shared" si="6"/>
        <v>0</v>
      </c>
      <c r="AB10" s="7">
        <v>3.7259624067627183E-3</v>
      </c>
      <c r="AC10" s="150">
        <f t="shared" si="7"/>
        <v>0</v>
      </c>
      <c r="AE10" s="168"/>
      <c r="AF10" s="19">
        <v>0</v>
      </c>
      <c r="AG10" s="19">
        <v>0</v>
      </c>
      <c r="AH10" s="19">
        <v>0</v>
      </c>
    </row>
    <row r="11" spans="1:40" x14ac:dyDescent="0.2">
      <c r="A11" s="172"/>
      <c r="B11" s="18" t="s">
        <v>207</v>
      </c>
      <c r="C11" s="18">
        <f>VLOOKUP($AN$1,DST!C:D,2,FALSE)</f>
        <v>6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9"/>
        <v>0</v>
      </c>
      <c r="K11" s="146">
        <f t="shared" si="10"/>
        <v>0</v>
      </c>
      <c r="L11" s="146">
        <f t="shared" si="11"/>
        <v>0</v>
      </c>
      <c r="M11" s="146">
        <f t="shared" si="4"/>
        <v>0</v>
      </c>
      <c r="N11" s="146">
        <f t="shared" si="4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5"/>
        <v>0</v>
      </c>
      <c r="X11" s="19">
        <v>0</v>
      </c>
      <c r="Y11" s="19">
        <v>0</v>
      </c>
      <c r="Z11" s="20">
        <v>0</v>
      </c>
      <c r="AA11" s="150">
        <f t="shared" si="6"/>
        <v>0</v>
      </c>
      <c r="AB11" s="7">
        <v>0</v>
      </c>
      <c r="AC11" s="150">
        <f t="shared" si="7"/>
        <v>0</v>
      </c>
      <c r="AE11" s="168"/>
      <c r="AF11" s="19">
        <v>0</v>
      </c>
      <c r="AG11" s="19">
        <v>0</v>
      </c>
      <c r="AH11" s="19">
        <v>0</v>
      </c>
    </row>
    <row r="12" spans="1:40" x14ac:dyDescent="0.2">
      <c r="A12" s="50"/>
      <c r="B12" s="26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26"/>
      <c r="Q12" s="3"/>
      <c r="S12" s="26"/>
      <c r="V12" s="171"/>
      <c r="W12" s="3"/>
      <c r="AA12" s="152"/>
      <c r="AB12" s="6"/>
      <c r="AC12"/>
      <c r="AE12" s="124"/>
      <c r="AF12" s="124"/>
      <c r="AG12" s="26"/>
      <c r="AH12" s="26"/>
    </row>
    <row r="13" spans="1:40" x14ac:dyDescent="0.2">
      <c r="A13" s="17" t="s">
        <v>21</v>
      </c>
      <c r="B13" s="18" t="s">
        <v>208</v>
      </c>
      <c r="C13" s="18">
        <f>VLOOKUP($AN$1,DST!C:D,2,FALSE)</f>
        <v>6</v>
      </c>
      <c r="D13" s="147"/>
      <c r="E13" s="147"/>
      <c r="F13" s="147"/>
      <c r="G13" s="147"/>
      <c r="H13" s="147"/>
      <c r="I13" s="146">
        <f t="shared" ref="I13:I20" si="12">D$35*W13</f>
        <v>4.2022399999999998</v>
      </c>
      <c r="J13" s="146">
        <f t="shared" ref="J13:J20" si="13">I13*V13</f>
        <v>21.095244799999996</v>
      </c>
      <c r="K13" s="146">
        <f t="shared" ref="K13:K20" si="14">I13*X13</f>
        <v>9.9597622528370192E-3</v>
      </c>
      <c r="L13" s="146">
        <f t="shared" ref="L13:L20" si="15">((D$2+D$3+D$4)*AA13)</f>
        <v>115.98182399999997</v>
      </c>
      <c r="M13" s="146">
        <f t="shared" ref="M13:N20" si="16">L13*Y13</f>
        <v>70.400967167999966</v>
      </c>
      <c r="N13" s="146">
        <f t="shared" si="16"/>
        <v>916.62059252735958</v>
      </c>
      <c r="O13" s="146">
        <f t="shared" ref="O13:O20" si="17">M13*AH13</f>
        <v>6.7584928481279967</v>
      </c>
      <c r="Q13" s="13"/>
      <c r="R13" s="139"/>
      <c r="S13" s="138"/>
      <c r="T13" s="139"/>
      <c r="U13" s="139"/>
      <c r="V13" s="107">
        <v>5.0199999999999996</v>
      </c>
      <c r="W13" s="150">
        <f t="shared" ref="W13:W20" si="18">(AF13/SUM(AF$2:AF$20))*0.98</f>
        <v>9.7999999999999997E-3</v>
      </c>
      <c r="X13" s="19">
        <v>2.3701079074105761E-3</v>
      </c>
      <c r="Y13" s="19">
        <v>0.60699999999999987</v>
      </c>
      <c r="Z13" s="20">
        <v>13.02</v>
      </c>
      <c r="AA13" s="150">
        <f t="shared" ref="AA13:AA20" si="19">(AG13/SUM(AG$6:AG$25))*0.98</f>
        <v>0.18031999999999998</v>
      </c>
      <c r="AB13" s="7">
        <v>0.12440894648492244</v>
      </c>
      <c r="AC13" s="150">
        <f t="shared" ref="AC13:AC20" si="20">(AH13/SUM(AH$6:AH$25))*0.98</f>
        <v>0.10626789363079535</v>
      </c>
      <c r="AE13" s="168"/>
      <c r="AF13" s="19">
        <v>0.01</v>
      </c>
      <c r="AG13" s="19">
        <v>0.184</v>
      </c>
      <c r="AH13" s="19">
        <v>9.6000000000000002E-2</v>
      </c>
    </row>
    <row r="14" spans="1:40" x14ac:dyDescent="0.2">
      <c r="A14" s="17" t="s">
        <v>500</v>
      </c>
      <c r="B14" s="18" t="s">
        <v>208</v>
      </c>
      <c r="C14" s="18">
        <f>VLOOKUP($AN$1,DST!C:D,2,FALSE)</f>
        <v>6</v>
      </c>
      <c r="D14" s="147"/>
      <c r="E14" s="147"/>
      <c r="F14" s="147"/>
      <c r="G14" s="147"/>
      <c r="H14" s="147"/>
      <c r="I14" s="146">
        <f t="shared" si="12"/>
        <v>4.2022399999999998</v>
      </c>
      <c r="J14" s="146">
        <f t="shared" si="13"/>
        <v>21.095244799999996</v>
      </c>
      <c r="K14" s="146">
        <f t="shared" si="14"/>
        <v>1.0947701395606461E-2</v>
      </c>
      <c r="L14" s="146">
        <f t="shared" si="15"/>
        <v>130.47955199999998</v>
      </c>
      <c r="M14" s="146">
        <f t="shared" si="16"/>
        <v>93.945277439999984</v>
      </c>
      <c r="N14" s="146">
        <f t="shared" si="16"/>
        <v>1100.0991988223998</v>
      </c>
      <c r="O14" s="146">
        <f t="shared" si="17"/>
        <v>7.7035127500799989</v>
      </c>
      <c r="Q14" s="13"/>
      <c r="R14" s="139"/>
      <c r="S14" s="138"/>
      <c r="T14" s="139"/>
      <c r="U14" s="139"/>
      <c r="V14" s="107">
        <v>5.0199999999999996</v>
      </c>
      <c r="W14" s="150">
        <f t="shared" si="18"/>
        <v>9.7999999999999997E-3</v>
      </c>
      <c r="X14" s="19">
        <v>2.6052061271146965E-3</v>
      </c>
      <c r="Y14" s="19">
        <v>0.72</v>
      </c>
      <c r="Z14" s="20">
        <v>11.71</v>
      </c>
      <c r="AA14" s="150">
        <f t="shared" si="19"/>
        <v>0.20285999999999998</v>
      </c>
      <c r="AB14" s="7">
        <v>0.21722484672017489</v>
      </c>
      <c r="AC14" s="150">
        <f t="shared" si="20"/>
        <v>9.0770492476304365E-2</v>
      </c>
      <c r="AE14" s="168"/>
      <c r="AF14" s="19">
        <v>0.01</v>
      </c>
      <c r="AG14" s="19">
        <v>0.20699999999999999</v>
      </c>
      <c r="AH14" s="19">
        <v>8.2000000000000003E-2</v>
      </c>
    </row>
    <row r="15" spans="1:40" x14ac:dyDescent="0.2">
      <c r="A15" s="17" t="s">
        <v>584</v>
      </c>
      <c r="B15" s="18" t="s">
        <v>208</v>
      </c>
      <c r="C15" s="18">
        <f>VLOOKUP($AN$1,DST!C:D,2,FALSE)</f>
        <v>6</v>
      </c>
      <c r="D15" s="147"/>
      <c r="E15" s="147"/>
      <c r="F15" s="147"/>
      <c r="G15" s="147"/>
      <c r="H15" s="147"/>
      <c r="I15" s="146">
        <f t="shared" si="12"/>
        <v>8.4044799999999995</v>
      </c>
      <c r="J15" s="146">
        <f t="shared" si="13"/>
        <v>48.830028799999994</v>
      </c>
      <c r="K15" s="146">
        <f t="shared" si="14"/>
        <v>4.0865895995797472E-2</v>
      </c>
      <c r="L15" s="146">
        <f t="shared" si="15"/>
        <v>100.22342399999998</v>
      </c>
      <c r="M15" s="146">
        <f t="shared" si="16"/>
        <v>64.142991359999982</v>
      </c>
      <c r="N15" s="146">
        <f t="shared" si="16"/>
        <v>885.17328076799981</v>
      </c>
      <c r="O15" s="146">
        <f t="shared" si="17"/>
        <v>6.2860131532799981</v>
      </c>
      <c r="Q15" s="13"/>
      <c r="R15" s="139"/>
      <c r="S15" s="138"/>
      <c r="T15" s="139"/>
      <c r="U15" s="139"/>
      <c r="V15" s="107">
        <v>5.81</v>
      </c>
      <c r="W15" s="150">
        <f t="shared" si="18"/>
        <v>1.9599999999999999E-2</v>
      </c>
      <c r="X15" s="19">
        <v>4.8623943415651502E-3</v>
      </c>
      <c r="Y15" s="19">
        <v>0.6399999999999999</v>
      </c>
      <c r="Z15" s="20">
        <v>13.8</v>
      </c>
      <c r="AA15" s="150">
        <f t="shared" si="19"/>
        <v>0.15581999999999999</v>
      </c>
      <c r="AB15" s="7">
        <v>0.12440894648492244</v>
      </c>
      <c r="AC15" s="150">
        <f t="shared" si="20"/>
        <v>0.10848180808143691</v>
      </c>
      <c r="AE15" s="168"/>
      <c r="AF15" s="19">
        <v>0.02</v>
      </c>
      <c r="AG15" s="19">
        <v>0.159</v>
      </c>
      <c r="AH15" s="19">
        <v>9.8000000000000004E-2</v>
      </c>
    </row>
    <row r="16" spans="1:40" x14ac:dyDescent="0.2">
      <c r="A16" s="17" t="s">
        <v>688</v>
      </c>
      <c r="B16" s="18" t="s">
        <v>208</v>
      </c>
      <c r="C16" s="18">
        <f>VLOOKUP($AN$1,DST!C:D,2,FALSE)</f>
        <v>6</v>
      </c>
      <c r="D16" s="147"/>
      <c r="E16" s="147"/>
      <c r="F16" s="147"/>
      <c r="G16" s="147"/>
      <c r="H16" s="147"/>
      <c r="I16" s="146">
        <f t="shared" si="12"/>
        <v>0</v>
      </c>
      <c r="J16" s="146">
        <f t="shared" si="13"/>
        <v>0</v>
      </c>
      <c r="K16" s="146">
        <f t="shared" si="14"/>
        <v>0</v>
      </c>
      <c r="L16" s="146">
        <f t="shared" si="15"/>
        <v>25.843775999999998</v>
      </c>
      <c r="M16" s="146">
        <f t="shared" si="16"/>
        <v>16.100672447999997</v>
      </c>
      <c r="N16" s="146">
        <f t="shared" si="16"/>
        <v>166.15893966335997</v>
      </c>
      <c r="O16" s="146">
        <f t="shared" si="17"/>
        <v>1.3202551407359999</v>
      </c>
      <c r="Q16" s="13"/>
      <c r="R16" s="139"/>
      <c r="S16" s="138"/>
      <c r="T16" s="139"/>
      <c r="U16" s="139"/>
      <c r="V16" s="107">
        <v>5.23</v>
      </c>
      <c r="W16" s="150">
        <f t="shared" si="18"/>
        <v>0</v>
      </c>
      <c r="X16" s="19">
        <v>9.5465393794749408E-3</v>
      </c>
      <c r="Y16" s="19">
        <v>0.623</v>
      </c>
      <c r="Z16" s="20">
        <v>10.32</v>
      </c>
      <c r="AA16" s="150">
        <f t="shared" si="19"/>
        <v>4.018E-2</v>
      </c>
      <c r="AB16" s="7">
        <v>5.5229034872814407E-2</v>
      </c>
      <c r="AC16" s="150">
        <f t="shared" si="20"/>
        <v>9.0770492476304365E-2</v>
      </c>
      <c r="AE16" s="168"/>
      <c r="AF16" s="19">
        <v>0</v>
      </c>
      <c r="AG16" s="19">
        <v>4.1000000000000002E-2</v>
      </c>
      <c r="AH16" s="19">
        <v>8.2000000000000003E-2</v>
      </c>
    </row>
    <row r="17" spans="1:34" x14ac:dyDescent="0.2">
      <c r="A17" s="17" t="s">
        <v>562</v>
      </c>
      <c r="B17" s="18" t="s">
        <v>208</v>
      </c>
      <c r="C17" s="18">
        <f>VLOOKUP($AN$1,DST!C:D,2,FALSE)</f>
        <v>6</v>
      </c>
      <c r="D17" s="147"/>
      <c r="E17" s="147"/>
      <c r="F17" s="147"/>
      <c r="G17" s="147"/>
      <c r="H17" s="147"/>
      <c r="I17" s="146">
        <f t="shared" si="12"/>
        <v>0</v>
      </c>
      <c r="J17" s="146">
        <f t="shared" si="13"/>
        <v>0</v>
      </c>
      <c r="K17" s="146">
        <f t="shared" si="14"/>
        <v>0</v>
      </c>
      <c r="L17" s="146">
        <f t="shared" si="15"/>
        <v>20.801087999999996</v>
      </c>
      <c r="M17" s="146">
        <f t="shared" si="16"/>
        <v>10.525350527999995</v>
      </c>
      <c r="N17" s="146">
        <f t="shared" si="16"/>
        <v>145.67085130751994</v>
      </c>
      <c r="O17" s="146">
        <f t="shared" si="17"/>
        <v>0.85255339276799968</v>
      </c>
      <c r="Q17" s="13"/>
      <c r="R17" s="139"/>
      <c r="S17" s="138"/>
      <c r="T17" s="139"/>
      <c r="U17" s="139"/>
      <c r="V17" s="107">
        <v>5.0199999999999996</v>
      </c>
      <c r="W17" s="150">
        <f t="shared" si="18"/>
        <v>0</v>
      </c>
      <c r="X17" s="19">
        <v>0</v>
      </c>
      <c r="Y17" s="19">
        <v>0.50599999999999989</v>
      </c>
      <c r="Z17" s="20">
        <v>13.84</v>
      </c>
      <c r="AA17" s="150">
        <f t="shared" si="19"/>
        <v>3.2340000000000001E-2</v>
      </c>
      <c r="AB17" s="7">
        <v>7.7981679720058858E-2</v>
      </c>
      <c r="AC17" s="150">
        <f t="shared" si="20"/>
        <v>8.966353525098357E-2</v>
      </c>
      <c r="AE17" s="168"/>
      <c r="AF17" s="19">
        <v>0</v>
      </c>
      <c r="AG17" s="19">
        <v>3.3000000000000002E-2</v>
      </c>
      <c r="AH17" s="19">
        <v>8.1000000000000003E-2</v>
      </c>
    </row>
    <row r="18" spans="1:34" x14ac:dyDescent="0.2">
      <c r="A18" s="17" t="s">
        <v>421</v>
      </c>
      <c r="B18" s="18" t="s">
        <v>208</v>
      </c>
      <c r="C18" s="18">
        <f>VLOOKUP($AN$1,DST!C:D,2,FALSE)</f>
        <v>6</v>
      </c>
      <c r="D18" s="147"/>
      <c r="E18" s="147"/>
      <c r="F18" s="147"/>
      <c r="G18" s="147"/>
      <c r="H18" s="147"/>
      <c r="I18" s="146">
        <f t="shared" si="12"/>
        <v>0</v>
      </c>
      <c r="J18" s="146">
        <f t="shared" si="13"/>
        <v>0</v>
      </c>
      <c r="K18" s="146">
        <f t="shared" si="14"/>
        <v>0</v>
      </c>
      <c r="L18" s="146">
        <f t="shared" si="15"/>
        <v>15.128063999999998</v>
      </c>
      <c r="M18" s="146">
        <f t="shared" si="16"/>
        <v>9.1524787200000013</v>
      </c>
      <c r="N18" s="146">
        <f t="shared" si="16"/>
        <v>106.07722836480001</v>
      </c>
      <c r="O18" s="146">
        <f t="shared" si="17"/>
        <v>0.73504676875311936</v>
      </c>
      <c r="Q18" s="13"/>
      <c r="R18" s="139"/>
      <c r="S18" s="138"/>
      <c r="T18" s="139"/>
      <c r="U18" s="139"/>
      <c r="V18" s="107">
        <v>7.01</v>
      </c>
      <c r="W18" s="150">
        <f t="shared" si="18"/>
        <v>0</v>
      </c>
      <c r="X18" s="19">
        <v>0</v>
      </c>
      <c r="Y18" s="19">
        <v>0.60500000000000009</v>
      </c>
      <c r="Z18" s="20">
        <v>11.59</v>
      </c>
      <c r="AA18" s="150">
        <f t="shared" si="19"/>
        <v>2.3519999999999999E-2</v>
      </c>
      <c r="AB18" s="7">
        <v>1.9707617912673323E-2</v>
      </c>
      <c r="AC18" s="150">
        <f t="shared" si="20"/>
        <v>8.8901089695181665E-2</v>
      </c>
      <c r="AE18" s="168"/>
      <c r="AF18" s="19">
        <v>0</v>
      </c>
      <c r="AG18" s="19">
        <v>2.4E-2</v>
      </c>
      <c r="AH18" s="19">
        <v>8.0311224012670449E-2</v>
      </c>
    </row>
    <row r="19" spans="1:34" x14ac:dyDescent="0.2">
      <c r="B19" s="18" t="s">
        <v>208</v>
      </c>
      <c r="C19" s="18">
        <f>VLOOKUP($AN$1,DST!C:D,2,FALSE)</f>
        <v>6</v>
      </c>
      <c r="D19" s="147"/>
      <c r="E19" s="147"/>
      <c r="F19" s="147"/>
      <c r="G19" s="147"/>
      <c r="H19" s="147"/>
      <c r="I19" s="146">
        <f t="shared" si="12"/>
        <v>0</v>
      </c>
      <c r="J19" s="146">
        <f t="shared" si="13"/>
        <v>0</v>
      </c>
      <c r="K19" s="146">
        <f t="shared" si="14"/>
        <v>0</v>
      </c>
      <c r="L19" s="146">
        <f t="shared" si="15"/>
        <v>0</v>
      </c>
      <c r="M19" s="146">
        <f t="shared" si="16"/>
        <v>0</v>
      </c>
      <c r="N19" s="146">
        <f t="shared" si="16"/>
        <v>0</v>
      </c>
      <c r="O19" s="146">
        <f t="shared" si="17"/>
        <v>0</v>
      </c>
      <c r="Q19" s="13"/>
      <c r="R19" s="139"/>
      <c r="S19" s="138"/>
      <c r="T19" s="139"/>
      <c r="U19" s="139"/>
      <c r="V19" s="107">
        <v>0</v>
      </c>
      <c r="W19" s="150">
        <f t="shared" si="18"/>
        <v>0</v>
      </c>
      <c r="X19" s="19">
        <v>0</v>
      </c>
      <c r="Y19" s="19">
        <v>0</v>
      </c>
      <c r="Z19" s="20">
        <v>0</v>
      </c>
      <c r="AA19" s="150">
        <f t="shared" si="19"/>
        <v>0</v>
      </c>
      <c r="AB19" s="7">
        <v>0</v>
      </c>
      <c r="AC19" s="150">
        <f t="shared" si="20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208</v>
      </c>
      <c r="C20" s="18">
        <f>VLOOKUP($AN$1,DST!C:D,2,FALSE)</f>
        <v>6</v>
      </c>
      <c r="D20" s="147"/>
      <c r="E20" s="147"/>
      <c r="F20" s="147"/>
      <c r="G20" s="147"/>
      <c r="H20" s="147"/>
      <c r="I20" s="146">
        <f t="shared" si="12"/>
        <v>0</v>
      </c>
      <c r="J20" s="146">
        <f t="shared" si="13"/>
        <v>0</v>
      </c>
      <c r="K20" s="146">
        <f t="shared" si="14"/>
        <v>0</v>
      </c>
      <c r="L20" s="146">
        <f t="shared" si="15"/>
        <v>0</v>
      </c>
      <c r="M20" s="146">
        <f t="shared" si="16"/>
        <v>0</v>
      </c>
      <c r="N20" s="146">
        <f t="shared" si="16"/>
        <v>0</v>
      </c>
      <c r="O20" s="146">
        <f t="shared" si="17"/>
        <v>0</v>
      </c>
      <c r="Q20" s="13"/>
      <c r="R20" s="139"/>
      <c r="S20" s="138"/>
      <c r="T20" s="139"/>
      <c r="U20" s="139"/>
      <c r="V20" s="107">
        <v>0</v>
      </c>
      <c r="W20" s="150">
        <f t="shared" si="18"/>
        <v>0</v>
      </c>
      <c r="X20" s="19">
        <v>0</v>
      </c>
      <c r="Y20" s="19">
        <v>0</v>
      </c>
      <c r="Z20" s="20">
        <v>0</v>
      </c>
      <c r="AA20" s="150">
        <f t="shared" si="19"/>
        <v>0</v>
      </c>
      <c r="AB20" s="7">
        <v>0</v>
      </c>
      <c r="AC20" s="150">
        <f t="shared" si="20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47</v>
      </c>
      <c r="B22" s="18" t="s">
        <v>10</v>
      </c>
      <c r="C22" s="18">
        <f>VLOOKUP($AN$1,DST!C:D,2,FALSE)</f>
        <v>6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129.21887999999998</v>
      </c>
      <c r="M22" s="146">
        <f t="shared" ref="M22:N25" si="21">L22*Y22</f>
        <v>96.009627840000007</v>
      </c>
      <c r="N22" s="146">
        <f t="shared" si="21"/>
        <v>1034.0236918368</v>
      </c>
      <c r="O22" s="146">
        <f t="shared" ref="O22:O25" si="22">M22*AH22</f>
        <v>8.25682799424</v>
      </c>
      <c r="Q22" s="13"/>
      <c r="R22" s="139"/>
      <c r="S22" s="138"/>
      <c r="T22" s="139"/>
      <c r="U22" s="139"/>
      <c r="V22" s="140"/>
      <c r="W22" s="154"/>
      <c r="X22" s="139"/>
      <c r="Y22" s="19">
        <v>0.7430000000000001</v>
      </c>
      <c r="Z22" s="20">
        <v>10.77</v>
      </c>
      <c r="AA22" s="150">
        <f>(AG22/SUM(AG$6:AG$25))*0.98</f>
        <v>0.2009</v>
      </c>
      <c r="AB22" s="7">
        <v>0.22538575593678439</v>
      </c>
      <c r="AC22" s="150">
        <f>(AH22/SUM(AH$6:AH$25))*0.98</f>
        <v>9.5198321377587491E-2</v>
      </c>
      <c r="AE22" s="168"/>
      <c r="AF22" s="168"/>
      <c r="AG22" s="19">
        <v>0.20499999999999999</v>
      </c>
      <c r="AH22" s="19">
        <v>8.5999999999999993E-2</v>
      </c>
    </row>
    <row r="23" spans="1:34" x14ac:dyDescent="0.2">
      <c r="A23" s="42" t="s">
        <v>610</v>
      </c>
      <c r="B23" s="18" t="s">
        <v>10</v>
      </c>
      <c r="C23" s="18">
        <f>VLOOKUP($AN$1,DST!C:D,2,FALSE)</f>
        <v>6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18.910079999999997</v>
      </c>
      <c r="M23" s="146">
        <f t="shared" si="21"/>
        <v>13.142505599999996</v>
      </c>
      <c r="N23" s="146">
        <f t="shared" si="21"/>
        <v>131.95075622399995</v>
      </c>
      <c r="O23" s="146">
        <f t="shared" si="22"/>
        <v>1.0119532691757369</v>
      </c>
      <c r="Q23" s="13"/>
      <c r="R23" s="139"/>
      <c r="S23" s="138"/>
      <c r="T23" s="139"/>
      <c r="U23" s="139"/>
      <c r="V23" s="140"/>
      <c r="W23" s="154"/>
      <c r="X23" s="139"/>
      <c r="Y23" s="19">
        <v>0.69499999999999995</v>
      </c>
      <c r="Z23" s="20">
        <v>10.039999999999999</v>
      </c>
      <c r="AA23" s="150">
        <f>(AG23/SUM(AG$6:AG$25))*0.98</f>
        <v>2.9399999999999999E-2</v>
      </c>
      <c r="AB23" s="7">
        <v>2.446747763533617E-2</v>
      </c>
      <c r="AC23" s="150">
        <f>(AH23/SUM(AH$6:AH$25))*0.98</f>
        <v>8.5234050271287026E-2</v>
      </c>
      <c r="AE23" s="168"/>
      <c r="AF23" s="168"/>
      <c r="AG23" s="19">
        <v>0.03</v>
      </c>
      <c r="AH23" s="19">
        <v>7.699850393639833E-2</v>
      </c>
    </row>
    <row r="24" spans="1:34" x14ac:dyDescent="0.2">
      <c r="A24" s="42"/>
      <c r="B24" s="18" t="s">
        <v>10</v>
      </c>
      <c r="C24" s="18">
        <f>VLOOKUP($AN$1,DST!C:D,2,FALSE)</f>
        <v>6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0</v>
      </c>
      <c r="M24" s="146">
        <f t="shared" si="21"/>
        <v>0</v>
      </c>
      <c r="N24" s="146">
        <f t="shared" si="21"/>
        <v>0</v>
      </c>
      <c r="O24" s="146">
        <f t="shared" si="22"/>
        <v>0</v>
      </c>
      <c r="Q24" s="13"/>
      <c r="R24" s="139"/>
      <c r="S24" s="138"/>
      <c r="T24" s="139"/>
      <c r="U24" s="139"/>
      <c r="V24" s="140"/>
      <c r="W24" s="154"/>
      <c r="X24" s="139"/>
      <c r="Y24" s="19">
        <v>0</v>
      </c>
      <c r="Z24" s="20">
        <v>0</v>
      </c>
      <c r="AA24" s="150">
        <f>(AG24/SUM(AG$6:AG$25))*0.98</f>
        <v>0</v>
      </c>
      <c r="AB24" s="7">
        <v>2.4055756679250383E-2</v>
      </c>
      <c r="AC24" s="150">
        <f>(AH24/SUM(AH$6:AH$25))*0.98</f>
        <v>0</v>
      </c>
      <c r="AE24" s="168"/>
      <c r="AF24" s="168"/>
      <c r="AG24" s="19">
        <v>0</v>
      </c>
      <c r="AH24" s="19">
        <v>0</v>
      </c>
    </row>
    <row r="25" spans="1:34" x14ac:dyDescent="0.2">
      <c r="A25" s="42"/>
      <c r="B25" s="18" t="s">
        <v>10</v>
      </c>
      <c r="C25" s="18">
        <f>VLOOKUP($AN$1,DST!C:D,2,FALSE)</f>
        <v>6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21"/>
        <v>0</v>
      </c>
      <c r="N25" s="146">
        <f t="shared" si="21"/>
        <v>0</v>
      </c>
      <c r="O25" s="146">
        <f t="shared" si="22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0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264</v>
      </c>
      <c r="X27" s="30"/>
      <c r="Y27" s="30"/>
      <c r="Z27" s="31"/>
      <c r="AA27" s="9" t="s">
        <v>264</v>
      </c>
      <c r="AB27" s="9" t="s">
        <v>264</v>
      </c>
      <c r="AC27" s="9" t="s">
        <v>264</v>
      </c>
      <c r="AD27" s="44"/>
      <c r="AE27" s="9" t="s">
        <v>264</v>
      </c>
      <c r="AF27" s="9" t="s">
        <v>264</v>
      </c>
      <c r="AG27" s="9" t="s">
        <v>264</v>
      </c>
    </row>
    <row r="28" spans="1:34" s="27" customFormat="1" x14ac:dyDescent="0.2">
      <c r="A28" s="45" t="s">
        <v>265</v>
      </c>
      <c r="B28" s="28"/>
      <c r="C28" s="28"/>
      <c r="D28" s="34" t="s">
        <v>269</v>
      </c>
      <c r="E28" s="34" t="s">
        <v>266</v>
      </c>
      <c r="F28" s="155" t="s">
        <v>267</v>
      </c>
      <c r="G28" s="34" t="s">
        <v>286</v>
      </c>
      <c r="H28" s="34" t="s">
        <v>268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0.97999999999999987</v>
      </c>
      <c r="X28" s="30"/>
      <c r="Y28" s="30"/>
      <c r="Z28" s="31"/>
      <c r="AA28" s="150">
        <f>SUM(AA6:AA25)</f>
        <v>0.97999999999999987</v>
      </c>
      <c r="AB28" s="150">
        <f>SUM(AB2:AB4,AB6:AB11,AB13:AB20,AB22:AB25)</f>
        <v>1.0994089464849224</v>
      </c>
      <c r="AC28" s="150">
        <f>SUM(AC6:AC25)</f>
        <v>0.98000000000000009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</v>
      </c>
    </row>
    <row r="29" spans="1:34" s="27" customFormat="1" x14ac:dyDescent="0.2">
      <c r="A29" s="43"/>
      <c r="B29" s="28"/>
      <c r="C29" s="28"/>
      <c r="D29" s="46">
        <v>1072</v>
      </c>
      <c r="E29" s="47">
        <v>0.6</v>
      </c>
      <c r="F29" s="2">
        <f>1-E29</f>
        <v>0.4</v>
      </c>
      <c r="G29" s="106">
        <v>4.5</v>
      </c>
      <c r="H29" s="126">
        <v>3.3000000000000002E-2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265</v>
      </c>
      <c r="B31" s="28"/>
      <c r="C31" s="28"/>
      <c r="D31" s="162" t="s">
        <v>278</v>
      </c>
      <c r="E31" s="162" t="s">
        <v>1</v>
      </c>
      <c r="F31" s="162" t="s">
        <v>263</v>
      </c>
      <c r="G31" s="162" t="s">
        <v>137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643.19999999999993</v>
      </c>
      <c r="E32" s="156">
        <f>SUM(E2:E4)</f>
        <v>433.30454399999996</v>
      </c>
      <c r="F32" s="156">
        <f>SUM(F2:F4)</f>
        <v>4914.9021638626882</v>
      </c>
      <c r="G32" s="156">
        <f>SUM(G2:G4)</f>
        <v>35.995973360971455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265</v>
      </c>
      <c r="B34" s="28"/>
      <c r="C34" s="28"/>
      <c r="D34" s="162" t="s">
        <v>270</v>
      </c>
      <c r="E34" s="162" t="s">
        <v>263</v>
      </c>
      <c r="F34" s="162" t="s">
        <v>137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428.8</v>
      </c>
      <c r="E35" s="156">
        <f>D35*G29</f>
        <v>1929.6000000000001</v>
      </c>
      <c r="F35" s="156">
        <f>D35*H29</f>
        <v>14.150400000000001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279</v>
      </c>
      <c r="B37" s="37"/>
      <c r="C37" s="37"/>
      <c r="D37" s="10" t="s">
        <v>273</v>
      </c>
      <c r="E37" s="161" t="s">
        <v>274</v>
      </c>
      <c r="F37" s="10" t="s">
        <v>275</v>
      </c>
      <c r="G37" s="10" t="s">
        <v>271</v>
      </c>
      <c r="H37" s="161" t="s">
        <v>272</v>
      </c>
      <c r="I37" s="10" t="s">
        <v>276</v>
      </c>
      <c r="J37" s="160" t="s">
        <v>277</v>
      </c>
      <c r="P37" s="37"/>
      <c r="Q37" s="37"/>
      <c r="R37" s="37"/>
      <c r="S37" s="37"/>
      <c r="T37" s="37"/>
      <c r="U37" s="37"/>
      <c r="V37" s="181"/>
      <c r="W37" s="37"/>
      <c r="X37" s="30"/>
      <c r="Y37" s="30"/>
      <c r="Z37" s="181"/>
      <c r="AA37" s="37"/>
      <c r="AB37" s="37"/>
      <c r="AC37" s="37"/>
      <c r="AE37" s="37"/>
      <c r="AF37" s="37"/>
      <c r="AH37" s="30"/>
    </row>
    <row r="38" spans="1:34" ht="13.5" thickBot="1" x14ac:dyDescent="0.25">
      <c r="D38" s="157">
        <f>SUM(I2:I20)</f>
        <v>420.22399999999999</v>
      </c>
      <c r="E38" s="157">
        <f>SUM(J2:J4,J6:J11,J13:J20)</f>
        <v>1929.2018296093752</v>
      </c>
      <c r="F38" s="157">
        <f>SUM(K2:K4,K6:K11,K13:K20)</f>
        <v>14.115270283392036</v>
      </c>
      <c r="G38" s="157">
        <f>SUM(L6:L11,L13:L20,L22:L25)</f>
        <v>630.3359999999999</v>
      </c>
      <c r="H38" s="157">
        <f>SUM(M6:M11,M13:M20,M22:M25)</f>
        <v>433.0717184639999</v>
      </c>
      <c r="I38" s="157">
        <f>SUM(N6:N11,N13:N20,N22:N25)</f>
        <v>4912.8864940659605</v>
      </c>
      <c r="J38" s="157">
        <f>SUM(O6:O11,O13:O20,O22:O25)</f>
        <v>35.94987730884084</v>
      </c>
      <c r="Q38" s="18"/>
      <c r="R38" s="18"/>
      <c r="S38" s="18"/>
      <c r="T38" s="18"/>
      <c r="U38" s="18"/>
      <c r="V38" s="181"/>
      <c r="W38" s="18"/>
      <c r="X38" s="30"/>
      <c r="Y38" s="30"/>
      <c r="Z38" s="181"/>
      <c r="AC38" s="18"/>
      <c r="AH38" s="30"/>
    </row>
    <row r="39" spans="1:34" ht="13.5" thickTop="1" x14ac:dyDescent="0.2">
      <c r="D39" s="158">
        <f>D35-D38</f>
        <v>8.5760000000000218</v>
      </c>
      <c r="E39" s="158">
        <f>E35-E38</f>
        <v>0.39817039062495496</v>
      </c>
      <c r="F39" s="158">
        <f>F35-F38</f>
        <v>3.5129716607965378E-2</v>
      </c>
      <c r="G39" s="158">
        <f>SUM(D2:D4)-G38</f>
        <v>12.864000000000033</v>
      </c>
      <c r="H39" s="158">
        <f>E32-H38</f>
        <v>0.23282553600006395</v>
      </c>
      <c r="I39" s="158">
        <f>F32-I38</f>
        <v>2.0156697967277069</v>
      </c>
      <c r="J39" s="158">
        <f>G32-J38</f>
        <v>4.6096052130614851E-2</v>
      </c>
      <c r="Q39" s="18"/>
      <c r="R39" s="18"/>
      <c r="S39" s="18"/>
      <c r="T39" s="18"/>
      <c r="U39" s="18"/>
      <c r="V39" s="181"/>
      <c r="W39" s="18"/>
      <c r="X39" s="30"/>
      <c r="Y39" s="30"/>
      <c r="Z39" s="181"/>
      <c r="AC39" s="18"/>
      <c r="AH39" s="30"/>
    </row>
    <row r="40" spans="1:34" x14ac:dyDescent="0.2">
      <c r="I40" s="26"/>
      <c r="J40" s="25"/>
      <c r="K40" s="26"/>
      <c r="L40" s="26"/>
      <c r="M40" s="25"/>
      <c r="N40" s="26"/>
      <c r="Q40" s="18"/>
      <c r="R40" s="18"/>
      <c r="S40" s="18"/>
      <c r="T40" s="18"/>
      <c r="U40" s="18"/>
      <c r="V40" s="181"/>
      <c r="W40" s="18"/>
      <c r="X40" s="30"/>
      <c r="Y40" s="30"/>
      <c r="Z40" s="181"/>
      <c r="AC40" s="18"/>
      <c r="AH40" s="30"/>
    </row>
    <row r="41" spans="1:34" x14ac:dyDescent="0.2">
      <c r="V41" s="181"/>
      <c r="X41" s="30"/>
      <c r="Y41" s="30"/>
      <c r="Z41" s="181"/>
      <c r="AH41" s="30"/>
    </row>
    <row r="42" spans="1:34" x14ac:dyDescent="0.2">
      <c r="V42" s="181"/>
      <c r="X42" s="30"/>
      <c r="Y42" s="30"/>
      <c r="Z42" s="181"/>
      <c r="AH42" s="30"/>
    </row>
    <row r="43" spans="1:34" x14ac:dyDescent="0.2">
      <c r="V43" s="181"/>
      <c r="X43" s="30"/>
      <c r="Y43" s="30"/>
      <c r="Z43" s="181"/>
      <c r="AH43" s="30"/>
    </row>
    <row r="44" spans="1:34" x14ac:dyDescent="0.2">
      <c r="V44" s="181"/>
      <c r="X44" s="30"/>
      <c r="Y44" s="30"/>
      <c r="Z44" s="181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N46" s="23"/>
      <c r="O46" s="23"/>
      <c r="V46" s="181"/>
      <c r="X46" s="30"/>
      <c r="Y46" s="30"/>
      <c r="Z46" s="181"/>
      <c r="AH46" s="30"/>
    </row>
    <row r="47" spans="1:34" x14ac:dyDescent="0.2">
      <c r="N47" s="23"/>
      <c r="O47" s="23"/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sortState xmlns:xlrd2="http://schemas.microsoft.com/office/spreadsheetml/2017/richdata2" ref="A13:AH20">
    <sortCondition descending="1" ref="N13:N20"/>
  </sortState>
  <conditionalFormatting sqref="D39:J39">
    <cfRule type="cellIs" dxfId="50" priority="1" operator="lessThan">
      <formula>0</formula>
    </cfRule>
  </conditionalFormatting>
  <conditionalFormatting sqref="W28">
    <cfRule type="cellIs" dxfId="49" priority="2" operator="greaterThan">
      <formula>1</formula>
    </cfRule>
  </conditionalFormatting>
  <conditionalFormatting sqref="AA28:AG28">
    <cfRule type="cellIs" dxfId="48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9">
    <tabColor rgb="FF808080"/>
  </sheetPr>
  <dimension ref="A1:AN64"/>
  <sheetViews>
    <sheetView showGridLines="0" zoomScale="85" zoomScaleNormal="85"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defaultColWidth="8.7109375" defaultRowHeight="12.75" x14ac:dyDescent="0.2"/>
  <cols>
    <col min="1" max="1" width="22.5703125" style="17" customWidth="1"/>
    <col min="2" max="3" width="8.7109375" style="18"/>
    <col min="4" max="13" width="8.7109375" style="23"/>
    <col min="14" max="15" width="8.7109375" style="18"/>
    <col min="16" max="16" width="4.7109375" style="18" customWidth="1"/>
    <col min="17" max="18" width="8.7109375" style="26"/>
    <col min="19" max="19" width="8.7109375" style="23"/>
    <col min="20" max="21" width="8.7109375" style="26"/>
    <col min="22" max="23" width="8.7109375" style="25"/>
    <col min="24" max="25" width="8.7109375" style="26"/>
    <col min="26" max="26" width="8.7109375" style="25"/>
    <col min="27" max="27" width="8.7109375" style="18"/>
    <col min="28" max="28" width="0" style="18" hidden="1" customWidth="1"/>
    <col min="29" max="29" width="8.7109375" style="26"/>
    <col min="30" max="30" width="4.7109375" style="17" customWidth="1"/>
    <col min="31" max="32" width="8.7109375" style="18"/>
    <col min="33" max="16384" width="8.7109375" style="17"/>
  </cols>
  <sheetData>
    <row r="1" spans="1:40" s="15" customFormat="1" ht="25.5" customHeight="1" x14ac:dyDescent="0.2">
      <c r="A1" s="15" t="s">
        <v>0</v>
      </c>
      <c r="B1" s="15" t="s">
        <v>8</v>
      </c>
      <c r="C1" s="15" t="s">
        <v>122</v>
      </c>
      <c r="D1" s="159" t="s">
        <v>210</v>
      </c>
      <c r="E1" s="159" t="s">
        <v>1</v>
      </c>
      <c r="F1" s="159" t="s">
        <v>213</v>
      </c>
      <c r="G1" s="159" t="s">
        <v>228</v>
      </c>
      <c r="H1" s="159" t="s">
        <v>2</v>
      </c>
      <c r="I1" s="159" t="s">
        <v>229</v>
      </c>
      <c r="J1" s="159" t="s">
        <v>217</v>
      </c>
      <c r="K1" s="159" t="s">
        <v>230</v>
      </c>
      <c r="L1" s="159" t="s">
        <v>219</v>
      </c>
      <c r="M1" s="159" t="s">
        <v>4</v>
      </c>
      <c r="N1" s="159" t="s">
        <v>223</v>
      </c>
      <c r="O1" s="159" t="s">
        <v>231</v>
      </c>
      <c r="Q1" s="160" t="s">
        <v>281</v>
      </c>
      <c r="R1" s="133" t="s">
        <v>232</v>
      </c>
      <c r="S1" s="134" t="s">
        <v>451</v>
      </c>
      <c r="T1" s="133" t="s">
        <v>205</v>
      </c>
      <c r="U1" s="133" t="s">
        <v>209</v>
      </c>
      <c r="V1" s="135" t="s">
        <v>280</v>
      </c>
      <c r="W1" s="161" t="s">
        <v>282</v>
      </c>
      <c r="X1" s="133" t="s">
        <v>233</v>
      </c>
      <c r="Y1" s="179" t="s">
        <v>234</v>
      </c>
      <c r="Z1" s="135" t="s">
        <v>235</v>
      </c>
      <c r="AA1" s="160" t="s">
        <v>236</v>
      </c>
      <c r="AB1" s="160" t="s">
        <v>237</v>
      </c>
      <c r="AC1" s="10" t="s">
        <v>262</v>
      </c>
      <c r="AE1" s="136" t="s">
        <v>283</v>
      </c>
      <c r="AF1" s="137" t="s">
        <v>284</v>
      </c>
      <c r="AG1" s="136" t="s">
        <v>285</v>
      </c>
      <c r="AH1" s="136" t="s">
        <v>450</v>
      </c>
      <c r="AN1" s="15" t="s">
        <v>162</v>
      </c>
    </row>
    <row r="2" spans="1:40" x14ac:dyDescent="0.2">
      <c r="A2" s="17" t="s">
        <v>382</v>
      </c>
      <c r="B2" s="18" t="s">
        <v>9</v>
      </c>
      <c r="C2" s="18">
        <f>VLOOKUP($AN$1,DST!C:D,2,FALSE)</f>
        <v>10</v>
      </c>
      <c r="D2" s="146">
        <f>D$32*Q2</f>
        <v>356.7</v>
      </c>
      <c r="E2" s="146">
        <f>D2*R2</f>
        <v>225.75824425507463</v>
      </c>
      <c r="F2" s="146">
        <f>E2*S2</f>
        <v>2490.1134341334732</v>
      </c>
      <c r="G2" s="146">
        <f>D2*T2</f>
        <v>14.151877824588276</v>
      </c>
      <c r="H2" s="146">
        <f>E2*U2</f>
        <v>4.5128046263222679</v>
      </c>
      <c r="I2" s="146">
        <f>D$35*W2</f>
        <v>16.875600000000002</v>
      </c>
      <c r="J2" s="146">
        <f>I2*V2</f>
        <v>54.293457007236555</v>
      </c>
      <c r="K2" s="146">
        <f>I2*X2</f>
        <v>0.7363239903512705</v>
      </c>
      <c r="L2" s="147"/>
      <c r="M2" s="147"/>
      <c r="N2" s="147"/>
      <c r="O2" s="147"/>
      <c r="Q2" s="150">
        <f>(AE2/SUM(AE$2:AE$25))</f>
        <v>0.6</v>
      </c>
      <c r="R2" s="19">
        <v>0.63290788969743383</v>
      </c>
      <c r="S2" s="107">
        <v>11.03</v>
      </c>
      <c r="T2" s="19">
        <v>3.9674454232094973E-2</v>
      </c>
      <c r="U2" s="19">
        <v>1.9989545193412481E-2</v>
      </c>
      <c r="V2" s="107">
        <v>3.2172756528500646</v>
      </c>
      <c r="W2" s="150">
        <f>(AF2/SUM(AF$2:AF$20))*0.98</f>
        <v>3.9199999999999999E-2</v>
      </c>
      <c r="X2" s="19">
        <v>4.3632462866580769E-2</v>
      </c>
      <c r="Y2" s="21"/>
      <c r="Z2" s="22"/>
      <c r="AA2" s="1"/>
      <c r="AB2" s="1"/>
      <c r="AC2" s="1"/>
      <c r="AE2" s="19">
        <v>0.6</v>
      </c>
      <c r="AF2" s="19">
        <v>0.04</v>
      </c>
      <c r="AG2" s="168"/>
      <c r="AH2" s="168"/>
    </row>
    <row r="3" spans="1:40" x14ac:dyDescent="0.2">
      <c r="A3" s="17" t="s">
        <v>563</v>
      </c>
      <c r="B3" s="18" t="s">
        <v>9</v>
      </c>
      <c r="C3" s="18">
        <f>VLOOKUP($AN$1,DST!C:D,2,FALSE)</f>
        <v>10</v>
      </c>
      <c r="D3" s="146">
        <f>D$32*Q3</f>
        <v>237.8</v>
      </c>
      <c r="E3" s="146">
        <f t="shared" ref="E3:F4" si="0">D3*R3</f>
        <v>149.6689612148231</v>
      </c>
      <c r="F3" s="146">
        <f t="shared" si="0"/>
        <v>1619.418160344386</v>
      </c>
      <c r="G3" s="146">
        <f t="shared" ref="G3:G4" si="1">D3*T3</f>
        <v>9.0364000000000004</v>
      </c>
      <c r="H3" s="146">
        <f t="shared" ref="H3:H4" si="2">E3*U3</f>
        <v>3.3550777682249509</v>
      </c>
      <c r="I3" s="146">
        <f>D$35*W3</f>
        <v>4.2189000000000005</v>
      </c>
      <c r="J3" s="146">
        <f>I3*V3</f>
        <v>11.564294717776551</v>
      </c>
      <c r="K3" s="146">
        <f>I3*X3</f>
        <v>0.12144320779311012</v>
      </c>
      <c r="L3" s="147"/>
      <c r="M3" s="147"/>
      <c r="N3" s="147"/>
      <c r="O3" s="147"/>
      <c r="Q3" s="150">
        <f>(AE3/SUM(AE$2:AE$25))</f>
        <v>0.4</v>
      </c>
      <c r="R3" s="19">
        <v>0.62939008080245207</v>
      </c>
      <c r="S3" s="107">
        <v>10.82</v>
      </c>
      <c r="T3" s="19">
        <v>3.7999999999999999E-2</v>
      </c>
      <c r="U3" s="19">
        <v>2.2416657007522989E-2</v>
      </c>
      <c r="V3" s="107">
        <v>2.7410686951045413</v>
      </c>
      <c r="W3" s="150">
        <f>(AF3/SUM(AF$2:AF$20))*0.98</f>
        <v>9.7999999999999997E-3</v>
      </c>
      <c r="X3" s="19">
        <v>2.8785514658586385E-2</v>
      </c>
      <c r="Y3" s="21"/>
      <c r="Z3" s="22"/>
      <c r="AA3" s="1"/>
      <c r="AB3" s="1"/>
      <c r="AC3" s="1"/>
      <c r="AE3" s="19">
        <v>0.4</v>
      </c>
      <c r="AF3" s="19">
        <v>0.01</v>
      </c>
      <c r="AG3" s="168"/>
      <c r="AH3" s="168"/>
    </row>
    <row r="4" spans="1:40" x14ac:dyDescent="0.2">
      <c r="B4" s="18" t="s">
        <v>9</v>
      </c>
      <c r="C4" s="18">
        <f>VLOOKUP($AN$1,DST!C:D,2,FALSE)</f>
        <v>10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/>
      <c r="AF4" s="19"/>
      <c r="AG4" s="168"/>
      <c r="AH4" s="168"/>
    </row>
    <row r="5" spans="1:40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40" x14ac:dyDescent="0.2">
      <c r="A6" s="176" t="s">
        <v>409</v>
      </c>
      <c r="B6" s="18" t="s">
        <v>207</v>
      </c>
      <c r="C6" s="18">
        <f>VLOOKUP($AN$1,DST!C:D,2,FALSE)</f>
        <v>10</v>
      </c>
      <c r="D6" s="147"/>
      <c r="E6" s="147"/>
      <c r="F6" s="147"/>
      <c r="G6" s="147"/>
      <c r="H6" s="147"/>
      <c r="I6" s="146">
        <f t="shared" ref="I6:I11" si="3">D$35*W6</f>
        <v>253.13400000000001</v>
      </c>
      <c r="J6" s="146">
        <f>I6*V6</f>
        <v>1088.4762000000001</v>
      </c>
      <c r="K6" s="146">
        <f>I6*X6</f>
        <v>8.1002880000000008</v>
      </c>
      <c r="L6" s="146">
        <f>((D$2+D$3+D$4)*AA6)</f>
        <v>34.956600000000002</v>
      </c>
      <c r="M6" s="146">
        <f t="shared" ref="M6:N11" si="4">L6*Y6</f>
        <v>25.518318000000001</v>
      </c>
      <c r="N6" s="146">
        <f t="shared" si="4"/>
        <v>182.45474291871378</v>
      </c>
      <c r="O6" s="146">
        <f>M6*AH6</f>
        <v>0.62991635152821857</v>
      </c>
      <c r="Q6" s="13"/>
      <c r="R6" s="139"/>
      <c r="S6" s="138"/>
      <c r="T6" s="139"/>
      <c r="U6" s="139"/>
      <c r="V6" s="107">
        <v>4.3</v>
      </c>
      <c r="W6" s="150">
        <f t="shared" ref="W6:W11" si="5">(AF6/SUM(AF$2:AF$20))*0.98</f>
        <v>0.58799999999999997</v>
      </c>
      <c r="X6" s="19">
        <v>3.2000000000000001E-2</v>
      </c>
      <c r="Y6" s="19">
        <v>0.73</v>
      </c>
      <c r="Z6" s="20">
        <v>7.1499517687142928</v>
      </c>
      <c r="AA6" s="150">
        <f t="shared" ref="AA6:AA11" si="6">(AG6/SUM(AG$6:AG$25))*0.98</f>
        <v>5.8799999999999998E-2</v>
      </c>
      <c r="AB6" s="7">
        <v>6.733848381973366E-2</v>
      </c>
      <c r="AC6" s="150">
        <f t="shared" ref="AC6:AC11" si="7">(AH6/SUM(AH$6:AH$25))*0.98</f>
        <v>3.8925003778516043E-2</v>
      </c>
      <c r="AE6" s="168"/>
      <c r="AF6" s="19">
        <v>0.6</v>
      </c>
      <c r="AG6" s="19">
        <v>0.06</v>
      </c>
      <c r="AH6" s="19">
        <v>2.4684869572054808E-2</v>
      </c>
    </row>
    <row r="7" spans="1:40" x14ac:dyDescent="0.2">
      <c r="A7" s="176" t="s">
        <v>81</v>
      </c>
      <c r="B7" s="18" t="s">
        <v>207</v>
      </c>
      <c r="C7" s="18">
        <f>VLOOKUP($AN$1,DST!C:D,2,FALSE)</f>
        <v>10</v>
      </c>
      <c r="D7" s="147"/>
      <c r="E7" s="147"/>
      <c r="F7" s="147"/>
      <c r="G7" s="147"/>
      <c r="H7" s="147"/>
      <c r="I7" s="146">
        <f t="shared" si="3"/>
        <v>97.034700000000015</v>
      </c>
      <c r="J7" s="146">
        <f>I7*V7</f>
        <v>384.91243466048115</v>
      </c>
      <c r="K7" s="146">
        <f>I7*X7</f>
        <v>2.6199369000000003</v>
      </c>
      <c r="L7" s="146">
        <f>((D$2+D$3+D$4)*AA7)</f>
        <v>29.130500000000001</v>
      </c>
      <c r="M7" s="146">
        <f t="shared" si="4"/>
        <v>20.449611000000008</v>
      </c>
      <c r="N7" s="146">
        <f t="shared" si="4"/>
        <v>142.84275470573382</v>
      </c>
      <c r="O7" s="146">
        <f t="shared" ref="O7:O11" si="8">M7*AH7</f>
        <v>0.90727212057443829</v>
      </c>
      <c r="Q7" s="13"/>
      <c r="R7" s="139"/>
      <c r="S7" s="138"/>
      <c r="T7" s="139"/>
      <c r="U7" s="139"/>
      <c r="V7" s="107">
        <v>3.9667503961003754</v>
      </c>
      <c r="W7" s="150">
        <f t="shared" si="5"/>
        <v>0.22540000000000002</v>
      </c>
      <c r="X7" s="19">
        <v>2.7E-2</v>
      </c>
      <c r="Y7" s="19">
        <v>0.70200000000000018</v>
      </c>
      <c r="Z7" s="20">
        <v>6.9851086510023972</v>
      </c>
      <c r="AA7" s="150">
        <f t="shared" si="6"/>
        <v>4.9000000000000002E-2</v>
      </c>
      <c r="AB7" s="7">
        <v>7.7565598830027963E-2</v>
      </c>
      <c r="AC7" s="150">
        <f t="shared" si="7"/>
        <v>6.9960087039753358E-2</v>
      </c>
      <c r="AE7" s="168"/>
      <c r="AF7" s="19">
        <v>0.23</v>
      </c>
      <c r="AG7" s="19">
        <v>0.05</v>
      </c>
      <c r="AH7" s="19">
        <v>4.4366228803786927E-2</v>
      </c>
    </row>
    <row r="8" spans="1:40" x14ac:dyDescent="0.2">
      <c r="A8" s="17" t="s">
        <v>611</v>
      </c>
      <c r="B8" s="18" t="s">
        <v>207</v>
      </c>
      <c r="C8" s="18">
        <f>VLOOKUP($AN$1,DST!C:D,2,FALSE)</f>
        <v>10</v>
      </c>
      <c r="D8" s="147"/>
      <c r="E8" s="147"/>
      <c r="F8" s="147"/>
      <c r="G8" s="147"/>
      <c r="H8" s="147"/>
      <c r="I8" s="146">
        <f t="shared" si="3"/>
        <v>46.407900000000005</v>
      </c>
      <c r="J8" s="146">
        <f>I8*V8</f>
        <v>198.69206506604641</v>
      </c>
      <c r="K8" s="146">
        <f>I8*X8</f>
        <v>1.4850528000000003</v>
      </c>
      <c r="L8" s="146">
        <f>((D$2+D$3+D$4)*AA8)</f>
        <v>23.304399999999998</v>
      </c>
      <c r="M8" s="146">
        <f t="shared" si="4"/>
        <v>17.105429599999994</v>
      </c>
      <c r="N8" s="146">
        <f t="shared" si="4"/>
        <v>132.31325108910247</v>
      </c>
      <c r="O8" s="146">
        <f t="shared" si="8"/>
        <v>0.48073023317946967</v>
      </c>
      <c r="Q8" s="13"/>
      <c r="R8" s="139"/>
      <c r="S8" s="138"/>
      <c r="T8" s="139"/>
      <c r="U8" s="139"/>
      <c r="V8" s="107">
        <v>4.2814276247373053</v>
      </c>
      <c r="W8" s="150">
        <f t="shared" si="5"/>
        <v>0.10779999999999999</v>
      </c>
      <c r="X8" s="19">
        <v>3.2000000000000001E-2</v>
      </c>
      <c r="Y8" s="19">
        <v>0.73399999999999987</v>
      </c>
      <c r="Z8" s="20">
        <v>7.735160950830636</v>
      </c>
      <c r="AA8" s="150">
        <f t="shared" si="6"/>
        <v>3.9199999999999999E-2</v>
      </c>
      <c r="AB8" s="7">
        <v>3.1936167277749304E-2</v>
      </c>
      <c r="AC8" s="150">
        <f t="shared" si="7"/>
        <v>4.43164819188906E-2</v>
      </c>
      <c r="AE8" s="168"/>
      <c r="AF8" s="19">
        <v>0.11</v>
      </c>
      <c r="AG8" s="19">
        <v>0.04</v>
      </c>
      <c r="AH8" s="19">
        <v>2.8103955552187351E-2</v>
      </c>
    </row>
    <row r="9" spans="1:40" x14ac:dyDescent="0.2">
      <c r="B9" s="18" t="s">
        <v>207</v>
      </c>
      <c r="C9" s="18">
        <f>VLOOKUP($AN$1,DST!C:D,2,FALSE)</f>
        <v>10</v>
      </c>
      <c r="D9" s="147"/>
      <c r="E9" s="147"/>
      <c r="F9" s="147"/>
      <c r="G9" s="147"/>
      <c r="H9" s="147"/>
      <c r="I9" s="146">
        <f t="shared" si="3"/>
        <v>0</v>
      </c>
      <c r="J9" s="146">
        <f t="shared" ref="J9:J11" si="9">I9*V9</f>
        <v>0</v>
      </c>
      <c r="K9" s="146">
        <f t="shared" ref="K9:K11" si="10">I9*X9</f>
        <v>0</v>
      </c>
      <c r="L9" s="146">
        <f t="shared" ref="L9:L11" si="11">((D$2+D$3+D$4)*AA9)</f>
        <v>0</v>
      </c>
      <c r="M9" s="146">
        <f t="shared" si="4"/>
        <v>0</v>
      </c>
      <c r="N9" s="146">
        <f t="shared" si="4"/>
        <v>0</v>
      </c>
      <c r="O9" s="146">
        <f t="shared" si="8"/>
        <v>0</v>
      </c>
      <c r="Q9" s="13"/>
      <c r="R9" s="139"/>
      <c r="S9" s="138"/>
      <c r="T9" s="139"/>
      <c r="U9" s="139"/>
      <c r="V9" s="107">
        <v>0</v>
      </c>
      <c r="W9" s="150">
        <f t="shared" si="5"/>
        <v>0</v>
      </c>
      <c r="X9" s="19">
        <v>0</v>
      </c>
      <c r="Y9" s="19">
        <v>0</v>
      </c>
      <c r="Z9" s="20">
        <v>0</v>
      </c>
      <c r="AA9" s="150">
        <f t="shared" si="6"/>
        <v>0</v>
      </c>
      <c r="AB9" s="7">
        <v>1.4932385521307857E-2</v>
      </c>
      <c r="AC9" s="150">
        <f t="shared" si="7"/>
        <v>0</v>
      </c>
      <c r="AE9" s="168"/>
      <c r="AF9" s="19">
        <v>0</v>
      </c>
      <c r="AG9" s="19">
        <v>0</v>
      </c>
      <c r="AH9" s="19">
        <v>0</v>
      </c>
    </row>
    <row r="10" spans="1:40" x14ac:dyDescent="0.2">
      <c r="B10" s="18" t="s">
        <v>207</v>
      </c>
      <c r="C10" s="18">
        <f>VLOOKUP($AN$1,DST!C:D,2,FALSE)</f>
        <v>10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9"/>
        <v>0</v>
      </c>
      <c r="K10" s="146">
        <f t="shared" si="10"/>
        <v>0</v>
      </c>
      <c r="L10" s="146">
        <f t="shared" si="11"/>
        <v>0</v>
      </c>
      <c r="M10" s="146">
        <f t="shared" si="4"/>
        <v>0</v>
      </c>
      <c r="N10" s="146">
        <f t="shared" si="4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5"/>
        <v>0</v>
      </c>
      <c r="X10" s="19">
        <v>0</v>
      </c>
      <c r="Y10" s="19">
        <v>0</v>
      </c>
      <c r="Z10" s="20">
        <v>0</v>
      </c>
      <c r="AA10" s="150">
        <f t="shared" si="6"/>
        <v>0</v>
      </c>
      <c r="AB10" s="7">
        <v>7.3836965287373425E-3</v>
      </c>
      <c r="AC10" s="150">
        <f t="shared" si="7"/>
        <v>0</v>
      </c>
      <c r="AE10" s="168"/>
      <c r="AF10" s="19">
        <v>0</v>
      </c>
      <c r="AG10" s="19">
        <v>0</v>
      </c>
      <c r="AH10" s="19">
        <v>0</v>
      </c>
    </row>
    <row r="11" spans="1:40" x14ac:dyDescent="0.2">
      <c r="B11" s="18" t="s">
        <v>207</v>
      </c>
      <c r="C11" s="18">
        <f>VLOOKUP($AN$1,DST!C:D,2,FALSE)</f>
        <v>10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9"/>
        <v>0</v>
      </c>
      <c r="K11" s="146">
        <f t="shared" si="10"/>
        <v>0</v>
      </c>
      <c r="L11" s="146">
        <f t="shared" si="11"/>
        <v>0</v>
      </c>
      <c r="M11" s="146">
        <f t="shared" si="4"/>
        <v>0</v>
      </c>
      <c r="N11" s="146">
        <f t="shared" si="4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5"/>
        <v>0</v>
      </c>
      <c r="X11" s="19">
        <v>0</v>
      </c>
      <c r="Y11" s="19">
        <v>0</v>
      </c>
      <c r="Z11" s="20">
        <v>0</v>
      </c>
      <c r="AA11" s="150">
        <f t="shared" si="6"/>
        <v>0</v>
      </c>
      <c r="AB11" s="7">
        <v>0</v>
      </c>
      <c r="AC11" s="150">
        <f t="shared" si="7"/>
        <v>0</v>
      </c>
      <c r="AE11" s="168"/>
      <c r="AF11" s="19">
        <v>0</v>
      </c>
      <c r="AG11" s="19">
        <v>0</v>
      </c>
      <c r="AH11" s="19">
        <v>0</v>
      </c>
    </row>
    <row r="12" spans="1:40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40" x14ac:dyDescent="0.2">
      <c r="A13" s="17" t="s">
        <v>43</v>
      </c>
      <c r="B13" s="18" t="s">
        <v>208</v>
      </c>
      <c r="C13" s="18">
        <f>VLOOKUP($AN$1,DST!C:D,2,FALSE)</f>
        <v>10</v>
      </c>
      <c r="D13" s="147"/>
      <c r="E13" s="147"/>
      <c r="F13" s="147"/>
      <c r="G13" s="147"/>
      <c r="H13" s="147"/>
      <c r="I13" s="146">
        <f t="shared" ref="I13:I20" si="12">D$35*W13</f>
        <v>0</v>
      </c>
      <c r="J13" s="146">
        <f t="shared" ref="J13:J20" si="13">I13*V13</f>
        <v>0</v>
      </c>
      <c r="K13" s="146">
        <f t="shared" ref="K13:K20" si="14">I13*X13</f>
        <v>0</v>
      </c>
      <c r="L13" s="146">
        <f t="shared" ref="L13:L20" si="15">((D$2+D$3+D$4)*AA13)</f>
        <v>153.22643000000002</v>
      </c>
      <c r="M13" s="146">
        <f t="shared" ref="M13:N20" si="16">L13*Y13</f>
        <v>91.32295228000001</v>
      </c>
      <c r="N13" s="146">
        <f t="shared" si="16"/>
        <v>1089.6110033262021</v>
      </c>
      <c r="O13" s="146">
        <f t="shared" ref="O13:O20" si="17">M13*AH13</f>
        <v>6.4839296118799998</v>
      </c>
      <c r="Q13" s="13"/>
      <c r="R13" s="139"/>
      <c r="S13" s="138"/>
      <c r="T13" s="139"/>
      <c r="U13" s="139"/>
      <c r="V13" s="107">
        <v>5.0199999999999996</v>
      </c>
      <c r="W13" s="150">
        <f t="shared" ref="W13:W20" si="18">(AF13/SUM(AF$2:AF$20))*0.98</f>
        <v>0</v>
      </c>
      <c r="X13" s="19">
        <v>0</v>
      </c>
      <c r="Y13" s="19">
        <v>0.59599999999999997</v>
      </c>
      <c r="Z13" s="20">
        <v>11.931403618943559</v>
      </c>
      <c r="AA13" s="150">
        <f t="shared" ref="AA13:AA20" si="19">(AG13/SUM(AG$6:AG$25))*0.98</f>
        <v>0.25774000000000002</v>
      </c>
      <c r="AB13" s="7">
        <v>0.11431128412235328</v>
      </c>
      <c r="AC13" s="150">
        <f t="shared" ref="AC13:AC20" si="20">(AH13/SUM(AH$6:AH$25))*0.98</f>
        <v>0.11195826902011806</v>
      </c>
      <c r="AE13" s="168"/>
      <c r="AF13" s="19">
        <v>0</v>
      </c>
      <c r="AG13" s="19">
        <v>0.26300000000000001</v>
      </c>
      <c r="AH13" s="19">
        <v>7.0999999999999994E-2</v>
      </c>
    </row>
    <row r="14" spans="1:40" x14ac:dyDescent="0.2">
      <c r="A14" s="172" t="s">
        <v>132</v>
      </c>
      <c r="B14" s="18" t="s">
        <v>208</v>
      </c>
      <c r="C14" s="18">
        <f>VLOOKUP($AN$1,DST!C:D,2,FALSE)</f>
        <v>10</v>
      </c>
      <c r="D14" s="147"/>
      <c r="E14" s="147"/>
      <c r="F14" s="147"/>
      <c r="G14" s="147"/>
      <c r="H14" s="147"/>
      <c r="I14" s="146">
        <f t="shared" si="12"/>
        <v>4.2189000000000005</v>
      </c>
      <c r="J14" s="146">
        <f t="shared" si="13"/>
        <v>23.246139000000003</v>
      </c>
      <c r="K14" s="146">
        <f t="shared" si="14"/>
        <v>6.2749530810861293E-2</v>
      </c>
      <c r="L14" s="146">
        <f t="shared" si="15"/>
        <v>118.26983</v>
      </c>
      <c r="M14" s="146">
        <f t="shared" si="16"/>
        <v>75.692691199999985</v>
      </c>
      <c r="N14" s="146">
        <f t="shared" si="16"/>
        <v>885.41638080094435</v>
      </c>
      <c r="O14" s="146">
        <f t="shared" si="17"/>
        <v>5.0714103103999992</v>
      </c>
      <c r="Q14" s="13"/>
      <c r="R14" s="139"/>
      <c r="S14" s="138"/>
      <c r="T14" s="139"/>
      <c r="U14" s="139"/>
      <c r="V14" s="107">
        <v>5.51</v>
      </c>
      <c r="W14" s="150">
        <f t="shared" si="18"/>
        <v>9.7999999999999997E-3</v>
      </c>
      <c r="X14" s="19">
        <v>1.4873434025661022E-2</v>
      </c>
      <c r="Y14" s="19">
        <v>0.6399999999999999</v>
      </c>
      <c r="Z14" s="20">
        <v>11.697514869189174</v>
      </c>
      <c r="AA14" s="150">
        <f t="shared" si="19"/>
        <v>0.19894000000000001</v>
      </c>
      <c r="AB14" s="7">
        <v>0.11974476710111195</v>
      </c>
      <c r="AC14" s="150">
        <f t="shared" si="20"/>
        <v>0.10565076090630861</v>
      </c>
      <c r="AE14" s="168"/>
      <c r="AF14" s="19">
        <v>0.01</v>
      </c>
      <c r="AG14" s="19">
        <v>0.20300000000000001</v>
      </c>
      <c r="AH14" s="19">
        <v>6.7000000000000004E-2</v>
      </c>
    </row>
    <row r="15" spans="1:40" x14ac:dyDescent="0.2">
      <c r="A15" s="17" t="s">
        <v>681</v>
      </c>
      <c r="B15" s="18" t="s">
        <v>208</v>
      </c>
      <c r="C15" s="18">
        <f>VLOOKUP($AN$1,DST!C:D,2,FALSE)</f>
        <v>10</v>
      </c>
      <c r="D15" s="147"/>
      <c r="E15" s="147"/>
      <c r="F15" s="147"/>
      <c r="G15" s="147"/>
      <c r="H15" s="147"/>
      <c r="I15" s="146">
        <f t="shared" si="12"/>
        <v>0</v>
      </c>
      <c r="J15" s="146">
        <f t="shared" si="13"/>
        <v>0</v>
      </c>
      <c r="K15" s="146">
        <f t="shared" si="14"/>
        <v>0</v>
      </c>
      <c r="L15" s="146">
        <f t="shared" si="15"/>
        <v>17.478300000000001</v>
      </c>
      <c r="M15" s="146">
        <f t="shared" si="16"/>
        <v>10.312196999999999</v>
      </c>
      <c r="N15" s="146">
        <f t="shared" si="16"/>
        <v>134.26480493999998</v>
      </c>
      <c r="O15" s="146">
        <f t="shared" si="17"/>
        <v>0.61873181999999993</v>
      </c>
      <c r="Q15" s="13"/>
      <c r="R15" s="139"/>
      <c r="S15" s="138"/>
      <c r="T15" s="139"/>
      <c r="U15" s="139"/>
      <c r="V15" s="107">
        <v>0</v>
      </c>
      <c r="W15" s="150">
        <f t="shared" si="18"/>
        <v>0</v>
      </c>
      <c r="X15" s="19">
        <v>0</v>
      </c>
      <c r="Y15" s="19">
        <v>0.59</v>
      </c>
      <c r="Z15" s="20">
        <v>13.02</v>
      </c>
      <c r="AA15" s="150">
        <f t="shared" si="19"/>
        <v>2.9399999999999999E-2</v>
      </c>
      <c r="AB15" s="7">
        <v>4.9865651337289124E-2</v>
      </c>
      <c r="AC15" s="150">
        <f t="shared" si="20"/>
        <v>9.4612621707142033E-2</v>
      </c>
      <c r="AE15" s="168"/>
      <c r="AF15" s="19">
        <v>0</v>
      </c>
      <c r="AG15" s="19">
        <v>0.03</v>
      </c>
      <c r="AH15" s="19">
        <v>0.06</v>
      </c>
    </row>
    <row r="16" spans="1:40" x14ac:dyDescent="0.2">
      <c r="A16" s="17" t="s">
        <v>501</v>
      </c>
      <c r="B16" s="18" t="s">
        <v>208</v>
      </c>
      <c r="C16" s="18">
        <f>VLOOKUP($AN$1,DST!C:D,2,FALSE)</f>
        <v>10</v>
      </c>
      <c r="D16" s="147"/>
      <c r="E16" s="147"/>
      <c r="F16" s="147"/>
      <c r="G16" s="147"/>
      <c r="H16" s="147"/>
      <c r="I16" s="146">
        <f t="shared" si="12"/>
        <v>0</v>
      </c>
      <c r="J16" s="146">
        <f t="shared" si="13"/>
        <v>0</v>
      </c>
      <c r="K16" s="146">
        <f t="shared" si="14"/>
        <v>0</v>
      </c>
      <c r="L16" s="146">
        <f t="shared" si="15"/>
        <v>37.869650000000007</v>
      </c>
      <c r="M16" s="146">
        <f t="shared" si="16"/>
        <v>21.472091549999998</v>
      </c>
      <c r="N16" s="146">
        <f t="shared" si="16"/>
        <v>278.18624155793555</v>
      </c>
      <c r="O16" s="146">
        <f t="shared" si="17"/>
        <v>1.3333823505397018</v>
      </c>
      <c r="Q16" s="13"/>
      <c r="R16" s="139"/>
      <c r="S16" s="138"/>
      <c r="T16" s="139"/>
      <c r="U16" s="139"/>
      <c r="V16" s="107">
        <v>5.58</v>
      </c>
      <c r="W16" s="150">
        <f t="shared" si="18"/>
        <v>0</v>
      </c>
      <c r="X16" s="19">
        <v>0</v>
      </c>
      <c r="Y16" s="19">
        <v>0.56699999999999984</v>
      </c>
      <c r="Z16" s="20">
        <v>12.955712344563636</v>
      </c>
      <c r="AA16" s="150">
        <f t="shared" si="19"/>
        <v>6.3700000000000007E-2</v>
      </c>
      <c r="AB16" s="7">
        <v>0.12636730898852205</v>
      </c>
      <c r="AC16" s="150">
        <f t="shared" si="20"/>
        <v>9.7921527291079294E-2</v>
      </c>
      <c r="AE16" s="168"/>
      <c r="AF16" s="19">
        <v>0</v>
      </c>
      <c r="AG16" s="19">
        <v>6.5000000000000002E-2</v>
      </c>
      <c r="AH16" s="19">
        <v>6.2098391646420767E-2</v>
      </c>
    </row>
    <row r="17" spans="1:34" x14ac:dyDescent="0.2">
      <c r="A17" s="17" t="s">
        <v>635</v>
      </c>
      <c r="B17" s="18" t="s">
        <v>208</v>
      </c>
      <c r="C17" s="18">
        <f>VLOOKUP($AN$1,DST!C:D,2,FALSE)</f>
        <v>10</v>
      </c>
      <c r="D17" s="147"/>
      <c r="E17" s="147"/>
      <c r="F17" s="147"/>
      <c r="G17" s="147"/>
      <c r="H17" s="147"/>
      <c r="I17" s="146">
        <f t="shared" si="12"/>
        <v>0</v>
      </c>
      <c r="J17" s="146">
        <f t="shared" si="13"/>
        <v>0</v>
      </c>
      <c r="K17" s="146">
        <f t="shared" si="14"/>
        <v>0</v>
      </c>
      <c r="L17" s="146">
        <f t="shared" si="15"/>
        <v>5.8260999999999994</v>
      </c>
      <c r="M17" s="146">
        <f t="shared" si="16"/>
        <v>3.3791379999999993</v>
      </c>
      <c r="N17" s="146">
        <f t="shared" si="16"/>
        <v>47.20933014656481</v>
      </c>
      <c r="O17" s="146">
        <f t="shared" si="17"/>
        <v>0.22978138399999998</v>
      </c>
      <c r="Q17" s="13"/>
      <c r="R17" s="139"/>
      <c r="S17" s="138"/>
      <c r="T17" s="139"/>
      <c r="U17" s="139"/>
      <c r="V17" s="107">
        <v>5.0199999999999996</v>
      </c>
      <c r="W17" s="150">
        <f t="shared" si="18"/>
        <v>0</v>
      </c>
      <c r="X17" s="19">
        <v>5.6497175141242946E-3</v>
      </c>
      <c r="Y17" s="19">
        <v>0.57999999999999996</v>
      </c>
      <c r="Z17" s="20">
        <v>13.97082041235511</v>
      </c>
      <c r="AA17" s="150">
        <f t="shared" si="19"/>
        <v>9.7999999999999997E-3</v>
      </c>
      <c r="AB17" s="7">
        <v>7.9410025759840117E-2</v>
      </c>
      <c r="AC17" s="150">
        <f t="shared" si="20"/>
        <v>0.10722763793476099</v>
      </c>
      <c r="AE17" s="168"/>
      <c r="AF17" s="19">
        <v>0</v>
      </c>
      <c r="AG17" s="19">
        <v>0.01</v>
      </c>
      <c r="AH17" s="19">
        <v>6.8000000000000005E-2</v>
      </c>
    </row>
    <row r="18" spans="1:34" x14ac:dyDescent="0.2">
      <c r="B18" s="18" t="s">
        <v>208</v>
      </c>
      <c r="C18" s="18">
        <f>VLOOKUP($AN$1,DST!C:D,2,FALSE)</f>
        <v>10</v>
      </c>
      <c r="D18" s="147"/>
      <c r="E18" s="147"/>
      <c r="F18" s="147"/>
      <c r="G18" s="147"/>
      <c r="H18" s="147"/>
      <c r="I18" s="146">
        <f t="shared" si="12"/>
        <v>0</v>
      </c>
      <c r="J18" s="146">
        <f t="shared" si="13"/>
        <v>0</v>
      </c>
      <c r="K18" s="146">
        <f t="shared" si="14"/>
        <v>0</v>
      </c>
      <c r="L18" s="146">
        <f t="shared" si="15"/>
        <v>0</v>
      </c>
      <c r="M18" s="146">
        <f t="shared" si="16"/>
        <v>0</v>
      </c>
      <c r="N18" s="146">
        <f t="shared" si="16"/>
        <v>0</v>
      </c>
      <c r="O18" s="146">
        <f t="shared" si="17"/>
        <v>0</v>
      </c>
      <c r="Q18" s="13"/>
      <c r="R18" s="139"/>
      <c r="S18" s="138"/>
      <c r="T18" s="139"/>
      <c r="U18" s="139"/>
      <c r="V18" s="107">
        <v>0</v>
      </c>
      <c r="W18" s="150">
        <f t="shared" si="18"/>
        <v>0</v>
      </c>
      <c r="X18" s="19">
        <v>0</v>
      </c>
      <c r="Y18" s="19">
        <v>0</v>
      </c>
      <c r="Z18" s="20">
        <v>0</v>
      </c>
      <c r="AA18" s="150">
        <f t="shared" si="19"/>
        <v>0</v>
      </c>
      <c r="AB18" s="7">
        <v>1.5945331092137506E-2</v>
      </c>
      <c r="AC18" s="150">
        <f t="shared" si="20"/>
        <v>0</v>
      </c>
      <c r="AE18" s="168"/>
      <c r="AF18" s="19">
        <v>0</v>
      </c>
      <c r="AG18" s="19">
        <v>0</v>
      </c>
      <c r="AH18" s="19">
        <v>0</v>
      </c>
    </row>
    <row r="19" spans="1:34" x14ac:dyDescent="0.2">
      <c r="B19" s="18" t="s">
        <v>208</v>
      </c>
      <c r="C19" s="18">
        <f>VLOOKUP($AN$1,DST!C:D,2,FALSE)</f>
        <v>10</v>
      </c>
      <c r="D19" s="147"/>
      <c r="E19" s="147"/>
      <c r="F19" s="147"/>
      <c r="G19" s="147"/>
      <c r="H19" s="147"/>
      <c r="I19" s="146">
        <f t="shared" si="12"/>
        <v>0</v>
      </c>
      <c r="J19" s="146">
        <f t="shared" si="13"/>
        <v>0</v>
      </c>
      <c r="K19" s="146">
        <f t="shared" si="14"/>
        <v>0</v>
      </c>
      <c r="L19" s="146">
        <f t="shared" si="15"/>
        <v>0</v>
      </c>
      <c r="M19" s="146">
        <f t="shared" si="16"/>
        <v>0</v>
      </c>
      <c r="N19" s="146">
        <f t="shared" si="16"/>
        <v>0</v>
      </c>
      <c r="O19" s="146">
        <f t="shared" si="17"/>
        <v>0</v>
      </c>
      <c r="Q19" s="13"/>
      <c r="R19" s="139"/>
      <c r="S19" s="138"/>
      <c r="T19" s="139"/>
      <c r="U19" s="139"/>
      <c r="V19" s="107">
        <v>0</v>
      </c>
      <c r="W19" s="150">
        <f t="shared" si="18"/>
        <v>0</v>
      </c>
      <c r="X19" s="19">
        <v>0</v>
      </c>
      <c r="Y19" s="19">
        <v>0</v>
      </c>
      <c r="Z19" s="20">
        <v>0</v>
      </c>
      <c r="AA19" s="150">
        <f t="shared" si="19"/>
        <v>0</v>
      </c>
      <c r="AB19" s="7">
        <v>0</v>
      </c>
      <c r="AC19" s="150">
        <f t="shared" si="20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208</v>
      </c>
      <c r="C20" s="18">
        <f>VLOOKUP($AN$1,DST!C:D,2,FALSE)</f>
        <v>10</v>
      </c>
      <c r="D20" s="147"/>
      <c r="E20" s="147"/>
      <c r="F20" s="147"/>
      <c r="G20" s="147"/>
      <c r="H20" s="147"/>
      <c r="I20" s="146">
        <f t="shared" si="12"/>
        <v>0</v>
      </c>
      <c r="J20" s="146">
        <f t="shared" si="13"/>
        <v>0</v>
      </c>
      <c r="K20" s="146">
        <f t="shared" si="14"/>
        <v>0</v>
      </c>
      <c r="L20" s="146">
        <f t="shared" si="15"/>
        <v>0</v>
      </c>
      <c r="M20" s="146">
        <f t="shared" si="16"/>
        <v>0</v>
      </c>
      <c r="N20" s="146">
        <f t="shared" si="16"/>
        <v>0</v>
      </c>
      <c r="O20" s="146">
        <f t="shared" si="17"/>
        <v>0</v>
      </c>
      <c r="Q20" s="13"/>
      <c r="R20" s="139"/>
      <c r="S20" s="138"/>
      <c r="T20" s="139"/>
      <c r="U20" s="139"/>
      <c r="V20" s="107">
        <v>0</v>
      </c>
      <c r="W20" s="150">
        <f t="shared" si="18"/>
        <v>0</v>
      </c>
      <c r="X20" s="19">
        <v>0</v>
      </c>
      <c r="Y20" s="19">
        <v>0</v>
      </c>
      <c r="Z20" s="20">
        <v>0</v>
      </c>
      <c r="AA20" s="150">
        <f t="shared" si="19"/>
        <v>0</v>
      </c>
      <c r="AB20" s="7">
        <v>0</v>
      </c>
      <c r="AC20" s="150">
        <f t="shared" si="20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582</v>
      </c>
      <c r="B22" s="18" t="s">
        <v>10</v>
      </c>
      <c r="C22" s="18">
        <f>VLOOKUP($AN$1,DST!C:D,2,FALSE)</f>
        <v>10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103.12196999999999</v>
      </c>
      <c r="M22" s="146">
        <f t="shared" ref="M22:N25" si="21">L22*Y22</f>
        <v>70.226061570000013</v>
      </c>
      <c r="N22" s="146">
        <f t="shared" si="21"/>
        <v>781.61606527410015</v>
      </c>
      <c r="O22" s="146">
        <f t="shared" ref="O22:O25" si="22">M22*AH22</f>
        <v>4.891287895631244</v>
      </c>
      <c r="Q22" s="13"/>
      <c r="R22" s="139"/>
      <c r="S22" s="138"/>
      <c r="T22" s="139"/>
      <c r="U22" s="139"/>
      <c r="V22" s="140"/>
      <c r="W22" s="154"/>
      <c r="X22" s="139"/>
      <c r="Y22" s="19">
        <v>0.68100000000000016</v>
      </c>
      <c r="Z22" s="20">
        <v>11.13</v>
      </c>
      <c r="AA22" s="150">
        <f>(AG22/SUM(AG$6:AG$25))*0.98</f>
        <v>0.17345999999999998</v>
      </c>
      <c r="AB22" s="7">
        <v>0.23022113205181891</v>
      </c>
      <c r="AC22" s="150">
        <f>(AH22/SUM(AH$6:AH$25))*0.98</f>
        <v>0.10983044399378564</v>
      </c>
      <c r="AE22" s="168"/>
      <c r="AF22" s="168"/>
      <c r="AG22" s="19">
        <v>0.17699999999999999</v>
      </c>
      <c r="AH22" s="19">
        <v>6.9650608140052112E-2</v>
      </c>
    </row>
    <row r="23" spans="1:34" x14ac:dyDescent="0.2">
      <c r="A23" s="17" t="s">
        <v>502</v>
      </c>
      <c r="B23" s="18" t="s">
        <v>10</v>
      </c>
      <c r="C23" s="18">
        <f>VLOOKUP($AN$1,DST!C:D,2,FALSE)</f>
        <v>10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48.356630000000003</v>
      </c>
      <c r="M23" s="146">
        <f t="shared" ref="M23:M24" si="23">L23*Y23</f>
        <v>32.398942099999999</v>
      </c>
      <c r="N23" s="146">
        <f t="shared" ref="N23:N24" si="24">M23*Z23</f>
        <v>351.20453236399999</v>
      </c>
      <c r="O23" s="146">
        <f t="shared" ref="O23:O24" si="25">M23*AH23</f>
        <v>2.0368929904691835</v>
      </c>
      <c r="Q23" s="13"/>
      <c r="R23" s="139"/>
      <c r="S23" s="138"/>
      <c r="T23" s="139"/>
      <c r="U23" s="139"/>
      <c r="V23" s="140"/>
      <c r="W23" s="154"/>
      <c r="X23" s="139"/>
      <c r="Y23" s="19">
        <v>0.66999999999999993</v>
      </c>
      <c r="Z23" s="20">
        <v>10.84</v>
      </c>
      <c r="AA23" s="150">
        <f>(AG23/SUM(AG$6:AG$25))*0.98</f>
        <v>8.134000000000001E-2</v>
      </c>
      <c r="AB23" s="7">
        <v>0.23022113205181891</v>
      </c>
      <c r="AC23" s="150">
        <f>(AH23/SUM(AH$6:AH$25))*0.98</f>
        <v>9.9136871697008341E-2</v>
      </c>
      <c r="AE23" s="168"/>
      <c r="AF23" s="168"/>
      <c r="AG23" s="19">
        <v>8.3000000000000004E-2</v>
      </c>
      <c r="AH23" s="19">
        <v>6.2869120361469563E-2</v>
      </c>
    </row>
    <row r="24" spans="1:34" x14ac:dyDescent="0.2">
      <c r="A24" s="17" t="s">
        <v>167</v>
      </c>
      <c r="B24" s="18" t="s">
        <v>10</v>
      </c>
      <c r="C24" s="18">
        <f>VLOOKUP($AN$1,DST!C:D,2,FALSE)</f>
        <v>10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11.069589999999998</v>
      </c>
      <c r="M24" s="146">
        <f t="shared" si="23"/>
        <v>7.2395118599999986</v>
      </c>
      <c r="N24" s="146">
        <f t="shared" si="24"/>
        <v>75.4428654611837</v>
      </c>
      <c r="O24" s="146">
        <f t="shared" si="25"/>
        <v>0.46121763581338121</v>
      </c>
      <c r="Q24" s="13"/>
      <c r="R24" s="139"/>
      <c r="S24" s="138"/>
      <c r="T24" s="139"/>
      <c r="U24" s="139"/>
      <c r="V24" s="140"/>
      <c r="W24" s="154"/>
      <c r="X24" s="139"/>
      <c r="Y24" s="19">
        <v>0.65400000000000003</v>
      </c>
      <c r="Z24" s="20">
        <v>10.420987895333555</v>
      </c>
      <c r="AA24" s="150">
        <f>(AG24/SUM(AG$6:AG$25))*0.98</f>
        <v>1.8619999999999998E-2</v>
      </c>
      <c r="AB24" s="7">
        <v>2.6598810973024269E-2</v>
      </c>
      <c r="AC24" s="150">
        <f>(AH24/SUM(AH$6:AH$25))*0.98</f>
        <v>0.10046029471263698</v>
      </c>
      <c r="AE24" s="168"/>
      <c r="AF24" s="168"/>
      <c r="AG24" s="19">
        <v>1.9E-2</v>
      </c>
      <c r="AH24" s="19">
        <v>6.3708388732908475E-2</v>
      </c>
    </row>
    <row r="25" spans="1:34" x14ac:dyDescent="0.2">
      <c r="B25" s="18" t="s">
        <v>10</v>
      </c>
      <c r="C25" s="18">
        <f>VLOOKUP($AN$1,DST!C:D,2,FALSE)</f>
        <v>10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21"/>
        <v>0</v>
      </c>
      <c r="N25" s="146">
        <f t="shared" si="21"/>
        <v>0</v>
      </c>
      <c r="O25" s="146">
        <f t="shared" si="22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0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264</v>
      </c>
      <c r="X27" s="30"/>
      <c r="Y27" s="30"/>
      <c r="Z27" s="31"/>
      <c r="AA27" s="9" t="s">
        <v>264</v>
      </c>
      <c r="AB27" s="9" t="s">
        <v>264</v>
      </c>
      <c r="AC27" s="9" t="s">
        <v>264</v>
      </c>
      <c r="AD27" s="44"/>
      <c r="AE27" s="9" t="s">
        <v>264</v>
      </c>
      <c r="AF27" s="9" t="s">
        <v>264</v>
      </c>
      <c r="AG27" s="9" t="s">
        <v>264</v>
      </c>
    </row>
    <row r="28" spans="1:34" s="27" customFormat="1" x14ac:dyDescent="0.2">
      <c r="A28" s="45" t="s">
        <v>265</v>
      </c>
      <c r="B28" s="28"/>
      <c r="C28" s="28"/>
      <c r="D28" s="34" t="s">
        <v>269</v>
      </c>
      <c r="E28" s="34" t="s">
        <v>266</v>
      </c>
      <c r="F28" s="155" t="s">
        <v>267</v>
      </c>
      <c r="G28" s="34" t="s">
        <v>286</v>
      </c>
      <c r="H28" s="34" t="s">
        <v>268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0.98000000000000009</v>
      </c>
      <c r="X28" s="30"/>
      <c r="Y28" s="30"/>
      <c r="Z28" s="31"/>
      <c r="AA28" s="150">
        <f>SUM(AA6:AA25)</f>
        <v>0.97999999999999987</v>
      </c>
      <c r="AB28" s="150">
        <f>SUM(AB2:AB4,AB6:AB11,AB13:AB20,AB22:AB25)</f>
        <v>1.1918417754554722</v>
      </c>
      <c r="AC28" s="150">
        <f>SUM(AC6:AC25)</f>
        <v>0.97999999999999987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</v>
      </c>
    </row>
    <row r="29" spans="1:34" s="27" customFormat="1" x14ac:dyDescent="0.2">
      <c r="A29" s="43"/>
      <c r="B29" s="28"/>
      <c r="C29" s="28"/>
      <c r="D29" s="46">
        <v>1025</v>
      </c>
      <c r="E29" s="47">
        <v>0.57999999999999996</v>
      </c>
      <c r="F29" s="2">
        <f>1-E29</f>
        <v>0.42000000000000004</v>
      </c>
      <c r="G29" s="106">
        <v>4.0999999999999996</v>
      </c>
      <c r="H29" s="126">
        <v>3.0499999999999999E-2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265</v>
      </c>
      <c r="B31" s="28"/>
      <c r="C31" s="28"/>
      <c r="D31" s="162" t="s">
        <v>278</v>
      </c>
      <c r="E31" s="162" t="s">
        <v>1</v>
      </c>
      <c r="F31" s="162" t="s">
        <v>263</v>
      </c>
      <c r="G31" s="162" t="s">
        <v>137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594.5</v>
      </c>
      <c r="E32" s="156">
        <f>SUM(E2:E4)</f>
        <v>375.42720546989773</v>
      </c>
      <c r="F32" s="156">
        <f>SUM(F2:F4)</f>
        <v>4109.5315944778595</v>
      </c>
      <c r="G32" s="156">
        <f>SUM(G2:G4)</f>
        <v>23.188277824588276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265</v>
      </c>
      <c r="B34" s="28"/>
      <c r="C34" s="28"/>
      <c r="D34" s="162" t="s">
        <v>270</v>
      </c>
      <c r="E34" s="162" t="s">
        <v>263</v>
      </c>
      <c r="F34" s="162" t="s">
        <v>137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430.50000000000006</v>
      </c>
      <c r="E35" s="156">
        <f>D35*G29</f>
        <v>1765.0500000000002</v>
      </c>
      <c r="F35" s="156">
        <f>D35*H29</f>
        <v>13.130250000000002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279</v>
      </c>
      <c r="B37" s="37"/>
      <c r="C37" s="37"/>
      <c r="D37" s="164" t="s">
        <v>273</v>
      </c>
      <c r="E37" s="164" t="s">
        <v>274</v>
      </c>
      <c r="F37" s="164" t="s">
        <v>275</v>
      </c>
      <c r="G37" s="164" t="s">
        <v>271</v>
      </c>
      <c r="H37" s="164" t="s">
        <v>272</v>
      </c>
      <c r="I37" s="160" t="s">
        <v>276</v>
      </c>
      <c r="J37" s="160" t="s">
        <v>277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3.5" thickBot="1" x14ac:dyDescent="0.25">
      <c r="D38" s="157">
        <f>SUM(I2:I20)</f>
        <v>421.89</v>
      </c>
      <c r="E38" s="157">
        <f>SUM(J2:J4,J6:J11,J13:J20)</f>
        <v>1761.1845904515405</v>
      </c>
      <c r="F38" s="157">
        <f>SUM(K2:K4,K6:K11,K13:K20)</f>
        <v>13.125794428955244</v>
      </c>
      <c r="G38" s="157">
        <f>SUM(L6:L11,L13:L20,L22:L25)</f>
        <v>582.61</v>
      </c>
      <c r="H38" s="157">
        <f>SUM(M6:M11,M13:M20,M22:M25)</f>
        <v>375.11694416</v>
      </c>
      <c r="I38" s="157">
        <f>SUM(N6:N11,N13:N20,N22:N25)</f>
        <v>4100.5619725844799</v>
      </c>
      <c r="J38" s="157">
        <f>SUM(O6:O11,O13:O20,O22:O25)</f>
        <v>23.144552704015638</v>
      </c>
      <c r="V38" s="181"/>
      <c r="X38" s="30"/>
      <c r="Y38" s="30"/>
      <c r="Z38" s="181"/>
      <c r="AH38" s="30"/>
    </row>
    <row r="39" spans="1:34" ht="13.5" thickTop="1" x14ac:dyDescent="0.2">
      <c r="D39" s="158">
        <f>D35-D38</f>
        <v>8.6100000000000705</v>
      </c>
      <c r="E39" s="158">
        <f>E35-E38</f>
        <v>3.8654095484596382</v>
      </c>
      <c r="F39" s="158">
        <f>F35-F38</f>
        <v>4.4555710447582442E-3</v>
      </c>
      <c r="G39" s="158">
        <f>SUM(D2:D4)-G38</f>
        <v>11.889999999999986</v>
      </c>
      <c r="H39" s="158">
        <f>E32-H38</f>
        <v>0.31026130989772582</v>
      </c>
      <c r="I39" s="158">
        <f>F32-I38</f>
        <v>8.9696218933795535</v>
      </c>
      <c r="J39" s="158">
        <f>G32-J38</f>
        <v>4.3725120572638332E-2</v>
      </c>
      <c r="V39" s="181"/>
      <c r="X39" s="30"/>
      <c r="Y39" s="30"/>
      <c r="Z39" s="181"/>
      <c r="AH39" s="30"/>
    </row>
    <row r="40" spans="1:34" x14ac:dyDescent="0.2">
      <c r="A40" s="50"/>
      <c r="B40" s="23"/>
      <c r="C40" s="26"/>
      <c r="D40" s="25"/>
      <c r="E40" s="26"/>
      <c r="F40" s="26"/>
      <c r="G40" s="25"/>
      <c r="H40" s="26"/>
      <c r="I40" s="18"/>
      <c r="J40" s="18"/>
      <c r="K40" s="18"/>
      <c r="L40" s="18"/>
      <c r="M40" s="18"/>
      <c r="Q40" s="18"/>
      <c r="R40" s="18"/>
      <c r="S40" s="18"/>
      <c r="T40" s="18"/>
      <c r="U40" s="18"/>
      <c r="V40" s="181"/>
      <c r="W40" s="18"/>
      <c r="X40" s="30"/>
      <c r="Y40" s="30"/>
      <c r="Z40" s="181"/>
      <c r="AC40" s="18"/>
      <c r="AH40" s="30"/>
    </row>
    <row r="41" spans="1:34" x14ac:dyDescent="0.2">
      <c r="A41" s="50"/>
      <c r="B41" s="23"/>
      <c r="C41" s="26"/>
      <c r="D41" s="25"/>
      <c r="E41" s="26"/>
      <c r="F41" s="26"/>
      <c r="G41" s="25"/>
      <c r="H41" s="26"/>
      <c r="I41" s="18"/>
      <c r="J41" s="18"/>
      <c r="K41" s="18"/>
      <c r="L41" s="18"/>
      <c r="M41" s="18"/>
      <c r="Q41" s="18"/>
      <c r="R41" s="18"/>
      <c r="S41" s="18"/>
      <c r="T41" s="18"/>
      <c r="U41" s="18"/>
      <c r="V41" s="181"/>
      <c r="W41" s="18"/>
      <c r="X41" s="30"/>
      <c r="Y41" s="30"/>
      <c r="Z41" s="181"/>
      <c r="AC41" s="18"/>
      <c r="AH41" s="30"/>
    </row>
    <row r="42" spans="1:34" x14ac:dyDescent="0.2">
      <c r="A42" s="50"/>
      <c r="B42" s="23"/>
      <c r="C42" s="26"/>
      <c r="D42" s="25"/>
      <c r="E42" s="26"/>
      <c r="F42" s="26"/>
      <c r="G42" s="25"/>
      <c r="H42" s="26"/>
      <c r="I42" s="18"/>
      <c r="J42" s="18"/>
      <c r="K42" s="18"/>
      <c r="L42" s="18"/>
      <c r="M42" s="18"/>
      <c r="Q42" s="18"/>
      <c r="R42" s="18"/>
      <c r="S42" s="18"/>
      <c r="T42" s="18"/>
      <c r="U42" s="18"/>
      <c r="V42" s="181"/>
      <c r="W42" s="18"/>
      <c r="X42" s="30"/>
      <c r="Y42" s="30"/>
      <c r="Z42" s="181"/>
      <c r="AC42" s="18"/>
      <c r="AH42" s="30"/>
    </row>
    <row r="43" spans="1:34" x14ac:dyDescent="0.2">
      <c r="A43" s="50"/>
      <c r="B43" s="23"/>
      <c r="C43" s="26"/>
      <c r="D43" s="25"/>
      <c r="E43" s="26"/>
      <c r="F43" s="26"/>
      <c r="G43" s="25"/>
      <c r="H43" s="26"/>
      <c r="I43" s="18"/>
      <c r="J43" s="18"/>
      <c r="K43" s="18"/>
      <c r="L43" s="18"/>
      <c r="M43" s="18"/>
      <c r="Q43" s="18"/>
      <c r="R43" s="18"/>
      <c r="S43" s="18"/>
      <c r="T43" s="18"/>
      <c r="U43" s="18"/>
      <c r="V43" s="181"/>
      <c r="W43" s="18"/>
      <c r="X43" s="30"/>
      <c r="Y43" s="30"/>
      <c r="Z43" s="181"/>
      <c r="AC43" s="18"/>
      <c r="AH43" s="30"/>
    </row>
    <row r="44" spans="1:34" x14ac:dyDescent="0.2">
      <c r="N44" s="23"/>
      <c r="O44" s="23"/>
      <c r="V44" s="181"/>
      <c r="X44" s="30"/>
      <c r="Y44" s="30"/>
      <c r="Z44" s="181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sortState xmlns:xlrd2="http://schemas.microsoft.com/office/spreadsheetml/2017/richdata2" ref="A13:AH20">
    <sortCondition descending="1" ref="N13:N20"/>
  </sortState>
  <conditionalFormatting sqref="D39:J39">
    <cfRule type="cellIs" dxfId="47" priority="1" operator="lessThan">
      <formula>0</formula>
    </cfRule>
  </conditionalFormatting>
  <conditionalFormatting sqref="W28">
    <cfRule type="cellIs" dxfId="46" priority="2" operator="greaterThan">
      <formula>1</formula>
    </cfRule>
  </conditionalFormatting>
  <conditionalFormatting sqref="AA28:AG28">
    <cfRule type="cellIs" dxfId="45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1">
    <tabColor rgb="FF6AE4FC"/>
  </sheetPr>
  <dimension ref="A1:AN64"/>
  <sheetViews>
    <sheetView showGridLines="0" zoomScale="85" zoomScaleNormal="85"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defaultColWidth="8.7109375" defaultRowHeight="12.75" x14ac:dyDescent="0.2"/>
  <cols>
    <col min="1" max="1" width="22.5703125" style="17" customWidth="1"/>
    <col min="2" max="3" width="8.7109375" style="18"/>
    <col min="4" max="13" width="8.7109375" style="23"/>
    <col min="14" max="15" width="8.7109375" style="18"/>
    <col min="16" max="16" width="4.7109375" style="18" customWidth="1"/>
    <col min="17" max="18" width="8.7109375" style="26"/>
    <col min="19" max="19" width="8.7109375" style="23"/>
    <col min="20" max="21" width="8.7109375" style="26"/>
    <col min="22" max="23" width="8.7109375" style="25"/>
    <col min="24" max="25" width="8.7109375" style="26"/>
    <col min="26" max="26" width="8.7109375" style="25"/>
    <col min="27" max="27" width="8.7109375" style="18"/>
    <col min="28" max="28" width="0" style="18" hidden="1" customWidth="1"/>
    <col min="29" max="29" width="8.7109375" style="26"/>
    <col min="30" max="30" width="4.7109375" style="17" customWidth="1"/>
    <col min="31" max="32" width="8.7109375" style="18"/>
    <col min="33" max="16384" width="8.7109375" style="17"/>
  </cols>
  <sheetData>
    <row r="1" spans="1:40" s="15" customFormat="1" ht="25.5" customHeight="1" x14ac:dyDescent="0.2">
      <c r="A1" s="15" t="s">
        <v>0</v>
      </c>
      <c r="B1" s="15" t="s">
        <v>8</v>
      </c>
      <c r="C1" s="15" t="s">
        <v>122</v>
      </c>
      <c r="D1" s="159" t="s">
        <v>210</v>
      </c>
      <c r="E1" s="159" t="s">
        <v>1</v>
      </c>
      <c r="F1" s="159" t="s">
        <v>213</v>
      </c>
      <c r="G1" s="159" t="s">
        <v>228</v>
      </c>
      <c r="H1" s="159" t="s">
        <v>2</v>
      </c>
      <c r="I1" s="159" t="s">
        <v>229</v>
      </c>
      <c r="J1" s="159" t="s">
        <v>217</v>
      </c>
      <c r="K1" s="159" t="s">
        <v>230</v>
      </c>
      <c r="L1" s="159" t="s">
        <v>219</v>
      </c>
      <c r="M1" s="159" t="s">
        <v>4</v>
      </c>
      <c r="N1" s="159" t="s">
        <v>223</v>
      </c>
      <c r="O1" s="159" t="s">
        <v>231</v>
      </c>
      <c r="Q1" s="160" t="s">
        <v>281</v>
      </c>
      <c r="R1" s="133" t="s">
        <v>232</v>
      </c>
      <c r="S1" s="134" t="s">
        <v>451</v>
      </c>
      <c r="T1" s="133" t="s">
        <v>205</v>
      </c>
      <c r="U1" s="133" t="s">
        <v>209</v>
      </c>
      <c r="V1" s="135" t="s">
        <v>280</v>
      </c>
      <c r="W1" s="161" t="s">
        <v>282</v>
      </c>
      <c r="X1" s="133" t="s">
        <v>233</v>
      </c>
      <c r="Y1" s="179" t="s">
        <v>234</v>
      </c>
      <c r="Z1" s="135" t="s">
        <v>235</v>
      </c>
      <c r="AA1" s="160" t="s">
        <v>236</v>
      </c>
      <c r="AB1" s="160" t="s">
        <v>237</v>
      </c>
      <c r="AC1" s="10" t="s">
        <v>262</v>
      </c>
      <c r="AE1" s="136" t="s">
        <v>283</v>
      </c>
      <c r="AF1" s="137" t="s">
        <v>284</v>
      </c>
      <c r="AG1" s="136" t="s">
        <v>285</v>
      </c>
      <c r="AH1" s="136" t="s">
        <v>450</v>
      </c>
      <c r="AN1" s="15" t="s">
        <v>103</v>
      </c>
    </row>
    <row r="2" spans="1:40" x14ac:dyDescent="0.2">
      <c r="A2" s="17" t="s">
        <v>152</v>
      </c>
      <c r="B2" s="18" t="s">
        <v>9</v>
      </c>
      <c r="C2" s="18">
        <f>VLOOKUP($AN$1,DST!C:D,2,FALSE)</f>
        <v>5</v>
      </c>
      <c r="D2" s="146">
        <f>D$32*Q2</f>
        <v>512.7813000000001</v>
      </c>
      <c r="E2" s="146">
        <f>D2*R2</f>
        <v>335.51019957569457</v>
      </c>
      <c r="F2" s="146">
        <f>E2*S2</f>
        <v>3740.9387252689944</v>
      </c>
      <c r="G2" s="146">
        <f>D2*T2</f>
        <v>24.024284297131754</v>
      </c>
      <c r="H2" s="146">
        <f>E2*U2</f>
        <v>5.0361709609782439</v>
      </c>
      <c r="I2" s="146">
        <f>D$35*W2</f>
        <v>57.770176799999987</v>
      </c>
      <c r="J2" s="146">
        <f>I2*V2</f>
        <v>252.48270172272572</v>
      </c>
      <c r="K2" s="146">
        <f>I2*X2</f>
        <v>2.3015913562728687</v>
      </c>
      <c r="L2" s="147"/>
      <c r="M2" s="147"/>
      <c r="N2" s="147"/>
      <c r="O2" s="147"/>
      <c r="Q2" s="150">
        <f>(AE2/SUM(AE$2:AE$25))</f>
        <v>0.9</v>
      </c>
      <c r="R2" s="19">
        <v>0.6542949198336494</v>
      </c>
      <c r="S2" s="107">
        <v>11.15</v>
      </c>
      <c r="T2" s="19">
        <v>4.6850936836292101E-2</v>
      </c>
      <c r="U2" s="19">
        <v>1.5010485425919314E-2</v>
      </c>
      <c r="V2" s="107">
        <v>4.3704678730137756</v>
      </c>
      <c r="W2" s="150">
        <f>(AF2/SUM(AF$2:AF$20))*0.98</f>
        <v>0.1176</v>
      </c>
      <c r="X2" s="19">
        <v>3.9840476241590268E-2</v>
      </c>
      <c r="Y2" s="21"/>
      <c r="Z2" s="22"/>
      <c r="AA2" s="1"/>
      <c r="AB2" s="1"/>
      <c r="AC2" s="1"/>
      <c r="AE2" s="19">
        <v>0.9</v>
      </c>
      <c r="AF2" s="19">
        <v>0.12</v>
      </c>
      <c r="AG2" s="168"/>
      <c r="AH2" s="168"/>
    </row>
    <row r="3" spans="1:40" x14ac:dyDescent="0.2">
      <c r="A3" s="17" t="s">
        <v>466</v>
      </c>
      <c r="B3" s="18" t="s">
        <v>9</v>
      </c>
      <c r="C3" s="18">
        <f>VLOOKUP($AN$1,DST!C:D,2,FALSE)</f>
        <v>5</v>
      </c>
      <c r="D3" s="146">
        <f>D$32*Q3</f>
        <v>56.97570000000001</v>
      </c>
      <c r="E3" s="146">
        <f t="shared" ref="E3:F4" si="0">D3*R3</f>
        <v>35.210982600000008</v>
      </c>
      <c r="F3" s="146">
        <f t="shared" si="0"/>
        <v>383.0954906880001</v>
      </c>
      <c r="G3" s="146">
        <f t="shared" ref="G3:G4" si="1">D3*T3</f>
        <v>2.5944222342420766</v>
      </c>
      <c r="H3" s="146">
        <f t="shared" ref="H3:H4" si="2">E3*U3</f>
        <v>0.63816084401494966</v>
      </c>
      <c r="I3" s="146">
        <f>D$35*W3</f>
        <v>0</v>
      </c>
      <c r="J3" s="146">
        <f>I3*V3</f>
        <v>0</v>
      </c>
      <c r="K3" s="146">
        <f>I3*X3</f>
        <v>0</v>
      </c>
      <c r="L3" s="147"/>
      <c r="M3" s="147"/>
      <c r="N3" s="147"/>
      <c r="O3" s="147"/>
      <c r="Q3" s="150">
        <f>(AE3/SUM(AE$2:AE$25))</f>
        <v>0.1</v>
      </c>
      <c r="R3" s="19">
        <v>0.61799999999999999</v>
      </c>
      <c r="S3" s="107">
        <v>10.88</v>
      </c>
      <c r="T3" s="19">
        <v>4.5535592089997599E-2</v>
      </c>
      <c r="U3" s="19">
        <v>1.8123914667889714E-2</v>
      </c>
      <c r="V3" s="107">
        <v>4.8688524590163942</v>
      </c>
      <c r="W3" s="150">
        <f>(AF3/SUM(AF$2:AF$20))*0.98</f>
        <v>0</v>
      </c>
      <c r="X3" s="19">
        <v>1.6393442622950821E-2</v>
      </c>
      <c r="Y3" s="21"/>
      <c r="Z3" s="22"/>
      <c r="AA3" s="1"/>
      <c r="AB3" s="1"/>
      <c r="AC3" s="1"/>
      <c r="AE3" s="19">
        <v>0.1</v>
      </c>
      <c r="AF3" s="19">
        <v>0</v>
      </c>
      <c r="AG3" s="168"/>
      <c r="AH3" s="168"/>
    </row>
    <row r="4" spans="1:40" x14ac:dyDescent="0.2">
      <c r="B4" s="18" t="s">
        <v>9</v>
      </c>
      <c r="C4" s="18">
        <f>VLOOKUP($AN$1,DST!C:D,2,FALSE)</f>
        <v>5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/>
      <c r="AF4" s="19"/>
      <c r="AG4" s="168"/>
      <c r="AH4" s="168"/>
    </row>
    <row r="5" spans="1:40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40" x14ac:dyDescent="0.2">
      <c r="A6" s="176" t="s">
        <v>20</v>
      </c>
      <c r="B6" s="18" t="s">
        <v>207</v>
      </c>
      <c r="C6" s="18">
        <f>VLOOKUP($AN$1,DST!C:D,2,FALSE)</f>
        <v>5</v>
      </c>
      <c r="D6" s="147"/>
      <c r="E6" s="147"/>
      <c r="F6" s="147"/>
      <c r="G6" s="147"/>
      <c r="H6" s="147"/>
      <c r="I6" s="146">
        <f t="shared" ref="I6:I11" si="3">D$35*W6</f>
        <v>212.78681787999997</v>
      </c>
      <c r="J6" s="146">
        <f t="shared" ref="J6:J11" si="4">I6*V6</f>
        <v>900.12899906563632</v>
      </c>
      <c r="K6" s="146">
        <f t="shared" ref="K6:K11" si="5">I6*X6</f>
        <v>8.4263579880480002</v>
      </c>
      <c r="L6" s="146">
        <f t="shared" ref="L6:L11" si="6">((D$2+D$3+D$4)*AA6)</f>
        <v>16.750855800000004</v>
      </c>
      <c r="M6" s="146">
        <f t="shared" ref="M6:N11" si="7">L6*Y6</f>
        <v>13.216425226200004</v>
      </c>
      <c r="N6" s="146">
        <f t="shared" si="7"/>
        <v>94.893933124116018</v>
      </c>
      <c r="O6" s="146">
        <f t="shared" ref="O6:O11" si="8">M6*AH6</f>
        <v>0.41680217789813334</v>
      </c>
      <c r="Q6" s="13"/>
      <c r="R6" s="139"/>
      <c r="S6" s="138"/>
      <c r="T6" s="139"/>
      <c r="U6" s="139"/>
      <c r="V6" s="107">
        <v>4.2301915505558219</v>
      </c>
      <c r="W6" s="150">
        <f t="shared" ref="W6:W11" si="9">(AF6/SUM(AF$2:AF$20))*0.98</f>
        <v>0.43315999999999999</v>
      </c>
      <c r="X6" s="19">
        <v>3.9600000000000003E-2</v>
      </c>
      <c r="Y6" s="19">
        <v>0.78900000000000003</v>
      </c>
      <c r="Z6" s="20">
        <v>7.18</v>
      </c>
      <c r="AA6" s="150">
        <f t="shared" ref="AA6:AA11" si="10">(AG6/SUM(AG$6:AG$25))*0.98</f>
        <v>2.9400000000000006E-2</v>
      </c>
      <c r="AB6" s="7">
        <v>0.17226888316103126</v>
      </c>
      <c r="AC6" s="150">
        <f t="shared" ref="AC6:AC11" si="11">(AH6/SUM(AH$6:AH$25))*0.98</f>
        <v>4.0149122730946708E-2</v>
      </c>
      <c r="AE6" s="168"/>
      <c r="AF6" s="19">
        <v>0.442</v>
      </c>
      <c r="AG6" s="19">
        <v>0.03</v>
      </c>
      <c r="AH6" s="19">
        <v>3.1536680362846695E-2</v>
      </c>
    </row>
    <row r="7" spans="1:40" x14ac:dyDescent="0.2">
      <c r="A7" s="17" t="s">
        <v>390</v>
      </c>
      <c r="B7" s="18" t="s">
        <v>207</v>
      </c>
      <c r="C7" s="18">
        <f>VLOOKUP($AN$1,DST!C:D,2,FALSE)</f>
        <v>5</v>
      </c>
      <c r="D7" s="147"/>
      <c r="E7" s="147"/>
      <c r="F7" s="147"/>
      <c r="G7" s="147"/>
      <c r="H7" s="147"/>
      <c r="I7" s="146">
        <f t="shared" si="3"/>
        <v>154.53522293999998</v>
      </c>
      <c r="J7" s="146">
        <f t="shared" si="4"/>
        <v>696.49226956733742</v>
      </c>
      <c r="K7" s="146">
        <f t="shared" si="5"/>
        <v>5.2541975799599996</v>
      </c>
      <c r="L7" s="146">
        <f t="shared" si="6"/>
        <v>35.176797180000008</v>
      </c>
      <c r="M7" s="146">
        <f t="shared" si="7"/>
        <v>25.5031779555</v>
      </c>
      <c r="N7" s="146">
        <f t="shared" si="7"/>
        <v>188.8264622042818</v>
      </c>
      <c r="O7" s="146">
        <f t="shared" si="8"/>
        <v>1.3682910997514572</v>
      </c>
      <c r="Q7" s="13"/>
      <c r="R7" s="139"/>
      <c r="S7" s="138"/>
      <c r="T7" s="139"/>
      <c r="U7" s="139"/>
      <c r="V7" s="107">
        <v>4.5070130700090187</v>
      </c>
      <c r="W7" s="150">
        <f t="shared" si="9"/>
        <v>0.31458000000000003</v>
      </c>
      <c r="X7" s="19">
        <v>3.4000000000000002E-2</v>
      </c>
      <c r="Y7" s="19">
        <v>0.72499999999999987</v>
      </c>
      <c r="Z7" s="20">
        <v>7.4040365688449263</v>
      </c>
      <c r="AA7" s="150">
        <f t="shared" si="10"/>
        <v>6.174000000000001E-2</v>
      </c>
      <c r="AB7" s="7">
        <v>5.8004810822843405E-3</v>
      </c>
      <c r="AC7" s="150">
        <f t="shared" si="11"/>
        <v>6.8303708592748855E-2</v>
      </c>
      <c r="AE7" s="168"/>
      <c r="AF7" s="19">
        <v>0.32100000000000001</v>
      </c>
      <c r="AG7" s="19">
        <v>6.3E-2</v>
      </c>
      <c r="AH7" s="19">
        <v>5.3651788108092326E-2</v>
      </c>
    </row>
    <row r="8" spans="1:40" x14ac:dyDescent="0.2">
      <c r="A8" s="176" t="s">
        <v>612</v>
      </c>
      <c r="B8" s="18" t="s">
        <v>207</v>
      </c>
      <c r="C8" s="18">
        <f>VLOOKUP($AN$1,DST!C:D,2,FALSE)</f>
        <v>5</v>
      </c>
      <c r="D8" s="147"/>
      <c r="E8" s="147"/>
      <c r="F8" s="147"/>
      <c r="G8" s="147"/>
      <c r="H8" s="147"/>
      <c r="I8" s="146">
        <f t="shared" si="3"/>
        <v>17.812471179999999</v>
      </c>
      <c r="J8" s="146">
        <f t="shared" si="4"/>
        <v>76.140238921537929</v>
      </c>
      <c r="K8" s="146">
        <f t="shared" si="5"/>
        <v>0.53437413540000001</v>
      </c>
      <c r="L8" s="146">
        <f t="shared" si="6"/>
        <v>11.725599060000004</v>
      </c>
      <c r="M8" s="146">
        <f t="shared" si="7"/>
        <v>8.5831385119200032</v>
      </c>
      <c r="N8" s="146">
        <f t="shared" si="7"/>
        <v>61.191609459499986</v>
      </c>
      <c r="O8" s="146">
        <f t="shared" si="8"/>
        <v>0.27332862039213984</v>
      </c>
      <c r="Q8" s="13"/>
      <c r="R8" s="139"/>
      <c r="S8" s="138"/>
      <c r="T8" s="139"/>
      <c r="U8" s="139"/>
      <c r="V8" s="107">
        <v>4.274546644994933</v>
      </c>
      <c r="W8" s="150">
        <f t="shared" si="9"/>
        <v>3.6260000000000001E-2</v>
      </c>
      <c r="X8" s="19">
        <v>0.03</v>
      </c>
      <c r="Y8" s="19">
        <v>0.7320000000000001</v>
      </c>
      <c r="Z8" s="20">
        <v>7.1292813665442925</v>
      </c>
      <c r="AA8" s="150">
        <f t="shared" si="10"/>
        <v>2.0580000000000005E-2</v>
      </c>
      <c r="AB8" s="7">
        <v>3.1632841041911976E-2</v>
      </c>
      <c r="AC8" s="150">
        <f t="shared" si="11"/>
        <v>4.0541430820848656E-2</v>
      </c>
      <c r="AE8" s="168"/>
      <c r="AF8" s="19">
        <v>3.6999999999999998E-2</v>
      </c>
      <c r="AG8" s="19">
        <v>2.1000000000000001E-2</v>
      </c>
      <c r="AH8" s="19">
        <v>3.1844833916235805E-2</v>
      </c>
    </row>
    <row r="9" spans="1:40" x14ac:dyDescent="0.2">
      <c r="A9" s="17" t="s">
        <v>682</v>
      </c>
      <c r="B9" s="18" t="s">
        <v>207</v>
      </c>
      <c r="C9" s="18">
        <f>VLOOKUP($AN$1,DST!C:D,2,FALSE)</f>
        <v>5</v>
      </c>
      <c r="D9" s="147"/>
      <c r="E9" s="147"/>
      <c r="F9" s="147"/>
      <c r="G9" s="147"/>
      <c r="H9" s="147"/>
      <c r="I9" s="146">
        <f t="shared" si="3"/>
        <v>38.513451199999992</v>
      </c>
      <c r="J9" s="146">
        <f t="shared" si="4"/>
        <v>154.43893931199995</v>
      </c>
      <c r="K9" s="146">
        <f t="shared" si="5"/>
        <v>1.1554035359999997</v>
      </c>
      <c r="L9" s="146">
        <f t="shared" si="6"/>
        <v>7.2587041800000023</v>
      </c>
      <c r="M9" s="146">
        <f t="shared" si="7"/>
        <v>5.2190083054200018</v>
      </c>
      <c r="N9" s="146">
        <f t="shared" si="7"/>
        <v>36.637438304048409</v>
      </c>
      <c r="O9" s="146">
        <f t="shared" si="8"/>
        <v>0.15657024916260004</v>
      </c>
      <c r="Q9" s="13"/>
      <c r="R9" s="139"/>
      <c r="S9" s="138"/>
      <c r="T9" s="139"/>
      <c r="U9" s="139"/>
      <c r="V9" s="107">
        <v>4.01</v>
      </c>
      <c r="W9" s="150">
        <f t="shared" ref="W9:W10" si="12">(AF9/SUM(AF$2:AF$20))*0.98</f>
        <v>7.8399999999999997E-2</v>
      </c>
      <c r="X9" s="19">
        <v>0.03</v>
      </c>
      <c r="Y9" s="19">
        <v>0.71899999999999997</v>
      </c>
      <c r="Z9" s="20">
        <v>7.02</v>
      </c>
      <c r="AA9" s="150">
        <f t="shared" si="10"/>
        <v>1.2740000000000003E-2</v>
      </c>
      <c r="AB9" s="7">
        <v>3.8812397966613718E-2</v>
      </c>
      <c r="AC9" s="150">
        <f t="shared" si="11"/>
        <v>3.8192785926428371E-2</v>
      </c>
      <c r="AE9" s="168"/>
      <c r="AF9" s="19">
        <v>0.08</v>
      </c>
      <c r="AG9" s="19">
        <v>1.2999999999999999E-2</v>
      </c>
      <c r="AH9" s="19">
        <v>0.03</v>
      </c>
    </row>
    <row r="10" spans="1:40" x14ac:dyDescent="0.2">
      <c r="B10" s="18" t="s">
        <v>207</v>
      </c>
      <c r="C10" s="18">
        <f>VLOOKUP($AN$1,DST!C:D,2,FALSE)</f>
        <v>5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4"/>
        <v>0</v>
      </c>
      <c r="K10" s="146">
        <f t="shared" si="5"/>
        <v>0</v>
      </c>
      <c r="L10" s="146">
        <f t="shared" si="6"/>
        <v>0</v>
      </c>
      <c r="M10" s="146">
        <f t="shared" si="7"/>
        <v>0</v>
      </c>
      <c r="N10" s="146">
        <f t="shared" si="7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12"/>
        <v>0</v>
      </c>
      <c r="X10" s="19">
        <v>0</v>
      </c>
      <c r="Y10" s="19">
        <v>0</v>
      </c>
      <c r="Z10" s="20">
        <v>0</v>
      </c>
      <c r="AA10" s="150">
        <f t="shared" si="10"/>
        <v>0</v>
      </c>
      <c r="AB10" s="7">
        <v>4.7695903319167005E-3</v>
      </c>
      <c r="AC10" s="150">
        <f t="shared" si="11"/>
        <v>0</v>
      </c>
      <c r="AE10" s="168"/>
      <c r="AF10" s="19">
        <v>0</v>
      </c>
      <c r="AG10" s="19">
        <v>0</v>
      </c>
      <c r="AH10" s="19">
        <v>0</v>
      </c>
    </row>
    <row r="11" spans="1:40" x14ac:dyDescent="0.2">
      <c r="B11" s="18" t="s">
        <v>207</v>
      </c>
      <c r="C11" s="18">
        <f>VLOOKUP($AN$1,DST!C:D,2,FALSE)</f>
        <v>5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4"/>
        <v>0</v>
      </c>
      <c r="K11" s="146">
        <f t="shared" si="5"/>
        <v>0</v>
      </c>
      <c r="L11" s="146">
        <f t="shared" si="6"/>
        <v>0</v>
      </c>
      <c r="M11" s="146">
        <f t="shared" si="7"/>
        <v>0</v>
      </c>
      <c r="N11" s="146">
        <f t="shared" si="7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9"/>
        <v>0</v>
      </c>
      <c r="X11" s="19">
        <v>0</v>
      </c>
      <c r="Y11" s="19">
        <v>0</v>
      </c>
      <c r="Z11" s="20">
        <v>0</v>
      </c>
      <c r="AA11" s="150">
        <f t="shared" si="10"/>
        <v>0</v>
      </c>
      <c r="AB11" s="7">
        <v>0</v>
      </c>
      <c r="AC11" s="150">
        <f t="shared" si="11"/>
        <v>0</v>
      </c>
      <c r="AE11" s="168"/>
      <c r="AF11" s="19">
        <v>0</v>
      </c>
      <c r="AG11" s="19">
        <v>0</v>
      </c>
      <c r="AH11" s="19">
        <v>0</v>
      </c>
    </row>
    <row r="12" spans="1:40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40" x14ac:dyDescent="0.2">
      <c r="A13" s="17" t="s">
        <v>528</v>
      </c>
      <c r="B13" s="18" t="s">
        <v>208</v>
      </c>
      <c r="C13" s="18">
        <f>VLOOKUP($AN$1,DST!C:D,2,FALSE)</f>
        <v>5</v>
      </c>
      <c r="D13" s="147"/>
      <c r="E13" s="147"/>
      <c r="F13" s="147"/>
      <c r="G13" s="147"/>
      <c r="H13" s="147"/>
      <c r="I13" s="146">
        <f t="shared" ref="I13:I20" si="13">D$35*W13</f>
        <v>0</v>
      </c>
      <c r="J13" s="146">
        <f t="shared" ref="J13:J20" si="14">I13*V13</f>
        <v>0</v>
      </c>
      <c r="K13" s="146">
        <f t="shared" ref="K13:K20" si="15">I13*X13</f>
        <v>0</v>
      </c>
      <c r="L13" s="146">
        <f t="shared" ref="L13:L20" si="16">((D$2+D$3+D$4)*AA13)</f>
        <v>120.60616176000003</v>
      </c>
      <c r="M13" s="146">
        <f t="shared" ref="M13:N20" si="17">L13*Y13</f>
        <v>78.273398982240039</v>
      </c>
      <c r="N13" s="146">
        <f t="shared" si="17"/>
        <v>979.20022126782283</v>
      </c>
      <c r="O13" s="146">
        <f t="shared" ref="O13:O20" si="18">M13*AH13</f>
        <v>5.9487783226502424</v>
      </c>
      <c r="Q13" s="13"/>
      <c r="R13" s="139"/>
      <c r="S13" s="138"/>
      <c r="T13" s="139"/>
      <c r="U13" s="139"/>
      <c r="V13" s="107">
        <v>5.0199999999999996</v>
      </c>
      <c r="W13" s="150">
        <f t="shared" ref="W13:W20" si="19">(AF13/SUM(AF$2:AF$20))*0.98</f>
        <v>0</v>
      </c>
      <c r="X13" s="19">
        <v>0</v>
      </c>
      <c r="Y13" s="19">
        <v>0.64900000000000013</v>
      </c>
      <c r="Z13" s="20">
        <v>12.51</v>
      </c>
      <c r="AA13" s="150">
        <f t="shared" ref="AA13:AA20" si="20">(AG13/SUM(AG$6:AG$25))*0.98</f>
        <v>0.21168000000000003</v>
      </c>
      <c r="AB13" s="7">
        <v>0.11259283959625212</v>
      </c>
      <c r="AC13" s="150">
        <f t="shared" ref="AC13:AC20" si="21">(AH13/SUM(AH$6:AH$25))*0.98</f>
        <v>9.6755057680285209E-2</v>
      </c>
      <c r="AE13" s="168"/>
      <c r="AF13" s="19">
        <v>0</v>
      </c>
      <c r="AG13" s="19">
        <v>0.216</v>
      </c>
      <c r="AH13" s="19">
        <v>7.5999999999999998E-2</v>
      </c>
    </row>
    <row r="14" spans="1:40" x14ac:dyDescent="0.2">
      <c r="A14" s="17" t="s">
        <v>588</v>
      </c>
      <c r="B14" s="18" t="s">
        <v>208</v>
      </c>
      <c r="C14" s="18">
        <f>VLOOKUP($AN$1,DST!C:D,2,FALSE)</f>
        <v>5</v>
      </c>
      <c r="D14" s="147"/>
      <c r="E14" s="147"/>
      <c r="F14" s="147"/>
      <c r="G14" s="147"/>
      <c r="H14" s="147"/>
      <c r="I14" s="146">
        <f t="shared" si="13"/>
        <v>0</v>
      </c>
      <c r="J14" s="146">
        <f t="shared" si="14"/>
        <v>0</v>
      </c>
      <c r="K14" s="146">
        <f t="shared" si="15"/>
        <v>0</v>
      </c>
      <c r="L14" s="146">
        <f t="shared" si="16"/>
        <v>115.58090502000003</v>
      </c>
      <c r="M14" s="146">
        <f t="shared" si="17"/>
        <v>76.63014002826003</v>
      </c>
      <c r="N14" s="146">
        <f t="shared" si="17"/>
        <v>923.39318734053336</v>
      </c>
      <c r="O14" s="146">
        <f t="shared" si="18"/>
        <v>5.4407399420064619</v>
      </c>
      <c r="Q14" s="13"/>
      <c r="R14" s="139"/>
      <c r="S14" s="138"/>
      <c r="T14" s="139"/>
      <c r="U14" s="139"/>
      <c r="V14" s="107">
        <v>5.0199999999999996</v>
      </c>
      <c r="W14" s="150">
        <f t="shared" si="19"/>
        <v>0</v>
      </c>
      <c r="X14" s="19">
        <v>0</v>
      </c>
      <c r="Y14" s="19">
        <v>0.66300000000000003</v>
      </c>
      <c r="Z14" s="20">
        <v>12.05</v>
      </c>
      <c r="AA14" s="150">
        <f t="shared" si="20"/>
        <v>0.20286000000000004</v>
      </c>
      <c r="AB14" s="7">
        <v>0.21754526431185253</v>
      </c>
      <c r="AC14" s="150">
        <f t="shared" si="21"/>
        <v>9.0389593359213802E-2</v>
      </c>
      <c r="AE14" s="168"/>
      <c r="AF14" s="19">
        <v>0</v>
      </c>
      <c r="AG14" s="19">
        <v>0.20699999999999999</v>
      </c>
      <c r="AH14" s="19">
        <v>7.0999999999999994E-2</v>
      </c>
    </row>
    <row r="15" spans="1:40" x14ac:dyDescent="0.2">
      <c r="A15" s="17" t="s">
        <v>645</v>
      </c>
      <c r="B15" s="18" t="s">
        <v>208</v>
      </c>
      <c r="C15" s="18">
        <f>VLOOKUP($AN$1,DST!C:D,2,FALSE)</f>
        <v>5</v>
      </c>
      <c r="D15" s="147"/>
      <c r="E15" s="147"/>
      <c r="F15" s="147"/>
      <c r="G15" s="147"/>
      <c r="H15" s="147"/>
      <c r="I15" s="146">
        <f t="shared" si="13"/>
        <v>0</v>
      </c>
      <c r="J15" s="146">
        <f t="shared" si="14"/>
        <v>0</v>
      </c>
      <c r="K15" s="146">
        <f t="shared" si="15"/>
        <v>0</v>
      </c>
      <c r="L15" s="146">
        <f t="shared" si="16"/>
        <v>54.719462280000023</v>
      </c>
      <c r="M15" s="146">
        <f t="shared" si="17"/>
        <v>32.61279951888001</v>
      </c>
      <c r="N15" s="146">
        <f t="shared" si="17"/>
        <v>427.87992968770573</v>
      </c>
      <c r="O15" s="146">
        <f t="shared" si="18"/>
        <v>2.6090239615104007</v>
      </c>
      <c r="Q15" s="13"/>
      <c r="R15" s="139"/>
      <c r="S15" s="138"/>
      <c r="T15" s="139"/>
      <c r="U15" s="139"/>
      <c r="V15" s="107">
        <v>5.0199999999999996</v>
      </c>
      <c r="W15" s="150">
        <f t="shared" si="19"/>
        <v>0</v>
      </c>
      <c r="X15" s="19">
        <v>0</v>
      </c>
      <c r="Y15" s="19">
        <v>0.59599999999999997</v>
      </c>
      <c r="Z15" s="20">
        <v>13.12</v>
      </c>
      <c r="AA15" s="150">
        <f t="shared" si="20"/>
        <v>9.6040000000000028E-2</v>
      </c>
      <c r="AB15" s="7">
        <v>1.1847873943922642E-2</v>
      </c>
      <c r="AC15" s="150">
        <f t="shared" si="21"/>
        <v>0.10184742913714233</v>
      </c>
      <c r="AE15" s="168"/>
      <c r="AF15" s="19">
        <v>0</v>
      </c>
      <c r="AG15" s="19">
        <v>9.8000000000000004E-2</v>
      </c>
      <c r="AH15" s="19">
        <v>0.08</v>
      </c>
    </row>
    <row r="16" spans="1:40" x14ac:dyDescent="0.2">
      <c r="A16" s="17" t="s">
        <v>613</v>
      </c>
      <c r="B16" s="18" t="s">
        <v>208</v>
      </c>
      <c r="C16" s="18">
        <f>VLOOKUP($AN$1,DST!C:D,2,FALSE)</f>
        <v>5</v>
      </c>
      <c r="D16" s="147"/>
      <c r="E16" s="147"/>
      <c r="F16" s="147"/>
      <c r="G16" s="147"/>
      <c r="H16" s="147"/>
      <c r="I16" s="146">
        <f t="shared" si="13"/>
        <v>0</v>
      </c>
      <c r="J16" s="146">
        <f t="shared" si="14"/>
        <v>0</v>
      </c>
      <c r="K16" s="146">
        <f t="shared" si="15"/>
        <v>0</v>
      </c>
      <c r="L16" s="146">
        <f t="shared" si="16"/>
        <v>53.60273856000002</v>
      </c>
      <c r="M16" s="146">
        <f t="shared" si="17"/>
        <v>30.982382887680011</v>
      </c>
      <c r="N16" s="146">
        <f t="shared" si="17"/>
        <v>368.38053253451534</v>
      </c>
      <c r="O16" s="146">
        <f t="shared" si="18"/>
        <v>2.2307315679129607</v>
      </c>
      <c r="Q16" s="13"/>
      <c r="R16" s="139"/>
      <c r="S16" s="138"/>
      <c r="T16" s="139"/>
      <c r="U16" s="139"/>
      <c r="V16" s="107">
        <v>5.0199999999999996</v>
      </c>
      <c r="W16" s="150">
        <f t="shared" si="19"/>
        <v>0</v>
      </c>
      <c r="X16" s="19">
        <v>0</v>
      </c>
      <c r="Y16" s="19">
        <v>0.57799999999999996</v>
      </c>
      <c r="Z16" s="20">
        <v>11.89</v>
      </c>
      <c r="AA16" s="150">
        <f t="shared" si="20"/>
        <v>9.4080000000000025E-2</v>
      </c>
      <c r="AB16" s="7">
        <v>5.820001817091993E-2</v>
      </c>
      <c r="AC16" s="150">
        <f t="shared" si="21"/>
        <v>9.1662686223428089E-2</v>
      </c>
      <c r="AE16" s="168"/>
      <c r="AF16" s="19">
        <v>0</v>
      </c>
      <c r="AG16" s="19">
        <v>9.6000000000000002E-2</v>
      </c>
      <c r="AH16" s="19">
        <v>7.1999999999999995E-2</v>
      </c>
    </row>
    <row r="17" spans="1:34" x14ac:dyDescent="0.2">
      <c r="A17" s="17" t="s">
        <v>503</v>
      </c>
      <c r="B17" s="18" t="s">
        <v>208</v>
      </c>
      <c r="C17" s="18">
        <f>VLOOKUP($AN$1,DST!C:D,2,FALSE)</f>
        <v>5</v>
      </c>
      <c r="D17" s="147"/>
      <c r="E17" s="147"/>
      <c r="F17" s="147"/>
      <c r="G17" s="147"/>
      <c r="H17" s="147"/>
      <c r="I17" s="146">
        <f t="shared" si="13"/>
        <v>0</v>
      </c>
      <c r="J17" s="146">
        <f t="shared" si="14"/>
        <v>0</v>
      </c>
      <c r="K17" s="146">
        <f t="shared" si="15"/>
        <v>0</v>
      </c>
      <c r="L17" s="146">
        <f t="shared" si="16"/>
        <v>41.318777640000015</v>
      </c>
      <c r="M17" s="146">
        <f t="shared" si="17"/>
        <v>24.708629028720004</v>
      </c>
      <c r="N17" s="146">
        <f t="shared" si="17"/>
        <v>321.45926366364728</v>
      </c>
      <c r="O17" s="146">
        <f t="shared" si="18"/>
        <v>1.7790212900678402</v>
      </c>
      <c r="Q17" s="13"/>
      <c r="R17" s="139"/>
      <c r="S17" s="138"/>
      <c r="T17" s="139"/>
      <c r="U17" s="139"/>
      <c r="V17" s="107">
        <v>5.01</v>
      </c>
      <c r="W17" s="150">
        <f t="shared" si="19"/>
        <v>0</v>
      </c>
      <c r="X17" s="19">
        <v>0</v>
      </c>
      <c r="Y17" s="19">
        <v>0.59799999999999986</v>
      </c>
      <c r="Z17" s="20">
        <v>13.01</v>
      </c>
      <c r="AA17" s="150">
        <f t="shared" si="20"/>
        <v>7.2520000000000015E-2</v>
      </c>
      <c r="AB17" s="7">
        <v>0.21754526431185253</v>
      </c>
      <c r="AC17" s="150">
        <f t="shared" si="21"/>
        <v>9.1662686223428089E-2</v>
      </c>
      <c r="AE17" s="168"/>
      <c r="AF17" s="19">
        <v>0</v>
      </c>
      <c r="AG17" s="19">
        <v>7.3999999999999996E-2</v>
      </c>
      <c r="AH17" s="19">
        <v>7.1999999999999995E-2</v>
      </c>
    </row>
    <row r="18" spans="1:34" x14ac:dyDescent="0.2">
      <c r="A18" s="17" t="s">
        <v>504</v>
      </c>
      <c r="B18" s="18" t="s">
        <v>208</v>
      </c>
      <c r="C18" s="18">
        <f>VLOOKUP($AN$1,DST!C:D,2,FALSE)</f>
        <v>5</v>
      </c>
      <c r="D18" s="147"/>
      <c r="E18" s="147"/>
      <c r="F18" s="147"/>
      <c r="G18" s="147"/>
      <c r="H18" s="147"/>
      <c r="I18" s="146">
        <f t="shared" si="13"/>
        <v>0</v>
      </c>
      <c r="J18" s="146">
        <f t="shared" si="14"/>
        <v>0</v>
      </c>
      <c r="K18" s="146">
        <f t="shared" si="15"/>
        <v>0</v>
      </c>
      <c r="L18" s="146">
        <f t="shared" si="16"/>
        <v>11.167237200000002</v>
      </c>
      <c r="M18" s="146">
        <f t="shared" si="17"/>
        <v>7.7723970912000038</v>
      </c>
      <c r="N18" s="146">
        <f t="shared" si="17"/>
        <v>80.030861227672546</v>
      </c>
      <c r="O18" s="146">
        <f t="shared" si="18"/>
        <v>0.48768355010769732</v>
      </c>
      <c r="Q18" s="13"/>
      <c r="R18" s="139"/>
      <c r="S18" s="138"/>
      <c r="T18" s="139"/>
      <c r="U18" s="139"/>
      <c r="V18" s="107">
        <v>5.76</v>
      </c>
      <c r="W18" s="150">
        <f t="shared" si="19"/>
        <v>0</v>
      </c>
      <c r="X18" s="19">
        <v>4.6511627906976744E-3</v>
      </c>
      <c r="Y18" s="19">
        <v>0.69600000000000017</v>
      </c>
      <c r="Z18" s="20">
        <v>10.296805514258194</v>
      </c>
      <c r="AA18" s="150">
        <f t="shared" si="20"/>
        <v>1.9600000000000003E-2</v>
      </c>
      <c r="AB18" s="7">
        <v>6.732665020365261E-2</v>
      </c>
      <c r="AC18" s="150">
        <f t="shared" si="21"/>
        <v>7.9880947969031113E-2</v>
      </c>
      <c r="AE18" s="168"/>
      <c r="AF18" s="19">
        <v>0</v>
      </c>
      <c r="AG18" s="19">
        <v>0.02</v>
      </c>
      <c r="AH18" s="19">
        <v>6.274557827981514E-2</v>
      </c>
    </row>
    <row r="19" spans="1:34" x14ac:dyDescent="0.2">
      <c r="B19" s="18" t="s">
        <v>208</v>
      </c>
      <c r="C19" s="18">
        <f>VLOOKUP($AN$1,DST!C:D,2,FALSE)</f>
        <v>5</v>
      </c>
      <c r="D19" s="147"/>
      <c r="E19" s="147"/>
      <c r="F19" s="147"/>
      <c r="G19" s="147"/>
      <c r="H19" s="147"/>
      <c r="I19" s="146">
        <f t="shared" si="13"/>
        <v>0</v>
      </c>
      <c r="J19" s="146">
        <f t="shared" si="14"/>
        <v>0</v>
      </c>
      <c r="K19" s="146">
        <f t="shared" si="15"/>
        <v>0</v>
      </c>
      <c r="L19" s="146">
        <f t="shared" si="16"/>
        <v>0</v>
      </c>
      <c r="M19" s="146">
        <f t="shared" si="17"/>
        <v>0</v>
      </c>
      <c r="N19" s="146">
        <f t="shared" si="17"/>
        <v>0</v>
      </c>
      <c r="O19" s="146">
        <f t="shared" si="18"/>
        <v>0</v>
      </c>
      <c r="Q19" s="13"/>
      <c r="R19" s="139"/>
      <c r="S19" s="138"/>
      <c r="T19" s="139"/>
      <c r="U19" s="139"/>
      <c r="V19" s="107">
        <v>0</v>
      </c>
      <c r="W19" s="150">
        <f t="shared" si="19"/>
        <v>0</v>
      </c>
      <c r="X19" s="19">
        <v>0</v>
      </c>
      <c r="Y19" s="19">
        <v>0</v>
      </c>
      <c r="Z19" s="20">
        <v>0</v>
      </c>
      <c r="AA19" s="150">
        <f t="shared" si="20"/>
        <v>0</v>
      </c>
      <c r="AB19" s="7">
        <v>1.0656048748898988E-2</v>
      </c>
      <c r="AC19" s="150">
        <f t="shared" si="21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208</v>
      </c>
      <c r="C20" s="18">
        <f>VLOOKUP($AN$1,DST!C:D,2,FALSE)</f>
        <v>5</v>
      </c>
      <c r="D20" s="147"/>
      <c r="E20" s="147"/>
      <c r="F20" s="147"/>
      <c r="G20" s="147"/>
      <c r="H20" s="147"/>
      <c r="I20" s="146">
        <f t="shared" si="13"/>
        <v>0</v>
      </c>
      <c r="J20" s="146">
        <f t="shared" si="14"/>
        <v>0</v>
      </c>
      <c r="K20" s="146">
        <f t="shared" si="15"/>
        <v>0</v>
      </c>
      <c r="L20" s="146">
        <f t="shared" si="16"/>
        <v>0</v>
      </c>
      <c r="M20" s="146">
        <f t="shared" si="17"/>
        <v>0</v>
      </c>
      <c r="N20" s="146">
        <f t="shared" si="17"/>
        <v>0</v>
      </c>
      <c r="O20" s="146">
        <f t="shared" si="18"/>
        <v>0</v>
      </c>
      <c r="Q20" s="13"/>
      <c r="R20" s="139"/>
      <c r="S20" s="138"/>
      <c r="T20" s="139"/>
      <c r="U20" s="139"/>
      <c r="V20" s="107">
        <v>0</v>
      </c>
      <c r="W20" s="150">
        <f t="shared" si="19"/>
        <v>0</v>
      </c>
      <c r="X20" s="19">
        <v>0</v>
      </c>
      <c r="Y20" s="19">
        <v>0</v>
      </c>
      <c r="Z20" s="20">
        <v>0</v>
      </c>
      <c r="AA20" s="150">
        <f t="shared" si="20"/>
        <v>0</v>
      </c>
      <c r="AB20" s="7">
        <v>0</v>
      </c>
      <c r="AC20" s="150">
        <f t="shared" si="21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64</v>
      </c>
      <c r="B22" s="18" t="s">
        <v>10</v>
      </c>
      <c r="C22" s="18">
        <f>VLOOKUP($AN$1,DST!C:D,2,FALSE)</f>
        <v>5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34.060073460000012</v>
      </c>
      <c r="M22" s="146">
        <f t="shared" ref="M22:N25" si="22">L22*Y22</f>
        <v>24.489192817740005</v>
      </c>
      <c r="N22" s="146">
        <f t="shared" si="22"/>
        <v>242.13702387302234</v>
      </c>
      <c r="O22" s="146">
        <f>M22*AH22</f>
        <v>2.5713652458627005</v>
      </c>
      <c r="Q22" s="13"/>
      <c r="R22" s="139"/>
      <c r="S22" s="138"/>
      <c r="T22" s="139"/>
      <c r="U22" s="139"/>
      <c r="V22" s="140"/>
      <c r="W22" s="154"/>
      <c r="X22" s="139"/>
      <c r="Y22" s="19">
        <v>0.71899999999999986</v>
      </c>
      <c r="Z22" s="20">
        <v>9.8875053038750202</v>
      </c>
      <c r="AA22" s="150">
        <f>(AG22/SUM(AG$6:AG$25))*0.98</f>
        <v>5.9780000000000014E-2</v>
      </c>
      <c r="AB22" s="7">
        <v>9.6811652968729178E-2</v>
      </c>
      <c r="AC22" s="150">
        <f>(AH22/SUM(AH$6:AH$25))*0.98</f>
        <v>0.13367475074249929</v>
      </c>
      <c r="AE22" s="168"/>
      <c r="AF22" s="168"/>
      <c r="AG22" s="19">
        <v>6.0999999999999999E-2</v>
      </c>
      <c r="AH22" s="19">
        <v>0.105</v>
      </c>
    </row>
    <row r="23" spans="1:34" x14ac:dyDescent="0.2">
      <c r="A23" s="17" t="s">
        <v>23</v>
      </c>
      <c r="B23" s="18" t="s">
        <v>10</v>
      </c>
      <c r="C23" s="18">
        <f>VLOOKUP($AN$1,DST!C:D,2,FALSE)</f>
        <v>5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56.394547860000024</v>
      </c>
      <c r="M23" s="146">
        <f t="shared" si="22"/>
        <v>39.645367145580011</v>
      </c>
      <c r="N23" s="146">
        <f t="shared" si="22"/>
        <v>399.22884715599071</v>
      </c>
      <c r="O23" s="146">
        <f>M23*AH23</f>
        <v>3.3302108402287209</v>
      </c>
      <c r="Q23" s="13"/>
      <c r="R23" s="139"/>
      <c r="S23" s="138"/>
      <c r="T23" s="139"/>
      <c r="U23" s="139"/>
      <c r="V23" s="140"/>
      <c r="W23" s="154"/>
      <c r="X23" s="139"/>
      <c r="Y23" s="19">
        <v>0.70299999999999985</v>
      </c>
      <c r="Z23" s="20">
        <v>10.07</v>
      </c>
      <c r="AA23" s="150">
        <f>(AG23/SUM(AG$6:AG$25))*0.98</f>
        <v>9.8980000000000026E-2</v>
      </c>
      <c r="AB23" s="7">
        <v>2.4998304401732552E-2</v>
      </c>
      <c r="AC23" s="150">
        <f>(AH23/SUM(AH$6:AH$25))*0.98</f>
        <v>0.10693980059399945</v>
      </c>
      <c r="AE23" s="168"/>
      <c r="AF23" s="168"/>
      <c r="AG23" s="19">
        <v>0.10100000000000001</v>
      </c>
      <c r="AH23" s="19">
        <v>8.4000000000000005E-2</v>
      </c>
    </row>
    <row r="24" spans="1:34" x14ac:dyDescent="0.2">
      <c r="B24" s="18" t="s">
        <v>10</v>
      </c>
      <c r="C24" s="18">
        <f>VLOOKUP($AN$1,DST!C:D,2,FALSE)</f>
        <v>5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0</v>
      </c>
      <c r="M24" s="146">
        <f t="shared" si="22"/>
        <v>0</v>
      </c>
      <c r="N24" s="146">
        <f t="shared" si="22"/>
        <v>0</v>
      </c>
      <c r="O24" s="146">
        <f>M24*AH24</f>
        <v>0</v>
      </c>
      <c r="Q24" s="13"/>
      <c r="R24" s="139"/>
      <c r="S24" s="138"/>
      <c r="T24" s="139"/>
      <c r="U24" s="139"/>
      <c r="V24" s="140"/>
      <c r="W24" s="154"/>
      <c r="X24" s="139"/>
      <c r="Y24" s="19">
        <v>0</v>
      </c>
      <c r="Z24" s="20">
        <v>0</v>
      </c>
      <c r="AA24" s="150">
        <f>(AG24/SUM(AG$6:AG$25))*0.98</f>
        <v>0</v>
      </c>
      <c r="AB24" s="7">
        <v>5.2694290929165631E-2</v>
      </c>
      <c r="AC24" s="150">
        <f>(AH24/SUM(AH$6:AH$25))*0.98</f>
        <v>0</v>
      </c>
      <c r="AE24" s="168"/>
      <c r="AF24" s="168"/>
      <c r="AG24" s="19">
        <v>0</v>
      </c>
      <c r="AH24" s="19">
        <v>0</v>
      </c>
    </row>
    <row r="25" spans="1:34" x14ac:dyDescent="0.2">
      <c r="B25" s="18" t="s">
        <v>10</v>
      </c>
      <c r="C25" s="18">
        <f>VLOOKUP($AN$1,DST!C:D,2,FALSE)</f>
        <v>5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22"/>
        <v>0</v>
      </c>
      <c r="N25" s="146">
        <f t="shared" si="22"/>
        <v>0</v>
      </c>
      <c r="O25" s="146">
        <f>M25*AH25</f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2.7453981701003237E-2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264</v>
      </c>
      <c r="X27" s="30"/>
      <c r="Y27" s="30"/>
      <c r="Z27" s="31"/>
      <c r="AA27" s="9" t="s">
        <v>264</v>
      </c>
      <c r="AB27" s="9" t="s">
        <v>264</v>
      </c>
      <c r="AC27" s="9" t="s">
        <v>264</v>
      </c>
      <c r="AD27" s="44"/>
      <c r="AE27" s="9" t="s">
        <v>264</v>
      </c>
      <c r="AF27" s="9" t="s">
        <v>264</v>
      </c>
      <c r="AG27" s="9" t="s">
        <v>264</v>
      </c>
    </row>
    <row r="28" spans="1:34" s="27" customFormat="1" x14ac:dyDescent="0.2">
      <c r="A28" s="45" t="s">
        <v>265</v>
      </c>
      <c r="B28" s="28"/>
      <c r="C28" s="28"/>
      <c r="D28" s="34" t="s">
        <v>269</v>
      </c>
      <c r="E28" s="34" t="s">
        <v>266</v>
      </c>
      <c r="F28" s="155" t="s">
        <v>267</v>
      </c>
      <c r="G28" s="34" t="s">
        <v>286</v>
      </c>
      <c r="H28" s="34" t="s">
        <v>268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0.98</v>
      </c>
      <c r="X28" s="30"/>
      <c r="Y28" s="30"/>
      <c r="Z28" s="31"/>
      <c r="AA28" s="150">
        <f>SUM(AA6:AA25)</f>
        <v>0.98000000000000032</v>
      </c>
      <c r="AB28" s="150">
        <f>SUM(AB2:AB4,AB6:AB11,AB13:AB20,AB22:AB25)</f>
        <v>1.15095638287174</v>
      </c>
      <c r="AC28" s="150">
        <f>SUM(AC6:AC25)</f>
        <v>0.98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0.99999999999999978</v>
      </c>
    </row>
    <row r="29" spans="1:34" s="27" customFormat="1" x14ac:dyDescent="0.2">
      <c r="A29" s="43"/>
      <c r="B29" s="28"/>
      <c r="C29" s="28"/>
      <c r="D29" s="46">
        <v>1061</v>
      </c>
      <c r="E29" s="47">
        <v>0.53700000000000003</v>
      </c>
      <c r="F29" s="2">
        <f>1-E29</f>
        <v>0.46299999999999997</v>
      </c>
      <c r="G29" s="106">
        <v>4.25</v>
      </c>
      <c r="H29" s="126">
        <v>3.5999999999999997E-2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265</v>
      </c>
      <c r="B31" s="28"/>
      <c r="C31" s="28"/>
      <c r="D31" s="162" t="s">
        <v>278</v>
      </c>
      <c r="E31" s="162" t="s">
        <v>1</v>
      </c>
      <c r="F31" s="162" t="s">
        <v>263</v>
      </c>
      <c r="G31" s="162" t="s">
        <v>137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569.75700000000006</v>
      </c>
      <c r="E32" s="156">
        <f>SUM(E2:E4)</f>
        <v>370.72118217569459</v>
      </c>
      <c r="F32" s="156">
        <f>SUM(F2:F4)</f>
        <v>4124.0342159569946</v>
      </c>
      <c r="G32" s="156">
        <f>SUM(G2:G4)</f>
        <v>26.618706531373832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265</v>
      </c>
      <c r="B34" s="28"/>
      <c r="C34" s="28"/>
      <c r="D34" s="162" t="s">
        <v>270</v>
      </c>
      <c r="E34" s="162" t="s">
        <v>263</v>
      </c>
      <c r="F34" s="162" t="s">
        <v>137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491.24299999999994</v>
      </c>
      <c r="E35" s="156">
        <f>D35*G29</f>
        <v>2087.7827499999999</v>
      </c>
      <c r="F35" s="156">
        <f>D35*H29</f>
        <v>17.684747999999995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279</v>
      </c>
      <c r="B37" s="37"/>
      <c r="C37" s="37"/>
      <c r="D37" s="164" t="s">
        <v>273</v>
      </c>
      <c r="E37" s="164" t="s">
        <v>274</v>
      </c>
      <c r="F37" s="164" t="s">
        <v>275</v>
      </c>
      <c r="G37" s="164" t="s">
        <v>271</v>
      </c>
      <c r="H37" s="164" t="s">
        <v>272</v>
      </c>
      <c r="I37" s="160" t="s">
        <v>276</v>
      </c>
      <c r="J37" s="160" t="s">
        <v>277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3.5" thickBot="1" x14ac:dyDescent="0.25">
      <c r="D38" s="157">
        <f>SUM(I2:I20)</f>
        <v>481.41813999999988</v>
      </c>
      <c r="E38" s="157">
        <f>SUM(J2:J4,J6:J11,J13:J20)</f>
        <v>2079.6831485892371</v>
      </c>
      <c r="F38" s="157">
        <f>SUM(K2:K4,K6:K11,K13:K20)</f>
        <v>17.671924595680871</v>
      </c>
      <c r="G38" s="157">
        <f>SUM(L6:L11,L13:L20,L22:L25)</f>
        <v>558.36186000000021</v>
      </c>
      <c r="H38" s="157">
        <f>SUM(M6:M11,M13:M20,M22:M25)</f>
        <v>367.63605749934004</v>
      </c>
      <c r="I38" s="157">
        <f>SUM(N6:N11,N13:N20,N22:N25)</f>
        <v>4123.2593098428561</v>
      </c>
      <c r="J38" s="157">
        <f>SUM(O6:O11,O13:O20,O22:O25)</f>
        <v>26.612546867551355</v>
      </c>
      <c r="V38" s="181"/>
      <c r="X38" s="30"/>
      <c r="Y38" s="30"/>
      <c r="Z38" s="181"/>
      <c r="AH38" s="30"/>
    </row>
    <row r="39" spans="1:34" ht="13.5" thickTop="1" x14ac:dyDescent="0.2">
      <c r="D39" s="158">
        <f>D35-D38</f>
        <v>9.8248600000000579</v>
      </c>
      <c r="E39" s="158">
        <f>E35-E38</f>
        <v>8.0996014107627161</v>
      </c>
      <c r="F39" s="158">
        <f>F35-F38</f>
        <v>1.2823404319124876E-2</v>
      </c>
      <c r="G39" s="158">
        <f>SUM(D2:D4)-G38</f>
        <v>11.395139999999856</v>
      </c>
      <c r="H39" s="158">
        <f>E32-H38</f>
        <v>3.0851246763545532</v>
      </c>
      <c r="I39" s="158">
        <f>F32-I38</f>
        <v>0.77490611413850274</v>
      </c>
      <c r="J39" s="158">
        <f>G32-J38</f>
        <v>6.1596638224763467E-3</v>
      </c>
      <c r="V39" s="181"/>
      <c r="X39" s="30"/>
      <c r="Y39" s="30"/>
      <c r="Z39" s="181"/>
      <c r="AH39" s="30"/>
    </row>
    <row r="40" spans="1:34" x14ac:dyDescent="0.2">
      <c r="V40" s="181"/>
      <c r="X40" s="30"/>
      <c r="Y40" s="30"/>
      <c r="Z40" s="181"/>
      <c r="AH40" s="30"/>
    </row>
    <row r="41" spans="1:34" x14ac:dyDescent="0.2">
      <c r="V41" s="181"/>
      <c r="X41" s="30"/>
      <c r="Y41" s="30"/>
      <c r="Z41" s="181"/>
      <c r="AH41" s="30"/>
    </row>
    <row r="42" spans="1:34" x14ac:dyDescent="0.2">
      <c r="V42" s="181"/>
      <c r="X42" s="30"/>
      <c r="Y42" s="30"/>
      <c r="Z42" s="181"/>
      <c r="AH42" s="30"/>
    </row>
    <row r="43" spans="1:34" x14ac:dyDescent="0.2">
      <c r="V43" s="181"/>
      <c r="X43" s="30"/>
      <c r="Y43" s="30"/>
      <c r="Z43" s="181"/>
      <c r="AH43" s="30"/>
    </row>
    <row r="44" spans="1:34" x14ac:dyDescent="0.2">
      <c r="V44" s="181"/>
      <c r="X44" s="30"/>
      <c r="Y44" s="30"/>
      <c r="Z44" s="181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sortState xmlns:xlrd2="http://schemas.microsoft.com/office/spreadsheetml/2017/richdata2" ref="A13:AH20">
    <sortCondition descending="1" ref="N13:N20"/>
  </sortState>
  <conditionalFormatting sqref="D39:J39">
    <cfRule type="cellIs" dxfId="44" priority="1" operator="lessThan">
      <formula>0</formula>
    </cfRule>
  </conditionalFormatting>
  <conditionalFormatting sqref="W28">
    <cfRule type="cellIs" dxfId="43" priority="2" operator="greaterThan">
      <formula>1</formula>
    </cfRule>
  </conditionalFormatting>
  <conditionalFormatting sqref="AA28:AG28">
    <cfRule type="cellIs" dxfId="42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tabColor rgb="FF057AFB"/>
  </sheetPr>
  <dimension ref="A1:AN64"/>
  <sheetViews>
    <sheetView showGridLines="0" zoomScale="85" zoomScaleNormal="85"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defaultColWidth="8.7109375" defaultRowHeight="12.75" x14ac:dyDescent="0.2"/>
  <cols>
    <col min="1" max="1" width="22.5703125" style="17" customWidth="1"/>
    <col min="2" max="3" width="8.7109375" style="18"/>
    <col min="4" max="13" width="8.7109375" style="23"/>
    <col min="14" max="15" width="8.7109375" style="18"/>
    <col min="16" max="16" width="4.7109375" style="18" customWidth="1"/>
    <col min="17" max="18" width="8.7109375" style="26"/>
    <col min="19" max="19" width="8.7109375" style="23"/>
    <col min="20" max="21" width="8.7109375" style="26"/>
    <col min="22" max="23" width="8.7109375" style="25"/>
    <col min="24" max="25" width="8.7109375" style="26"/>
    <col min="26" max="26" width="8.7109375" style="25"/>
    <col min="27" max="27" width="8.7109375" style="18"/>
    <col min="28" max="28" width="0" style="18" hidden="1" customWidth="1"/>
    <col min="29" max="29" width="8.7109375" style="26"/>
    <col min="30" max="30" width="4.7109375" style="17" customWidth="1"/>
    <col min="31" max="32" width="8.7109375" style="18"/>
    <col min="33" max="16384" width="8.7109375" style="17"/>
  </cols>
  <sheetData>
    <row r="1" spans="1:40" s="15" customFormat="1" ht="25.5" customHeight="1" x14ac:dyDescent="0.2">
      <c r="A1" s="15" t="s">
        <v>0</v>
      </c>
      <c r="B1" s="15" t="s">
        <v>8</v>
      </c>
      <c r="C1" s="15" t="s">
        <v>122</v>
      </c>
      <c r="D1" s="159" t="s">
        <v>210</v>
      </c>
      <c r="E1" s="159" t="s">
        <v>1</v>
      </c>
      <c r="F1" s="159" t="s">
        <v>213</v>
      </c>
      <c r="G1" s="159" t="s">
        <v>228</v>
      </c>
      <c r="H1" s="159" t="s">
        <v>2</v>
      </c>
      <c r="I1" s="159" t="s">
        <v>229</v>
      </c>
      <c r="J1" s="159" t="s">
        <v>217</v>
      </c>
      <c r="K1" s="159" t="s">
        <v>230</v>
      </c>
      <c r="L1" s="159" t="s">
        <v>219</v>
      </c>
      <c r="M1" s="159" t="s">
        <v>4</v>
      </c>
      <c r="N1" s="159" t="s">
        <v>223</v>
      </c>
      <c r="O1" s="159" t="s">
        <v>231</v>
      </c>
      <c r="Q1" s="160" t="s">
        <v>281</v>
      </c>
      <c r="R1" s="133" t="s">
        <v>232</v>
      </c>
      <c r="S1" s="134" t="s">
        <v>451</v>
      </c>
      <c r="T1" s="133" t="s">
        <v>205</v>
      </c>
      <c r="U1" s="133" t="s">
        <v>209</v>
      </c>
      <c r="V1" s="135" t="s">
        <v>280</v>
      </c>
      <c r="W1" s="161" t="s">
        <v>282</v>
      </c>
      <c r="X1" s="133" t="s">
        <v>233</v>
      </c>
      <c r="Y1" s="179" t="s">
        <v>234</v>
      </c>
      <c r="Z1" s="135" t="s">
        <v>235</v>
      </c>
      <c r="AA1" s="160" t="s">
        <v>236</v>
      </c>
      <c r="AB1" s="160" t="s">
        <v>237</v>
      </c>
      <c r="AC1" s="10" t="s">
        <v>262</v>
      </c>
      <c r="AE1" s="136" t="s">
        <v>283</v>
      </c>
      <c r="AF1" s="137" t="s">
        <v>284</v>
      </c>
      <c r="AG1" s="136" t="s">
        <v>285</v>
      </c>
      <c r="AH1" s="136" t="s">
        <v>450</v>
      </c>
      <c r="AN1" s="15" t="s">
        <v>104</v>
      </c>
    </row>
    <row r="2" spans="1:40" x14ac:dyDescent="0.2">
      <c r="A2" s="17" t="s">
        <v>40</v>
      </c>
      <c r="B2" s="18" t="s">
        <v>9</v>
      </c>
      <c r="C2" s="18">
        <f>VLOOKUP($AN$1,DST!C:D,2,FALSE)</f>
        <v>6</v>
      </c>
      <c r="D2" s="146">
        <f>D$32*Q2</f>
        <v>591.45023999999989</v>
      </c>
      <c r="E2" s="146">
        <f>D2*R2</f>
        <v>379.74343148996815</v>
      </c>
      <c r="F2" s="146">
        <f>E2*S2</f>
        <v>4473.3776229518244</v>
      </c>
      <c r="G2" s="146">
        <f>D2*T2</f>
        <v>28.567046591999997</v>
      </c>
      <c r="H2" s="146">
        <f>E2*U2</f>
        <v>7.1716503458743217</v>
      </c>
      <c r="I2" s="146">
        <f>D$35*W2</f>
        <v>21.065394000000001</v>
      </c>
      <c r="J2" s="146">
        <f>I2*V2</f>
        <v>54.71061728567436</v>
      </c>
      <c r="K2" s="146">
        <f>I2*X2</f>
        <v>0.44237327400000004</v>
      </c>
      <c r="L2" s="147"/>
      <c r="M2" s="147"/>
      <c r="N2" s="147"/>
      <c r="O2" s="147"/>
      <c r="Q2" s="150">
        <f>(AE2/SUM(AE$2:AE$25))</f>
        <v>0.96</v>
      </c>
      <c r="R2" s="19">
        <v>0.64205474240735483</v>
      </c>
      <c r="S2" s="107">
        <v>11.78</v>
      </c>
      <c r="T2" s="19">
        <v>4.8300000000000003E-2</v>
      </c>
      <c r="U2" s="19">
        <v>1.8885515195708601E-2</v>
      </c>
      <c r="V2" s="107">
        <v>2.5971798716736254</v>
      </c>
      <c r="W2" s="150">
        <f>(AF2/SUM(AF$2:AF$20))*0.98</f>
        <v>4.9000000000000002E-2</v>
      </c>
      <c r="X2" s="19">
        <v>2.1000000000000001E-2</v>
      </c>
      <c r="Y2" s="21"/>
      <c r="Z2" s="22"/>
      <c r="AA2" s="1"/>
      <c r="AB2" s="1"/>
      <c r="AC2" s="1"/>
      <c r="AE2" s="19">
        <v>0.96</v>
      </c>
      <c r="AF2" s="19">
        <v>0.05</v>
      </c>
      <c r="AG2" s="168"/>
      <c r="AH2" s="168"/>
    </row>
    <row r="3" spans="1:40" x14ac:dyDescent="0.2">
      <c r="A3" s="17" t="s">
        <v>11</v>
      </c>
      <c r="B3" s="18" t="s">
        <v>9</v>
      </c>
      <c r="C3" s="18">
        <f>VLOOKUP($AN$1,DST!C:D,2,FALSE)</f>
        <v>6</v>
      </c>
      <c r="D3" s="146">
        <f>D$32*Q3</f>
        <v>24.643760000000018</v>
      </c>
      <c r="E3" s="146">
        <f t="shared" ref="E3:F4" si="0">D3*R3</f>
        <v>15.991886148862717</v>
      </c>
      <c r="F3" s="146">
        <f t="shared" si="0"/>
        <v>184.32597815797246</v>
      </c>
      <c r="G3" s="146">
        <f t="shared" ref="G3:G4" si="1">D3*T3</f>
        <v>1.1488446127976062</v>
      </c>
      <c r="H3" s="146">
        <f t="shared" ref="H3:H4" si="2">E3*U3</f>
        <v>0.40828595440010063</v>
      </c>
      <c r="I3" s="146">
        <f>D$35*W3</f>
        <v>0</v>
      </c>
      <c r="J3" s="146">
        <f>I3*V3</f>
        <v>0</v>
      </c>
      <c r="K3" s="146">
        <f>I3*X3</f>
        <v>0</v>
      </c>
      <c r="L3" s="147"/>
      <c r="M3" s="147"/>
      <c r="N3" s="147"/>
      <c r="O3" s="147"/>
      <c r="Q3" s="150">
        <f>(AE3/SUM(AE$2:AE$25))</f>
        <v>4.0000000000000036E-2</v>
      </c>
      <c r="R3" s="19">
        <v>0.64892232958212159</v>
      </c>
      <c r="S3" s="107">
        <v>11.5262187613236</v>
      </c>
      <c r="T3" s="19">
        <v>4.6618073410778442E-2</v>
      </c>
      <c r="U3" s="19">
        <v>2.5530819229171189E-2</v>
      </c>
      <c r="V3" s="107">
        <v>3.1052631578947372</v>
      </c>
      <c r="W3" s="150">
        <f>(AF3/SUM(AF$2:AF$20))*0.98</f>
        <v>0</v>
      </c>
      <c r="X3" s="19">
        <v>2.6315789473684213E-2</v>
      </c>
      <c r="Y3" s="21"/>
      <c r="Z3" s="22"/>
      <c r="AA3" s="1"/>
      <c r="AB3" s="1"/>
      <c r="AC3" s="1"/>
      <c r="AE3" s="19">
        <v>4.0000000000000036E-2</v>
      </c>
      <c r="AF3" s="19">
        <v>0</v>
      </c>
      <c r="AG3" s="168"/>
      <c r="AH3" s="168"/>
    </row>
    <row r="4" spans="1:40" x14ac:dyDescent="0.2">
      <c r="B4" s="18" t="s">
        <v>9</v>
      </c>
      <c r="C4" s="18">
        <f>VLOOKUP($AN$1,DST!C:D,2,FALSE)</f>
        <v>6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/>
      <c r="AF4" s="19"/>
      <c r="AG4" s="168"/>
      <c r="AH4" s="168"/>
    </row>
    <row r="5" spans="1:40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40" x14ac:dyDescent="0.2">
      <c r="A6" s="17" t="s">
        <v>420</v>
      </c>
      <c r="B6" s="18" t="s">
        <v>207</v>
      </c>
      <c r="C6" s="18">
        <f>VLOOKUP($AN$1,DST!C:D,2,FALSE)</f>
        <v>6</v>
      </c>
      <c r="D6" s="147"/>
      <c r="E6" s="147"/>
      <c r="F6" s="147"/>
      <c r="G6" s="147"/>
      <c r="H6" s="147"/>
      <c r="I6" s="146">
        <f t="shared" ref="I6:I11" si="3">D$35*W6</f>
        <v>220.34402123999999</v>
      </c>
      <c r="J6" s="146">
        <f>I6*V6</f>
        <v>1002.5652966419999</v>
      </c>
      <c r="K6" s="146">
        <f>I6*X6</f>
        <v>9.7392057388079998</v>
      </c>
      <c r="L6" s="146">
        <f>((D$2+D$3+D$4)*AA6)</f>
        <v>50.716858079999994</v>
      </c>
      <c r="M6" s="146">
        <f t="shared" ref="M6:N11" si="4">L6*Y6</f>
        <v>36.110402952959987</v>
      </c>
      <c r="N6" s="146">
        <f t="shared" si="4"/>
        <v>264.23875923441426</v>
      </c>
      <c r="O6" s="146">
        <f>M6*AH6</f>
        <v>1.8777409535539193</v>
      </c>
      <c r="Q6" s="13"/>
      <c r="R6" s="139"/>
      <c r="S6" s="138"/>
      <c r="T6" s="139"/>
      <c r="U6" s="139"/>
      <c r="V6" s="107">
        <v>4.55</v>
      </c>
      <c r="W6" s="150">
        <f t="shared" ref="W6:W11" si="5">(AF6/SUM(AF$2:AF$20))*0.98</f>
        <v>0.51254</v>
      </c>
      <c r="X6" s="19">
        <v>4.4200000000000003E-2</v>
      </c>
      <c r="Y6" s="19">
        <v>0.71199999999999986</v>
      </c>
      <c r="Z6" s="20">
        <v>7.3175245255122388</v>
      </c>
      <c r="AA6" s="150">
        <f t="shared" ref="AA6:AA11" si="6">(AG6/SUM(AG$6:AG$25))*0.98</f>
        <v>8.2320000000000004E-2</v>
      </c>
      <c r="AB6" s="7">
        <v>3.4404333853593171E-2</v>
      </c>
      <c r="AC6" s="150">
        <f t="shared" ref="AC6:AC11" si="7">(AH6/SUM(AH$6:AH$25))*0.98</f>
        <v>7.7624612716622923E-2</v>
      </c>
      <c r="AE6" s="168"/>
      <c r="AF6" s="19">
        <v>0.52300000000000002</v>
      </c>
      <c r="AG6" s="19">
        <v>8.4000000000000005E-2</v>
      </c>
      <c r="AH6" s="19">
        <v>5.1999999999999998E-2</v>
      </c>
    </row>
    <row r="7" spans="1:40" x14ac:dyDescent="0.2">
      <c r="A7" s="17" t="s">
        <v>614</v>
      </c>
      <c r="B7" s="18" t="s">
        <v>207</v>
      </c>
      <c r="C7" s="18">
        <f>VLOOKUP($AN$1,DST!C:D,2,FALSE)</f>
        <v>6</v>
      </c>
      <c r="D7" s="147"/>
      <c r="E7" s="147"/>
      <c r="F7" s="147"/>
      <c r="G7" s="147"/>
      <c r="H7" s="147"/>
      <c r="I7" s="146">
        <f t="shared" si="3"/>
        <v>150.40691316000002</v>
      </c>
      <c r="J7" s="146">
        <f>I7*V7</f>
        <v>646.59073959269938</v>
      </c>
      <c r="K7" s="146">
        <f>I7*X7</f>
        <v>6.1666834395600008</v>
      </c>
      <c r="L7" s="146">
        <f>((D$2+D$3+D$4)*AA7)</f>
        <v>18.113163599999996</v>
      </c>
      <c r="M7" s="146">
        <f t="shared" si="4"/>
        <v>12.570535538399996</v>
      </c>
      <c r="N7" s="146">
        <f t="shared" si="4"/>
        <v>95.748526766904803</v>
      </c>
      <c r="O7" s="146">
        <f t="shared" ref="O7:O11" si="8">M7*AH7</f>
        <v>0.4467674951301272</v>
      </c>
      <c r="Q7" s="13"/>
      <c r="R7" s="139"/>
      <c r="S7" s="138"/>
      <c r="T7" s="139"/>
      <c r="U7" s="139"/>
      <c r="V7" s="107">
        <v>4.2989429542036302</v>
      </c>
      <c r="W7" s="150">
        <f t="shared" si="5"/>
        <v>0.34986</v>
      </c>
      <c r="X7" s="19">
        <v>4.1000000000000002E-2</v>
      </c>
      <c r="Y7" s="19">
        <v>0.69399999999999995</v>
      </c>
      <c r="Z7" s="20">
        <v>7.6169011633924288</v>
      </c>
      <c r="AA7" s="150">
        <f t="shared" si="6"/>
        <v>2.9399999999999999E-2</v>
      </c>
      <c r="AB7" s="7">
        <v>8.7665651879794172E-3</v>
      </c>
      <c r="AC7" s="150">
        <f t="shared" si="7"/>
        <v>5.3054703378988335E-2</v>
      </c>
      <c r="AE7" s="168"/>
      <c r="AF7" s="19">
        <v>0.35699999999999998</v>
      </c>
      <c r="AG7" s="19">
        <v>0.03</v>
      </c>
      <c r="AH7" s="19">
        <v>3.5540848181476341E-2</v>
      </c>
    </row>
    <row r="8" spans="1:40" x14ac:dyDescent="0.2">
      <c r="A8" s="17" t="s">
        <v>699</v>
      </c>
      <c r="B8" s="18" t="s">
        <v>207</v>
      </c>
      <c r="C8" s="18">
        <f>VLOOKUP($AN$1,DST!C:D,2,FALSE)</f>
        <v>6</v>
      </c>
      <c r="D8" s="147"/>
      <c r="E8" s="147"/>
      <c r="F8" s="147"/>
      <c r="G8" s="147"/>
      <c r="H8" s="147"/>
      <c r="I8" s="146">
        <f t="shared" si="3"/>
        <v>12.6392364</v>
      </c>
      <c r="J8" s="146">
        <f t="shared" ref="J8:J11" si="9">I8*V8</f>
        <v>52.068719752558565</v>
      </c>
      <c r="K8" s="146">
        <f t="shared" ref="K8:K11" si="10">I8*X8</f>
        <v>0.48029098319999997</v>
      </c>
      <c r="L8" s="146">
        <f t="shared" ref="L8:L11" si="11">((D$2+D$3+D$4)*AA8)</f>
        <v>6.0377211999999991</v>
      </c>
      <c r="M8" s="146">
        <f t="shared" si="4"/>
        <v>4.2626311671999995</v>
      </c>
      <c r="N8" s="146">
        <f t="shared" si="4"/>
        <v>28.390117552926728</v>
      </c>
      <c r="O8" s="146">
        <f t="shared" si="8"/>
        <v>0.15920449553378238</v>
      </c>
      <c r="Q8" s="13"/>
      <c r="R8" s="139"/>
      <c r="S8" s="138"/>
      <c r="T8" s="139"/>
      <c r="U8" s="139"/>
      <c r="V8" s="107">
        <v>4.1196096112703904</v>
      </c>
      <c r="W8" s="150">
        <f t="shared" si="5"/>
        <v>2.9399999999999999E-2</v>
      </c>
      <c r="X8" s="19">
        <v>3.7999999999999999E-2</v>
      </c>
      <c r="Y8" s="19">
        <v>0.70599999999999996</v>
      </c>
      <c r="Z8" s="20">
        <v>6.660233184466529</v>
      </c>
      <c r="AA8" s="150">
        <f t="shared" si="6"/>
        <v>9.7999999999999997E-3</v>
      </c>
      <c r="AB8" s="7">
        <v>3.893395254108944E-3</v>
      </c>
      <c r="AC8" s="150">
        <f t="shared" si="7"/>
        <v>5.5753697404121449E-2</v>
      </c>
      <c r="AE8" s="168"/>
      <c r="AF8" s="19">
        <v>0.03</v>
      </c>
      <c r="AG8" s="19">
        <v>0.01</v>
      </c>
      <c r="AH8" s="19">
        <v>3.7348878964435304E-2</v>
      </c>
    </row>
    <row r="9" spans="1:40" x14ac:dyDescent="0.2">
      <c r="B9" s="18" t="s">
        <v>207</v>
      </c>
      <c r="C9" s="18">
        <f>VLOOKUP($AN$1,DST!C:D,2,FALSE)</f>
        <v>6</v>
      </c>
      <c r="D9" s="147"/>
      <c r="E9" s="147"/>
      <c r="F9" s="147"/>
      <c r="G9" s="147"/>
      <c r="H9" s="147"/>
      <c r="I9" s="146">
        <f t="shared" si="3"/>
        <v>0</v>
      </c>
      <c r="J9" s="146">
        <f t="shared" si="9"/>
        <v>0</v>
      </c>
      <c r="K9" s="146">
        <f t="shared" si="10"/>
        <v>0</v>
      </c>
      <c r="L9" s="146">
        <f t="shared" si="11"/>
        <v>0</v>
      </c>
      <c r="M9" s="146">
        <f t="shared" si="4"/>
        <v>0</v>
      </c>
      <c r="N9" s="146">
        <f t="shared" si="4"/>
        <v>0</v>
      </c>
      <c r="O9" s="146">
        <f t="shared" si="8"/>
        <v>0</v>
      </c>
      <c r="Q9" s="13"/>
      <c r="R9" s="139"/>
      <c r="S9" s="138"/>
      <c r="T9" s="139"/>
      <c r="U9" s="139"/>
      <c r="V9" s="107">
        <v>0</v>
      </c>
      <c r="W9" s="150">
        <f t="shared" si="5"/>
        <v>0</v>
      </c>
      <c r="X9" s="19">
        <v>0</v>
      </c>
      <c r="Y9" s="19">
        <v>0</v>
      </c>
      <c r="Z9" s="20">
        <v>0</v>
      </c>
      <c r="AA9" s="150">
        <f t="shared" si="6"/>
        <v>0</v>
      </c>
      <c r="AB9" s="7">
        <v>0</v>
      </c>
      <c r="AC9" s="150">
        <f t="shared" si="7"/>
        <v>0</v>
      </c>
      <c r="AE9" s="168"/>
      <c r="AF9" s="19">
        <v>0</v>
      </c>
      <c r="AG9" s="19">
        <v>0</v>
      </c>
      <c r="AH9" s="19">
        <v>0</v>
      </c>
    </row>
    <row r="10" spans="1:40" x14ac:dyDescent="0.2">
      <c r="B10" s="18" t="s">
        <v>207</v>
      </c>
      <c r="C10" s="18">
        <f>VLOOKUP($AN$1,DST!C:D,2,FALSE)</f>
        <v>6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9"/>
        <v>0</v>
      </c>
      <c r="K10" s="146">
        <f t="shared" si="10"/>
        <v>0</v>
      </c>
      <c r="L10" s="146">
        <f t="shared" si="11"/>
        <v>0</v>
      </c>
      <c r="M10" s="146">
        <f t="shared" si="4"/>
        <v>0</v>
      </c>
      <c r="N10" s="146">
        <f t="shared" si="4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5"/>
        <v>0</v>
      </c>
      <c r="X10" s="19">
        <v>0</v>
      </c>
      <c r="Y10" s="19">
        <v>0</v>
      </c>
      <c r="Z10" s="20">
        <v>0</v>
      </c>
      <c r="AA10" s="150">
        <f t="shared" si="6"/>
        <v>0</v>
      </c>
      <c r="AB10" s="7">
        <v>0</v>
      </c>
      <c r="AC10" s="150">
        <f t="shared" si="7"/>
        <v>0</v>
      </c>
      <c r="AE10" s="168"/>
      <c r="AF10" s="19">
        <v>0</v>
      </c>
      <c r="AG10" s="19">
        <v>0</v>
      </c>
      <c r="AH10" s="19">
        <v>0</v>
      </c>
    </row>
    <row r="11" spans="1:40" x14ac:dyDescent="0.2">
      <c r="B11" s="18" t="s">
        <v>207</v>
      </c>
      <c r="C11" s="18">
        <f>VLOOKUP($AN$1,DST!C:D,2,FALSE)</f>
        <v>6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9"/>
        <v>0</v>
      </c>
      <c r="K11" s="146">
        <f t="shared" si="10"/>
        <v>0</v>
      </c>
      <c r="L11" s="146">
        <f t="shared" si="11"/>
        <v>0</v>
      </c>
      <c r="M11" s="146">
        <f t="shared" si="4"/>
        <v>0</v>
      </c>
      <c r="N11" s="146">
        <f t="shared" si="4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5"/>
        <v>0</v>
      </c>
      <c r="X11" s="19">
        <v>0</v>
      </c>
      <c r="Y11" s="19">
        <v>0</v>
      </c>
      <c r="Z11" s="20">
        <v>0</v>
      </c>
      <c r="AA11" s="150">
        <f t="shared" si="6"/>
        <v>0</v>
      </c>
      <c r="AB11" s="7">
        <v>0</v>
      </c>
      <c r="AC11" s="150">
        <f t="shared" si="7"/>
        <v>0</v>
      </c>
      <c r="AE11" s="168"/>
      <c r="AF11" s="19">
        <v>0</v>
      </c>
      <c r="AG11" s="19">
        <v>0</v>
      </c>
      <c r="AH11" s="19">
        <v>0</v>
      </c>
    </row>
    <row r="12" spans="1:40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40" x14ac:dyDescent="0.2">
      <c r="A13" s="17" t="s">
        <v>505</v>
      </c>
      <c r="B13" s="18" t="s">
        <v>208</v>
      </c>
      <c r="C13" s="18">
        <f>VLOOKUP($AN$1,DST!C:D,2,FALSE)</f>
        <v>6</v>
      </c>
      <c r="D13" s="147"/>
      <c r="E13" s="147"/>
      <c r="F13" s="147"/>
      <c r="G13" s="147"/>
      <c r="H13" s="147"/>
      <c r="I13" s="146">
        <f t="shared" ref="I13:I20" si="12">D$35*W13</f>
        <v>12.6392364</v>
      </c>
      <c r="J13" s="146">
        <f t="shared" ref="J13:J20" si="13">I13*V13</f>
        <v>90.244147895999987</v>
      </c>
      <c r="K13" s="146">
        <f t="shared" ref="K13:K20" si="14">I13*X13</f>
        <v>0.1121566998292951</v>
      </c>
      <c r="L13" s="146">
        <f t="shared" ref="L13:L20" si="15">((D$2+D$3+D$4)*AA13)</f>
        <v>144.30153667999997</v>
      </c>
      <c r="M13" s="146">
        <f t="shared" ref="M13:N20" si="16">L13*Y13</f>
        <v>93.940300378679979</v>
      </c>
      <c r="N13" s="146">
        <f t="shared" si="16"/>
        <v>1298.2549512333574</v>
      </c>
      <c r="O13" s="146">
        <f t="shared" ref="O13:O20" si="17">M13*AH13</f>
        <v>7.1173925145519492</v>
      </c>
      <c r="Q13" s="13"/>
      <c r="R13" s="139"/>
      <c r="S13" s="138"/>
      <c r="T13" s="139"/>
      <c r="U13" s="139"/>
      <c r="V13" s="107">
        <v>7.14</v>
      </c>
      <c r="W13" s="150">
        <f t="shared" ref="W13:W20" si="18">(AF13/SUM(AF$2:AF$20))*0.98</f>
        <v>2.9399999999999999E-2</v>
      </c>
      <c r="X13" s="19">
        <v>8.8736927041965213E-3</v>
      </c>
      <c r="Y13" s="19">
        <v>0.65100000000000002</v>
      </c>
      <c r="Z13" s="20">
        <v>13.82</v>
      </c>
      <c r="AA13" s="150">
        <f t="shared" ref="AA13:AA20" si="19">(AG13/SUM(AG$6:AG$25))*0.98</f>
        <v>0.23421999999999998</v>
      </c>
      <c r="AB13" s="7">
        <v>0.19862765039737781</v>
      </c>
      <c r="AC13" s="150">
        <f t="shared" ref="AC13:AC20" si="20">(AH13/SUM(AH$6:AH$25))*0.98</f>
        <v>0.11310064339290705</v>
      </c>
      <c r="AE13" s="168"/>
      <c r="AF13" s="19">
        <v>0.03</v>
      </c>
      <c r="AG13" s="19">
        <v>0.23899999999999999</v>
      </c>
      <c r="AH13" s="19">
        <v>7.5765060212296939E-2</v>
      </c>
    </row>
    <row r="14" spans="1:40" x14ac:dyDescent="0.2">
      <c r="A14" s="17" t="s">
        <v>52</v>
      </c>
      <c r="B14" s="18" t="s">
        <v>208</v>
      </c>
      <c r="C14" s="18">
        <f>VLOOKUP($AN$1,DST!C:D,2,FALSE)</f>
        <v>6</v>
      </c>
      <c r="D14" s="147"/>
      <c r="E14" s="147"/>
      <c r="F14" s="147"/>
      <c r="G14" s="147"/>
      <c r="H14" s="147"/>
      <c r="I14" s="146">
        <f t="shared" si="12"/>
        <v>0</v>
      </c>
      <c r="J14" s="146">
        <f t="shared" si="13"/>
        <v>0</v>
      </c>
      <c r="K14" s="146">
        <f t="shared" si="14"/>
        <v>0</v>
      </c>
      <c r="L14" s="146">
        <f t="shared" si="15"/>
        <v>144.90530879999997</v>
      </c>
      <c r="M14" s="146">
        <f t="shared" si="16"/>
        <v>92.739397631999978</v>
      </c>
      <c r="N14" s="146">
        <f t="shared" si="16"/>
        <v>1161.0972583526398</v>
      </c>
      <c r="O14" s="146">
        <f t="shared" si="17"/>
        <v>8.2538794016278363</v>
      </c>
      <c r="Q14" s="13"/>
      <c r="R14" s="139"/>
      <c r="S14" s="138"/>
      <c r="T14" s="139"/>
      <c r="U14" s="139"/>
      <c r="V14" s="107">
        <v>6.51</v>
      </c>
      <c r="W14" s="150">
        <f t="shared" si="18"/>
        <v>0</v>
      </c>
      <c r="X14" s="19">
        <v>6.41025641025641E-3</v>
      </c>
      <c r="Y14" s="19">
        <v>0.64</v>
      </c>
      <c r="Z14" s="20">
        <v>12.52</v>
      </c>
      <c r="AA14" s="150">
        <f t="shared" si="19"/>
        <v>0.23519999999999999</v>
      </c>
      <c r="AB14" s="7">
        <v>0.20131317857431055</v>
      </c>
      <c r="AC14" s="150">
        <f t="shared" si="20"/>
        <v>0.13285868547132307</v>
      </c>
      <c r="AE14" s="168"/>
      <c r="AF14" s="19">
        <v>0</v>
      </c>
      <c r="AG14" s="19">
        <v>0.24</v>
      </c>
      <c r="AH14" s="19">
        <v>8.9000787285465538E-2</v>
      </c>
    </row>
    <row r="15" spans="1:40" x14ac:dyDescent="0.2">
      <c r="A15" s="17" t="s">
        <v>564</v>
      </c>
      <c r="B15" s="18" t="s">
        <v>208</v>
      </c>
      <c r="C15" s="18">
        <f>VLOOKUP($AN$1,DST!C:D,2,FALSE)</f>
        <v>6</v>
      </c>
      <c r="D15" s="147"/>
      <c r="E15" s="147"/>
      <c r="F15" s="147"/>
      <c r="G15" s="147"/>
      <c r="H15" s="147"/>
      <c r="I15" s="146">
        <f t="shared" si="12"/>
        <v>0</v>
      </c>
      <c r="J15" s="146">
        <f t="shared" si="13"/>
        <v>0</v>
      </c>
      <c r="K15" s="146">
        <f t="shared" si="14"/>
        <v>0</v>
      </c>
      <c r="L15" s="146">
        <f t="shared" si="15"/>
        <v>85.131868919999988</v>
      </c>
      <c r="M15" s="146">
        <f t="shared" si="16"/>
        <v>55.335714797999991</v>
      </c>
      <c r="N15" s="146">
        <f t="shared" si="16"/>
        <v>727.66464959369989</v>
      </c>
      <c r="O15" s="146">
        <f t="shared" si="17"/>
        <v>4.9802143318199992</v>
      </c>
      <c r="Q15" s="13"/>
      <c r="R15" s="139"/>
      <c r="S15" s="138"/>
      <c r="T15" s="139"/>
      <c r="U15" s="139"/>
      <c r="V15" s="107">
        <v>5.0199999999999996</v>
      </c>
      <c r="W15" s="150">
        <f t="shared" si="18"/>
        <v>0</v>
      </c>
      <c r="X15" s="19">
        <v>0</v>
      </c>
      <c r="Y15" s="19">
        <v>0.65</v>
      </c>
      <c r="Z15" s="20">
        <v>13.15</v>
      </c>
      <c r="AA15" s="150">
        <f t="shared" si="19"/>
        <v>0.13818</v>
      </c>
      <c r="AB15" s="7">
        <v>9.2163853721224362E-2</v>
      </c>
      <c r="AC15" s="150">
        <f t="shared" si="20"/>
        <v>0.13435029124030889</v>
      </c>
      <c r="AE15" s="168"/>
      <c r="AF15" s="19">
        <v>0</v>
      </c>
      <c r="AG15" s="19">
        <v>0.14099999999999999</v>
      </c>
      <c r="AH15" s="19">
        <v>0.09</v>
      </c>
    </row>
    <row r="16" spans="1:40" x14ac:dyDescent="0.2">
      <c r="A16" s="17" t="s">
        <v>615</v>
      </c>
      <c r="B16" s="18" t="s">
        <v>208</v>
      </c>
      <c r="C16" s="18">
        <f>VLOOKUP($AN$1,DST!C:D,2,FALSE)</f>
        <v>6</v>
      </c>
      <c r="D16" s="147"/>
      <c r="E16" s="147"/>
      <c r="F16" s="147"/>
      <c r="G16" s="147"/>
      <c r="H16" s="147"/>
      <c r="I16" s="146">
        <f t="shared" si="12"/>
        <v>0</v>
      </c>
      <c r="J16" s="146">
        <f t="shared" si="13"/>
        <v>0</v>
      </c>
      <c r="K16" s="146">
        <f t="shared" si="14"/>
        <v>0</v>
      </c>
      <c r="L16" s="146">
        <f t="shared" si="15"/>
        <v>43.471592639999997</v>
      </c>
      <c r="M16" s="146">
        <f t="shared" si="16"/>
        <v>25.909069213440002</v>
      </c>
      <c r="N16" s="146">
        <f t="shared" si="16"/>
        <v>317.56180833921519</v>
      </c>
      <c r="O16" s="146">
        <f t="shared" si="17"/>
        <v>1.860404098703017</v>
      </c>
      <c r="Q16" s="13"/>
      <c r="R16" s="139"/>
      <c r="S16" s="138"/>
      <c r="T16" s="139"/>
      <c r="U16" s="139"/>
      <c r="V16" s="107">
        <v>5.0199999999999996</v>
      </c>
      <c r="W16" s="150">
        <f t="shared" si="18"/>
        <v>0</v>
      </c>
      <c r="X16" s="19">
        <v>0</v>
      </c>
      <c r="Y16" s="19">
        <v>0.59600000000000009</v>
      </c>
      <c r="Z16" s="20">
        <v>12.256781813469548</v>
      </c>
      <c r="AA16" s="150">
        <f t="shared" si="19"/>
        <v>7.0559999999999998E-2</v>
      </c>
      <c r="AB16" s="7">
        <v>2.491288177342357E-2</v>
      </c>
      <c r="AC16" s="150">
        <f t="shared" si="20"/>
        <v>0.10718933565795499</v>
      </c>
      <c r="AE16" s="168"/>
      <c r="AF16" s="19">
        <v>0</v>
      </c>
      <c r="AG16" s="19">
        <v>7.1999999999999995E-2</v>
      </c>
      <c r="AH16" s="19">
        <v>7.1805130604149836E-2</v>
      </c>
    </row>
    <row r="17" spans="1:34" x14ac:dyDescent="0.2">
      <c r="A17" s="17" t="s">
        <v>199</v>
      </c>
      <c r="B17" s="18" t="s">
        <v>208</v>
      </c>
      <c r="C17" s="18">
        <f>VLOOKUP($AN$1,DST!C:D,2,FALSE)</f>
        <v>6</v>
      </c>
      <c r="D17" s="147"/>
      <c r="E17" s="147"/>
      <c r="F17" s="147"/>
      <c r="G17" s="147"/>
      <c r="H17" s="147"/>
      <c r="I17" s="146">
        <f t="shared" si="12"/>
        <v>4.2130787999999999</v>
      </c>
      <c r="J17" s="146">
        <f t="shared" si="13"/>
        <v>19.717208783999997</v>
      </c>
      <c r="K17" s="146">
        <f t="shared" si="14"/>
        <v>3.5318520929079077E-2</v>
      </c>
      <c r="L17" s="146">
        <f t="shared" si="15"/>
        <v>16.301847239999997</v>
      </c>
      <c r="M17" s="146">
        <f t="shared" si="16"/>
        <v>9.3083547740399961</v>
      </c>
      <c r="N17" s="146">
        <f t="shared" si="16"/>
        <v>101.55415058477637</v>
      </c>
      <c r="O17" s="146">
        <f t="shared" si="17"/>
        <v>0.67153944474632432</v>
      </c>
      <c r="Q17" s="13"/>
      <c r="R17" s="139"/>
      <c r="S17" s="138"/>
      <c r="T17" s="139"/>
      <c r="U17" s="139"/>
      <c r="V17" s="107">
        <v>4.68</v>
      </c>
      <c r="W17" s="150">
        <f t="shared" si="18"/>
        <v>9.7999999999999997E-3</v>
      </c>
      <c r="X17" s="19">
        <v>8.3830667798283475E-3</v>
      </c>
      <c r="Y17" s="19">
        <v>0.57099999999999984</v>
      </c>
      <c r="Z17" s="20">
        <v>10.91</v>
      </c>
      <c r="AA17" s="150">
        <f t="shared" si="19"/>
        <v>2.6460000000000001E-2</v>
      </c>
      <c r="AB17" s="7">
        <v>7.1590670014879301E-2</v>
      </c>
      <c r="AC17" s="150">
        <f t="shared" si="20"/>
        <v>0.10769479220089959</v>
      </c>
      <c r="AE17" s="168"/>
      <c r="AF17" s="19">
        <v>0.01</v>
      </c>
      <c r="AG17" s="19">
        <v>2.7E-2</v>
      </c>
      <c r="AH17" s="19">
        <v>7.2143731201476755E-2</v>
      </c>
    </row>
    <row r="18" spans="1:34" x14ac:dyDescent="0.2">
      <c r="B18" s="18" t="s">
        <v>208</v>
      </c>
      <c r="C18" s="18">
        <f>VLOOKUP($AN$1,DST!C:D,2,FALSE)</f>
        <v>6</v>
      </c>
      <c r="D18" s="147"/>
      <c r="E18" s="147"/>
      <c r="F18" s="147"/>
      <c r="G18" s="147"/>
      <c r="H18" s="147"/>
      <c r="I18" s="146">
        <f t="shared" si="12"/>
        <v>0</v>
      </c>
      <c r="J18" s="146">
        <f t="shared" si="13"/>
        <v>0</v>
      </c>
      <c r="K18" s="146">
        <f t="shared" si="14"/>
        <v>0</v>
      </c>
      <c r="L18" s="146">
        <f t="shared" si="15"/>
        <v>0</v>
      </c>
      <c r="M18" s="146">
        <f t="shared" si="16"/>
        <v>0</v>
      </c>
      <c r="N18" s="146">
        <f t="shared" si="16"/>
        <v>0</v>
      </c>
      <c r="O18" s="146">
        <f t="shared" si="17"/>
        <v>0</v>
      </c>
      <c r="Q18" s="13"/>
      <c r="R18" s="139"/>
      <c r="S18" s="138"/>
      <c r="T18" s="139"/>
      <c r="U18" s="139"/>
      <c r="V18" s="107">
        <v>0</v>
      </c>
      <c r="W18" s="150">
        <f t="shared" si="18"/>
        <v>0</v>
      </c>
      <c r="X18" s="19">
        <v>0</v>
      </c>
      <c r="Y18" s="19">
        <v>0</v>
      </c>
      <c r="Z18" s="20">
        <v>0</v>
      </c>
      <c r="AA18" s="150">
        <f t="shared" si="19"/>
        <v>0</v>
      </c>
      <c r="AB18" s="7">
        <v>0</v>
      </c>
      <c r="AC18" s="150">
        <f t="shared" si="20"/>
        <v>0</v>
      </c>
      <c r="AE18" s="168"/>
      <c r="AF18" s="19">
        <v>0</v>
      </c>
      <c r="AG18" s="19">
        <v>0</v>
      </c>
      <c r="AH18" s="19">
        <v>0</v>
      </c>
    </row>
    <row r="19" spans="1:34" x14ac:dyDescent="0.2">
      <c r="B19" s="18" t="s">
        <v>208</v>
      </c>
      <c r="C19" s="18">
        <f>VLOOKUP($AN$1,DST!C:D,2,FALSE)</f>
        <v>6</v>
      </c>
      <c r="D19" s="147"/>
      <c r="E19" s="147"/>
      <c r="F19" s="147"/>
      <c r="G19" s="147"/>
      <c r="H19" s="147"/>
      <c r="I19" s="146">
        <f t="shared" si="12"/>
        <v>0</v>
      </c>
      <c r="J19" s="146">
        <f t="shared" si="13"/>
        <v>0</v>
      </c>
      <c r="K19" s="146">
        <f t="shared" si="14"/>
        <v>0</v>
      </c>
      <c r="L19" s="146">
        <f t="shared" si="15"/>
        <v>0</v>
      </c>
      <c r="M19" s="146">
        <f t="shared" si="16"/>
        <v>0</v>
      </c>
      <c r="N19" s="146">
        <f t="shared" si="16"/>
        <v>0</v>
      </c>
      <c r="O19" s="146">
        <f t="shared" si="17"/>
        <v>0</v>
      </c>
      <c r="Q19" s="13"/>
      <c r="R19" s="139"/>
      <c r="S19" s="138"/>
      <c r="T19" s="139"/>
      <c r="U19" s="139"/>
      <c r="V19" s="107">
        <v>0</v>
      </c>
      <c r="W19" s="150">
        <f t="shared" si="18"/>
        <v>0</v>
      </c>
      <c r="X19" s="19">
        <v>0</v>
      </c>
      <c r="Y19" s="19">
        <v>0</v>
      </c>
      <c r="Z19" s="20">
        <v>0</v>
      </c>
      <c r="AA19" s="150">
        <f t="shared" si="19"/>
        <v>0</v>
      </c>
      <c r="AB19" s="7">
        <v>0</v>
      </c>
      <c r="AC19" s="150">
        <f t="shared" si="20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208</v>
      </c>
      <c r="C20" s="18">
        <f>VLOOKUP($AN$1,DST!C:D,2,FALSE)</f>
        <v>6</v>
      </c>
      <c r="D20" s="147"/>
      <c r="E20" s="147"/>
      <c r="F20" s="147"/>
      <c r="G20" s="147"/>
      <c r="H20" s="147"/>
      <c r="I20" s="146">
        <f t="shared" si="12"/>
        <v>0</v>
      </c>
      <c r="J20" s="146">
        <f t="shared" si="13"/>
        <v>0</v>
      </c>
      <c r="K20" s="146">
        <f t="shared" si="14"/>
        <v>0</v>
      </c>
      <c r="L20" s="146">
        <f t="shared" si="15"/>
        <v>0</v>
      </c>
      <c r="M20" s="146">
        <f t="shared" si="16"/>
        <v>0</v>
      </c>
      <c r="N20" s="146">
        <f t="shared" si="16"/>
        <v>0</v>
      </c>
      <c r="O20" s="146">
        <f t="shared" si="17"/>
        <v>0</v>
      </c>
      <c r="Q20" s="13"/>
      <c r="R20" s="139"/>
      <c r="S20" s="138"/>
      <c r="T20" s="139"/>
      <c r="U20" s="139"/>
      <c r="V20" s="107">
        <v>0</v>
      </c>
      <c r="W20" s="150">
        <f t="shared" si="18"/>
        <v>0</v>
      </c>
      <c r="X20" s="19">
        <v>0</v>
      </c>
      <c r="Y20" s="19">
        <v>0</v>
      </c>
      <c r="Z20" s="20">
        <v>0</v>
      </c>
      <c r="AA20" s="150">
        <f t="shared" si="19"/>
        <v>0</v>
      </c>
      <c r="AB20" s="7">
        <v>0</v>
      </c>
      <c r="AC20" s="150">
        <f t="shared" si="20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49</v>
      </c>
      <c r="B22" s="18" t="s">
        <v>10</v>
      </c>
      <c r="C22" s="18">
        <f>VLOOKUP($AN$1,DST!C:D,2,FALSE)</f>
        <v>6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31.999922359999996</v>
      </c>
      <c r="M22" s="146">
        <f t="shared" ref="M22:N25" si="21">L22*Y22</f>
        <v>21.663947437719994</v>
      </c>
      <c r="N22" s="146">
        <f t="shared" si="21"/>
        <v>221.43123881704204</v>
      </c>
      <c r="O22" s="146">
        <f t="shared" ref="O22:O25" si="22">M22*AH22</f>
        <v>1.3037944325522695</v>
      </c>
      <c r="Q22" s="13"/>
      <c r="R22" s="139"/>
      <c r="S22" s="138"/>
      <c r="T22" s="139"/>
      <c r="U22" s="139"/>
      <c r="V22" s="140"/>
      <c r="W22" s="154"/>
      <c r="X22" s="139"/>
      <c r="Y22" s="19">
        <v>0.67699999999999994</v>
      </c>
      <c r="Z22" s="20">
        <v>10.221186118255575</v>
      </c>
      <c r="AA22" s="150">
        <f>(AG22/SUM(AG$6:AG$25))*0.98</f>
        <v>5.194E-2</v>
      </c>
      <c r="AB22" s="7">
        <v>0.12938839482584544</v>
      </c>
      <c r="AC22" s="150">
        <f>(AH22/SUM(AH$6:AH$25))*0.98</f>
        <v>8.9839563190544258E-2</v>
      </c>
      <c r="AE22" s="168"/>
      <c r="AF22" s="168"/>
      <c r="AG22" s="19">
        <v>5.2999999999999999E-2</v>
      </c>
      <c r="AH22" s="19">
        <v>6.0182680755686252E-2</v>
      </c>
    </row>
    <row r="23" spans="1:34" x14ac:dyDescent="0.2">
      <c r="A23" s="17" t="s">
        <v>184</v>
      </c>
      <c r="B23" s="18" t="s">
        <v>10</v>
      </c>
      <c r="C23" s="18">
        <f>VLOOKUP($AN$1,DST!C:D,2,FALSE)</f>
        <v>6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62.792300479999994</v>
      </c>
      <c r="M23" s="146">
        <f t="shared" si="21"/>
        <v>41.56850291776</v>
      </c>
      <c r="N23" s="146">
        <f t="shared" si="21"/>
        <v>422.57731804449213</v>
      </c>
      <c r="O23" s="146">
        <f t="shared" si="22"/>
        <v>3.0222667348114851</v>
      </c>
      <c r="Q23" s="13"/>
      <c r="R23" s="139"/>
      <c r="S23" s="138"/>
      <c r="T23" s="139"/>
      <c r="U23" s="139"/>
      <c r="V23" s="140"/>
      <c r="W23" s="154"/>
      <c r="X23" s="139"/>
      <c r="Y23" s="19">
        <v>0.66200000000000003</v>
      </c>
      <c r="Z23" s="20">
        <v>10.165805559091892</v>
      </c>
      <c r="AA23" s="150">
        <f>(AG23/SUM(AG$6:AG$25))*0.98</f>
        <v>0.10192</v>
      </c>
      <c r="AB23" s="7">
        <v>4.9605136578939911E-2</v>
      </c>
      <c r="AC23" s="150">
        <f>(AH23/SUM(AH$6:AH$25))*0.98</f>
        <v>0.10853367534632954</v>
      </c>
      <c r="AE23" s="168"/>
      <c r="AF23" s="168"/>
      <c r="AG23" s="19">
        <v>0.104</v>
      </c>
      <c r="AH23" s="19">
        <v>7.2705691152524815E-2</v>
      </c>
    </row>
    <row r="24" spans="1:34" x14ac:dyDescent="0.2">
      <c r="B24" s="18" t="s">
        <v>10</v>
      </c>
      <c r="C24" s="18">
        <f>VLOOKUP($AN$1,DST!C:D,2,FALSE)</f>
        <v>6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0</v>
      </c>
      <c r="M24" s="146">
        <f t="shared" si="21"/>
        <v>0</v>
      </c>
      <c r="N24" s="146">
        <f t="shared" si="21"/>
        <v>0</v>
      </c>
      <c r="O24" s="146">
        <f t="shared" si="22"/>
        <v>0</v>
      </c>
      <c r="Q24" s="13"/>
      <c r="R24" s="139"/>
      <c r="S24" s="138"/>
      <c r="T24" s="139"/>
      <c r="U24" s="139"/>
      <c r="V24" s="140"/>
      <c r="W24" s="154"/>
      <c r="X24" s="139"/>
      <c r="Y24" s="19">
        <v>0</v>
      </c>
      <c r="Z24" s="20">
        <v>0</v>
      </c>
      <c r="AA24" s="150">
        <f>(AG24/SUM(AG$6:AG$25))*0.98</f>
        <v>0</v>
      </c>
      <c r="AB24" s="7">
        <v>2.0947920738417902E-2</v>
      </c>
      <c r="AC24" s="150">
        <f>(AH24/SUM(AH$6:AH$25))*0.98</f>
        <v>0</v>
      </c>
      <c r="AE24" s="168"/>
      <c r="AF24" s="168"/>
      <c r="AG24" s="19">
        <v>0</v>
      </c>
      <c r="AH24" s="19">
        <v>0</v>
      </c>
    </row>
    <row r="25" spans="1:34" x14ac:dyDescent="0.2">
      <c r="B25" s="18" t="s">
        <v>10</v>
      </c>
      <c r="C25" s="18">
        <f>VLOOKUP($AN$1,DST!C:D,2,FALSE)</f>
        <v>6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21"/>
        <v>0</v>
      </c>
      <c r="N25" s="146">
        <f t="shared" si="21"/>
        <v>0</v>
      </c>
      <c r="O25" s="146">
        <f t="shared" si="22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0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264</v>
      </c>
      <c r="X27" s="30"/>
      <c r="Y27" s="30"/>
      <c r="Z27" s="31"/>
      <c r="AA27" s="9" t="s">
        <v>264</v>
      </c>
      <c r="AB27" s="9" t="s">
        <v>264</v>
      </c>
      <c r="AC27" s="9" t="s">
        <v>264</v>
      </c>
      <c r="AD27" s="44"/>
      <c r="AE27" s="9" t="s">
        <v>264</v>
      </c>
      <c r="AF27" s="9" t="s">
        <v>264</v>
      </c>
      <c r="AG27" s="9" t="s">
        <v>264</v>
      </c>
    </row>
    <row r="28" spans="1:34" s="27" customFormat="1" x14ac:dyDescent="0.2">
      <c r="A28" s="45" t="s">
        <v>265</v>
      </c>
      <c r="B28" s="28"/>
      <c r="C28" s="28"/>
      <c r="D28" s="34" t="s">
        <v>269</v>
      </c>
      <c r="E28" s="34" t="s">
        <v>266</v>
      </c>
      <c r="F28" s="155" t="s">
        <v>267</v>
      </c>
      <c r="G28" s="34" t="s">
        <v>286</v>
      </c>
      <c r="H28" s="34" t="s">
        <v>268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0.98</v>
      </c>
      <c r="X28" s="30"/>
      <c r="Y28" s="30"/>
      <c r="Z28" s="31"/>
      <c r="AA28" s="150">
        <f>SUM(AA6:AA25)</f>
        <v>0.98</v>
      </c>
      <c r="AB28" s="150">
        <f>SUM(AB2:AB4,AB6:AB11,AB13:AB20,AB22:AB25)</f>
        <v>0.83561398092010031</v>
      </c>
      <c r="AC28" s="150">
        <f>SUM(AC6:AC25)</f>
        <v>0.9800000000000002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</v>
      </c>
    </row>
    <row r="29" spans="1:34" s="27" customFormat="1" x14ac:dyDescent="0.2">
      <c r="A29" s="43"/>
      <c r="B29" s="28"/>
      <c r="C29" s="28"/>
      <c r="D29" s="46">
        <v>1046</v>
      </c>
      <c r="E29" s="47">
        <v>0.58899999999999997</v>
      </c>
      <c r="F29" s="2">
        <f>1-E29</f>
        <v>0.41100000000000003</v>
      </c>
      <c r="G29" s="106">
        <v>4.3499999999999996</v>
      </c>
      <c r="H29" s="126">
        <v>3.95E-2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265</v>
      </c>
      <c r="B31" s="28"/>
      <c r="C31" s="28"/>
      <c r="D31" s="162" t="s">
        <v>278</v>
      </c>
      <c r="E31" s="162" t="s">
        <v>1</v>
      </c>
      <c r="F31" s="162" t="s">
        <v>263</v>
      </c>
      <c r="G31" s="162" t="s">
        <v>137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616.09399999999994</v>
      </c>
      <c r="E32" s="156">
        <f>SUM(E2:E4)</f>
        <v>395.73531763883085</v>
      </c>
      <c r="F32" s="156">
        <f>SUM(F2:F4)</f>
        <v>4657.7036011097971</v>
      </c>
      <c r="G32" s="156">
        <f>SUM(G2:G4)</f>
        <v>29.715891204797604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265</v>
      </c>
      <c r="B34" s="28"/>
      <c r="C34" s="28"/>
      <c r="D34" s="162" t="s">
        <v>270</v>
      </c>
      <c r="E34" s="162" t="s">
        <v>263</v>
      </c>
      <c r="F34" s="162" t="s">
        <v>137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429.90600000000001</v>
      </c>
      <c r="E35" s="156">
        <f>D35*G29</f>
        <v>1870.0910999999999</v>
      </c>
      <c r="F35" s="156">
        <f>D35*H29</f>
        <v>16.981287000000002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279</v>
      </c>
      <c r="B37" s="37"/>
      <c r="C37" s="37"/>
      <c r="D37" s="164" t="s">
        <v>273</v>
      </c>
      <c r="E37" s="164" t="s">
        <v>274</v>
      </c>
      <c r="F37" s="164" t="s">
        <v>275</v>
      </c>
      <c r="G37" s="164" t="s">
        <v>271</v>
      </c>
      <c r="H37" s="164" t="s">
        <v>272</v>
      </c>
      <c r="I37" s="160" t="s">
        <v>276</v>
      </c>
      <c r="J37" s="160" t="s">
        <v>277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3.5" thickBot="1" x14ac:dyDescent="0.25">
      <c r="D38" s="157">
        <f>SUM(I2:I20)</f>
        <v>421.30788000000001</v>
      </c>
      <c r="E38" s="157">
        <f>SUM(J2:J4,J6:J11,J13:J20)</f>
        <v>1865.8967299529322</v>
      </c>
      <c r="F38" s="157">
        <f>SUM(K2:K4,K6:K11,K13:K20)</f>
        <v>16.976028656326374</v>
      </c>
      <c r="G38" s="157">
        <f>SUM(L6:L11,L13:L20,L22:L25)</f>
        <v>603.77211999999986</v>
      </c>
      <c r="H38" s="157">
        <f>SUM(M6:M11,M13:M20,M22:M25)</f>
        <v>393.40885681019978</v>
      </c>
      <c r="I38" s="157">
        <f>SUM(N6:N11,N13:N20,N22:N25)</f>
        <v>4638.5187785194685</v>
      </c>
      <c r="J38" s="157">
        <f>SUM(O6:O11,O13:O20,O22:O25)</f>
        <v>29.693203903030714</v>
      </c>
      <c r="V38" s="181"/>
      <c r="X38" s="30"/>
      <c r="Y38" s="30"/>
      <c r="Z38" s="181"/>
      <c r="AH38" s="30"/>
    </row>
    <row r="39" spans="1:34" ht="13.5" thickTop="1" x14ac:dyDescent="0.2">
      <c r="D39" s="158">
        <f>D35-D38</f>
        <v>8.5981199999999944</v>
      </c>
      <c r="E39" s="158">
        <f>E35-E38</f>
        <v>4.1943700470676504</v>
      </c>
      <c r="F39" s="158">
        <f>F35-F38</f>
        <v>5.2583436736277633E-3</v>
      </c>
      <c r="G39" s="158">
        <f>SUM(D2:D4)-G38</f>
        <v>12.321880000000078</v>
      </c>
      <c r="H39" s="158">
        <f>E32-H38</f>
        <v>2.3264608286310704</v>
      </c>
      <c r="I39" s="158">
        <f>F32-I38</f>
        <v>19.184822590328622</v>
      </c>
      <c r="J39" s="158">
        <f>G32-J38</f>
        <v>2.2687301766890045E-2</v>
      </c>
      <c r="V39" s="181"/>
      <c r="X39" s="30"/>
      <c r="Y39" s="30"/>
      <c r="Z39" s="181"/>
      <c r="AH39" s="30"/>
    </row>
    <row r="40" spans="1:34" x14ac:dyDescent="0.2">
      <c r="V40" s="181"/>
      <c r="X40" s="30"/>
      <c r="Y40" s="30"/>
      <c r="Z40" s="181"/>
      <c r="AH40" s="30"/>
    </row>
    <row r="41" spans="1:34" x14ac:dyDescent="0.2">
      <c r="V41" s="181"/>
      <c r="X41" s="30"/>
      <c r="Y41" s="30"/>
      <c r="Z41" s="181"/>
      <c r="AH41" s="30"/>
    </row>
    <row r="42" spans="1:34" x14ac:dyDescent="0.2">
      <c r="V42" s="181"/>
      <c r="X42" s="30"/>
      <c r="Y42" s="30"/>
      <c r="Z42" s="181"/>
      <c r="AH42" s="30"/>
    </row>
    <row r="43" spans="1:34" x14ac:dyDescent="0.2">
      <c r="V43" s="181"/>
      <c r="X43" s="30"/>
      <c r="Y43" s="30"/>
      <c r="Z43" s="181"/>
      <c r="AH43" s="30"/>
    </row>
    <row r="44" spans="1:34" x14ac:dyDescent="0.2">
      <c r="V44" s="181"/>
      <c r="X44" s="30"/>
      <c r="Y44" s="30"/>
      <c r="Z44" s="181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sortState xmlns:xlrd2="http://schemas.microsoft.com/office/spreadsheetml/2017/richdata2" ref="A13:AH20">
    <sortCondition descending="1" ref="N13:N20"/>
  </sortState>
  <conditionalFormatting sqref="D39:J39">
    <cfRule type="cellIs" dxfId="41" priority="1" operator="lessThan">
      <formula>0</formula>
    </cfRule>
  </conditionalFormatting>
  <conditionalFormatting sqref="W28">
    <cfRule type="cellIs" dxfId="40" priority="2" operator="greaterThan">
      <formula>1</formula>
    </cfRule>
  </conditionalFormatting>
  <conditionalFormatting sqref="AA28:AG28">
    <cfRule type="cellIs" dxfId="39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3">
    <tabColor rgb="FF00FACA"/>
  </sheetPr>
  <dimension ref="A1:AN64"/>
  <sheetViews>
    <sheetView showGridLines="0" zoomScale="85" zoomScaleNormal="85"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defaultColWidth="8.7109375" defaultRowHeight="12.75" x14ac:dyDescent="0.2"/>
  <cols>
    <col min="1" max="1" width="22.5703125" style="17" customWidth="1"/>
    <col min="2" max="3" width="8.7109375" style="18"/>
    <col min="4" max="13" width="8.7109375" style="23"/>
    <col min="14" max="15" width="8.7109375" style="18"/>
    <col min="16" max="16" width="4.7109375" style="18" customWidth="1"/>
    <col min="17" max="18" width="8.7109375" style="26"/>
    <col min="19" max="19" width="8.7109375" style="23"/>
    <col min="20" max="21" width="8.7109375" style="26"/>
    <col min="22" max="23" width="8.7109375" style="25"/>
    <col min="24" max="25" width="8.7109375" style="26"/>
    <col min="26" max="26" width="8.7109375" style="25"/>
    <col min="27" max="27" width="8.7109375" style="18"/>
    <col min="28" max="28" width="0" style="18" hidden="1" customWidth="1"/>
    <col min="29" max="29" width="8.7109375" style="26"/>
    <col min="30" max="30" width="4.7109375" style="17" customWidth="1"/>
    <col min="31" max="32" width="8.7109375" style="18"/>
    <col min="33" max="16384" width="8.7109375" style="17"/>
  </cols>
  <sheetData>
    <row r="1" spans="1:40" s="15" customFormat="1" ht="25.5" customHeight="1" x14ac:dyDescent="0.2">
      <c r="A1" s="15" t="s">
        <v>0</v>
      </c>
      <c r="B1" s="15" t="s">
        <v>8</v>
      </c>
      <c r="C1" s="15" t="s">
        <v>122</v>
      </c>
      <c r="D1" s="159" t="s">
        <v>210</v>
      </c>
      <c r="E1" s="159" t="s">
        <v>1</v>
      </c>
      <c r="F1" s="159" t="s">
        <v>213</v>
      </c>
      <c r="G1" s="159" t="s">
        <v>228</v>
      </c>
      <c r="H1" s="159" t="s">
        <v>2</v>
      </c>
      <c r="I1" s="159" t="s">
        <v>229</v>
      </c>
      <c r="J1" s="159" t="s">
        <v>217</v>
      </c>
      <c r="K1" s="159" t="s">
        <v>230</v>
      </c>
      <c r="L1" s="159" t="s">
        <v>219</v>
      </c>
      <c r="M1" s="159" t="s">
        <v>4</v>
      </c>
      <c r="N1" s="159" t="s">
        <v>223</v>
      </c>
      <c r="O1" s="159" t="s">
        <v>231</v>
      </c>
      <c r="Q1" s="160" t="s">
        <v>281</v>
      </c>
      <c r="R1" s="133" t="s">
        <v>232</v>
      </c>
      <c r="S1" s="134" t="s">
        <v>451</v>
      </c>
      <c r="T1" s="133" t="s">
        <v>205</v>
      </c>
      <c r="U1" s="133" t="s">
        <v>209</v>
      </c>
      <c r="V1" s="135" t="s">
        <v>280</v>
      </c>
      <c r="W1" s="161" t="s">
        <v>282</v>
      </c>
      <c r="X1" s="133" t="s">
        <v>233</v>
      </c>
      <c r="Y1" s="179" t="s">
        <v>234</v>
      </c>
      <c r="Z1" s="135" t="s">
        <v>235</v>
      </c>
      <c r="AA1" s="160" t="s">
        <v>236</v>
      </c>
      <c r="AB1" s="160" t="s">
        <v>237</v>
      </c>
      <c r="AC1" s="10" t="s">
        <v>262</v>
      </c>
      <c r="AE1" s="136" t="s">
        <v>283</v>
      </c>
      <c r="AF1" s="137" t="s">
        <v>284</v>
      </c>
      <c r="AG1" s="136" t="s">
        <v>285</v>
      </c>
      <c r="AH1" s="136" t="s">
        <v>450</v>
      </c>
      <c r="AN1" s="15" t="s">
        <v>105</v>
      </c>
    </row>
    <row r="2" spans="1:40" x14ac:dyDescent="0.2">
      <c r="A2" s="17" t="s">
        <v>154</v>
      </c>
      <c r="B2" s="18" t="s">
        <v>9</v>
      </c>
      <c r="C2" s="18">
        <f>VLOOKUP($AN$1,DST!C:D,2,FALSE)</f>
        <v>6</v>
      </c>
      <c r="D2" s="146">
        <f>D$32*Q2</f>
        <v>580.3471199999999</v>
      </c>
      <c r="E2" s="146">
        <f>D2*R2</f>
        <v>393.45014189459778</v>
      </c>
      <c r="F2" s="146">
        <f>E2*S2</f>
        <v>4620.5862909289335</v>
      </c>
      <c r="G2" s="146">
        <f>D2*T2</f>
        <v>29.017355999999996</v>
      </c>
      <c r="H2" s="146">
        <f>E2*U2</f>
        <v>7.943681404194515</v>
      </c>
      <c r="I2" s="146">
        <f>D$35*W2</f>
        <v>33.688793600000004</v>
      </c>
      <c r="J2" s="146">
        <f>I2*V2</f>
        <v>92.454583979979532</v>
      </c>
      <c r="K2" s="146">
        <f>I2*X2</f>
        <v>0.67377587200000011</v>
      </c>
      <c r="L2" s="147"/>
      <c r="M2" s="147"/>
      <c r="N2" s="147"/>
      <c r="O2" s="147"/>
      <c r="Q2" s="150">
        <f>(AE2/SUM(AE$2:AE$25))</f>
        <v>0.97</v>
      </c>
      <c r="R2" s="19">
        <v>0.67795656829415785</v>
      </c>
      <c r="S2" s="107">
        <v>11.743765725129037</v>
      </c>
      <c r="T2" s="19">
        <v>0.05</v>
      </c>
      <c r="U2" s="19">
        <v>2.0189804395400537E-2</v>
      </c>
      <c r="V2" s="107">
        <v>2.7443720626427988</v>
      </c>
      <c r="W2" s="150">
        <f>(AF2/SUM(AF$2:AF$20))*0.98</f>
        <v>7.8399999999999997E-2</v>
      </c>
      <c r="X2" s="19">
        <v>0.02</v>
      </c>
      <c r="Y2" s="21"/>
      <c r="Z2" s="22"/>
      <c r="AA2" s="1"/>
      <c r="AB2" s="1"/>
      <c r="AC2" s="1"/>
      <c r="AE2" s="19">
        <v>0.97</v>
      </c>
      <c r="AF2" s="19">
        <v>0.08</v>
      </c>
      <c r="AG2" s="168"/>
      <c r="AH2" s="168"/>
    </row>
    <row r="3" spans="1:40" x14ac:dyDescent="0.2">
      <c r="A3" s="17" t="s">
        <v>384</v>
      </c>
      <c r="B3" s="18" t="s">
        <v>9</v>
      </c>
      <c r="C3" s="18">
        <f>VLOOKUP($AN$1,DST!C:D,2,FALSE)</f>
        <v>6</v>
      </c>
      <c r="D3" s="146">
        <f>D$32*Q3</f>
        <v>17.948880000000013</v>
      </c>
      <c r="E3" s="146">
        <f t="shared" ref="E3:F4" si="0">D3*R3</f>
        <v>11.358146943747206</v>
      </c>
      <c r="F3" s="146">
        <f t="shared" si="0"/>
        <v>123.4619881246482</v>
      </c>
      <c r="G3" s="146">
        <f t="shared" ref="G3:G4" si="1">D3*T3</f>
        <v>0.64068026286198543</v>
      </c>
      <c r="H3" s="146">
        <f t="shared" ref="H3:H4" si="2">E3*U3</f>
        <v>0.34553974779714297</v>
      </c>
      <c r="I3" s="146">
        <f>D$35*W3</f>
        <v>0</v>
      </c>
      <c r="J3" s="146">
        <f>I3*V3</f>
        <v>0</v>
      </c>
      <c r="K3" s="146">
        <f>I3*X3</f>
        <v>0</v>
      </c>
      <c r="L3" s="147"/>
      <c r="M3" s="147"/>
      <c r="N3" s="147"/>
      <c r="O3" s="147"/>
      <c r="Q3" s="150">
        <f>(AE3/SUM(AE$2:AE$25))</f>
        <v>3.0000000000000027E-2</v>
      </c>
      <c r="R3" s="19">
        <v>0.63280533068064404</v>
      </c>
      <c r="S3" s="107">
        <v>10.869905868986445</v>
      </c>
      <c r="T3" s="19">
        <v>3.5694720944258636E-2</v>
      </c>
      <c r="U3" s="19">
        <v>3.0422193823383018E-2</v>
      </c>
      <c r="V3" s="107">
        <v>1.857142857142857</v>
      </c>
      <c r="W3" s="150">
        <f>(AF3/SUM(AF$2:AF$20))*0.98</f>
        <v>0</v>
      </c>
      <c r="X3" s="19">
        <v>2.3809523809523808E-2</v>
      </c>
      <c r="Y3" s="21"/>
      <c r="Z3" s="22"/>
      <c r="AA3" s="1"/>
      <c r="AB3" s="1"/>
      <c r="AC3" s="1"/>
      <c r="AE3" s="19">
        <v>3.0000000000000027E-2</v>
      </c>
      <c r="AF3" s="19">
        <v>0</v>
      </c>
      <c r="AG3" s="168"/>
      <c r="AH3" s="168"/>
    </row>
    <row r="4" spans="1:40" x14ac:dyDescent="0.2">
      <c r="B4" s="18" t="s">
        <v>9</v>
      </c>
      <c r="C4" s="18">
        <f>VLOOKUP($AN$1,DST!C:D,2,FALSE)</f>
        <v>6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/>
      <c r="AF4" s="19"/>
      <c r="AG4" s="168"/>
      <c r="AH4" s="168"/>
    </row>
    <row r="5" spans="1:40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40" x14ac:dyDescent="0.2">
      <c r="A6" s="17" t="s">
        <v>131</v>
      </c>
      <c r="B6" s="18" t="s">
        <v>207</v>
      </c>
      <c r="C6" s="18">
        <f>VLOOKUP($AN$1,DST!C:D,2,FALSE)</f>
        <v>6</v>
      </c>
      <c r="D6" s="147"/>
      <c r="E6" s="147"/>
      <c r="F6" s="147"/>
      <c r="G6" s="147"/>
      <c r="H6" s="147"/>
      <c r="I6" s="146">
        <f t="shared" ref="I6:I11" si="3">D$35*W6</f>
        <v>175.18172672000003</v>
      </c>
      <c r="J6" s="146">
        <f t="shared" ref="J6:J11" si="4">I6*V6</f>
        <v>827.88836383838679</v>
      </c>
      <c r="K6" s="146">
        <f t="shared" ref="K6:K11" si="5">I6*X6</f>
        <v>9.8276948689920012</v>
      </c>
      <c r="L6" s="146">
        <f t="shared" ref="L6:L11" si="6">((D$2+D$3+D$4)*AA6)</f>
        <v>23.453203199999994</v>
      </c>
      <c r="M6" s="146">
        <f t="shared" ref="M6:N11" si="7">L6*Y6</f>
        <v>17.542995993599991</v>
      </c>
      <c r="N6" s="146">
        <f t="shared" si="7"/>
        <v>123.10984222257677</v>
      </c>
      <c r="O6" s="146">
        <f t="shared" ref="O6:O11" si="8">M6*AH6</f>
        <v>1.0666255945375045</v>
      </c>
      <c r="Q6" s="13"/>
      <c r="R6" s="139"/>
      <c r="S6" s="138"/>
      <c r="T6" s="139"/>
      <c r="U6" s="139"/>
      <c r="V6" s="107">
        <v>4.7258831120076463</v>
      </c>
      <c r="W6" s="150">
        <f t="shared" ref="W6:W11" si="9">(AF6/SUM(AF$2:AF$20))*0.98</f>
        <v>0.40767999999999999</v>
      </c>
      <c r="X6" s="19">
        <v>5.6099999999999997E-2</v>
      </c>
      <c r="Y6" s="19">
        <v>0.74799999999999989</v>
      </c>
      <c r="Z6" s="20">
        <v>7.0176064719783051</v>
      </c>
      <c r="AA6" s="150">
        <f t="shared" ref="AA6:AA11" si="10">(AG6/SUM(AG$6:AG$25))*0.98</f>
        <v>3.9199999999999992E-2</v>
      </c>
      <c r="AB6" s="7">
        <v>0.10097043870963301</v>
      </c>
      <c r="AC6" s="150">
        <f t="shared" ref="AC6:AC11" si="11">(AH6/SUM(AH$6:AH$25))*0.98</f>
        <v>7.1271878350690349E-2</v>
      </c>
      <c r="AE6" s="168"/>
      <c r="AF6" s="19">
        <v>0.41599999999999998</v>
      </c>
      <c r="AG6" s="19">
        <v>0.04</v>
      </c>
      <c r="AH6" s="19">
        <v>6.0800652005314787E-2</v>
      </c>
    </row>
    <row r="7" spans="1:40" x14ac:dyDescent="0.2">
      <c r="A7" s="17" t="s">
        <v>524</v>
      </c>
      <c r="B7" s="18" t="s">
        <v>207</v>
      </c>
      <c r="C7" s="18">
        <f>VLOOKUP($AN$1,DST!C:D,2,FALSE)</f>
        <v>6</v>
      </c>
      <c r="D7" s="147"/>
      <c r="E7" s="147"/>
      <c r="F7" s="147"/>
      <c r="G7" s="147"/>
      <c r="H7" s="147"/>
      <c r="I7" s="146">
        <f t="shared" si="3"/>
        <v>144.86181248</v>
      </c>
      <c r="J7" s="146">
        <f t="shared" si="4"/>
        <v>730.10353489919999</v>
      </c>
      <c r="K7" s="146">
        <f t="shared" si="5"/>
        <v>7.2430906240000006</v>
      </c>
      <c r="L7" s="146">
        <f t="shared" si="6"/>
        <v>73.29125999999998</v>
      </c>
      <c r="M7" s="146">
        <f t="shared" si="7"/>
        <v>53.502619799999977</v>
      </c>
      <c r="N7" s="146">
        <f t="shared" si="7"/>
        <v>422.6217051571997</v>
      </c>
      <c r="O7" s="146">
        <f t="shared" si="8"/>
        <v>3.5846755265999986</v>
      </c>
      <c r="Q7" s="13"/>
      <c r="R7" s="139"/>
      <c r="S7" s="138"/>
      <c r="T7" s="139"/>
      <c r="U7" s="139"/>
      <c r="V7" s="107">
        <v>5.04</v>
      </c>
      <c r="W7" s="150">
        <f t="shared" si="9"/>
        <v>0.33711999999999998</v>
      </c>
      <c r="X7" s="19">
        <v>0.05</v>
      </c>
      <c r="Y7" s="19">
        <v>0.72999999999999987</v>
      </c>
      <c r="Z7" s="20">
        <v>7.8990843203008891</v>
      </c>
      <c r="AA7" s="150">
        <f t="shared" si="10"/>
        <v>0.12249999999999997</v>
      </c>
      <c r="AB7" s="7">
        <v>3.6580013622682005E-2</v>
      </c>
      <c r="AC7" s="150">
        <f t="shared" si="11"/>
        <v>7.8538892133571792E-2</v>
      </c>
      <c r="AE7" s="168"/>
      <c r="AF7" s="19">
        <v>0.34399999999999997</v>
      </c>
      <c r="AG7" s="19">
        <v>0.125</v>
      </c>
      <c r="AH7" s="19">
        <v>6.7000000000000004E-2</v>
      </c>
    </row>
    <row r="8" spans="1:40" x14ac:dyDescent="0.2">
      <c r="A8" s="17" t="s">
        <v>616</v>
      </c>
      <c r="B8" s="18" t="s">
        <v>207</v>
      </c>
      <c r="C8" s="18">
        <f>VLOOKUP($AN$1,DST!C:D,2,FALSE)</f>
        <v>6</v>
      </c>
      <c r="D8" s="147"/>
      <c r="E8" s="147"/>
      <c r="F8" s="147"/>
      <c r="G8" s="147"/>
      <c r="H8" s="147"/>
      <c r="I8" s="146">
        <f t="shared" si="3"/>
        <v>51.796520160000007</v>
      </c>
      <c r="J8" s="146">
        <f t="shared" si="4"/>
        <v>242.49294226543481</v>
      </c>
      <c r="K8" s="146">
        <f t="shared" si="5"/>
        <v>2.3857305637087038</v>
      </c>
      <c r="L8" s="146">
        <f t="shared" si="6"/>
        <v>29.316503999999991</v>
      </c>
      <c r="M8" s="146">
        <f t="shared" si="7"/>
        <v>21.459680928000001</v>
      </c>
      <c r="N8" s="146">
        <f t="shared" si="7"/>
        <v>180.37396931468604</v>
      </c>
      <c r="O8" s="146">
        <f t="shared" si="8"/>
        <v>1.1729359641013992</v>
      </c>
      <c r="Q8" s="13"/>
      <c r="R8" s="139"/>
      <c r="S8" s="138"/>
      <c r="T8" s="139"/>
      <c r="U8" s="139"/>
      <c r="V8" s="107">
        <v>4.6816454371137581</v>
      </c>
      <c r="W8" s="150">
        <f t="shared" si="9"/>
        <v>0.12053999999999999</v>
      </c>
      <c r="X8" s="19">
        <v>4.6059668802829926E-2</v>
      </c>
      <c r="Y8" s="19">
        <v>0.73200000000000021</v>
      </c>
      <c r="Z8" s="20">
        <v>8.4052493566826083</v>
      </c>
      <c r="AA8" s="150">
        <f t="shared" si="10"/>
        <v>4.8999999999999988E-2</v>
      </c>
      <c r="AB8" s="7">
        <v>1.1901303670887882E-2</v>
      </c>
      <c r="AC8" s="150">
        <f t="shared" si="11"/>
        <v>6.4070927418701018E-2</v>
      </c>
      <c r="AE8" s="168"/>
      <c r="AF8" s="19">
        <v>0.123</v>
      </c>
      <c r="AG8" s="19">
        <v>0.05</v>
      </c>
      <c r="AH8" s="19">
        <v>5.4657660942711628E-2</v>
      </c>
    </row>
    <row r="9" spans="1:40" x14ac:dyDescent="0.2">
      <c r="A9" s="17" t="s">
        <v>316</v>
      </c>
      <c r="B9" s="18" t="s">
        <v>207</v>
      </c>
      <c r="C9" s="18">
        <f>VLOOKUP($AN$1,DST!C:D,2,FALSE)</f>
        <v>6</v>
      </c>
      <c r="D9" s="147"/>
      <c r="E9" s="147"/>
      <c r="F9" s="147"/>
      <c r="G9" s="147"/>
      <c r="H9" s="147"/>
      <c r="I9" s="146">
        <f t="shared" si="3"/>
        <v>7.1588686400000014</v>
      </c>
      <c r="J9" s="146">
        <f t="shared" si="4"/>
        <v>34.628368944029127</v>
      </c>
      <c r="K9" s="146">
        <f t="shared" si="5"/>
        <v>0.28635474560000007</v>
      </c>
      <c r="L9" s="146">
        <f t="shared" si="6"/>
        <v>5.8633007999999984</v>
      </c>
      <c r="M9" s="146">
        <f t="shared" si="7"/>
        <v>4.1043105599999983</v>
      </c>
      <c r="N9" s="146">
        <f t="shared" si="7"/>
        <v>28.69220135611388</v>
      </c>
      <c r="O9" s="146">
        <f t="shared" si="8"/>
        <v>0.19382375883416578</v>
      </c>
      <c r="Q9" s="13"/>
      <c r="R9" s="139"/>
      <c r="S9" s="138"/>
      <c r="T9" s="139"/>
      <c r="U9" s="139"/>
      <c r="V9" s="107">
        <v>4.8371286980381187</v>
      </c>
      <c r="W9" s="150">
        <f t="shared" si="9"/>
        <v>1.6660000000000001E-2</v>
      </c>
      <c r="X9" s="19">
        <v>0.04</v>
      </c>
      <c r="Y9" s="19">
        <v>0.69999999999999984</v>
      </c>
      <c r="Z9" s="20">
        <v>6.9907481260662427</v>
      </c>
      <c r="AA9" s="150">
        <f t="shared" si="10"/>
        <v>9.7999999999999979E-3</v>
      </c>
      <c r="AB9" s="7">
        <v>2.3793858390666955E-2</v>
      </c>
      <c r="AC9" s="150">
        <f t="shared" si="11"/>
        <v>5.5357537731395977E-2</v>
      </c>
      <c r="AE9" s="168"/>
      <c r="AF9" s="19">
        <v>1.7000000000000001E-2</v>
      </c>
      <c r="AG9" s="19">
        <v>0.01</v>
      </c>
      <c r="AH9" s="19">
        <v>4.7224437819872449E-2</v>
      </c>
    </row>
    <row r="10" spans="1:40" x14ac:dyDescent="0.2">
      <c r="B10" s="18" t="s">
        <v>207</v>
      </c>
      <c r="C10" s="18">
        <f>VLOOKUP($AN$1,DST!C:D,2,FALSE)</f>
        <v>6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4"/>
        <v>0</v>
      </c>
      <c r="K10" s="146">
        <f t="shared" si="5"/>
        <v>0</v>
      </c>
      <c r="L10" s="146">
        <f t="shared" si="6"/>
        <v>0</v>
      </c>
      <c r="M10" s="146">
        <f t="shared" si="7"/>
        <v>0</v>
      </c>
      <c r="N10" s="146">
        <f t="shared" si="7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9"/>
        <v>0</v>
      </c>
      <c r="X10" s="19">
        <v>0</v>
      </c>
      <c r="Y10" s="19">
        <v>0</v>
      </c>
      <c r="Z10" s="20">
        <v>0</v>
      </c>
      <c r="AA10" s="150">
        <f t="shared" si="10"/>
        <v>0</v>
      </c>
      <c r="AB10" s="7">
        <v>4.0581098624604978E-3</v>
      </c>
      <c r="AC10" s="150">
        <f t="shared" si="11"/>
        <v>0</v>
      </c>
      <c r="AE10" s="168"/>
      <c r="AF10" s="19">
        <v>0</v>
      </c>
      <c r="AG10" s="19">
        <v>0</v>
      </c>
      <c r="AH10" s="19">
        <v>0</v>
      </c>
    </row>
    <row r="11" spans="1:40" x14ac:dyDescent="0.2">
      <c r="B11" s="18" t="s">
        <v>207</v>
      </c>
      <c r="C11" s="18">
        <f>VLOOKUP($AN$1,DST!C:D,2,FALSE)</f>
        <v>6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4"/>
        <v>0</v>
      </c>
      <c r="K11" s="146">
        <f t="shared" si="5"/>
        <v>0</v>
      </c>
      <c r="L11" s="146">
        <f t="shared" si="6"/>
        <v>0</v>
      </c>
      <c r="M11" s="146">
        <f t="shared" si="7"/>
        <v>0</v>
      </c>
      <c r="N11" s="146">
        <f t="shared" si="7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9"/>
        <v>0</v>
      </c>
      <c r="X11" s="19">
        <v>0</v>
      </c>
      <c r="Y11" s="19">
        <v>0</v>
      </c>
      <c r="Z11" s="20">
        <v>0</v>
      </c>
      <c r="AA11" s="150">
        <f t="shared" si="10"/>
        <v>0</v>
      </c>
      <c r="AB11" s="7">
        <v>0</v>
      </c>
      <c r="AC11" s="150">
        <f t="shared" si="11"/>
        <v>0</v>
      </c>
      <c r="AE11" s="168"/>
      <c r="AF11" s="19">
        <v>0</v>
      </c>
      <c r="AG11" s="19">
        <v>0</v>
      </c>
      <c r="AH11" s="19">
        <v>0</v>
      </c>
    </row>
    <row r="12" spans="1:40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40" x14ac:dyDescent="0.2">
      <c r="A13" s="17" t="s">
        <v>46</v>
      </c>
      <c r="B13" s="18" t="s">
        <v>208</v>
      </c>
      <c r="C13" s="18">
        <f>VLOOKUP($AN$1,DST!C:D,2,FALSE)</f>
        <v>6</v>
      </c>
      <c r="D13" s="147"/>
      <c r="E13" s="147"/>
      <c r="F13" s="147"/>
      <c r="G13" s="147"/>
      <c r="H13" s="147"/>
      <c r="I13" s="146">
        <f t="shared" ref="I13:I20" si="12">D$35*W13</f>
        <v>6.3166488000000012</v>
      </c>
      <c r="J13" s="146">
        <f t="shared" ref="J13:J20" si="13">I13*V13</f>
        <v>33.541405128000001</v>
      </c>
      <c r="K13" s="146">
        <f t="shared" ref="K13:K20" si="14">I13*X13</f>
        <v>0.3158324400000001</v>
      </c>
      <c r="L13" s="146">
        <f t="shared" ref="L13:L20" si="15">((D$2+D$3+D$4)*AA13)</f>
        <v>155.96380127999996</v>
      </c>
      <c r="M13" s="146">
        <f t="shared" ref="M13:N20" si="16">L13*Y13</f>
        <v>105.11960206271996</v>
      </c>
      <c r="N13" s="146">
        <f t="shared" si="16"/>
        <v>1506.753388178435</v>
      </c>
      <c r="O13" s="146">
        <f t="shared" ref="O13:O20" si="17">M13*AH13</f>
        <v>9.6458276903413687</v>
      </c>
      <c r="Q13" s="13"/>
      <c r="R13" s="139"/>
      <c r="S13" s="138"/>
      <c r="T13" s="139"/>
      <c r="U13" s="139"/>
      <c r="V13" s="107">
        <v>5.31</v>
      </c>
      <c r="W13" s="150">
        <f t="shared" ref="W13:W20" si="18">(AF13/SUM(AF$2:AF$20))*0.98</f>
        <v>1.47E-2</v>
      </c>
      <c r="X13" s="19">
        <v>0.05</v>
      </c>
      <c r="Y13" s="19">
        <v>0.67399999999999993</v>
      </c>
      <c r="Z13" s="20">
        <v>14.333705213984976</v>
      </c>
      <c r="AA13" s="150">
        <f t="shared" ref="AA13:AA20" si="19">(AG13/SUM(AG$6:AG$25))*0.98</f>
        <v>0.26067999999999997</v>
      </c>
      <c r="AB13" s="7">
        <v>0.13977929597046804</v>
      </c>
      <c r="AC13" s="150">
        <f t="shared" ref="AC13:AC20" si="20">(AH13/SUM(AH$6:AH$25))*0.98</f>
        <v>0.10756370663130316</v>
      </c>
      <c r="AE13" s="168"/>
      <c r="AF13" s="19">
        <v>1.4999999999999999E-2</v>
      </c>
      <c r="AG13" s="19">
        <v>0.26600000000000001</v>
      </c>
      <c r="AH13" s="19">
        <v>9.1760504235795654E-2</v>
      </c>
    </row>
    <row r="14" spans="1:40" x14ac:dyDescent="0.2">
      <c r="A14" s="17" t="s">
        <v>200</v>
      </c>
      <c r="B14" s="18" t="s">
        <v>208</v>
      </c>
      <c r="C14" s="18">
        <f>VLOOKUP($AN$1,DST!C:D,2,FALSE)</f>
        <v>6</v>
      </c>
      <c r="D14" s="147"/>
      <c r="E14" s="147"/>
      <c r="F14" s="147"/>
      <c r="G14" s="147"/>
      <c r="H14" s="147"/>
      <c r="I14" s="146">
        <f t="shared" si="12"/>
        <v>2.1055496000000002</v>
      </c>
      <c r="J14" s="146">
        <f t="shared" si="13"/>
        <v>10.190860064000001</v>
      </c>
      <c r="K14" s="146">
        <f t="shared" si="14"/>
        <v>0.10527748000000002</v>
      </c>
      <c r="L14" s="146">
        <f t="shared" si="15"/>
        <v>131.33793791999994</v>
      </c>
      <c r="M14" s="146">
        <f t="shared" si="16"/>
        <v>88.259094282239943</v>
      </c>
      <c r="N14" s="146">
        <f t="shared" si="16"/>
        <v>1223.2709818310982</v>
      </c>
      <c r="O14" s="146">
        <f t="shared" si="17"/>
        <v>6.1781365997567965</v>
      </c>
      <c r="Q14" s="13"/>
      <c r="R14" s="139"/>
      <c r="S14" s="138"/>
      <c r="T14" s="139"/>
      <c r="U14" s="139"/>
      <c r="V14" s="107">
        <v>4.84</v>
      </c>
      <c r="W14" s="150">
        <f t="shared" si="18"/>
        <v>4.8999999999999998E-3</v>
      </c>
      <c r="X14" s="19">
        <v>0.05</v>
      </c>
      <c r="Y14" s="19">
        <v>0.67199999999999982</v>
      </c>
      <c r="Z14" s="20">
        <v>13.859999264429939</v>
      </c>
      <c r="AA14" s="150">
        <f t="shared" si="19"/>
        <v>0.21951999999999994</v>
      </c>
      <c r="AB14" s="7">
        <v>0.13397476484210691</v>
      </c>
      <c r="AC14" s="150">
        <f t="shared" si="20"/>
        <v>8.2055558945522772E-2</v>
      </c>
      <c r="AE14" s="168"/>
      <c r="AF14" s="19">
        <v>5.0000000000000001E-3</v>
      </c>
      <c r="AG14" s="19">
        <v>0.224</v>
      </c>
      <c r="AH14" s="19">
        <v>7.0000000000000007E-2</v>
      </c>
    </row>
    <row r="15" spans="1:40" x14ac:dyDescent="0.2">
      <c r="A15" s="17" t="s">
        <v>470</v>
      </c>
      <c r="B15" s="18" t="s">
        <v>208</v>
      </c>
      <c r="C15" s="18">
        <f>VLOOKUP($AN$1,DST!C:D,2,FALSE)</f>
        <v>6</v>
      </c>
      <c r="D15" s="147"/>
      <c r="E15" s="147"/>
      <c r="F15" s="147"/>
      <c r="G15" s="147"/>
      <c r="H15" s="147"/>
      <c r="I15" s="146">
        <f t="shared" si="12"/>
        <v>0</v>
      </c>
      <c r="J15" s="146">
        <f t="shared" si="13"/>
        <v>0</v>
      </c>
      <c r="K15" s="146">
        <f t="shared" si="14"/>
        <v>0</v>
      </c>
      <c r="L15" s="146">
        <f t="shared" si="15"/>
        <v>30.489164159999987</v>
      </c>
      <c r="M15" s="146">
        <f t="shared" si="16"/>
        <v>17.744693541119993</v>
      </c>
      <c r="N15" s="146">
        <f t="shared" si="16"/>
        <v>246.86457649408405</v>
      </c>
      <c r="O15" s="146">
        <f t="shared" si="17"/>
        <v>1.5976782473451419</v>
      </c>
      <c r="Q15" s="13"/>
      <c r="R15" s="139"/>
      <c r="S15" s="138"/>
      <c r="T15" s="139"/>
      <c r="U15" s="139"/>
      <c r="V15" s="107">
        <v>5.0199999999999996</v>
      </c>
      <c r="W15" s="150">
        <f t="shared" si="18"/>
        <v>0</v>
      </c>
      <c r="X15" s="19">
        <v>0</v>
      </c>
      <c r="Y15" s="19">
        <v>0.58200000000000007</v>
      </c>
      <c r="Z15" s="20">
        <v>13.912022539133842</v>
      </c>
      <c r="AA15" s="150">
        <f t="shared" si="19"/>
        <v>5.0959999999999984E-2</v>
      </c>
      <c r="AB15" s="7">
        <v>6.3379106516108133E-2</v>
      </c>
      <c r="AC15" s="150">
        <f t="shared" si="20"/>
        <v>0.1055433286876222</v>
      </c>
      <c r="AE15" s="168"/>
      <c r="AF15" s="19">
        <v>0</v>
      </c>
      <c r="AG15" s="19">
        <v>5.1999999999999998E-2</v>
      </c>
      <c r="AH15" s="19">
        <v>9.0036959141775133E-2</v>
      </c>
    </row>
    <row r="16" spans="1:40" x14ac:dyDescent="0.2">
      <c r="A16" s="17" t="s">
        <v>617</v>
      </c>
      <c r="B16" s="18" t="s">
        <v>208</v>
      </c>
      <c r="C16" s="18">
        <f>VLOOKUP($AN$1,DST!C:D,2,FALSE)</f>
        <v>6</v>
      </c>
      <c r="D16" s="147"/>
      <c r="E16" s="147"/>
      <c r="F16" s="147"/>
      <c r="G16" s="147"/>
      <c r="H16" s="147"/>
      <c r="I16" s="146">
        <f t="shared" si="12"/>
        <v>0</v>
      </c>
      <c r="J16" s="146">
        <f t="shared" si="13"/>
        <v>0</v>
      </c>
      <c r="K16" s="146">
        <f t="shared" si="14"/>
        <v>0</v>
      </c>
      <c r="L16" s="146">
        <f t="shared" si="15"/>
        <v>41.04310559999999</v>
      </c>
      <c r="M16" s="146">
        <f t="shared" si="16"/>
        <v>27.006363484799994</v>
      </c>
      <c r="N16" s="146">
        <f t="shared" si="16"/>
        <v>318.94515275548792</v>
      </c>
      <c r="O16" s="146">
        <f t="shared" si="17"/>
        <v>1.8904454439359997</v>
      </c>
      <c r="Q16" s="13"/>
      <c r="R16" s="139"/>
      <c r="S16" s="138"/>
      <c r="T16" s="139"/>
      <c r="U16" s="139"/>
      <c r="V16" s="107">
        <v>6.01</v>
      </c>
      <c r="W16" s="150">
        <f t="shared" si="18"/>
        <v>0</v>
      </c>
      <c r="X16" s="19">
        <v>8.0000000000000002E-3</v>
      </c>
      <c r="Y16" s="19">
        <v>0.65800000000000003</v>
      </c>
      <c r="Z16" s="20">
        <v>11.81</v>
      </c>
      <c r="AA16" s="150">
        <f t="shared" si="19"/>
        <v>6.8599999999999994E-2</v>
      </c>
      <c r="AB16" s="7">
        <v>2.1686028625809362E-2</v>
      </c>
      <c r="AC16" s="150">
        <f t="shared" si="20"/>
        <v>8.2055558945522772E-2</v>
      </c>
      <c r="AE16" s="168"/>
      <c r="AF16" s="19">
        <v>0</v>
      </c>
      <c r="AG16" s="19">
        <v>7.0000000000000007E-2</v>
      </c>
      <c r="AH16" s="19">
        <v>7.0000000000000007E-2</v>
      </c>
    </row>
    <row r="17" spans="1:34" x14ac:dyDescent="0.2">
      <c r="A17" s="17" t="s">
        <v>171</v>
      </c>
      <c r="B17" s="18" t="s">
        <v>208</v>
      </c>
      <c r="C17" s="18">
        <f>VLOOKUP($AN$1,DST!C:D,2,FALSE)</f>
        <v>6</v>
      </c>
      <c r="D17" s="147"/>
      <c r="E17" s="147"/>
      <c r="F17" s="147"/>
      <c r="G17" s="147"/>
      <c r="H17" s="147"/>
      <c r="I17" s="146">
        <f t="shared" si="12"/>
        <v>0</v>
      </c>
      <c r="J17" s="146">
        <f t="shared" si="13"/>
        <v>0</v>
      </c>
      <c r="K17" s="146">
        <f t="shared" si="14"/>
        <v>0</v>
      </c>
      <c r="L17" s="146">
        <f t="shared" si="15"/>
        <v>10.553941439999996</v>
      </c>
      <c r="M17" s="146">
        <f t="shared" si="16"/>
        <v>6.3323648639999979</v>
      </c>
      <c r="N17" s="146">
        <f t="shared" si="16"/>
        <v>62.182798194090537</v>
      </c>
      <c r="O17" s="146">
        <f t="shared" si="17"/>
        <v>0.33675089812781339</v>
      </c>
      <c r="Q17" s="13"/>
      <c r="R17" s="139"/>
      <c r="S17" s="138"/>
      <c r="T17" s="139"/>
      <c r="U17" s="139"/>
      <c r="V17" s="107">
        <v>5.0199999999999996</v>
      </c>
      <c r="W17" s="150">
        <f t="shared" si="18"/>
        <v>0</v>
      </c>
      <c r="X17" s="19">
        <v>0</v>
      </c>
      <c r="Y17" s="19">
        <v>0.60000000000000009</v>
      </c>
      <c r="Z17" s="20">
        <v>9.8198381694025141</v>
      </c>
      <c r="AA17" s="150">
        <f t="shared" si="19"/>
        <v>1.7639999999999996E-2</v>
      </c>
      <c r="AB17" s="7">
        <v>0.13483737034533969</v>
      </c>
      <c r="AC17" s="150">
        <f t="shared" si="20"/>
        <v>6.2337990770413368E-2</v>
      </c>
      <c r="AE17" s="168"/>
      <c r="AF17" s="19">
        <v>0</v>
      </c>
      <c r="AG17" s="19">
        <v>1.7999999999999999E-2</v>
      </c>
      <c r="AH17" s="19">
        <v>5.3179326422308555E-2</v>
      </c>
    </row>
    <row r="18" spans="1:34" x14ac:dyDescent="0.2">
      <c r="A18" s="17" t="s">
        <v>646</v>
      </c>
      <c r="B18" s="18" t="s">
        <v>208</v>
      </c>
      <c r="C18" s="18">
        <f>VLOOKUP($AN$1,DST!C:D,2,FALSE)</f>
        <v>6</v>
      </c>
      <c r="D18" s="147"/>
      <c r="E18" s="147"/>
      <c r="F18" s="147"/>
      <c r="G18" s="147"/>
      <c r="H18" s="147"/>
      <c r="I18" s="146">
        <f t="shared" si="12"/>
        <v>0</v>
      </c>
      <c r="J18" s="146">
        <f t="shared" si="13"/>
        <v>0</v>
      </c>
      <c r="K18" s="146">
        <f t="shared" si="14"/>
        <v>0</v>
      </c>
      <c r="L18" s="146">
        <f t="shared" si="15"/>
        <v>7.035960959999997</v>
      </c>
      <c r="M18" s="146">
        <f t="shared" si="16"/>
        <v>4.3974755999999982</v>
      </c>
      <c r="N18" s="146">
        <f t="shared" si="16"/>
        <v>50.814296843749261</v>
      </c>
      <c r="O18" s="146">
        <f t="shared" si="17"/>
        <v>0.20591088235902322</v>
      </c>
      <c r="Q18" s="13"/>
      <c r="R18" s="139"/>
      <c r="S18" s="138"/>
      <c r="T18" s="139"/>
      <c r="U18" s="139"/>
      <c r="V18" s="107">
        <v>5.0199999999999996</v>
      </c>
      <c r="W18" s="150">
        <f t="shared" si="18"/>
        <v>0</v>
      </c>
      <c r="X18" s="19">
        <v>0</v>
      </c>
      <c r="Y18" s="19">
        <v>0.625</v>
      </c>
      <c r="Z18" s="20">
        <v>11.555333438063711</v>
      </c>
      <c r="AA18" s="150">
        <f t="shared" si="19"/>
        <v>1.1759999999999996E-2</v>
      </c>
      <c r="AB18" s="7">
        <v>5.4155903923578511E-2</v>
      </c>
      <c r="AC18" s="150">
        <f t="shared" si="20"/>
        <v>5.4889064551149815E-2</v>
      </c>
      <c r="AE18" s="168"/>
      <c r="AF18" s="19">
        <v>0</v>
      </c>
      <c r="AG18" s="19">
        <v>1.2E-2</v>
      </c>
      <c r="AH18" s="19">
        <v>4.6824792469348391E-2</v>
      </c>
    </row>
    <row r="19" spans="1:34" x14ac:dyDescent="0.2">
      <c r="B19" s="18" t="s">
        <v>208</v>
      </c>
      <c r="C19" s="18">
        <f>VLOOKUP($AN$1,DST!C:D,2,FALSE)</f>
        <v>6</v>
      </c>
      <c r="D19" s="147"/>
      <c r="E19" s="147"/>
      <c r="F19" s="147"/>
      <c r="G19" s="147"/>
      <c r="H19" s="147"/>
      <c r="I19" s="146">
        <f t="shared" si="12"/>
        <v>0</v>
      </c>
      <c r="J19" s="146">
        <f t="shared" si="13"/>
        <v>0</v>
      </c>
      <c r="K19" s="146">
        <f t="shared" si="14"/>
        <v>0</v>
      </c>
      <c r="L19" s="146">
        <f t="shared" si="15"/>
        <v>0</v>
      </c>
      <c r="M19" s="146">
        <f t="shared" si="16"/>
        <v>0</v>
      </c>
      <c r="N19" s="146">
        <f t="shared" si="16"/>
        <v>0</v>
      </c>
      <c r="O19" s="146">
        <f t="shared" si="17"/>
        <v>0</v>
      </c>
      <c r="Q19" s="13"/>
      <c r="R19" s="139"/>
      <c r="S19" s="138"/>
      <c r="T19" s="139"/>
      <c r="U19" s="139"/>
      <c r="V19" s="107">
        <v>0</v>
      </c>
      <c r="W19" s="150">
        <f t="shared" si="18"/>
        <v>0</v>
      </c>
      <c r="X19" s="19">
        <v>0</v>
      </c>
      <c r="Y19" s="19">
        <v>0</v>
      </c>
      <c r="Z19" s="20">
        <v>0</v>
      </c>
      <c r="AA19" s="150">
        <f t="shared" si="19"/>
        <v>0</v>
      </c>
      <c r="AB19" s="7">
        <v>1.4127569434105905E-2</v>
      </c>
      <c r="AC19" s="150">
        <f t="shared" si="20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208</v>
      </c>
      <c r="C20" s="18">
        <f>VLOOKUP($AN$1,DST!C:D,2,FALSE)</f>
        <v>6</v>
      </c>
      <c r="D20" s="147"/>
      <c r="E20" s="147"/>
      <c r="F20" s="147"/>
      <c r="G20" s="147"/>
      <c r="H20" s="147"/>
      <c r="I20" s="146">
        <f t="shared" si="12"/>
        <v>0</v>
      </c>
      <c r="J20" s="146">
        <f t="shared" si="13"/>
        <v>0</v>
      </c>
      <c r="K20" s="146">
        <f t="shared" si="14"/>
        <v>0</v>
      </c>
      <c r="L20" s="146">
        <f t="shared" si="15"/>
        <v>0</v>
      </c>
      <c r="M20" s="146">
        <f t="shared" si="16"/>
        <v>0</v>
      </c>
      <c r="N20" s="146">
        <f t="shared" si="16"/>
        <v>0</v>
      </c>
      <c r="O20" s="146">
        <f t="shared" si="17"/>
        <v>0</v>
      </c>
      <c r="Q20" s="13"/>
      <c r="R20" s="139"/>
      <c r="S20" s="138"/>
      <c r="T20" s="139"/>
      <c r="U20" s="139"/>
      <c r="V20" s="107">
        <v>0</v>
      </c>
      <c r="W20" s="150">
        <f t="shared" si="18"/>
        <v>0</v>
      </c>
      <c r="X20" s="19">
        <v>0</v>
      </c>
      <c r="Y20" s="19">
        <v>0</v>
      </c>
      <c r="Z20" s="20">
        <v>0</v>
      </c>
      <c r="AA20" s="150">
        <f t="shared" si="19"/>
        <v>0</v>
      </c>
      <c r="AB20" s="7">
        <v>1.5301244433247011E-2</v>
      </c>
      <c r="AC20" s="150">
        <f t="shared" si="20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59</v>
      </c>
      <c r="B22" s="18" t="s">
        <v>10</v>
      </c>
      <c r="C22" s="18">
        <f>VLOOKUP($AN$1,DST!C:D,2,FALSE)</f>
        <v>6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61.564658399999971</v>
      </c>
      <c r="M22" s="146">
        <f t="shared" ref="M22:N25" si="21">L22*Y22</f>
        <v>41.925532370399992</v>
      </c>
      <c r="N22" s="146">
        <f t="shared" si="21"/>
        <v>461.20501993138794</v>
      </c>
      <c r="O22" s="146">
        <f t="shared" ref="O22:O25" si="22">M22*AH22</f>
        <v>3.0905162053528943</v>
      </c>
      <c r="Q22" s="13"/>
      <c r="R22" s="139"/>
      <c r="S22" s="138"/>
      <c r="T22" s="139"/>
      <c r="U22" s="139"/>
      <c r="V22" s="140"/>
      <c r="W22" s="154"/>
      <c r="X22" s="139"/>
      <c r="Y22" s="19">
        <v>0.68100000000000016</v>
      </c>
      <c r="Z22" s="20">
        <v>11.00057635182243</v>
      </c>
      <c r="AA22" s="150">
        <f>(AG22/SUM(AG$6:AG$25))*0.98</f>
        <v>0.10289999999999996</v>
      </c>
      <c r="AB22" s="7">
        <v>0.12428203305448807</v>
      </c>
      <c r="AC22" s="150">
        <f>(AH22/SUM(AH$6:AH$25))*0.98</f>
        <v>8.6409682093342322E-2</v>
      </c>
      <c r="AE22" s="168"/>
      <c r="AF22" s="168"/>
      <c r="AG22" s="19">
        <v>0.105</v>
      </c>
      <c r="AH22" s="19">
        <v>7.3714417697766474E-2</v>
      </c>
    </row>
    <row r="23" spans="1:34" x14ac:dyDescent="0.2">
      <c r="A23" s="17" t="s">
        <v>155</v>
      </c>
      <c r="B23" s="18" t="s">
        <v>10</v>
      </c>
      <c r="C23" s="18">
        <f>VLOOKUP($AN$1,DST!C:D,2,FALSE)</f>
        <v>6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7.6222910399999968</v>
      </c>
      <c r="M23" s="146">
        <f t="shared" si="21"/>
        <v>5.564272459199997</v>
      </c>
      <c r="N23" s="146">
        <f t="shared" si="21"/>
        <v>52.716665398698375</v>
      </c>
      <c r="O23" s="146">
        <f t="shared" si="22"/>
        <v>0.27821362295999985</v>
      </c>
      <c r="Q23" s="13"/>
      <c r="R23" s="139"/>
      <c r="S23" s="138"/>
      <c r="T23" s="139"/>
      <c r="U23" s="139"/>
      <c r="V23" s="140"/>
      <c r="W23" s="154"/>
      <c r="X23" s="139"/>
      <c r="Y23" s="19">
        <v>0.72999999999999987</v>
      </c>
      <c r="Z23" s="20">
        <v>9.4741344506839109</v>
      </c>
      <c r="AA23" s="150">
        <f>(AG23/SUM(AG$6:AG$25))*0.98</f>
        <v>1.2739999999999996E-2</v>
      </c>
      <c r="AB23" s="7">
        <v>4.0438583704690979E-2</v>
      </c>
      <c r="AC23" s="150">
        <f>(AH23/SUM(AH$6:AH$25))*0.98</f>
        <v>5.861111353251626E-2</v>
      </c>
      <c r="AE23" s="168"/>
      <c r="AF23" s="168"/>
      <c r="AG23" s="19">
        <v>1.2999999999999999E-2</v>
      </c>
      <c r="AH23" s="19">
        <v>0.05</v>
      </c>
    </row>
    <row r="24" spans="1:34" x14ac:dyDescent="0.2">
      <c r="A24" s="17" t="s">
        <v>572</v>
      </c>
      <c r="B24" s="18" t="s">
        <v>10</v>
      </c>
      <c r="C24" s="18">
        <f>VLOOKUP($AN$1,DST!C:D,2,FALSE)</f>
        <v>6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8.7949511999999963</v>
      </c>
      <c r="M24" s="146">
        <f t="shared" si="21"/>
        <v>6.209235547199996</v>
      </c>
      <c r="N24" s="146">
        <f t="shared" si="21"/>
        <v>54.906433383179603</v>
      </c>
      <c r="O24" s="146">
        <f t="shared" si="22"/>
        <v>0.37764677441980432</v>
      </c>
      <c r="Q24" s="13"/>
      <c r="R24" s="139"/>
      <c r="S24" s="138"/>
      <c r="T24" s="139"/>
      <c r="U24" s="139"/>
      <c r="V24" s="140"/>
      <c r="W24" s="154"/>
      <c r="X24" s="139"/>
      <c r="Y24" s="19">
        <v>0.70599999999999985</v>
      </c>
      <c r="Z24" s="20">
        <v>8.842704221124162</v>
      </c>
      <c r="AA24" s="150">
        <f>(AG24/SUM(AG$6:AG$25))*0.98</f>
        <v>1.4699999999999996E-2</v>
      </c>
      <c r="AB24" s="7">
        <v>2.8782823517315929E-2</v>
      </c>
      <c r="AC24" s="150">
        <f>(AH24/SUM(AH$6:AH$25))*0.98</f>
        <v>7.129476020824814E-2</v>
      </c>
      <c r="AE24" s="168"/>
      <c r="AF24" s="168"/>
      <c r="AG24" s="19">
        <v>1.4999999999999999E-2</v>
      </c>
      <c r="AH24" s="19">
        <v>6.0820172072567139E-2</v>
      </c>
    </row>
    <row r="25" spans="1:34" x14ac:dyDescent="0.2">
      <c r="A25" s="42"/>
      <c r="B25" s="18" t="s">
        <v>10</v>
      </c>
      <c r="C25" s="18">
        <f>VLOOKUP($AN$1,DST!C:D,2,FALSE)</f>
        <v>6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21"/>
        <v>0</v>
      </c>
      <c r="N25" s="146">
        <f t="shared" si="21"/>
        <v>0</v>
      </c>
      <c r="O25" s="146">
        <f t="shared" si="22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2.6951551376411035E-2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264</v>
      </c>
      <c r="X27" s="30"/>
      <c r="Y27" s="30"/>
      <c r="Z27" s="31"/>
      <c r="AA27" s="9" t="s">
        <v>264</v>
      </c>
      <c r="AB27" s="9" t="s">
        <v>264</v>
      </c>
      <c r="AC27" s="9" t="s">
        <v>264</v>
      </c>
      <c r="AD27" s="44"/>
      <c r="AE27" s="9" t="s">
        <v>264</v>
      </c>
      <c r="AF27" s="9" t="s">
        <v>264</v>
      </c>
      <c r="AG27" s="9" t="s">
        <v>264</v>
      </c>
    </row>
    <row r="28" spans="1:34" s="27" customFormat="1" x14ac:dyDescent="0.2">
      <c r="A28" s="45" t="s">
        <v>265</v>
      </c>
      <c r="B28" s="28"/>
      <c r="C28" s="28"/>
      <c r="D28" s="34" t="s">
        <v>269</v>
      </c>
      <c r="E28" s="34" t="s">
        <v>266</v>
      </c>
      <c r="F28" s="155" t="s">
        <v>267</v>
      </c>
      <c r="G28" s="34" t="s">
        <v>286</v>
      </c>
      <c r="H28" s="34" t="s">
        <v>268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0.98</v>
      </c>
      <c r="X28" s="30"/>
      <c r="Y28" s="30"/>
      <c r="Z28" s="31"/>
      <c r="AA28" s="150">
        <f>SUM(AA6:AA25)</f>
        <v>0.97999999999999987</v>
      </c>
      <c r="AB28" s="150">
        <f>SUM(AB2:AB4,AB6:AB11,AB13:AB20,AB22:AB25)</f>
        <v>0.97499999999999987</v>
      </c>
      <c r="AC28" s="150">
        <f>SUM(AC6:AC25)</f>
        <v>0.97999999999999987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1.0000000000000002</v>
      </c>
    </row>
    <row r="29" spans="1:34" s="27" customFormat="1" x14ac:dyDescent="0.2">
      <c r="A29" s="43"/>
      <c r="B29" s="28"/>
      <c r="C29" s="28"/>
      <c r="D29" s="46">
        <v>1028</v>
      </c>
      <c r="E29" s="47">
        <v>0.58199999999999996</v>
      </c>
      <c r="F29" s="2">
        <f>1-E29</f>
        <v>0.41800000000000004</v>
      </c>
      <c r="G29" s="106">
        <v>4.5999999999999996</v>
      </c>
      <c r="H29" s="126">
        <v>4.8500000000000001E-2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265</v>
      </c>
      <c r="B31" s="28"/>
      <c r="C31" s="28"/>
      <c r="D31" s="162" t="s">
        <v>278</v>
      </c>
      <c r="E31" s="162" t="s">
        <v>1</v>
      </c>
      <c r="F31" s="162" t="s">
        <v>263</v>
      </c>
      <c r="G31" s="162" t="s">
        <v>137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598.29599999999994</v>
      </c>
      <c r="E32" s="156">
        <f>SUM(E2:E4)</f>
        <v>404.80828883834499</v>
      </c>
      <c r="F32" s="156">
        <f>SUM(F2:F4)</f>
        <v>4744.0482790535816</v>
      </c>
      <c r="G32" s="156">
        <f>SUM(G2:G4)</f>
        <v>29.65803626286198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265</v>
      </c>
      <c r="B34" s="28"/>
      <c r="C34" s="28"/>
      <c r="D34" s="162" t="s">
        <v>270</v>
      </c>
      <c r="E34" s="162" t="s">
        <v>263</v>
      </c>
      <c r="F34" s="162" t="s">
        <v>137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429.70400000000006</v>
      </c>
      <c r="E35" s="156">
        <f>D35*G29</f>
        <v>1976.6384</v>
      </c>
      <c r="F35" s="156">
        <f>D35*H29</f>
        <v>20.840644000000005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279</v>
      </c>
      <c r="B37" s="37"/>
      <c r="C37" s="37"/>
      <c r="D37" s="164" t="s">
        <v>273</v>
      </c>
      <c r="E37" s="164" t="s">
        <v>274</v>
      </c>
      <c r="F37" s="164" t="s">
        <v>275</v>
      </c>
      <c r="G37" s="164" t="s">
        <v>271</v>
      </c>
      <c r="H37" s="164" t="s">
        <v>272</v>
      </c>
      <c r="I37" s="164" t="s">
        <v>276</v>
      </c>
      <c r="J37" s="164" t="s">
        <v>277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3.5" thickBot="1" x14ac:dyDescent="0.25">
      <c r="D38" s="157">
        <f>SUM(I2:I20)</f>
        <v>421.10991999999999</v>
      </c>
      <c r="E38" s="157">
        <f>SUM(J2:J4,J6:J11,J13:J20)</f>
        <v>1971.30005911903</v>
      </c>
      <c r="F38" s="157">
        <f>SUM(K2:K4,K6:K11,K13:K20)</f>
        <v>20.837756594300711</v>
      </c>
      <c r="G38" s="157">
        <f>SUM(L6:L11,L13:L20,L22:L25)</f>
        <v>586.33007999999984</v>
      </c>
      <c r="H38" s="157">
        <f>SUM(M6:M11,M13:M20,M22:M25)</f>
        <v>399.16824149327982</v>
      </c>
      <c r="I38" s="157">
        <f>SUM(N6:N11,N13:N20,N22:N25)</f>
        <v>4732.4570310607878</v>
      </c>
      <c r="J38" s="157">
        <f>SUM(O6:O11,O13:O20,O22:O25)</f>
        <v>29.61918720867191</v>
      </c>
      <c r="V38" s="181"/>
      <c r="X38" s="30"/>
      <c r="Y38" s="30"/>
      <c r="Z38" s="181"/>
      <c r="AH38" s="30"/>
    </row>
    <row r="39" spans="1:34" ht="13.5" thickTop="1" x14ac:dyDescent="0.2">
      <c r="D39" s="158">
        <f>D35-D38</f>
        <v>8.5940800000000763</v>
      </c>
      <c r="E39" s="158">
        <f>E35-E38</f>
        <v>5.3383408809700086</v>
      </c>
      <c r="F39" s="158">
        <f>F35-F38</f>
        <v>2.8874056992940211E-3</v>
      </c>
      <c r="G39" s="158">
        <f>SUM(D2:D4)-G38</f>
        <v>11.965920000000096</v>
      </c>
      <c r="H39" s="158">
        <f>E32-H38</f>
        <v>5.6400473450651702</v>
      </c>
      <c r="I39" s="158">
        <f>F32-I38</f>
        <v>11.591247992793797</v>
      </c>
      <c r="J39" s="158">
        <f>G32-J38</f>
        <v>3.884905419007012E-2</v>
      </c>
      <c r="V39" s="181"/>
      <c r="X39" s="30"/>
      <c r="Y39" s="30"/>
      <c r="Z39" s="181"/>
      <c r="AH39" s="30"/>
    </row>
    <row r="40" spans="1:34" x14ac:dyDescent="0.2">
      <c r="N40" s="23"/>
      <c r="O40" s="23"/>
      <c r="V40" s="181"/>
      <c r="X40" s="30"/>
      <c r="Y40" s="30"/>
      <c r="Z40" s="181"/>
      <c r="AH40" s="30"/>
    </row>
    <row r="41" spans="1:34" x14ac:dyDescent="0.2">
      <c r="N41" s="23"/>
      <c r="O41" s="23"/>
      <c r="V41" s="181"/>
      <c r="X41" s="30"/>
      <c r="Y41" s="30"/>
      <c r="Z41" s="181"/>
      <c r="AH41" s="30"/>
    </row>
    <row r="42" spans="1:34" x14ac:dyDescent="0.2">
      <c r="N42" s="23"/>
      <c r="O42" s="23"/>
      <c r="V42" s="181"/>
      <c r="X42" s="30"/>
      <c r="Y42" s="30"/>
      <c r="Z42" s="181"/>
      <c r="AH42" s="30"/>
    </row>
    <row r="43" spans="1:34" x14ac:dyDescent="0.2">
      <c r="N43" s="23"/>
      <c r="O43" s="23"/>
      <c r="V43" s="181"/>
      <c r="X43" s="30"/>
      <c r="Y43" s="30"/>
      <c r="Z43" s="181"/>
      <c r="AH43" s="30"/>
    </row>
    <row r="44" spans="1:34" x14ac:dyDescent="0.2">
      <c r="N44" s="23"/>
      <c r="O44" s="23"/>
      <c r="V44" s="181"/>
      <c r="X44" s="30"/>
      <c r="Y44" s="30"/>
      <c r="Z44" s="181"/>
      <c r="AH44" s="30"/>
    </row>
    <row r="45" spans="1:34" x14ac:dyDescent="0.2">
      <c r="N45" s="23"/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sortState xmlns:xlrd2="http://schemas.microsoft.com/office/spreadsheetml/2017/richdata2" ref="A13:AH20">
    <sortCondition descending="1" ref="M13:M20"/>
  </sortState>
  <conditionalFormatting sqref="D39:J39">
    <cfRule type="cellIs" dxfId="38" priority="1" operator="lessThan">
      <formula>0</formula>
    </cfRule>
  </conditionalFormatting>
  <conditionalFormatting sqref="W28">
    <cfRule type="cellIs" dxfId="37" priority="2" operator="greaterThan">
      <formula>1</formula>
    </cfRule>
  </conditionalFormatting>
  <conditionalFormatting sqref="AA28:AG28">
    <cfRule type="cellIs" dxfId="36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>
    <tabColor rgb="FF7030A0"/>
  </sheetPr>
  <dimension ref="A1:AN64"/>
  <sheetViews>
    <sheetView showGridLines="0" zoomScale="85" zoomScaleNormal="85"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defaultColWidth="8.7109375" defaultRowHeight="12.75" x14ac:dyDescent="0.2"/>
  <cols>
    <col min="1" max="1" width="22.5703125" style="17" customWidth="1"/>
    <col min="2" max="3" width="8.7109375" style="18"/>
    <col min="4" max="13" width="8.7109375" style="23"/>
    <col min="14" max="15" width="8.7109375" style="18"/>
    <col min="16" max="16" width="4.7109375" style="18" customWidth="1"/>
    <col min="17" max="18" width="8.7109375" style="26"/>
    <col min="19" max="19" width="8.7109375" style="23"/>
    <col min="20" max="21" width="8.7109375" style="26"/>
    <col min="22" max="23" width="8.7109375" style="25"/>
    <col min="24" max="25" width="8.7109375" style="26"/>
    <col min="26" max="26" width="8.7109375" style="25"/>
    <col min="27" max="27" width="8.7109375" style="18"/>
    <col min="28" max="28" width="0" style="18" hidden="1" customWidth="1"/>
    <col min="29" max="29" width="8.7109375" style="26"/>
    <col min="30" max="30" width="4.7109375" style="17" customWidth="1"/>
    <col min="31" max="32" width="8.7109375" style="18"/>
    <col min="33" max="16384" width="8.7109375" style="17"/>
  </cols>
  <sheetData>
    <row r="1" spans="1:40" s="15" customFormat="1" ht="25.5" customHeight="1" x14ac:dyDescent="0.2">
      <c r="A1" s="15" t="s">
        <v>0</v>
      </c>
      <c r="B1" s="15" t="s">
        <v>8</v>
      </c>
      <c r="C1" s="15" t="s">
        <v>122</v>
      </c>
      <c r="D1" s="159" t="s">
        <v>210</v>
      </c>
      <c r="E1" s="159" t="s">
        <v>1</v>
      </c>
      <c r="F1" s="159" t="s">
        <v>213</v>
      </c>
      <c r="G1" s="159" t="s">
        <v>228</v>
      </c>
      <c r="H1" s="159" t="s">
        <v>2</v>
      </c>
      <c r="I1" s="159" t="s">
        <v>229</v>
      </c>
      <c r="J1" s="159" t="s">
        <v>217</v>
      </c>
      <c r="K1" s="159" t="s">
        <v>230</v>
      </c>
      <c r="L1" s="159" t="s">
        <v>219</v>
      </c>
      <c r="M1" s="159" t="s">
        <v>4</v>
      </c>
      <c r="N1" s="159" t="s">
        <v>223</v>
      </c>
      <c r="O1" s="159" t="s">
        <v>231</v>
      </c>
      <c r="Q1" s="160" t="s">
        <v>281</v>
      </c>
      <c r="R1" s="133" t="s">
        <v>232</v>
      </c>
      <c r="S1" s="134" t="s">
        <v>451</v>
      </c>
      <c r="T1" s="133" t="s">
        <v>205</v>
      </c>
      <c r="U1" s="133" t="s">
        <v>209</v>
      </c>
      <c r="V1" s="135" t="s">
        <v>280</v>
      </c>
      <c r="W1" s="161" t="s">
        <v>282</v>
      </c>
      <c r="X1" s="133" t="s">
        <v>233</v>
      </c>
      <c r="Y1" s="179" t="s">
        <v>234</v>
      </c>
      <c r="Z1" s="135" t="s">
        <v>235</v>
      </c>
      <c r="AA1" s="160" t="s">
        <v>236</v>
      </c>
      <c r="AB1" s="160" t="s">
        <v>237</v>
      </c>
      <c r="AC1" s="10" t="s">
        <v>262</v>
      </c>
      <c r="AE1" s="136" t="s">
        <v>283</v>
      </c>
      <c r="AF1" s="137" t="s">
        <v>284</v>
      </c>
      <c r="AG1" s="136" t="s">
        <v>285</v>
      </c>
      <c r="AH1" s="136" t="s">
        <v>450</v>
      </c>
      <c r="AN1" s="15" t="s">
        <v>106</v>
      </c>
    </row>
    <row r="2" spans="1:40" x14ac:dyDescent="0.2">
      <c r="A2" s="17" t="s">
        <v>73</v>
      </c>
      <c r="B2" s="18" t="s">
        <v>9</v>
      </c>
      <c r="C2" s="18">
        <f>VLOOKUP($AN$1,DST!C:D,2,FALSE)</f>
        <v>6</v>
      </c>
      <c r="D2" s="146">
        <f>D$32*Q2</f>
        <v>558.62399999999991</v>
      </c>
      <c r="E2" s="146">
        <f>D2*R2</f>
        <v>355.89935602335407</v>
      </c>
      <c r="F2" s="146">
        <f>E2*S2</f>
        <v>3954.0418454194637</v>
      </c>
      <c r="G2" s="146">
        <f>D2*T2</f>
        <v>22.903583999999999</v>
      </c>
      <c r="H2" s="146">
        <f>E2*U2</f>
        <v>10.676980680700622</v>
      </c>
      <c r="I2" s="146">
        <f>D$35*W2</f>
        <v>45.620960000000004</v>
      </c>
      <c r="J2" s="146">
        <f>I2*V2</f>
        <v>163.32030723064193</v>
      </c>
      <c r="K2" s="146">
        <f>I2*X2</f>
        <v>2.3266689600000001</v>
      </c>
      <c r="L2" s="147"/>
      <c r="M2" s="147"/>
      <c r="N2" s="147"/>
      <c r="O2" s="147"/>
      <c r="Q2" s="150">
        <f>(AE2/SUM(AE$2:AE$25))</f>
        <v>0.88</v>
      </c>
      <c r="R2" s="19">
        <v>0.63710001006643846</v>
      </c>
      <c r="S2" s="107">
        <v>11.11</v>
      </c>
      <c r="T2" s="19">
        <v>4.1000000000000002E-2</v>
      </c>
      <c r="U2" s="19">
        <v>0.03</v>
      </c>
      <c r="V2" s="107">
        <v>3.5799401685243346</v>
      </c>
      <c r="W2" s="150">
        <f>(AF2/SUM(AF$2:AF$20))*0.98</f>
        <v>0.10779999999999999</v>
      </c>
      <c r="X2" s="19">
        <v>5.0999999999999997E-2</v>
      </c>
      <c r="Y2" s="21"/>
      <c r="Z2" s="22"/>
      <c r="AA2" s="1"/>
      <c r="AB2" s="1"/>
      <c r="AC2" s="1"/>
      <c r="AE2" s="19">
        <v>0.88</v>
      </c>
      <c r="AF2" s="19">
        <v>0.11</v>
      </c>
      <c r="AG2" s="168"/>
      <c r="AH2" s="168"/>
    </row>
    <row r="3" spans="1:40" x14ac:dyDescent="0.2">
      <c r="A3" s="17" t="s">
        <v>394</v>
      </c>
      <c r="B3" s="18" t="s">
        <v>9</v>
      </c>
      <c r="C3" s="18">
        <f>VLOOKUP($AN$1,DST!C:D,2,FALSE)</f>
        <v>6</v>
      </c>
      <c r="D3" s="146">
        <f>D$32*Q3</f>
        <v>76.175999999999988</v>
      </c>
      <c r="E3" s="146">
        <f>D3*R3</f>
        <v>47.229119999999995</v>
      </c>
      <c r="F3" s="146">
        <f>E3*S3</f>
        <v>571.47235199999989</v>
      </c>
      <c r="G3" s="146">
        <f t="shared" ref="G3:G4" si="0">D3*T3</f>
        <v>2.9708639999999997</v>
      </c>
      <c r="H3" s="146">
        <f>E3*U3</f>
        <v>1.4641027199999999</v>
      </c>
      <c r="I3" s="146">
        <f>D$35*W3</f>
        <v>4.1473599999999999</v>
      </c>
      <c r="J3" s="146">
        <f>I3*V3</f>
        <v>10.783136000000001</v>
      </c>
      <c r="K3" s="146">
        <f>I3*X3</f>
        <v>8.2947199999999999E-2</v>
      </c>
      <c r="L3" s="147"/>
      <c r="M3" s="147"/>
      <c r="N3" s="147"/>
      <c r="O3" s="147"/>
      <c r="Q3" s="150">
        <f>(AE3/SUM(AE$2:AE$25))</f>
        <v>0.12</v>
      </c>
      <c r="R3" s="19">
        <v>0.62</v>
      </c>
      <c r="S3" s="107">
        <v>12.1</v>
      </c>
      <c r="T3" s="19">
        <v>3.9E-2</v>
      </c>
      <c r="U3" s="19">
        <v>3.1E-2</v>
      </c>
      <c r="V3" s="107">
        <v>2.6</v>
      </c>
      <c r="W3" s="150">
        <f>(AF3/SUM(AF$2:AF$20))*0.98</f>
        <v>9.7999999999999997E-3</v>
      </c>
      <c r="X3" s="19">
        <v>0.02</v>
      </c>
      <c r="Y3" s="21"/>
      <c r="Z3" s="22"/>
      <c r="AA3" s="1"/>
      <c r="AB3" s="1"/>
      <c r="AC3" s="1"/>
      <c r="AE3" s="19">
        <v>0.12</v>
      </c>
      <c r="AF3" s="19">
        <v>0.01</v>
      </c>
      <c r="AG3" s="168"/>
      <c r="AH3" s="168"/>
    </row>
    <row r="4" spans="1:40" x14ac:dyDescent="0.2">
      <c r="B4" s="18" t="s">
        <v>9</v>
      </c>
      <c r="C4" s="18">
        <f>VLOOKUP($AN$1,DST!C:D,2,FALSE)</f>
        <v>6</v>
      </c>
      <c r="D4" s="146">
        <f>D$32*Q4</f>
        <v>0</v>
      </c>
      <c r="E4" s="146">
        <f t="shared" ref="E4" si="1">D4*R4</f>
        <v>0</v>
      </c>
      <c r="F4" s="146">
        <f t="shared" ref="F4" si="2">E4*S4</f>
        <v>0</v>
      </c>
      <c r="G4" s="146">
        <f t="shared" si="0"/>
        <v>0</v>
      </c>
      <c r="H4" s="146">
        <f t="shared" ref="H4" si="3">E4*U4</f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>
        <v>0</v>
      </c>
      <c r="AF4" s="19">
        <v>0</v>
      </c>
      <c r="AG4" s="168"/>
      <c r="AH4" s="168"/>
    </row>
    <row r="5" spans="1:40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40" x14ac:dyDescent="0.2">
      <c r="A6" s="176" t="s">
        <v>42</v>
      </c>
      <c r="B6" s="18" t="s">
        <v>207</v>
      </c>
      <c r="C6" s="18">
        <f>VLOOKUP($AN$1,DST!C:D,2,FALSE)</f>
        <v>6</v>
      </c>
      <c r="D6" s="147"/>
      <c r="E6" s="147"/>
      <c r="F6" s="147"/>
      <c r="G6" s="147"/>
      <c r="H6" s="147"/>
      <c r="I6" s="146">
        <f t="shared" ref="I6:I11" si="4">D$35*W6</f>
        <v>215.247984</v>
      </c>
      <c r="J6" s="146">
        <f>I6*V6</f>
        <v>973.65533697333387</v>
      </c>
      <c r="K6" s="146">
        <f>I6*X6</f>
        <v>7.3184314560000008</v>
      </c>
      <c r="L6" s="146">
        <f>((D$2+D$3+D$4)*AA6)</f>
        <v>62.832503999999993</v>
      </c>
      <c r="M6" s="146">
        <f t="shared" ref="M6:N11" si="5">L6*Y6</f>
        <v>46.056225431999991</v>
      </c>
      <c r="N6" s="146">
        <f t="shared" si="5"/>
        <v>352.15321318809708</v>
      </c>
      <c r="O6" s="146">
        <f>M6*AH6</f>
        <v>1.981899982003265</v>
      </c>
      <c r="Q6" s="13"/>
      <c r="R6" s="139"/>
      <c r="S6" s="138"/>
      <c r="T6" s="139"/>
      <c r="U6" s="139"/>
      <c r="V6" s="107">
        <v>4.5234121076522316</v>
      </c>
      <c r="W6" s="150">
        <f t="shared" ref="W6:W11" si="6">(AF6/SUM(AF$2:AF$20))*0.98</f>
        <v>0.50861999999999996</v>
      </c>
      <c r="X6" s="19">
        <v>3.4000000000000002E-2</v>
      </c>
      <c r="Y6" s="19">
        <v>0.73299999999999998</v>
      </c>
      <c r="Z6" s="20">
        <v>7.6461587957970192</v>
      </c>
      <c r="AA6" s="150">
        <f t="shared" ref="AA6:AA11" si="7">(AG6/SUM(AG$6:AG$25))*0.98</f>
        <v>9.8979999999999999E-2</v>
      </c>
      <c r="AB6" s="7">
        <v>0.1353773558933076</v>
      </c>
      <c r="AC6" s="150">
        <f t="shared" ref="AC6:AC11" si="8">(AH6/SUM(AH$6:AH$25))*0.98</f>
        <v>7.1675138695381072E-2</v>
      </c>
      <c r="AE6" s="168"/>
      <c r="AF6" s="19">
        <v>0.51900000000000002</v>
      </c>
      <c r="AG6" s="19">
        <v>0.10100000000000001</v>
      </c>
      <c r="AH6" s="19">
        <v>4.3032184322821979E-2</v>
      </c>
    </row>
    <row r="7" spans="1:40" x14ac:dyDescent="0.2">
      <c r="A7" s="172" t="s">
        <v>439</v>
      </c>
      <c r="B7" s="18" t="s">
        <v>207</v>
      </c>
      <c r="C7" s="18">
        <f>VLOOKUP($AN$1,DST!C:D,2,FALSE)</f>
        <v>6</v>
      </c>
      <c r="D7" s="147"/>
      <c r="E7" s="147"/>
      <c r="F7" s="147"/>
      <c r="G7" s="147"/>
      <c r="H7" s="147"/>
      <c r="I7" s="146">
        <f t="shared" si="4"/>
        <v>145.57233600000001</v>
      </c>
      <c r="J7" s="146">
        <f>I7*V7</f>
        <v>627.07265185673066</v>
      </c>
      <c r="K7" s="146">
        <f>I7*X7</f>
        <v>4.6292002848000005</v>
      </c>
      <c r="L7" s="146">
        <f>((D$2+D$3+D$4)*AA7)</f>
        <v>26.750471999999995</v>
      </c>
      <c r="M7" s="146">
        <f t="shared" si="5"/>
        <v>19.955852111999999</v>
      </c>
      <c r="N7" s="146">
        <f t="shared" si="5"/>
        <v>146.23790344906081</v>
      </c>
      <c r="O7" s="146">
        <f t="shared" ref="O7:O11" si="9">M7*AH7</f>
        <v>0.61863141547199996</v>
      </c>
      <c r="Q7" s="13"/>
      <c r="R7" s="139"/>
      <c r="S7" s="138"/>
      <c r="T7" s="139"/>
      <c r="U7" s="139"/>
      <c r="V7" s="107">
        <v>4.3076361147129676</v>
      </c>
      <c r="W7" s="150">
        <f t="shared" si="6"/>
        <v>0.34397999999999995</v>
      </c>
      <c r="X7" s="19">
        <v>3.1800000000000002E-2</v>
      </c>
      <c r="Y7" s="19">
        <v>0.74600000000000011</v>
      </c>
      <c r="Z7" s="20">
        <v>7.3280711155964102</v>
      </c>
      <c r="AA7" s="150">
        <f t="shared" si="7"/>
        <v>4.2139999999999997E-2</v>
      </c>
      <c r="AB7" s="7">
        <v>3.5287060352063145E-2</v>
      </c>
      <c r="AC7" s="150">
        <f t="shared" si="8"/>
        <v>5.163412767727945E-2</v>
      </c>
      <c r="AE7" s="168"/>
      <c r="AF7" s="19">
        <v>0.35099999999999998</v>
      </c>
      <c r="AG7" s="19">
        <v>4.2999999999999997E-2</v>
      </c>
      <c r="AH7" s="19">
        <v>3.1E-2</v>
      </c>
    </row>
    <row r="8" spans="1:40" x14ac:dyDescent="0.2">
      <c r="B8" s="18" t="s">
        <v>207</v>
      </c>
      <c r="C8" s="18">
        <f>VLOOKUP($AN$1,DST!C:D,2,FALSE)</f>
        <v>6</v>
      </c>
      <c r="D8" s="147"/>
      <c r="E8" s="147"/>
      <c r="F8" s="147"/>
      <c r="G8" s="147"/>
      <c r="H8" s="147"/>
      <c r="I8" s="146">
        <f t="shared" si="4"/>
        <v>0</v>
      </c>
      <c r="J8" s="146">
        <f>I8*V8</f>
        <v>0</v>
      </c>
      <c r="K8" s="146">
        <f>I8*X8</f>
        <v>0</v>
      </c>
      <c r="L8" s="146">
        <f>((D$2+D$3+D$4)*AA8)</f>
        <v>0</v>
      </c>
      <c r="M8" s="146">
        <f t="shared" si="5"/>
        <v>0</v>
      </c>
      <c r="N8" s="146">
        <f t="shared" si="5"/>
        <v>0</v>
      </c>
      <c r="O8" s="146">
        <f t="shared" si="9"/>
        <v>0</v>
      </c>
      <c r="Q8" s="13"/>
      <c r="R8" s="139"/>
      <c r="S8" s="138"/>
      <c r="T8" s="139"/>
      <c r="U8" s="139"/>
      <c r="V8" s="107">
        <v>0</v>
      </c>
      <c r="W8" s="150">
        <f t="shared" si="6"/>
        <v>0</v>
      </c>
      <c r="X8" s="19">
        <v>0</v>
      </c>
      <c r="Y8" s="19">
        <v>0</v>
      </c>
      <c r="Z8" s="20">
        <v>0</v>
      </c>
      <c r="AA8" s="150">
        <f t="shared" si="7"/>
        <v>0</v>
      </c>
      <c r="AB8" s="7">
        <v>1.4026782329730186E-2</v>
      </c>
      <c r="AC8" s="150">
        <f t="shared" si="8"/>
        <v>0</v>
      </c>
      <c r="AE8" s="168"/>
      <c r="AF8" s="19">
        <v>0</v>
      </c>
      <c r="AG8" s="19">
        <v>0</v>
      </c>
      <c r="AH8" s="19">
        <v>0</v>
      </c>
    </row>
    <row r="9" spans="1:40" x14ac:dyDescent="0.2">
      <c r="B9" s="18" t="s">
        <v>207</v>
      </c>
      <c r="C9" s="18">
        <f>VLOOKUP($AN$1,DST!C:D,2,FALSE)</f>
        <v>6</v>
      </c>
      <c r="D9" s="147"/>
      <c r="E9" s="147"/>
      <c r="F9" s="147"/>
      <c r="G9" s="147"/>
      <c r="H9" s="147"/>
      <c r="I9" s="146">
        <f t="shared" si="4"/>
        <v>0</v>
      </c>
      <c r="J9" s="146">
        <f t="shared" ref="J9:J11" si="10">I9*V9</f>
        <v>0</v>
      </c>
      <c r="K9" s="146">
        <f t="shared" ref="K9:K11" si="11">I9*X9</f>
        <v>0</v>
      </c>
      <c r="L9" s="146">
        <f t="shared" ref="L9:L11" si="12">((D$2+D$3+D$4)*AA9)</f>
        <v>0</v>
      </c>
      <c r="M9" s="146">
        <f t="shared" si="5"/>
        <v>0</v>
      </c>
      <c r="N9" s="146">
        <f t="shared" si="5"/>
        <v>0</v>
      </c>
      <c r="O9" s="146">
        <f t="shared" si="9"/>
        <v>0</v>
      </c>
      <c r="Q9" s="13"/>
      <c r="R9" s="139"/>
      <c r="S9" s="138"/>
      <c r="T9" s="139"/>
      <c r="U9" s="139"/>
      <c r="V9" s="107">
        <v>0</v>
      </c>
      <c r="W9" s="150">
        <f t="shared" si="6"/>
        <v>0</v>
      </c>
      <c r="X9" s="19">
        <v>0</v>
      </c>
      <c r="Y9" s="19">
        <v>0</v>
      </c>
      <c r="Z9" s="20">
        <v>0</v>
      </c>
      <c r="AA9" s="150">
        <f t="shared" si="7"/>
        <v>0</v>
      </c>
      <c r="AB9" s="7">
        <v>1.8202568396799731E-2</v>
      </c>
      <c r="AC9" s="150">
        <f t="shared" si="8"/>
        <v>0</v>
      </c>
      <c r="AE9" s="168"/>
      <c r="AF9" s="19">
        <v>0</v>
      </c>
      <c r="AG9" s="19">
        <v>0</v>
      </c>
      <c r="AH9" s="19">
        <v>0</v>
      </c>
    </row>
    <row r="10" spans="1:40" x14ac:dyDescent="0.2">
      <c r="B10" s="18" t="s">
        <v>207</v>
      </c>
      <c r="C10" s="18">
        <f>VLOOKUP($AN$1,DST!C:D,2,FALSE)</f>
        <v>6</v>
      </c>
      <c r="D10" s="147"/>
      <c r="E10" s="147"/>
      <c r="F10" s="147"/>
      <c r="G10" s="147"/>
      <c r="H10" s="147"/>
      <c r="I10" s="146">
        <f t="shared" si="4"/>
        <v>0</v>
      </c>
      <c r="J10" s="146">
        <f t="shared" si="10"/>
        <v>0</v>
      </c>
      <c r="K10" s="146">
        <f t="shared" si="11"/>
        <v>0</v>
      </c>
      <c r="L10" s="146">
        <f t="shared" si="12"/>
        <v>0</v>
      </c>
      <c r="M10" s="146">
        <f t="shared" si="5"/>
        <v>0</v>
      </c>
      <c r="N10" s="146">
        <f t="shared" si="5"/>
        <v>0</v>
      </c>
      <c r="O10" s="146">
        <f t="shared" si="9"/>
        <v>0</v>
      </c>
      <c r="Q10" s="13"/>
      <c r="R10" s="139"/>
      <c r="S10" s="138"/>
      <c r="T10" s="139"/>
      <c r="U10" s="139"/>
      <c r="V10" s="107">
        <v>0</v>
      </c>
      <c r="W10" s="150">
        <f t="shared" si="6"/>
        <v>0</v>
      </c>
      <c r="X10" s="19">
        <v>0</v>
      </c>
      <c r="Y10" s="19">
        <v>0</v>
      </c>
      <c r="Z10" s="20">
        <v>0</v>
      </c>
      <c r="AA10" s="150">
        <f t="shared" si="7"/>
        <v>0</v>
      </c>
      <c r="AB10" s="7">
        <v>1.6938860595027125E-2</v>
      </c>
      <c r="AC10" s="150">
        <f t="shared" si="8"/>
        <v>0</v>
      </c>
      <c r="AE10" s="168"/>
      <c r="AF10" s="19">
        <v>0</v>
      </c>
      <c r="AG10" s="19">
        <v>0</v>
      </c>
      <c r="AH10" s="19">
        <v>0</v>
      </c>
    </row>
    <row r="11" spans="1:40" x14ac:dyDescent="0.2">
      <c r="B11" s="18" t="s">
        <v>207</v>
      </c>
      <c r="C11" s="18">
        <f>VLOOKUP($AN$1,DST!C:D,2,FALSE)</f>
        <v>6</v>
      </c>
      <c r="D11" s="147"/>
      <c r="E11" s="147"/>
      <c r="F11" s="147"/>
      <c r="G11" s="147"/>
      <c r="H11" s="147"/>
      <c r="I11" s="146">
        <f t="shared" si="4"/>
        <v>0</v>
      </c>
      <c r="J11" s="146">
        <f t="shared" si="10"/>
        <v>0</v>
      </c>
      <c r="K11" s="146">
        <f t="shared" si="11"/>
        <v>0</v>
      </c>
      <c r="L11" s="146">
        <f t="shared" si="12"/>
        <v>0</v>
      </c>
      <c r="M11" s="146">
        <f t="shared" si="5"/>
        <v>0</v>
      </c>
      <c r="N11" s="146">
        <f t="shared" si="5"/>
        <v>0</v>
      </c>
      <c r="O11" s="146">
        <f t="shared" si="9"/>
        <v>0</v>
      </c>
      <c r="Q11" s="13"/>
      <c r="R11" s="139"/>
      <c r="S11" s="138"/>
      <c r="T11" s="139"/>
      <c r="U11" s="139"/>
      <c r="V11" s="107">
        <v>0</v>
      </c>
      <c r="W11" s="150">
        <f t="shared" si="6"/>
        <v>0</v>
      </c>
      <c r="X11" s="19">
        <v>0</v>
      </c>
      <c r="Y11" s="19">
        <v>0</v>
      </c>
      <c r="Z11" s="20">
        <v>0</v>
      </c>
      <c r="AA11" s="150">
        <f t="shared" si="7"/>
        <v>0</v>
      </c>
      <c r="AB11" s="7">
        <v>0</v>
      </c>
      <c r="AC11" s="150">
        <f t="shared" si="8"/>
        <v>0</v>
      </c>
      <c r="AE11" s="168"/>
      <c r="AF11" s="19">
        <v>0</v>
      </c>
      <c r="AG11" s="19">
        <v>0</v>
      </c>
      <c r="AH11" s="19">
        <v>0</v>
      </c>
    </row>
    <row r="12" spans="1:40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40" x14ac:dyDescent="0.2">
      <c r="A13" s="17" t="s">
        <v>156</v>
      </c>
      <c r="B13" s="18" t="s">
        <v>208</v>
      </c>
      <c r="C13" s="18">
        <f>VLOOKUP($AN$1,DST!C:D,2,FALSE)</f>
        <v>6</v>
      </c>
      <c r="D13" s="147"/>
      <c r="E13" s="147"/>
      <c r="F13" s="147"/>
      <c r="G13" s="147"/>
      <c r="H13" s="147"/>
      <c r="I13" s="146">
        <f t="shared" ref="I13:I20" si="13">D$35*W13</f>
        <v>4.1473599999999999</v>
      </c>
      <c r="J13" s="146">
        <f t="shared" ref="J13:J20" si="14">I13*V13</f>
        <v>17.335964799999999</v>
      </c>
      <c r="K13" s="146">
        <f t="shared" ref="K13:K20" si="15">I13*X13</f>
        <v>2.2637369823745219E-2</v>
      </c>
      <c r="L13" s="146">
        <f t="shared" ref="L13:L20" si="16">((D$2+D$3+D$4)*AA13)</f>
        <v>160.50283199999998</v>
      </c>
      <c r="M13" s="146">
        <f t="shared" ref="M13:N20" si="17">L13*Y13</f>
        <v>103.52432663999997</v>
      </c>
      <c r="N13" s="146">
        <f t="shared" si="17"/>
        <v>1423.4594912999996</v>
      </c>
      <c r="O13" s="146">
        <f t="shared" ref="O13:O20" si="18">M13*AH13</f>
        <v>7.5572758447199977</v>
      </c>
      <c r="Q13" s="13"/>
      <c r="R13" s="139"/>
      <c r="S13" s="138"/>
      <c r="T13" s="139"/>
      <c r="U13" s="139"/>
      <c r="V13" s="107">
        <v>4.18</v>
      </c>
      <c r="W13" s="150">
        <f t="shared" ref="W13:W20" si="19">(AF13/SUM(AF$2:AF$20))*0.98</f>
        <v>9.7999999999999997E-3</v>
      </c>
      <c r="X13" s="19">
        <v>5.4582601519388768E-3</v>
      </c>
      <c r="Y13" s="19">
        <v>0.64499999999999991</v>
      </c>
      <c r="Z13" s="20">
        <v>13.75</v>
      </c>
      <c r="AA13" s="150">
        <f t="shared" ref="AA13:AA20" si="20">(AG13/SUM(AG$6:AG$25))*0.98</f>
        <v>0.25284000000000001</v>
      </c>
      <c r="AB13" s="7">
        <v>0.2255326591937164</v>
      </c>
      <c r="AC13" s="150">
        <f t="shared" ref="AC13:AC20" si="21">(AH13/SUM(AH$6:AH$25))*0.98</f>
        <v>0.12159004259488386</v>
      </c>
      <c r="AE13" s="168"/>
      <c r="AF13" s="19">
        <v>0.01</v>
      </c>
      <c r="AG13" s="19">
        <v>0.25800000000000001</v>
      </c>
      <c r="AH13" s="19">
        <v>7.2999999999999995E-2</v>
      </c>
    </row>
    <row r="14" spans="1:40" x14ac:dyDescent="0.2">
      <c r="A14" s="17" t="s">
        <v>506</v>
      </c>
      <c r="B14" s="18" t="s">
        <v>208</v>
      </c>
      <c r="C14" s="18">
        <f>VLOOKUP($AN$1,DST!C:D,2,FALSE)</f>
        <v>6</v>
      </c>
      <c r="D14" s="147"/>
      <c r="E14" s="147"/>
      <c r="F14" s="147"/>
      <c r="G14" s="147"/>
      <c r="H14" s="147"/>
      <c r="I14" s="146">
        <f t="shared" si="13"/>
        <v>0</v>
      </c>
      <c r="J14" s="146">
        <f t="shared" si="14"/>
        <v>0</v>
      </c>
      <c r="K14" s="146">
        <f t="shared" si="15"/>
        <v>0</v>
      </c>
      <c r="L14" s="146">
        <f t="shared" si="16"/>
        <v>129.39763199999999</v>
      </c>
      <c r="M14" s="146">
        <f t="shared" si="17"/>
        <v>78.673760255999994</v>
      </c>
      <c r="N14" s="146">
        <f t="shared" si="17"/>
        <v>1002.3037056614399</v>
      </c>
      <c r="O14" s="146">
        <f t="shared" si="18"/>
        <v>5.664510738431999</v>
      </c>
      <c r="Q14" s="13"/>
      <c r="R14" s="139"/>
      <c r="S14" s="138"/>
      <c r="T14" s="139"/>
      <c r="U14" s="139"/>
      <c r="V14" s="107">
        <v>5.0199999999999996</v>
      </c>
      <c r="W14" s="150">
        <f t="shared" si="19"/>
        <v>0</v>
      </c>
      <c r="X14" s="19">
        <v>0</v>
      </c>
      <c r="Y14" s="19">
        <v>0.60799999999999998</v>
      </c>
      <c r="Z14" s="20">
        <v>12.74</v>
      </c>
      <c r="AA14" s="150">
        <f t="shared" si="20"/>
        <v>0.20383999999999999</v>
      </c>
      <c r="AB14" s="7">
        <v>0.2006370053786376</v>
      </c>
      <c r="AC14" s="150">
        <f t="shared" si="21"/>
        <v>0.11992442557303613</v>
      </c>
      <c r="AE14" s="168"/>
      <c r="AF14" s="19">
        <v>0</v>
      </c>
      <c r="AG14" s="19">
        <v>0.20799999999999999</v>
      </c>
      <c r="AH14" s="19">
        <v>7.1999999999999995E-2</v>
      </c>
    </row>
    <row r="15" spans="1:40" x14ac:dyDescent="0.2">
      <c r="A15" s="17" t="s">
        <v>543</v>
      </c>
      <c r="B15" s="18" t="s">
        <v>208</v>
      </c>
      <c r="C15" s="18">
        <f>VLOOKUP($AN$1,DST!C:D,2,FALSE)</f>
        <v>6</v>
      </c>
      <c r="D15" s="147"/>
      <c r="E15" s="147"/>
      <c r="F15" s="147"/>
      <c r="G15" s="147"/>
      <c r="H15" s="147"/>
      <c r="I15" s="146">
        <f t="shared" si="13"/>
        <v>0</v>
      </c>
      <c r="J15" s="146">
        <f t="shared" si="14"/>
        <v>0</v>
      </c>
      <c r="K15" s="146">
        <f t="shared" si="15"/>
        <v>0</v>
      </c>
      <c r="L15" s="146">
        <f t="shared" si="16"/>
        <v>22.395743999999997</v>
      </c>
      <c r="M15" s="146">
        <f t="shared" si="17"/>
        <v>13.437446400000001</v>
      </c>
      <c r="N15" s="146">
        <f t="shared" si="17"/>
        <v>135.07808280601225</v>
      </c>
      <c r="O15" s="146">
        <f t="shared" si="18"/>
        <v>0.69675994149402209</v>
      </c>
      <c r="Q15" s="13"/>
      <c r="R15" s="139"/>
      <c r="S15" s="138"/>
      <c r="T15" s="139"/>
      <c r="U15" s="139"/>
      <c r="V15" s="107">
        <v>5.0199999999999996</v>
      </c>
      <c r="W15" s="150">
        <f t="shared" si="19"/>
        <v>0</v>
      </c>
      <c r="X15" s="19">
        <v>9.5238095238095229E-3</v>
      </c>
      <c r="Y15" s="19">
        <v>0.60000000000000009</v>
      </c>
      <c r="Z15" s="20">
        <v>10.052362538615391</v>
      </c>
      <c r="AA15" s="150">
        <f t="shared" si="20"/>
        <v>3.5279999999999999E-2</v>
      </c>
      <c r="AB15" s="7">
        <v>3.8901744233504301E-2</v>
      </c>
      <c r="AC15" s="150">
        <f t="shared" si="21"/>
        <v>8.6365756122686183E-2</v>
      </c>
      <c r="AE15" s="168"/>
      <c r="AF15" s="19">
        <v>0</v>
      </c>
      <c r="AG15" s="19">
        <v>3.5999999999999997E-2</v>
      </c>
      <c r="AH15" s="19">
        <v>5.1852109452434507E-2</v>
      </c>
    </row>
    <row r="16" spans="1:40" x14ac:dyDescent="0.2">
      <c r="A16" s="17" t="s">
        <v>206</v>
      </c>
      <c r="B16" s="18" t="s">
        <v>208</v>
      </c>
      <c r="C16" s="18">
        <f>VLOOKUP($AN$1,DST!C:D,2,FALSE)</f>
        <v>6</v>
      </c>
      <c r="D16" s="147"/>
      <c r="E16" s="147"/>
      <c r="F16" s="147"/>
      <c r="G16" s="147"/>
      <c r="H16" s="147"/>
      <c r="I16" s="146">
        <f t="shared" si="13"/>
        <v>0</v>
      </c>
      <c r="J16" s="146">
        <f t="shared" si="14"/>
        <v>0</v>
      </c>
      <c r="K16" s="146">
        <f t="shared" si="15"/>
        <v>0</v>
      </c>
      <c r="L16" s="146">
        <f t="shared" si="16"/>
        <v>12.442079999999999</v>
      </c>
      <c r="M16" s="146">
        <f t="shared" si="17"/>
        <v>7.3035009599999974</v>
      </c>
      <c r="N16" s="146">
        <f t="shared" si="17"/>
        <v>86.272150780147825</v>
      </c>
      <c r="O16" s="146">
        <f t="shared" si="18"/>
        <v>0.40008391543138655</v>
      </c>
      <c r="Q16" s="13"/>
      <c r="R16" s="139"/>
      <c r="S16" s="138"/>
      <c r="T16" s="139"/>
      <c r="U16" s="139"/>
      <c r="V16" s="107">
        <v>5.0199999999999996</v>
      </c>
      <c r="W16" s="150">
        <f t="shared" si="19"/>
        <v>0</v>
      </c>
      <c r="X16" s="19">
        <v>0</v>
      </c>
      <c r="Y16" s="19">
        <v>0.58699999999999986</v>
      </c>
      <c r="Z16" s="20">
        <v>11.812437795605884</v>
      </c>
      <c r="AA16" s="150">
        <f t="shared" si="20"/>
        <v>1.9599999999999999E-2</v>
      </c>
      <c r="AB16" s="7">
        <v>3.0106379309806204E-2</v>
      </c>
      <c r="AC16" s="150">
        <f t="shared" si="21"/>
        <v>9.1242074637860118E-2</v>
      </c>
      <c r="AE16" s="168"/>
      <c r="AF16" s="19">
        <v>0</v>
      </c>
      <c r="AG16" s="19">
        <v>0.02</v>
      </c>
      <c r="AH16" s="19">
        <v>5.4779744347618557E-2</v>
      </c>
    </row>
    <row r="17" spans="1:34" x14ac:dyDescent="0.2">
      <c r="A17" s="17" t="s">
        <v>441</v>
      </c>
      <c r="B17" s="18" t="s">
        <v>208</v>
      </c>
      <c r="C17" s="18">
        <f>VLOOKUP($AN$1,DST!C:D,2,FALSE)</f>
        <v>6</v>
      </c>
      <c r="D17" s="147"/>
      <c r="E17" s="147"/>
      <c r="F17" s="147"/>
      <c r="G17" s="147"/>
      <c r="H17" s="147"/>
      <c r="I17" s="146">
        <f t="shared" si="13"/>
        <v>0</v>
      </c>
      <c r="J17" s="146">
        <f t="shared" si="14"/>
        <v>0</v>
      </c>
      <c r="K17" s="146">
        <f t="shared" si="15"/>
        <v>0</v>
      </c>
      <c r="L17" s="146">
        <f t="shared" si="16"/>
        <v>53.50094399999999</v>
      </c>
      <c r="M17" s="146">
        <f t="shared" si="17"/>
        <v>31.084048463999991</v>
      </c>
      <c r="N17" s="146">
        <f t="shared" si="17"/>
        <v>385.44220095359992</v>
      </c>
      <c r="O17" s="146">
        <f t="shared" si="18"/>
        <v>1.7717907624479996</v>
      </c>
      <c r="Q17" s="13"/>
      <c r="R17" s="139"/>
      <c r="S17" s="138"/>
      <c r="T17" s="139"/>
      <c r="U17" s="139"/>
      <c r="V17" s="107">
        <v>5.0199999999999996</v>
      </c>
      <c r="W17" s="150">
        <f t="shared" si="19"/>
        <v>0</v>
      </c>
      <c r="X17" s="19">
        <v>0</v>
      </c>
      <c r="Y17" s="19">
        <v>0.58099999999999996</v>
      </c>
      <c r="Z17" s="20">
        <v>12.4</v>
      </c>
      <c r="AA17" s="150">
        <f t="shared" si="20"/>
        <v>8.4279999999999994E-2</v>
      </c>
      <c r="AB17" s="7">
        <v>2.7550988610572424E-2</v>
      </c>
      <c r="AC17" s="150">
        <f t="shared" si="21"/>
        <v>9.4940170245320282E-2</v>
      </c>
      <c r="AE17" s="168"/>
      <c r="AF17" s="19">
        <v>0</v>
      </c>
      <c r="AG17" s="19">
        <v>8.5999999999999993E-2</v>
      </c>
      <c r="AH17" s="19">
        <v>5.7000000000000002E-2</v>
      </c>
    </row>
    <row r="18" spans="1:34" x14ac:dyDescent="0.2">
      <c r="A18" s="173"/>
      <c r="B18" s="18" t="s">
        <v>208</v>
      </c>
      <c r="C18" s="18">
        <f>VLOOKUP($AN$1,DST!C:D,2,FALSE)</f>
        <v>6</v>
      </c>
      <c r="D18" s="147"/>
      <c r="E18" s="147"/>
      <c r="F18" s="147"/>
      <c r="G18" s="147"/>
      <c r="H18" s="147"/>
      <c r="I18" s="146">
        <f t="shared" si="13"/>
        <v>0</v>
      </c>
      <c r="J18" s="146">
        <f t="shared" si="14"/>
        <v>0</v>
      </c>
      <c r="K18" s="146">
        <f t="shared" si="15"/>
        <v>0</v>
      </c>
      <c r="L18" s="146">
        <f t="shared" si="16"/>
        <v>0</v>
      </c>
      <c r="M18" s="146">
        <f t="shared" si="17"/>
        <v>0</v>
      </c>
      <c r="N18" s="146">
        <f t="shared" si="17"/>
        <v>0</v>
      </c>
      <c r="O18" s="146">
        <f t="shared" si="18"/>
        <v>0</v>
      </c>
      <c r="Q18" s="13"/>
      <c r="R18" s="139"/>
      <c r="S18" s="138"/>
      <c r="T18" s="139"/>
      <c r="U18" s="139"/>
      <c r="V18" s="107">
        <v>0</v>
      </c>
      <c r="W18" s="150">
        <f t="shared" si="19"/>
        <v>0</v>
      </c>
      <c r="X18" s="19">
        <v>0</v>
      </c>
      <c r="Y18" s="19">
        <v>0</v>
      </c>
      <c r="Z18" s="20">
        <v>0</v>
      </c>
      <c r="AA18" s="150">
        <f t="shared" si="20"/>
        <v>0</v>
      </c>
      <c r="AB18" s="7">
        <v>1.2115021358685868E-2</v>
      </c>
      <c r="AC18" s="150">
        <f t="shared" si="21"/>
        <v>0</v>
      </c>
      <c r="AE18" s="168"/>
      <c r="AF18" s="19">
        <v>0</v>
      </c>
      <c r="AG18" s="19">
        <v>0</v>
      </c>
      <c r="AH18" s="19">
        <v>0</v>
      </c>
    </row>
    <row r="19" spans="1:34" x14ac:dyDescent="0.2">
      <c r="B19" s="18" t="s">
        <v>208</v>
      </c>
      <c r="C19" s="18">
        <f>VLOOKUP($AN$1,DST!C:D,2,FALSE)</f>
        <v>6</v>
      </c>
      <c r="D19" s="147"/>
      <c r="E19" s="147"/>
      <c r="F19" s="147"/>
      <c r="G19" s="147"/>
      <c r="H19" s="147"/>
      <c r="I19" s="146">
        <f t="shared" si="13"/>
        <v>0</v>
      </c>
      <c r="J19" s="146">
        <f t="shared" si="14"/>
        <v>0</v>
      </c>
      <c r="K19" s="146">
        <f t="shared" si="15"/>
        <v>0</v>
      </c>
      <c r="L19" s="146">
        <f t="shared" si="16"/>
        <v>0</v>
      </c>
      <c r="M19" s="146">
        <f t="shared" si="17"/>
        <v>0</v>
      </c>
      <c r="N19" s="146">
        <f t="shared" si="17"/>
        <v>0</v>
      </c>
      <c r="O19" s="146">
        <f t="shared" si="18"/>
        <v>0</v>
      </c>
      <c r="Q19" s="13"/>
      <c r="R19" s="139"/>
      <c r="S19" s="138"/>
      <c r="T19" s="139"/>
      <c r="U19" s="139"/>
      <c r="V19" s="107">
        <v>0</v>
      </c>
      <c r="W19" s="150">
        <f t="shared" si="19"/>
        <v>0</v>
      </c>
      <c r="X19" s="19">
        <v>0</v>
      </c>
      <c r="Y19" s="19">
        <v>0</v>
      </c>
      <c r="Z19" s="20">
        <v>0</v>
      </c>
      <c r="AA19" s="150">
        <f t="shared" si="20"/>
        <v>0</v>
      </c>
      <c r="AB19" s="7">
        <v>0</v>
      </c>
      <c r="AC19" s="150">
        <f t="shared" si="21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208</v>
      </c>
      <c r="C20" s="18">
        <f>VLOOKUP($AN$1,DST!C:D,2,FALSE)</f>
        <v>6</v>
      </c>
      <c r="D20" s="147"/>
      <c r="E20" s="147"/>
      <c r="F20" s="147"/>
      <c r="G20" s="147"/>
      <c r="H20" s="147"/>
      <c r="I20" s="146">
        <f t="shared" si="13"/>
        <v>0</v>
      </c>
      <c r="J20" s="146">
        <f t="shared" si="14"/>
        <v>0</v>
      </c>
      <c r="K20" s="146">
        <f t="shared" si="15"/>
        <v>0</v>
      </c>
      <c r="L20" s="146">
        <f t="shared" si="16"/>
        <v>0</v>
      </c>
      <c r="M20" s="146">
        <f t="shared" si="17"/>
        <v>0</v>
      </c>
      <c r="N20" s="146">
        <f t="shared" si="17"/>
        <v>0</v>
      </c>
      <c r="O20" s="146">
        <f t="shared" si="18"/>
        <v>0</v>
      </c>
      <c r="Q20" s="13"/>
      <c r="R20" s="139"/>
      <c r="S20" s="138"/>
      <c r="T20" s="139"/>
      <c r="U20" s="139"/>
      <c r="V20" s="107">
        <v>0</v>
      </c>
      <c r="W20" s="150">
        <f t="shared" si="19"/>
        <v>0</v>
      </c>
      <c r="X20" s="19">
        <v>0</v>
      </c>
      <c r="Y20" s="19">
        <v>0</v>
      </c>
      <c r="Z20" s="20">
        <v>0</v>
      </c>
      <c r="AA20" s="150">
        <f t="shared" si="20"/>
        <v>0</v>
      </c>
      <c r="AB20" s="7">
        <v>0</v>
      </c>
      <c r="AC20" s="150">
        <f t="shared" si="21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39</v>
      </c>
      <c r="B22" s="18" t="s">
        <v>10</v>
      </c>
      <c r="C22" s="18">
        <f>VLOOKUP($AN$1,DST!C:D,2,FALSE)</f>
        <v>6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102.64716</v>
      </c>
      <c r="M22" s="146">
        <f t="shared" ref="M22:N25" si="22">L22*Y22</f>
        <v>67.541831280000025</v>
      </c>
      <c r="N22" s="146">
        <f t="shared" si="22"/>
        <v>682.84791424080026</v>
      </c>
      <c r="O22" s="146">
        <f>M22*AH22</f>
        <v>4.9305536834400012</v>
      </c>
      <c r="Q22" s="13"/>
      <c r="R22" s="139"/>
      <c r="S22" s="138"/>
      <c r="T22" s="139"/>
      <c r="U22" s="139"/>
      <c r="V22" s="140"/>
      <c r="W22" s="154"/>
      <c r="X22" s="139"/>
      <c r="Y22" s="19">
        <v>0.65800000000000025</v>
      </c>
      <c r="Z22" s="20">
        <v>10.11</v>
      </c>
      <c r="AA22" s="150">
        <f>(AG22/SUM(AG$6:AG$25))*0.98</f>
        <v>0.16170000000000001</v>
      </c>
      <c r="AB22" s="7">
        <v>0.13351592076527255</v>
      </c>
      <c r="AC22" s="150">
        <f>(AH22/SUM(AH$6:AH$25))*0.98</f>
        <v>0.12159004259488386</v>
      </c>
      <c r="AE22" s="168"/>
      <c r="AF22" s="168"/>
      <c r="AG22" s="19">
        <v>0.16500000000000001</v>
      </c>
      <c r="AH22" s="19">
        <v>7.2999999999999995E-2</v>
      </c>
    </row>
    <row r="23" spans="1:34" x14ac:dyDescent="0.2">
      <c r="A23" s="17" t="s">
        <v>469</v>
      </c>
      <c r="B23" s="18" t="s">
        <v>10</v>
      </c>
      <c r="C23" s="18">
        <f>VLOOKUP($AN$1,DST!C:D,2,FALSE)</f>
        <v>6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36.082031999999998</v>
      </c>
      <c r="M23" s="146">
        <f t="shared" si="22"/>
        <v>23.200746576</v>
      </c>
      <c r="N23" s="146">
        <f t="shared" si="22"/>
        <v>220.66166838756078</v>
      </c>
      <c r="O23" s="146">
        <f>M23*AH23</f>
        <v>1.5776507671680002</v>
      </c>
      <c r="Q23" s="13"/>
      <c r="R23" s="139"/>
      <c r="S23" s="138"/>
      <c r="T23" s="139"/>
      <c r="U23" s="139"/>
      <c r="V23" s="140"/>
      <c r="W23" s="154"/>
      <c r="X23" s="139"/>
      <c r="Y23" s="19">
        <v>0.64300000000000002</v>
      </c>
      <c r="Z23" s="20">
        <v>9.5109727467056651</v>
      </c>
      <c r="AA23" s="150">
        <f>(AG23/SUM(AG$6:AG$25))*0.98</f>
        <v>5.6840000000000002E-2</v>
      </c>
      <c r="AB23" s="7">
        <v>2.1636799453681792E-2</v>
      </c>
      <c r="AC23" s="150">
        <f>(AH23/SUM(AH$6:AH$25))*0.98</f>
        <v>0.11326195748564526</v>
      </c>
      <c r="AE23" s="168"/>
      <c r="AF23" s="168"/>
      <c r="AG23" s="19">
        <v>5.8000000000000003E-2</v>
      </c>
      <c r="AH23" s="19">
        <v>6.8000000000000005E-2</v>
      </c>
    </row>
    <row r="24" spans="1:34" x14ac:dyDescent="0.2">
      <c r="A24" s="17" t="s">
        <v>647</v>
      </c>
      <c r="B24" s="18" t="s">
        <v>10</v>
      </c>
      <c r="C24" s="18">
        <f>VLOOKUP($AN$1,DST!C:D,2,FALSE)</f>
        <v>6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15.5526</v>
      </c>
      <c r="M24" s="146">
        <f t="shared" si="22"/>
        <v>9.7981380000000016</v>
      </c>
      <c r="N24" s="146">
        <f t="shared" si="22"/>
        <v>90.840604437177802</v>
      </c>
      <c r="O24" s="146">
        <f>M24*AH24</f>
        <v>0.63400331384696529</v>
      </c>
      <c r="Q24" s="13"/>
      <c r="R24" s="139"/>
      <c r="S24" s="138"/>
      <c r="T24" s="139"/>
      <c r="U24" s="139"/>
      <c r="V24" s="140"/>
      <c r="W24" s="154"/>
      <c r="X24" s="139"/>
      <c r="Y24" s="19">
        <v>0.63000000000000012</v>
      </c>
      <c r="Z24" s="20">
        <v>9.2712109624479453</v>
      </c>
      <c r="AA24" s="150">
        <f>(AG24/SUM(AG$6:AG$25))*0.98</f>
        <v>2.4500000000000001E-2</v>
      </c>
      <c r="AB24" s="7">
        <v>6.5170854129195169E-2</v>
      </c>
      <c r="AC24" s="150">
        <f>(AH24/SUM(AH$6:AH$25))*0.98</f>
        <v>0.10777626437302375</v>
      </c>
      <c r="AE24" s="168"/>
      <c r="AF24" s="168"/>
      <c r="AG24" s="19">
        <v>2.5000000000000001E-2</v>
      </c>
      <c r="AH24" s="19">
        <v>6.4706509935557668E-2</v>
      </c>
    </row>
    <row r="25" spans="1:34" x14ac:dyDescent="0.2">
      <c r="B25" s="18" t="s">
        <v>10</v>
      </c>
      <c r="C25" s="18">
        <f>VLOOKUP($AN$1,DST!C:D,2,FALSE)</f>
        <v>6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22"/>
        <v>0</v>
      </c>
      <c r="N25" s="146">
        <f t="shared" si="22"/>
        <v>0</v>
      </c>
      <c r="O25" s="146">
        <f>M25*AH25</f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0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264</v>
      </c>
      <c r="X27" s="30"/>
      <c r="Y27" s="30"/>
      <c r="Z27" s="31"/>
      <c r="AA27" s="9" t="s">
        <v>264</v>
      </c>
      <c r="AB27" s="9" t="s">
        <v>264</v>
      </c>
      <c r="AC27" s="9" t="s">
        <v>264</v>
      </c>
      <c r="AD27" s="44"/>
      <c r="AE27" s="9" t="s">
        <v>264</v>
      </c>
      <c r="AF27" s="9" t="s">
        <v>264</v>
      </c>
      <c r="AG27" s="9" t="s">
        <v>264</v>
      </c>
    </row>
    <row r="28" spans="1:34" s="27" customFormat="1" x14ac:dyDescent="0.2">
      <c r="A28" s="45" t="s">
        <v>265</v>
      </c>
      <c r="B28" s="28"/>
      <c r="C28" s="28"/>
      <c r="D28" s="34" t="s">
        <v>269</v>
      </c>
      <c r="E28" s="34" t="s">
        <v>266</v>
      </c>
      <c r="F28" s="155" t="s">
        <v>267</v>
      </c>
      <c r="G28" s="34" t="s">
        <v>286</v>
      </c>
      <c r="H28" s="34" t="s">
        <v>268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0.98</v>
      </c>
      <c r="X28" s="30"/>
      <c r="Y28" s="30"/>
      <c r="Z28" s="31"/>
      <c r="AA28" s="150">
        <f>SUM(AA6:AA25)</f>
        <v>0.98</v>
      </c>
      <c r="AB28" s="150">
        <f>SUM(AB2:AB4,AB6:AB11,AB13:AB20,AB22:AB25)</f>
        <v>0.9750000000000002</v>
      </c>
      <c r="AC28" s="150">
        <f>SUM(AC6:AC25)</f>
        <v>0.98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</v>
      </c>
    </row>
    <row r="29" spans="1:34" s="27" customFormat="1" x14ac:dyDescent="0.2">
      <c r="A29" s="43"/>
      <c r="B29" s="28"/>
      <c r="C29" s="28"/>
      <c r="D29" s="46">
        <v>1058</v>
      </c>
      <c r="E29" s="47">
        <v>0.6</v>
      </c>
      <c r="F29" s="2">
        <f>1-E29</f>
        <v>0.4</v>
      </c>
      <c r="G29" s="106">
        <v>4.25</v>
      </c>
      <c r="H29" s="126">
        <v>3.4000000000000002E-2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265</v>
      </c>
      <c r="B31" s="28"/>
      <c r="C31" s="28"/>
      <c r="D31" s="162" t="s">
        <v>278</v>
      </c>
      <c r="E31" s="162" t="s">
        <v>1</v>
      </c>
      <c r="F31" s="162" t="s">
        <v>263</v>
      </c>
      <c r="G31" s="162" t="s">
        <v>137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634.79999999999995</v>
      </c>
      <c r="E32" s="156">
        <f>SUM(E2:E4)</f>
        <v>403.1284760233541</v>
      </c>
      <c r="F32" s="156">
        <f>SUM(F2:F4)</f>
        <v>4525.5141974194639</v>
      </c>
      <c r="G32" s="156">
        <f>SUM(G2:G4)</f>
        <v>25.874447999999997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265</v>
      </c>
      <c r="B34" s="28"/>
      <c r="C34" s="28"/>
      <c r="D34" s="162" t="s">
        <v>270</v>
      </c>
      <c r="E34" s="162" t="s">
        <v>263</v>
      </c>
      <c r="F34" s="162" t="s">
        <v>137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423.20000000000005</v>
      </c>
      <c r="E35" s="156">
        <f>D35*G29</f>
        <v>1798.6000000000001</v>
      </c>
      <c r="F35" s="156">
        <f>D35*H29</f>
        <v>14.388800000000003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279</v>
      </c>
      <c r="B37" s="37"/>
      <c r="C37" s="37"/>
      <c r="D37" s="164" t="s">
        <v>273</v>
      </c>
      <c r="E37" s="164" t="s">
        <v>274</v>
      </c>
      <c r="F37" s="164" t="s">
        <v>275</v>
      </c>
      <c r="G37" s="164" t="s">
        <v>271</v>
      </c>
      <c r="H37" s="164" t="s">
        <v>272</v>
      </c>
      <c r="I37" s="164" t="s">
        <v>276</v>
      </c>
      <c r="J37" s="164" t="s">
        <v>277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3.5" thickBot="1" x14ac:dyDescent="0.25">
      <c r="D38" s="157">
        <f>SUM(I2:I20)</f>
        <v>414.73599999999999</v>
      </c>
      <c r="E38" s="157">
        <f>SUM(J2:J4,J6:J11,J13:J20)</f>
        <v>1792.1673968607065</v>
      </c>
      <c r="F38" s="157">
        <f>SUM(K2:K4,K6:K11,K13:K20)</f>
        <v>14.379885270623745</v>
      </c>
      <c r="G38" s="157">
        <f>SUM(L6:L11,L13:L20,L22:L25)</f>
        <v>622.10399999999993</v>
      </c>
      <c r="H38" s="157">
        <f>SUM(M6:M11,M13:M20,M22:M25)</f>
        <v>400.57587611999998</v>
      </c>
      <c r="I38" s="157">
        <f>SUM(N6:N11,N13:N20,N22:N25)</f>
        <v>4525.2969352038972</v>
      </c>
      <c r="J38" s="157">
        <f>SUM(O6:O11,O13:O20,O22:O25)</f>
        <v>25.833160364455637</v>
      </c>
      <c r="V38" s="181"/>
      <c r="X38" s="30"/>
      <c r="Y38" s="30"/>
      <c r="Z38" s="181"/>
      <c r="AH38" s="30"/>
    </row>
    <row r="39" spans="1:34" ht="13.5" thickTop="1" x14ac:dyDescent="0.2">
      <c r="D39" s="158">
        <f>D35-D38</f>
        <v>8.4640000000000555</v>
      </c>
      <c r="E39" s="158">
        <f>E35-E38</f>
        <v>6.4326031392936329</v>
      </c>
      <c r="F39" s="158">
        <f>F35-F38</f>
        <v>8.9147293762579238E-3</v>
      </c>
      <c r="G39" s="158">
        <f>SUM(D2:D4)-G38</f>
        <v>12.696000000000026</v>
      </c>
      <c r="H39" s="158">
        <f>E32-H38</f>
        <v>2.5525999033541211</v>
      </c>
      <c r="I39" s="158">
        <f>F32-I38</f>
        <v>0.21726221556673408</v>
      </c>
      <c r="J39" s="158">
        <f>G32-J38</f>
        <v>4.1287635544360768E-2</v>
      </c>
      <c r="V39" s="181"/>
      <c r="X39" s="30"/>
      <c r="Y39" s="30"/>
      <c r="Z39" s="181"/>
      <c r="AH39" s="30"/>
    </row>
    <row r="40" spans="1:34" x14ac:dyDescent="0.2">
      <c r="V40" s="181"/>
      <c r="X40" s="30"/>
      <c r="Y40" s="30"/>
      <c r="Z40" s="181"/>
      <c r="AH40" s="30"/>
    </row>
    <row r="41" spans="1:34" x14ac:dyDescent="0.2">
      <c r="V41" s="181"/>
      <c r="X41" s="30"/>
      <c r="Y41" s="30"/>
      <c r="Z41" s="181"/>
      <c r="AH41" s="30"/>
    </row>
    <row r="42" spans="1:34" x14ac:dyDescent="0.2">
      <c r="V42" s="181"/>
      <c r="X42" s="30"/>
      <c r="Y42" s="30"/>
      <c r="Z42" s="181"/>
      <c r="AH42" s="30"/>
    </row>
    <row r="43" spans="1:34" x14ac:dyDescent="0.2">
      <c r="V43" s="181"/>
      <c r="X43" s="30"/>
      <c r="Y43" s="30"/>
      <c r="Z43" s="181"/>
      <c r="AH43" s="30"/>
    </row>
    <row r="44" spans="1:34" x14ac:dyDescent="0.2">
      <c r="V44" s="181"/>
      <c r="X44" s="30"/>
      <c r="Y44" s="30"/>
      <c r="Z44" s="181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sortState xmlns:xlrd2="http://schemas.microsoft.com/office/spreadsheetml/2017/richdata2" ref="A22:AH25">
    <sortCondition descending="1" ref="N22:N25"/>
  </sortState>
  <conditionalFormatting sqref="D39:J39">
    <cfRule type="cellIs" dxfId="35" priority="1" operator="lessThan">
      <formula>0</formula>
    </cfRule>
  </conditionalFormatting>
  <conditionalFormatting sqref="W28">
    <cfRule type="cellIs" dxfId="34" priority="2" operator="greaterThan">
      <formula>1</formula>
    </cfRule>
  </conditionalFormatting>
  <conditionalFormatting sqref="AA28:AG28">
    <cfRule type="cellIs" dxfId="33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rgb="FF002CB8"/>
  </sheetPr>
  <dimension ref="A1:AN64"/>
  <sheetViews>
    <sheetView showGridLines="0" zoomScale="85" zoomScaleNormal="85"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defaultColWidth="8.7109375" defaultRowHeight="12.75" x14ac:dyDescent="0.2"/>
  <cols>
    <col min="1" max="1" width="22.5703125" style="17" customWidth="1"/>
    <col min="2" max="3" width="8.7109375" style="18"/>
    <col min="4" max="13" width="8.7109375" style="23"/>
    <col min="14" max="15" width="8.7109375" style="18"/>
    <col min="16" max="16" width="4.7109375" style="18" customWidth="1"/>
    <col min="17" max="18" width="8.7109375" style="26"/>
    <col min="19" max="19" width="8.7109375" style="23"/>
    <col min="20" max="21" width="8.7109375" style="26"/>
    <col min="22" max="23" width="8.7109375" style="25"/>
    <col min="24" max="25" width="8.7109375" style="26"/>
    <col min="26" max="26" width="8.7109375" style="25"/>
    <col min="27" max="27" width="8.7109375" style="18"/>
    <col min="28" max="28" width="0" style="18" hidden="1" customWidth="1"/>
    <col min="29" max="29" width="8.7109375" style="26"/>
    <col min="30" max="30" width="4.7109375" style="17" customWidth="1"/>
    <col min="31" max="32" width="8.7109375" style="18"/>
    <col min="33" max="16384" width="8.7109375" style="17"/>
  </cols>
  <sheetData>
    <row r="1" spans="1:40" s="15" customFormat="1" ht="25.5" customHeight="1" x14ac:dyDescent="0.2">
      <c r="A1" s="15" t="s">
        <v>0</v>
      </c>
      <c r="B1" s="15" t="s">
        <v>8</v>
      </c>
      <c r="C1" s="15" t="s">
        <v>122</v>
      </c>
      <c r="D1" s="159" t="s">
        <v>210</v>
      </c>
      <c r="E1" s="159" t="s">
        <v>1</v>
      </c>
      <c r="F1" s="159" t="s">
        <v>213</v>
      </c>
      <c r="G1" s="159" t="s">
        <v>228</v>
      </c>
      <c r="H1" s="159" t="s">
        <v>2</v>
      </c>
      <c r="I1" s="159" t="s">
        <v>229</v>
      </c>
      <c r="J1" s="159" t="s">
        <v>217</v>
      </c>
      <c r="K1" s="159" t="s">
        <v>230</v>
      </c>
      <c r="L1" s="159" t="s">
        <v>219</v>
      </c>
      <c r="M1" s="159" t="s">
        <v>4</v>
      </c>
      <c r="N1" s="159" t="s">
        <v>223</v>
      </c>
      <c r="O1" s="159" t="s">
        <v>231</v>
      </c>
      <c r="Q1" s="160" t="s">
        <v>281</v>
      </c>
      <c r="R1" s="133" t="s">
        <v>232</v>
      </c>
      <c r="S1" s="134" t="s">
        <v>451</v>
      </c>
      <c r="T1" s="133" t="s">
        <v>205</v>
      </c>
      <c r="U1" s="133" t="s">
        <v>209</v>
      </c>
      <c r="V1" s="135" t="s">
        <v>280</v>
      </c>
      <c r="W1" s="161" t="s">
        <v>282</v>
      </c>
      <c r="X1" s="133" t="s">
        <v>233</v>
      </c>
      <c r="Y1" s="179" t="s">
        <v>234</v>
      </c>
      <c r="Z1" s="135" t="s">
        <v>235</v>
      </c>
      <c r="AA1" s="160" t="s">
        <v>236</v>
      </c>
      <c r="AB1" s="160" t="s">
        <v>237</v>
      </c>
      <c r="AC1" s="10" t="s">
        <v>262</v>
      </c>
      <c r="AE1" s="136" t="s">
        <v>283</v>
      </c>
      <c r="AF1" s="137" t="s">
        <v>284</v>
      </c>
      <c r="AG1" s="136" t="s">
        <v>285</v>
      </c>
      <c r="AH1" s="136" t="s">
        <v>450</v>
      </c>
      <c r="AN1" s="15" t="s">
        <v>107</v>
      </c>
    </row>
    <row r="2" spans="1:40" x14ac:dyDescent="0.2">
      <c r="A2" s="17" t="s">
        <v>576</v>
      </c>
      <c r="B2" s="18" t="s">
        <v>9</v>
      </c>
      <c r="C2" s="18">
        <f>VLOOKUP($AN$1,DST!C:D,2,FALSE)</f>
        <v>14</v>
      </c>
      <c r="D2" s="146">
        <f>D$32*Q2</f>
        <v>390.45510000000002</v>
      </c>
      <c r="E2" s="146">
        <f>D2*R2</f>
        <v>244.39298900204221</v>
      </c>
      <c r="F2" s="146">
        <f>E2*S2</f>
        <v>2671.2153697923213</v>
      </c>
      <c r="G2" s="146">
        <f>D2*T2</f>
        <v>14.49670943766038</v>
      </c>
      <c r="H2" s="146">
        <f>E2*U2</f>
        <v>5.0295265899631598</v>
      </c>
      <c r="I2" s="146">
        <f>D$35*W2</f>
        <v>60.854785600000014</v>
      </c>
      <c r="J2" s="146">
        <f>I2*V2</f>
        <v>283.10063132322045</v>
      </c>
      <c r="K2" s="146">
        <f>I2*X2</f>
        <v>2.3124818528000004</v>
      </c>
      <c r="L2" s="147"/>
      <c r="M2" s="147"/>
      <c r="N2" s="147"/>
      <c r="O2" s="147"/>
      <c r="Q2" s="150">
        <f>(AE2/SUM(AE$2:AE$25))</f>
        <v>0.67500000000000004</v>
      </c>
      <c r="R2" s="19">
        <v>0.62591829125049769</v>
      </c>
      <c r="S2" s="107">
        <v>10.93</v>
      </c>
      <c r="T2" s="19">
        <v>3.7127724641477032E-2</v>
      </c>
      <c r="U2" s="19">
        <v>2.0579668060449686E-2</v>
      </c>
      <c r="V2" s="107">
        <v>4.6520685026161752</v>
      </c>
      <c r="W2" s="150">
        <f>(AF2/SUM(AF$2:AF$20))*0.98</f>
        <v>0.13720000000000002</v>
      </c>
      <c r="X2" s="19">
        <v>3.7999999999999999E-2</v>
      </c>
      <c r="Y2" s="21"/>
      <c r="Z2" s="22"/>
      <c r="AA2" s="1"/>
      <c r="AB2" s="1"/>
      <c r="AC2" s="1"/>
      <c r="AE2" s="19">
        <v>0.67500000000000004</v>
      </c>
      <c r="AF2" s="19">
        <v>0.14000000000000001</v>
      </c>
      <c r="AG2" s="168"/>
      <c r="AH2" s="168"/>
    </row>
    <row r="3" spans="1:40" x14ac:dyDescent="0.2">
      <c r="A3" s="17" t="s">
        <v>123</v>
      </c>
      <c r="B3" s="18" t="s">
        <v>9</v>
      </c>
      <c r="C3" s="18">
        <f>VLOOKUP($AN$1,DST!C:D,2,FALSE)</f>
        <v>14</v>
      </c>
      <c r="D3" s="146">
        <f>D$32*Q3</f>
        <v>187.99690000000001</v>
      </c>
      <c r="E3" s="146">
        <f t="shared" ref="E3:F4" si="0">D3*R3</f>
        <v>120.23684050871024</v>
      </c>
      <c r="F3" s="146">
        <f t="shared" si="0"/>
        <v>1260.8779406569522</v>
      </c>
      <c r="G3" s="146">
        <f t="shared" ref="G3:G4" si="1">D3*T3</f>
        <v>6.5798915000000013</v>
      </c>
      <c r="H3" s="146">
        <f t="shared" ref="H3:H4" si="2">E3*U3</f>
        <v>2.4981379886509005</v>
      </c>
      <c r="I3" s="146">
        <f>D$35*W3</f>
        <v>0</v>
      </c>
      <c r="J3" s="146">
        <f>I3*V3</f>
        <v>0</v>
      </c>
      <c r="K3" s="146">
        <f>I3*X3</f>
        <v>0</v>
      </c>
      <c r="L3" s="147"/>
      <c r="M3" s="147"/>
      <c r="N3" s="147"/>
      <c r="O3" s="147"/>
      <c r="Q3" s="150">
        <f>(AE3/SUM(AE$2:AE$25))</f>
        <v>0.32500000000000001</v>
      </c>
      <c r="R3" s="19">
        <v>0.63956820835189432</v>
      </c>
      <c r="S3" s="107">
        <v>10.486619037246003</v>
      </c>
      <c r="T3" s="19">
        <v>3.5000000000000003E-2</v>
      </c>
      <c r="U3" s="19">
        <v>2.0776809986702283E-2</v>
      </c>
      <c r="V3" s="107">
        <v>4.0946745562130182</v>
      </c>
      <c r="W3" s="150">
        <f>(AF3/SUM(AF$2:AF$20))*0.98</f>
        <v>0</v>
      </c>
      <c r="X3" s="19">
        <v>2.3668639053254441E-2</v>
      </c>
      <c r="Y3" s="21"/>
      <c r="Z3" s="22"/>
      <c r="AA3" s="1"/>
      <c r="AB3" s="1"/>
      <c r="AC3" s="1"/>
      <c r="AE3" s="19">
        <v>0.32500000000000001</v>
      </c>
      <c r="AF3" s="19">
        <v>0</v>
      </c>
      <c r="AG3" s="168"/>
      <c r="AH3" s="168"/>
    </row>
    <row r="4" spans="1:40" x14ac:dyDescent="0.2">
      <c r="B4" s="18" t="s">
        <v>9</v>
      </c>
      <c r="C4" s="18">
        <f>VLOOKUP($AN$1,DST!C:D,2,FALSE)</f>
        <v>14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>
        <v>0</v>
      </c>
      <c r="AF4" s="19">
        <v>0</v>
      </c>
      <c r="AG4" s="168"/>
      <c r="AH4" s="168"/>
    </row>
    <row r="5" spans="1:40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40" x14ac:dyDescent="0.2">
      <c r="A6" s="172" t="s">
        <v>190</v>
      </c>
      <c r="B6" s="18" t="s">
        <v>207</v>
      </c>
      <c r="C6" s="18">
        <f>VLOOKUP($AN$1,DST!C:D,2,FALSE)</f>
        <v>14</v>
      </c>
      <c r="D6" s="147"/>
      <c r="E6" s="147"/>
      <c r="F6" s="147"/>
      <c r="G6" s="147"/>
      <c r="H6" s="147"/>
      <c r="I6" s="146">
        <f t="shared" ref="I6:I11" si="3">D$35*W6</f>
        <v>229.94415416000004</v>
      </c>
      <c r="J6" s="146">
        <f>I6*V6</f>
        <v>996.63663478500939</v>
      </c>
      <c r="K6" s="146">
        <f>I6*X6</f>
        <v>7.1282687789600008</v>
      </c>
      <c r="L6" s="146">
        <f>((D$2+D$3+D$4)*AA6)</f>
        <v>34.012977599999999</v>
      </c>
      <c r="M6" s="146">
        <f t="shared" ref="M6:N11" si="4">L6*Y6</f>
        <v>24.829473648</v>
      </c>
      <c r="N6" s="146">
        <f t="shared" si="4"/>
        <v>172.52057180513003</v>
      </c>
      <c r="O6" s="146">
        <f>M6*AH6</f>
        <v>0.69666165989364393</v>
      </c>
      <c r="Q6" s="13"/>
      <c r="R6" s="139"/>
      <c r="S6" s="138"/>
      <c r="T6" s="139"/>
      <c r="U6" s="139"/>
      <c r="V6" s="107">
        <v>4.3342551517597112</v>
      </c>
      <c r="W6" s="150">
        <f t="shared" ref="W6:W11" si="5">(AF6/SUM(AF$2:AF$20))*0.98</f>
        <v>0.51841999999999999</v>
      </c>
      <c r="X6" s="19">
        <v>3.1E-2</v>
      </c>
      <c r="Y6" s="19">
        <v>0.73</v>
      </c>
      <c r="Z6" s="20">
        <v>6.948217036369857</v>
      </c>
      <c r="AA6" s="150">
        <f t="shared" ref="AA6:AA11" si="6">(AG6/SUM(AG$6:AG$25))*0.98</f>
        <v>5.8799999999999998E-2</v>
      </c>
      <c r="AB6" s="7">
        <v>3.2545431170514526E-2</v>
      </c>
      <c r="AC6" s="150">
        <f t="shared" ref="AC6:AC11" si="7">(AH6/SUM(AH$6:AH$25))*0.98</f>
        <v>4.5519967132191981E-2</v>
      </c>
      <c r="AE6" s="168"/>
      <c r="AF6" s="19">
        <v>0.52900000000000003</v>
      </c>
      <c r="AG6" s="19">
        <v>0.06</v>
      </c>
      <c r="AH6" s="19">
        <v>2.8057850511452934E-2</v>
      </c>
    </row>
    <row r="7" spans="1:40" x14ac:dyDescent="0.2">
      <c r="A7" s="176" t="s">
        <v>160</v>
      </c>
      <c r="B7" s="18" t="s">
        <v>207</v>
      </c>
      <c r="C7" s="18">
        <f>VLOOKUP($AN$1,DST!C:D,2,FALSE)</f>
        <v>14</v>
      </c>
      <c r="D7" s="147"/>
      <c r="E7" s="147"/>
      <c r="F7" s="147"/>
      <c r="G7" s="147"/>
      <c r="H7" s="147"/>
      <c r="I7" s="146">
        <f t="shared" si="3"/>
        <v>119.10150896000003</v>
      </c>
      <c r="J7" s="146">
        <f>I7*V7</f>
        <v>500.22633763200014</v>
      </c>
      <c r="K7" s="146">
        <f>I7*X7</f>
        <v>3.2157407419200008</v>
      </c>
      <c r="L7" s="146">
        <f>((D$2+D$3+D$4)*AA7)</f>
        <v>52.153232319999994</v>
      </c>
      <c r="M7" s="146">
        <f t="shared" si="4"/>
        <v>39.219230704639997</v>
      </c>
      <c r="N7" s="146">
        <f t="shared" si="4"/>
        <v>297.9215333019979</v>
      </c>
      <c r="O7" s="146">
        <f t="shared" ref="O7:O11" si="8">M7*AH7</f>
        <v>1.3334538439577601</v>
      </c>
      <c r="Q7" s="13"/>
      <c r="R7" s="139"/>
      <c r="S7" s="138"/>
      <c r="T7" s="139"/>
      <c r="U7" s="139"/>
      <c r="V7" s="107">
        <v>4.2</v>
      </c>
      <c r="W7" s="150">
        <f t="shared" si="5"/>
        <v>0.26852000000000004</v>
      </c>
      <c r="X7" s="19">
        <v>2.7E-2</v>
      </c>
      <c r="Y7" s="19">
        <v>0.752</v>
      </c>
      <c r="Z7" s="20">
        <v>7.5963125219269294</v>
      </c>
      <c r="AA7" s="150">
        <f t="shared" si="6"/>
        <v>9.015999999999999E-2</v>
      </c>
      <c r="AB7" s="7">
        <v>2.0531462947374266E-2</v>
      </c>
      <c r="AC7" s="150">
        <f t="shared" si="7"/>
        <v>5.5160279717891454E-2</v>
      </c>
      <c r="AE7" s="168"/>
      <c r="AF7" s="19">
        <v>0.27400000000000002</v>
      </c>
      <c r="AG7" s="19">
        <v>9.1999999999999998E-2</v>
      </c>
      <c r="AH7" s="19">
        <v>3.4000000000000002E-2</v>
      </c>
    </row>
    <row r="8" spans="1:40" x14ac:dyDescent="0.2">
      <c r="A8" s="176" t="s">
        <v>695</v>
      </c>
      <c r="B8" s="18" t="s">
        <v>207</v>
      </c>
      <c r="C8" s="18">
        <f>VLOOKUP($AN$1,DST!C:D,2,FALSE)</f>
        <v>14</v>
      </c>
      <c r="D8" s="147"/>
      <c r="E8" s="147"/>
      <c r="F8" s="147"/>
      <c r="G8" s="147"/>
      <c r="H8" s="147"/>
      <c r="I8" s="146">
        <f t="shared" si="3"/>
        <v>24.776591280000002</v>
      </c>
      <c r="J8" s="146">
        <f>I8*V8</f>
        <v>102.29767373781746</v>
      </c>
      <c r="K8" s="146">
        <f>I8*X8</f>
        <v>0.64419137327999998</v>
      </c>
      <c r="L8" s="146">
        <f>((D$2+D$3+D$4)*AA8)</f>
        <v>5.6688295999999996</v>
      </c>
      <c r="M8" s="146">
        <f t="shared" si="4"/>
        <v>3.8377976391999993</v>
      </c>
      <c r="N8" s="146">
        <f t="shared" si="4"/>
        <v>30.333603042931895</v>
      </c>
      <c r="O8" s="146">
        <f t="shared" si="8"/>
        <v>0.11513392917599997</v>
      </c>
      <c r="Q8" s="13"/>
      <c r="R8" s="139"/>
      <c r="S8" s="138"/>
      <c r="T8" s="139"/>
      <c r="U8" s="139"/>
      <c r="V8" s="107">
        <v>4.1288033766127272</v>
      </c>
      <c r="W8" s="150">
        <f t="shared" si="5"/>
        <v>5.586E-2</v>
      </c>
      <c r="X8" s="19">
        <v>2.5999999999999999E-2</v>
      </c>
      <c r="Y8" s="19">
        <v>0.67699999999999994</v>
      </c>
      <c r="Z8" s="20">
        <v>7.9039089328469716</v>
      </c>
      <c r="AA8" s="150">
        <f t="shared" si="6"/>
        <v>9.7999999999999997E-3</v>
      </c>
      <c r="AB8" s="7">
        <v>2.1669757785520542E-2</v>
      </c>
      <c r="AC8" s="150">
        <f t="shared" si="7"/>
        <v>4.8670835045198341E-2</v>
      </c>
      <c r="AE8" s="168"/>
      <c r="AF8" s="19">
        <v>5.7000000000000002E-2</v>
      </c>
      <c r="AG8" s="19">
        <v>0.01</v>
      </c>
      <c r="AH8" s="19">
        <v>0.03</v>
      </c>
    </row>
    <row r="9" spans="1:40" x14ac:dyDescent="0.2">
      <c r="B9" s="18" t="s">
        <v>207</v>
      </c>
      <c r="C9" s="18">
        <f>VLOOKUP($AN$1,DST!C:D,2,FALSE)</f>
        <v>14</v>
      </c>
      <c r="D9" s="147"/>
      <c r="E9" s="147"/>
      <c r="F9" s="147"/>
      <c r="G9" s="147"/>
      <c r="H9" s="147"/>
      <c r="I9" s="146">
        <f t="shared" si="3"/>
        <v>0</v>
      </c>
      <c r="J9" s="146">
        <f t="shared" ref="J9:J11" si="9">I9*V9</f>
        <v>0</v>
      </c>
      <c r="K9" s="146">
        <f t="shared" ref="K9:K11" si="10">I9*X9</f>
        <v>0</v>
      </c>
      <c r="L9" s="146">
        <f t="shared" ref="L9:L11" si="11">((D$2+D$3+D$4)*AA9)</f>
        <v>0</v>
      </c>
      <c r="M9" s="146">
        <f t="shared" si="4"/>
        <v>0</v>
      </c>
      <c r="N9" s="146">
        <f t="shared" si="4"/>
        <v>0</v>
      </c>
      <c r="O9" s="146">
        <f t="shared" si="8"/>
        <v>0</v>
      </c>
      <c r="Q9" s="13"/>
      <c r="R9" s="139"/>
      <c r="S9" s="138"/>
      <c r="T9" s="139"/>
      <c r="U9" s="139"/>
      <c r="V9" s="107">
        <v>0</v>
      </c>
      <c r="W9" s="150">
        <f t="shared" si="5"/>
        <v>0</v>
      </c>
      <c r="X9" s="19">
        <v>0</v>
      </c>
      <c r="Y9" s="19">
        <v>0</v>
      </c>
      <c r="Z9" s="20">
        <v>0</v>
      </c>
      <c r="AA9" s="150">
        <f t="shared" si="6"/>
        <v>0</v>
      </c>
      <c r="AB9" s="7">
        <v>0.12975520463349305</v>
      </c>
      <c r="AC9" s="150">
        <f t="shared" si="7"/>
        <v>0</v>
      </c>
      <c r="AE9" s="168"/>
      <c r="AF9" s="19">
        <v>0</v>
      </c>
      <c r="AG9" s="19">
        <v>0</v>
      </c>
      <c r="AH9" s="19">
        <v>0</v>
      </c>
    </row>
    <row r="10" spans="1:40" x14ac:dyDescent="0.2">
      <c r="B10" s="18" t="s">
        <v>207</v>
      </c>
      <c r="C10" s="18">
        <f>VLOOKUP($AN$1,DST!C:D,2,FALSE)</f>
        <v>14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9"/>
        <v>0</v>
      </c>
      <c r="K10" s="146">
        <f t="shared" si="10"/>
        <v>0</v>
      </c>
      <c r="L10" s="146">
        <f t="shared" si="11"/>
        <v>0</v>
      </c>
      <c r="M10" s="146">
        <f t="shared" si="4"/>
        <v>0</v>
      </c>
      <c r="N10" s="146">
        <f t="shared" si="4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5"/>
        <v>0</v>
      </c>
      <c r="X10" s="19">
        <v>0</v>
      </c>
      <c r="Y10" s="19">
        <v>0</v>
      </c>
      <c r="Z10" s="20">
        <v>0</v>
      </c>
      <c r="AA10" s="150">
        <f t="shared" si="6"/>
        <v>0</v>
      </c>
      <c r="AB10" s="7">
        <v>1.0882830690328098E-2</v>
      </c>
      <c r="AC10" s="150">
        <f t="shared" si="7"/>
        <v>0</v>
      </c>
      <c r="AE10" s="168"/>
      <c r="AF10" s="19">
        <v>0</v>
      </c>
      <c r="AG10" s="19">
        <v>0</v>
      </c>
      <c r="AH10" s="19">
        <v>0</v>
      </c>
    </row>
    <row r="11" spans="1:40" x14ac:dyDescent="0.2">
      <c r="B11" s="18" t="s">
        <v>207</v>
      </c>
      <c r="C11" s="18">
        <f>VLOOKUP($AN$1,DST!C:D,2,FALSE)</f>
        <v>14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9"/>
        <v>0</v>
      </c>
      <c r="K11" s="146">
        <f t="shared" si="10"/>
        <v>0</v>
      </c>
      <c r="L11" s="146">
        <f t="shared" si="11"/>
        <v>0</v>
      </c>
      <c r="M11" s="146">
        <f t="shared" si="4"/>
        <v>0</v>
      </c>
      <c r="N11" s="146">
        <f t="shared" si="4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5"/>
        <v>0</v>
      </c>
      <c r="X11" s="19">
        <v>0</v>
      </c>
      <c r="Y11" s="19">
        <v>0</v>
      </c>
      <c r="Z11" s="20">
        <v>0</v>
      </c>
      <c r="AA11" s="150">
        <f t="shared" si="6"/>
        <v>0</v>
      </c>
      <c r="AB11" s="7">
        <v>0</v>
      </c>
      <c r="AC11" s="150">
        <f t="shared" si="7"/>
        <v>0</v>
      </c>
      <c r="AE11" s="168"/>
      <c r="AF11" s="19">
        <v>0</v>
      </c>
      <c r="AG11" s="19">
        <v>0</v>
      </c>
      <c r="AH11" s="19">
        <v>0</v>
      </c>
    </row>
    <row r="12" spans="1:40" x14ac:dyDescent="0.2"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Q12" s="3"/>
      <c r="W12" s="153"/>
      <c r="AA12" s="152"/>
      <c r="AB12" s="6"/>
      <c r="AC12"/>
      <c r="AE12" s="124"/>
      <c r="AF12" s="124"/>
      <c r="AG12" s="26"/>
      <c r="AH12" s="26"/>
    </row>
    <row r="13" spans="1:40" x14ac:dyDescent="0.2">
      <c r="A13" s="17" t="s">
        <v>525</v>
      </c>
      <c r="B13" s="18" t="s">
        <v>208</v>
      </c>
      <c r="C13" s="18">
        <f>VLOOKUP($AN$1,DST!C:D,2,FALSE)</f>
        <v>14</v>
      </c>
      <c r="D13" s="147"/>
      <c r="E13" s="147"/>
      <c r="F13" s="147"/>
      <c r="G13" s="147"/>
      <c r="H13" s="147"/>
      <c r="I13" s="146">
        <f t="shared" ref="I13:I20" si="12">D$35*W13</f>
        <v>0</v>
      </c>
      <c r="J13" s="146">
        <f t="shared" ref="J13:J20" si="13">I13*V13</f>
        <v>0</v>
      </c>
      <c r="K13" s="146">
        <f t="shared" ref="K13:K20" si="14">I13*X13</f>
        <v>0</v>
      </c>
      <c r="L13" s="146">
        <f t="shared" ref="L13:L20" si="15">((D$2+D$3+D$4)*AA13)</f>
        <v>102.60581575999998</v>
      </c>
      <c r="M13" s="146">
        <f t="shared" ref="M13:N20" si="16">L13*Y13</f>
        <v>63.718211586959988</v>
      </c>
      <c r="N13" s="146">
        <f t="shared" si="16"/>
        <v>745.50307556743178</v>
      </c>
      <c r="O13" s="146">
        <f t="shared" ref="O13:O20" si="17">M13*AH13</f>
        <v>3.5045016372827993</v>
      </c>
      <c r="Q13" s="13"/>
      <c r="R13" s="139"/>
      <c r="S13" s="138"/>
      <c r="T13" s="139"/>
      <c r="U13" s="139"/>
      <c r="V13" s="107">
        <v>5.31</v>
      </c>
      <c r="W13" s="150">
        <f t="shared" ref="W13:W20" si="18">(AF13/SUM(AF$2:AF$20))*0.98</f>
        <v>0</v>
      </c>
      <c r="X13" s="19">
        <v>3.6036036036036037E-3</v>
      </c>
      <c r="Y13" s="19">
        <v>0.621</v>
      </c>
      <c r="Z13" s="20">
        <v>11.7</v>
      </c>
      <c r="AA13" s="150">
        <f t="shared" ref="AA13:AA20" si="19">(AG13/SUM(AG$6:AG$25))*0.98</f>
        <v>0.17737999999999998</v>
      </c>
      <c r="AB13" s="7">
        <v>0.13710286467344765</v>
      </c>
      <c r="AC13" s="150">
        <f t="shared" ref="AC13:AC20" si="20">(AH13/SUM(AH$6:AH$25))*0.98</f>
        <v>8.9229864249530291E-2</v>
      </c>
      <c r="AE13" s="168"/>
      <c r="AF13" s="19">
        <v>0</v>
      </c>
      <c r="AG13" s="19">
        <v>0.18099999999999999</v>
      </c>
      <c r="AH13" s="19">
        <v>5.5E-2</v>
      </c>
    </row>
    <row r="14" spans="1:40" x14ac:dyDescent="0.2">
      <c r="A14" s="17" t="s">
        <v>134</v>
      </c>
      <c r="B14" s="18" t="s">
        <v>208</v>
      </c>
      <c r="C14" s="18">
        <f>VLOOKUP($AN$1,DST!C:D,2,FALSE)</f>
        <v>14</v>
      </c>
      <c r="D14" s="147"/>
      <c r="E14" s="147"/>
      <c r="F14" s="147"/>
      <c r="G14" s="147"/>
      <c r="H14" s="147"/>
      <c r="I14" s="146">
        <f t="shared" si="12"/>
        <v>0</v>
      </c>
      <c r="J14" s="146">
        <f t="shared" si="13"/>
        <v>0</v>
      </c>
      <c r="K14" s="146">
        <f t="shared" si="14"/>
        <v>0</v>
      </c>
      <c r="L14" s="146">
        <f t="shared" si="15"/>
        <v>57.255178960000002</v>
      </c>
      <c r="M14" s="146">
        <f t="shared" si="16"/>
        <v>33.2080037968</v>
      </c>
      <c r="N14" s="146">
        <f t="shared" si="16"/>
        <v>409.454686814544</v>
      </c>
      <c r="O14" s="146">
        <f t="shared" si="17"/>
        <v>2.1917282505888003</v>
      </c>
      <c r="Q14" s="13"/>
      <c r="R14" s="139"/>
      <c r="S14" s="138"/>
      <c r="T14" s="139"/>
      <c r="U14" s="139"/>
      <c r="V14" s="107">
        <v>5.0199999999999996</v>
      </c>
      <c r="W14" s="150">
        <f t="shared" si="18"/>
        <v>0</v>
      </c>
      <c r="X14" s="19">
        <v>0</v>
      </c>
      <c r="Y14" s="19">
        <v>0.57999999999999996</v>
      </c>
      <c r="Z14" s="20">
        <v>12.33</v>
      </c>
      <c r="AA14" s="150">
        <f t="shared" si="19"/>
        <v>9.8979999999999999E-2</v>
      </c>
      <c r="AB14" s="7">
        <v>6.5358983780264848E-2</v>
      </c>
      <c r="AC14" s="150">
        <f t="shared" si="20"/>
        <v>0.10707583709943634</v>
      </c>
      <c r="AE14" s="168"/>
      <c r="AF14" s="19">
        <v>0</v>
      </c>
      <c r="AG14" s="19">
        <v>0.10100000000000001</v>
      </c>
      <c r="AH14" s="19">
        <v>6.6000000000000003E-2</v>
      </c>
    </row>
    <row r="15" spans="1:40" x14ac:dyDescent="0.2">
      <c r="A15" s="17" t="s">
        <v>589</v>
      </c>
      <c r="B15" s="18" t="s">
        <v>208</v>
      </c>
      <c r="C15" s="18">
        <f>VLOOKUP($AN$1,DST!C:D,2,FALSE)</f>
        <v>14</v>
      </c>
      <c r="D15" s="147"/>
      <c r="E15" s="147"/>
      <c r="F15" s="147"/>
      <c r="G15" s="147"/>
      <c r="H15" s="147"/>
      <c r="I15" s="146">
        <f t="shared" si="12"/>
        <v>0</v>
      </c>
      <c r="J15" s="146">
        <f t="shared" si="13"/>
        <v>0</v>
      </c>
      <c r="K15" s="146">
        <f t="shared" si="14"/>
        <v>0</v>
      </c>
      <c r="L15" s="146">
        <f t="shared" si="15"/>
        <v>70.293487040000002</v>
      </c>
      <c r="M15" s="146">
        <f t="shared" si="16"/>
        <v>42.035505249919993</v>
      </c>
      <c r="N15" s="146">
        <f t="shared" si="16"/>
        <v>548.56334351145597</v>
      </c>
      <c r="O15" s="146">
        <f t="shared" si="17"/>
        <v>2.7743433464947196</v>
      </c>
      <c r="Q15" s="13"/>
      <c r="R15" s="139"/>
      <c r="S15" s="138"/>
      <c r="T15" s="139"/>
      <c r="U15" s="139"/>
      <c r="V15" s="107">
        <v>5.0199999999999996</v>
      </c>
      <c r="W15" s="150">
        <f t="shared" si="18"/>
        <v>0</v>
      </c>
      <c r="X15" s="19">
        <v>0</v>
      </c>
      <c r="Y15" s="19">
        <v>0.59799999999999986</v>
      </c>
      <c r="Z15" s="20">
        <v>13.05</v>
      </c>
      <c r="AA15" s="150">
        <f t="shared" si="19"/>
        <v>0.12152</v>
      </c>
      <c r="AB15" s="7">
        <v>0.14864583888878849</v>
      </c>
      <c r="AC15" s="150">
        <f t="shared" si="20"/>
        <v>0.10707583709943634</v>
      </c>
      <c r="AE15" s="168"/>
      <c r="AF15" s="19">
        <v>0</v>
      </c>
      <c r="AG15" s="19">
        <v>0.124</v>
      </c>
      <c r="AH15" s="19">
        <v>6.6000000000000003E-2</v>
      </c>
    </row>
    <row r="16" spans="1:40" x14ac:dyDescent="0.2">
      <c r="A16" s="17" t="s">
        <v>685</v>
      </c>
      <c r="B16" s="18" t="s">
        <v>208</v>
      </c>
      <c r="C16" s="18">
        <f>VLOOKUP($AN$1,DST!C:D,2,FALSE)</f>
        <v>14</v>
      </c>
      <c r="D16" s="147"/>
      <c r="E16" s="147"/>
      <c r="F16" s="147"/>
      <c r="G16" s="147"/>
      <c r="H16" s="147"/>
      <c r="I16" s="146">
        <f t="shared" si="12"/>
        <v>0</v>
      </c>
      <c r="J16" s="146">
        <f t="shared" si="13"/>
        <v>0</v>
      </c>
      <c r="K16" s="146">
        <f t="shared" si="14"/>
        <v>0</v>
      </c>
      <c r="L16" s="146">
        <f t="shared" si="15"/>
        <v>46.484402719999999</v>
      </c>
      <c r="M16" s="146">
        <f t="shared" si="16"/>
        <v>28.820329686399997</v>
      </c>
      <c r="N16" s="146">
        <f t="shared" si="16"/>
        <v>383.02218153225596</v>
      </c>
      <c r="O16" s="146">
        <f t="shared" si="17"/>
        <v>1.7292197811839998</v>
      </c>
      <c r="Q16" s="13"/>
      <c r="R16" s="139"/>
      <c r="S16" s="138"/>
      <c r="T16" s="139"/>
      <c r="U16" s="139"/>
      <c r="V16" s="107">
        <v>5.0199999999999996</v>
      </c>
      <c r="W16" s="150">
        <f t="shared" si="18"/>
        <v>0</v>
      </c>
      <c r="X16" s="19">
        <v>0</v>
      </c>
      <c r="Y16" s="19">
        <v>0.62</v>
      </c>
      <c r="Z16" s="20">
        <v>13.29</v>
      </c>
      <c r="AA16" s="150">
        <f t="shared" si="19"/>
        <v>8.0360000000000001E-2</v>
      </c>
      <c r="AB16" s="7">
        <v>0.14864583888878849</v>
      </c>
      <c r="AC16" s="150">
        <f t="shared" si="20"/>
        <v>9.7341670090396681E-2</v>
      </c>
      <c r="AE16" s="168"/>
      <c r="AF16" s="19">
        <v>0</v>
      </c>
      <c r="AG16" s="19">
        <v>8.2000000000000003E-2</v>
      </c>
      <c r="AH16" s="19">
        <v>0.06</v>
      </c>
    </row>
    <row r="17" spans="1:34" x14ac:dyDescent="0.2">
      <c r="A17" s="17" t="s">
        <v>618</v>
      </c>
      <c r="B17" s="18" t="s">
        <v>208</v>
      </c>
      <c r="C17" s="18">
        <f>VLOOKUP($AN$1,DST!C:D,2,FALSE)</f>
        <v>14</v>
      </c>
      <c r="D17" s="147"/>
      <c r="E17" s="147"/>
      <c r="F17" s="147"/>
      <c r="G17" s="147"/>
      <c r="H17" s="147"/>
      <c r="I17" s="146">
        <f t="shared" si="12"/>
        <v>0</v>
      </c>
      <c r="J17" s="146">
        <f t="shared" si="13"/>
        <v>0</v>
      </c>
      <c r="K17" s="146">
        <f t="shared" si="14"/>
        <v>0</v>
      </c>
      <c r="L17" s="146">
        <f t="shared" si="15"/>
        <v>13.605191039999999</v>
      </c>
      <c r="M17" s="146">
        <f t="shared" si="16"/>
        <v>8.0406679046400011</v>
      </c>
      <c r="N17" s="146">
        <f t="shared" si="16"/>
        <v>97.935335078515209</v>
      </c>
      <c r="O17" s="146">
        <f t="shared" si="17"/>
        <v>0.47439940637376005</v>
      </c>
      <c r="Q17" s="13"/>
      <c r="R17" s="139"/>
      <c r="S17" s="138"/>
      <c r="T17" s="139"/>
      <c r="U17" s="139"/>
      <c r="V17" s="107">
        <v>5.0199999999999996</v>
      </c>
      <c r="W17" s="150">
        <f t="shared" si="18"/>
        <v>0</v>
      </c>
      <c r="X17" s="19">
        <v>0</v>
      </c>
      <c r="Y17" s="19">
        <v>0.59100000000000008</v>
      </c>
      <c r="Z17" s="20">
        <v>12.18</v>
      </c>
      <c r="AA17" s="150">
        <f t="shared" si="19"/>
        <v>2.3519999999999999E-2</v>
      </c>
      <c r="AB17" s="7">
        <v>1.7121948793519734E-2</v>
      </c>
      <c r="AC17" s="150">
        <f t="shared" si="20"/>
        <v>9.5719308922223398E-2</v>
      </c>
      <c r="AE17" s="168"/>
      <c r="AF17" s="19">
        <v>0</v>
      </c>
      <c r="AG17" s="19">
        <v>2.4E-2</v>
      </c>
      <c r="AH17" s="19">
        <v>5.8999999999999997E-2</v>
      </c>
    </row>
    <row r="18" spans="1:34" x14ac:dyDescent="0.2">
      <c r="A18" s="17" t="s">
        <v>386</v>
      </c>
      <c r="B18" s="18" t="s">
        <v>208</v>
      </c>
      <c r="C18" s="18">
        <f>VLOOKUP($AN$1,DST!C:D,2,FALSE)</f>
        <v>14</v>
      </c>
      <c r="D18" s="147"/>
      <c r="E18" s="147"/>
      <c r="F18" s="147"/>
      <c r="G18" s="147"/>
      <c r="H18" s="147"/>
      <c r="I18" s="146">
        <f t="shared" si="12"/>
        <v>0</v>
      </c>
      <c r="J18" s="146">
        <f t="shared" si="13"/>
        <v>0</v>
      </c>
      <c r="K18" s="146">
        <f t="shared" si="14"/>
        <v>0</v>
      </c>
      <c r="L18" s="146">
        <f t="shared" si="15"/>
        <v>78.229848480000001</v>
      </c>
      <c r="M18" s="146">
        <f t="shared" si="16"/>
        <v>47.09436878495999</v>
      </c>
      <c r="N18" s="146">
        <f t="shared" si="16"/>
        <v>534.8386895704175</v>
      </c>
      <c r="O18" s="146">
        <f t="shared" si="17"/>
        <v>2.8256621270975995</v>
      </c>
      <c r="Q18" s="13"/>
      <c r="R18" s="139"/>
      <c r="S18" s="138"/>
      <c r="T18" s="139"/>
      <c r="U18" s="139"/>
      <c r="V18" s="107">
        <v>5.0199999999999996</v>
      </c>
      <c r="W18" s="150">
        <f t="shared" si="18"/>
        <v>0</v>
      </c>
      <c r="X18" s="19">
        <v>0</v>
      </c>
      <c r="Y18" s="19">
        <v>0.60199999999999987</v>
      </c>
      <c r="Z18" s="20">
        <v>11.356743988067274</v>
      </c>
      <c r="AA18" s="150">
        <f t="shared" si="19"/>
        <v>0.13524</v>
      </c>
      <c r="AB18" s="7">
        <v>4.2240104227868225E-2</v>
      </c>
      <c r="AC18" s="150">
        <f t="shared" si="20"/>
        <v>9.7341670090396681E-2</v>
      </c>
      <c r="AE18" s="168"/>
      <c r="AF18" s="19">
        <v>0</v>
      </c>
      <c r="AG18" s="19">
        <v>0.13800000000000001</v>
      </c>
      <c r="AH18" s="19">
        <v>0.06</v>
      </c>
    </row>
    <row r="19" spans="1:34" x14ac:dyDescent="0.2">
      <c r="B19" s="18" t="s">
        <v>208</v>
      </c>
      <c r="C19" s="18">
        <f>VLOOKUP($AN$1,DST!C:D,2,FALSE)</f>
        <v>14</v>
      </c>
      <c r="D19" s="147"/>
      <c r="E19" s="147"/>
      <c r="F19" s="147"/>
      <c r="G19" s="147"/>
      <c r="H19" s="147"/>
      <c r="I19" s="146">
        <f t="shared" si="12"/>
        <v>0</v>
      </c>
      <c r="J19" s="146">
        <f t="shared" si="13"/>
        <v>0</v>
      </c>
      <c r="K19" s="146">
        <f t="shared" si="14"/>
        <v>0</v>
      </c>
      <c r="L19" s="146">
        <f t="shared" si="15"/>
        <v>0</v>
      </c>
      <c r="M19" s="146">
        <f t="shared" si="16"/>
        <v>0</v>
      </c>
      <c r="N19" s="146">
        <f t="shared" si="16"/>
        <v>0</v>
      </c>
      <c r="O19" s="146">
        <f t="shared" si="17"/>
        <v>0</v>
      </c>
      <c r="Q19" s="13"/>
      <c r="R19" s="139"/>
      <c r="S19" s="138"/>
      <c r="T19" s="139"/>
      <c r="U19" s="139"/>
      <c r="V19" s="107">
        <v>0</v>
      </c>
      <c r="W19" s="150">
        <f t="shared" si="18"/>
        <v>0</v>
      </c>
      <c r="X19" s="19">
        <v>0</v>
      </c>
      <c r="Y19" s="19">
        <v>0</v>
      </c>
      <c r="Z19" s="20">
        <v>0</v>
      </c>
      <c r="AA19" s="150">
        <f t="shared" si="19"/>
        <v>0</v>
      </c>
      <c r="AB19" s="7">
        <v>0</v>
      </c>
      <c r="AC19" s="150">
        <f t="shared" si="20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208</v>
      </c>
      <c r="C20" s="18">
        <f>VLOOKUP($AN$1,DST!C:D,2,FALSE)</f>
        <v>14</v>
      </c>
      <c r="D20" s="147"/>
      <c r="E20" s="147"/>
      <c r="F20" s="147"/>
      <c r="G20" s="147"/>
      <c r="H20" s="147"/>
      <c r="I20" s="146">
        <f t="shared" si="12"/>
        <v>0</v>
      </c>
      <c r="J20" s="146">
        <f t="shared" si="13"/>
        <v>0</v>
      </c>
      <c r="K20" s="146">
        <f t="shared" si="14"/>
        <v>0</v>
      </c>
      <c r="L20" s="146">
        <f t="shared" si="15"/>
        <v>0</v>
      </c>
      <c r="M20" s="146">
        <f t="shared" si="16"/>
        <v>0</v>
      </c>
      <c r="N20" s="146">
        <f t="shared" si="16"/>
        <v>0</v>
      </c>
      <c r="O20" s="146">
        <f t="shared" si="17"/>
        <v>0</v>
      </c>
      <c r="Q20" s="13"/>
      <c r="R20" s="139"/>
      <c r="S20" s="138"/>
      <c r="T20" s="139"/>
      <c r="U20" s="139"/>
      <c r="V20" s="107">
        <v>0</v>
      </c>
      <c r="W20" s="150">
        <f t="shared" si="18"/>
        <v>0</v>
      </c>
      <c r="X20" s="19">
        <v>0</v>
      </c>
      <c r="Y20" s="19">
        <v>0</v>
      </c>
      <c r="Z20" s="20">
        <v>0</v>
      </c>
      <c r="AA20" s="150">
        <f t="shared" si="19"/>
        <v>0</v>
      </c>
      <c r="AB20" s="7">
        <v>0</v>
      </c>
      <c r="AC20" s="150">
        <f t="shared" si="20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2" t="s">
        <v>17</v>
      </c>
      <c r="B22" s="18" t="s">
        <v>10</v>
      </c>
      <c r="C22" s="18">
        <f>VLOOKUP($AN$1,DST!C:D,2,FALSE)</f>
        <v>14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75.962316639999997</v>
      </c>
      <c r="M22" s="146">
        <f t="shared" ref="M22:N25" si="21">L22*Y22</f>
        <v>48.843769599520002</v>
      </c>
      <c r="N22" s="146">
        <f t="shared" si="21"/>
        <v>520.18614623488804</v>
      </c>
      <c r="O22" s="146">
        <f t="shared" ref="O22:O25" si="22">M22*AH22</f>
        <v>4.2005641855587195</v>
      </c>
      <c r="Q22" s="13"/>
      <c r="R22" s="139"/>
      <c r="S22" s="138"/>
      <c r="T22" s="139"/>
      <c r="U22" s="139"/>
      <c r="V22" s="140"/>
      <c r="W22" s="154"/>
      <c r="X22" s="139"/>
      <c r="Y22" s="19">
        <v>0.64300000000000002</v>
      </c>
      <c r="Z22" s="20">
        <v>10.65</v>
      </c>
      <c r="AA22" s="150">
        <f>(AG22/SUM(AG$6:AG$25))*0.98</f>
        <v>0.13131999999999999</v>
      </c>
      <c r="AB22" s="7">
        <v>0.13882178462333361</v>
      </c>
      <c r="AC22" s="150">
        <f>(AH22/SUM(AH$6:AH$25))*0.98</f>
        <v>0.13952306046290189</v>
      </c>
      <c r="AE22" s="168"/>
      <c r="AF22" s="168"/>
      <c r="AG22" s="19">
        <v>0.13400000000000001</v>
      </c>
      <c r="AH22" s="19">
        <v>8.5999999999999993E-2</v>
      </c>
    </row>
    <row r="23" spans="1:34" x14ac:dyDescent="0.2">
      <c r="A23" s="176" t="s">
        <v>18</v>
      </c>
      <c r="B23" s="18" t="s">
        <v>10</v>
      </c>
      <c r="C23" s="18">
        <f>VLOOKUP($AN$1,DST!C:D,2,FALSE)</f>
        <v>14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30.611679840000001</v>
      </c>
      <c r="M23" s="146">
        <f t="shared" si="21"/>
        <v>19.866980216160002</v>
      </c>
      <c r="N23" s="146">
        <f t="shared" si="21"/>
        <v>187.84907374737665</v>
      </c>
      <c r="O23" s="146">
        <f t="shared" si="22"/>
        <v>1.1920188129696001</v>
      </c>
      <c r="Q23" s="13"/>
      <c r="R23" s="139"/>
      <c r="S23" s="138"/>
      <c r="T23" s="139"/>
      <c r="U23" s="139"/>
      <c r="V23" s="140"/>
      <c r="W23" s="154"/>
      <c r="X23" s="139"/>
      <c r="Y23" s="19">
        <v>0.64900000000000002</v>
      </c>
      <c r="Z23" s="20">
        <v>9.4553410585559607</v>
      </c>
      <c r="AA23" s="150">
        <f>(AG23/SUM(AG$6:AG$25))*0.98</f>
        <v>5.2920000000000002E-2</v>
      </c>
      <c r="AB23" s="7">
        <v>0.12910308972453613</v>
      </c>
      <c r="AC23" s="150">
        <f>(AH23/SUM(AH$6:AH$25))*0.98</f>
        <v>9.7341670090396681E-2</v>
      </c>
      <c r="AE23" s="168"/>
      <c r="AF23" s="168"/>
      <c r="AG23" s="19">
        <v>5.3999999999999999E-2</v>
      </c>
      <c r="AH23" s="19">
        <v>0.06</v>
      </c>
    </row>
    <row r="24" spans="1:34" x14ac:dyDescent="0.2">
      <c r="B24" s="18" t="s">
        <v>10</v>
      </c>
      <c r="C24" s="18">
        <f>VLOOKUP($AN$1,DST!C:D,2,FALSE)</f>
        <v>14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0</v>
      </c>
      <c r="M24" s="146">
        <f t="shared" si="21"/>
        <v>0</v>
      </c>
      <c r="N24" s="146">
        <f t="shared" si="21"/>
        <v>0</v>
      </c>
      <c r="O24" s="146">
        <f t="shared" si="22"/>
        <v>0</v>
      </c>
      <c r="Q24" s="13"/>
      <c r="R24" s="139"/>
      <c r="S24" s="138"/>
      <c r="T24" s="139"/>
      <c r="U24" s="139"/>
      <c r="V24" s="140"/>
      <c r="W24" s="154"/>
      <c r="X24" s="139"/>
      <c r="Y24" s="19">
        <v>0</v>
      </c>
      <c r="Z24" s="20">
        <v>0</v>
      </c>
      <c r="AA24" s="150">
        <f>(AG24/SUM(AG$6:AG$25))*0.98</f>
        <v>0</v>
      </c>
      <c r="AB24" s="7">
        <v>3.7823124214133433E-2</v>
      </c>
      <c r="AC24" s="150">
        <f>(AH24/SUM(AH$6:AH$25))*0.98</f>
        <v>0</v>
      </c>
      <c r="AE24" s="168"/>
      <c r="AF24" s="168"/>
      <c r="AG24" s="19">
        <v>0</v>
      </c>
      <c r="AH24" s="19">
        <v>0</v>
      </c>
    </row>
    <row r="25" spans="1:34" x14ac:dyDescent="0.2">
      <c r="A25" s="42"/>
      <c r="B25" s="18" t="s">
        <v>10</v>
      </c>
      <c r="C25" s="18">
        <f>VLOOKUP($AN$1,DST!C:D,2,FALSE)</f>
        <v>14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21"/>
        <v>0</v>
      </c>
      <c r="N25" s="146">
        <f t="shared" si="21"/>
        <v>0</v>
      </c>
      <c r="O25" s="146">
        <f t="shared" si="22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2.8895811831991899E-2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264</v>
      </c>
      <c r="X27" s="30"/>
      <c r="Y27" s="30"/>
      <c r="Z27" s="31"/>
      <c r="AA27" s="9" t="s">
        <v>264</v>
      </c>
      <c r="AB27" s="9" t="s">
        <v>264</v>
      </c>
      <c r="AC27" s="9" t="s">
        <v>264</v>
      </c>
      <c r="AD27" s="44"/>
      <c r="AE27" s="9" t="s">
        <v>264</v>
      </c>
      <c r="AF27" s="9" t="s">
        <v>264</v>
      </c>
      <c r="AG27" s="9" t="s">
        <v>264</v>
      </c>
    </row>
    <row r="28" spans="1:34" s="27" customFormat="1" x14ac:dyDescent="0.2">
      <c r="A28" s="45" t="s">
        <v>265</v>
      </c>
      <c r="B28" s="28"/>
      <c r="C28" s="28"/>
      <c r="D28" s="34" t="s">
        <v>269</v>
      </c>
      <c r="E28" s="34" t="s">
        <v>266</v>
      </c>
      <c r="F28" s="155" t="s">
        <v>267</v>
      </c>
      <c r="G28" s="34" t="s">
        <v>286</v>
      </c>
      <c r="H28" s="34" t="s">
        <v>268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0.98</v>
      </c>
      <c r="X28" s="30"/>
      <c r="Y28" s="30"/>
      <c r="Z28" s="31"/>
      <c r="AA28" s="150">
        <f>SUM(AA6:AA25)</f>
        <v>0.98</v>
      </c>
      <c r="AB28" s="150">
        <f>SUM(AB2:AB4,AB6:AB11,AB13:AB20,AB22:AB25)</f>
        <v>1.1091440768739029</v>
      </c>
      <c r="AC28" s="150">
        <f>SUM(AC6:AC25)</f>
        <v>0.98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</v>
      </c>
    </row>
    <row r="29" spans="1:34" s="27" customFormat="1" x14ac:dyDescent="0.2">
      <c r="A29" s="43"/>
      <c r="B29" s="28"/>
      <c r="C29" s="28"/>
      <c r="D29" s="46">
        <v>1022</v>
      </c>
      <c r="E29" s="47">
        <v>0.56599999999999995</v>
      </c>
      <c r="F29" s="2">
        <f>1-E29</f>
        <v>0.43400000000000005</v>
      </c>
      <c r="G29" s="106">
        <v>4.25</v>
      </c>
      <c r="H29" s="126">
        <v>0.03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265</v>
      </c>
      <c r="B31" s="28"/>
      <c r="C31" s="28"/>
      <c r="D31" s="162" t="s">
        <v>278</v>
      </c>
      <c r="E31" s="162" t="s">
        <v>1</v>
      </c>
      <c r="F31" s="162" t="s">
        <v>263</v>
      </c>
      <c r="G31" s="162" t="s">
        <v>137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5">
        <f>D29*E29</f>
        <v>578.452</v>
      </c>
      <c r="E32" s="156">
        <f>SUM(E2:E4)</f>
        <v>364.62982951075247</v>
      </c>
      <c r="F32" s="156">
        <f>SUM(F2:F4)</f>
        <v>3932.0933104492733</v>
      </c>
      <c r="G32" s="156">
        <f>SUM(G2:G4)</f>
        <v>21.07660093766038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2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265</v>
      </c>
      <c r="B34" s="28"/>
      <c r="C34" s="28"/>
      <c r="D34" s="162" t="s">
        <v>270</v>
      </c>
      <c r="E34" s="12" t="s">
        <v>263</v>
      </c>
      <c r="F34" s="12" t="s">
        <v>137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443.54800000000006</v>
      </c>
      <c r="E35" s="156">
        <f>D35*G29</f>
        <v>1885.0790000000002</v>
      </c>
      <c r="F35" s="156">
        <f>D35*H29</f>
        <v>13.306440000000002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279</v>
      </c>
      <c r="B37" s="37"/>
      <c r="C37" s="37"/>
      <c r="D37" s="164" t="s">
        <v>273</v>
      </c>
      <c r="E37" s="164" t="s">
        <v>274</v>
      </c>
      <c r="F37" s="164" t="s">
        <v>275</v>
      </c>
      <c r="G37" s="164" t="s">
        <v>271</v>
      </c>
      <c r="H37" s="164" t="s">
        <v>272</v>
      </c>
      <c r="I37" s="164" t="s">
        <v>276</v>
      </c>
      <c r="J37" s="164" t="s">
        <v>277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3.5" thickBot="1" x14ac:dyDescent="0.25">
      <c r="D38" s="157">
        <f>SUM(I2:I20)</f>
        <v>434.67704000000009</v>
      </c>
      <c r="E38" s="157">
        <f>SUM(J2:J4,J6:J11,J13:J20)</f>
        <v>1882.2612774780475</v>
      </c>
      <c r="F38" s="157">
        <f>SUM(K2:K4,K6:K11,K13:K20)</f>
        <v>13.300682746960002</v>
      </c>
      <c r="G38" s="157">
        <f>SUM(L6:L11,L13:L20,L22:L25)</f>
        <v>566.88295999999991</v>
      </c>
      <c r="H38" s="157">
        <f>SUM(M6:M11,M13:M20,M22:M25)</f>
        <v>359.51433881719998</v>
      </c>
      <c r="I38" s="157">
        <f>SUM(N6:N11,N13:N20,N22:N25)</f>
        <v>3928.1282402069451</v>
      </c>
      <c r="J38" s="157">
        <f>SUM(O6:O11,O13:O20,O22:O25)</f>
        <v>21.037686980577401</v>
      </c>
      <c r="V38" s="181"/>
      <c r="X38" s="30"/>
      <c r="Y38" s="30"/>
      <c r="Z38" s="181"/>
      <c r="AH38" s="30"/>
    </row>
    <row r="39" spans="1:34" ht="13.5" thickTop="1" x14ac:dyDescent="0.2">
      <c r="D39" s="158">
        <f>D35-D38</f>
        <v>8.8709599999999682</v>
      </c>
      <c r="E39" s="158">
        <f>E35-E38</f>
        <v>2.8177225219526463</v>
      </c>
      <c r="F39" s="158">
        <f>F35-F38</f>
        <v>5.7572530400005206E-3</v>
      </c>
      <c r="G39" s="158">
        <f>SUM(D2:D4)-G38</f>
        <v>11.569040000000086</v>
      </c>
      <c r="H39" s="158">
        <f>E32-H38</f>
        <v>5.1154906935524878</v>
      </c>
      <c r="I39" s="158">
        <f>F32-I38</f>
        <v>3.9650702423282382</v>
      </c>
      <c r="J39" s="158">
        <f>G32-J38</f>
        <v>3.8913957082979067E-2</v>
      </c>
      <c r="V39" s="181"/>
      <c r="X39" s="30"/>
      <c r="Y39" s="30"/>
      <c r="Z39" s="181"/>
      <c r="AH39" s="30"/>
    </row>
    <row r="40" spans="1:34" x14ac:dyDescent="0.2">
      <c r="N40" s="23"/>
      <c r="O40" s="23"/>
      <c r="V40" s="181"/>
      <c r="X40" s="30"/>
      <c r="Y40" s="30"/>
      <c r="Z40" s="181"/>
      <c r="AH40" s="30"/>
    </row>
    <row r="41" spans="1:34" x14ac:dyDescent="0.2">
      <c r="N41" s="23"/>
      <c r="O41" s="23"/>
      <c r="V41" s="181"/>
      <c r="X41" s="30"/>
      <c r="Y41" s="30"/>
      <c r="Z41" s="181"/>
      <c r="AH41" s="30"/>
    </row>
    <row r="42" spans="1:34" x14ac:dyDescent="0.2">
      <c r="N42" s="23"/>
      <c r="O42" s="23"/>
      <c r="V42" s="181"/>
      <c r="X42" s="30"/>
      <c r="Y42" s="30"/>
      <c r="Z42" s="181"/>
      <c r="AH42" s="30"/>
    </row>
    <row r="43" spans="1:34" x14ac:dyDescent="0.2">
      <c r="N43" s="23"/>
      <c r="O43" s="23"/>
      <c r="V43" s="181"/>
      <c r="X43" s="30"/>
      <c r="Y43" s="30"/>
      <c r="Z43" s="181"/>
      <c r="AH43" s="30"/>
    </row>
    <row r="44" spans="1:34" x14ac:dyDescent="0.2">
      <c r="V44" s="181"/>
      <c r="X44" s="30"/>
      <c r="Y44" s="30"/>
      <c r="Z44" s="181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sortState xmlns:xlrd2="http://schemas.microsoft.com/office/spreadsheetml/2017/richdata2" ref="A13:AH20">
    <sortCondition descending="1" ref="N13:N20"/>
  </sortState>
  <conditionalFormatting sqref="D39:J39">
    <cfRule type="cellIs" dxfId="32" priority="1" operator="lessThan">
      <formula>0</formula>
    </cfRule>
  </conditionalFormatting>
  <conditionalFormatting sqref="W28">
    <cfRule type="cellIs" dxfId="31" priority="2" operator="greaterThan">
      <formula>1</formula>
    </cfRule>
  </conditionalFormatting>
  <conditionalFormatting sqref="AA28:AG28">
    <cfRule type="cellIs" dxfId="30" priority="3" operator="greaterThan">
      <formula>1</formula>
    </cfRule>
  </conditionalFormatting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6">
    <tabColor theme="7" tint="-0.249977111117893"/>
  </sheetPr>
  <dimension ref="A1:AN64"/>
  <sheetViews>
    <sheetView showGridLines="0" zoomScale="85" zoomScaleNormal="85"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defaultColWidth="8.7109375" defaultRowHeight="12.75" x14ac:dyDescent="0.2"/>
  <cols>
    <col min="1" max="1" width="22.5703125" style="17" customWidth="1"/>
    <col min="2" max="3" width="8.7109375" style="18"/>
    <col min="4" max="13" width="8.7109375" style="23"/>
    <col min="14" max="15" width="8.7109375" style="18"/>
    <col min="16" max="16" width="4.7109375" style="18" customWidth="1"/>
    <col min="17" max="18" width="8.7109375" style="26"/>
    <col min="19" max="19" width="8.7109375" style="23"/>
    <col min="20" max="21" width="8.7109375" style="26"/>
    <col min="22" max="23" width="8.7109375" style="25"/>
    <col min="24" max="25" width="8.7109375" style="26"/>
    <col min="26" max="26" width="8.7109375" style="25"/>
    <col min="27" max="27" width="8.7109375" style="18"/>
    <col min="28" max="28" width="0" style="18" hidden="1" customWidth="1"/>
    <col min="29" max="29" width="8.7109375" style="26"/>
    <col min="30" max="30" width="4.7109375" style="17" customWidth="1"/>
    <col min="31" max="32" width="8.7109375" style="18"/>
    <col min="33" max="16384" width="8.7109375" style="17"/>
  </cols>
  <sheetData>
    <row r="1" spans="1:40" s="15" customFormat="1" ht="25.5" customHeight="1" x14ac:dyDescent="0.2">
      <c r="A1" s="15" t="s">
        <v>0</v>
      </c>
      <c r="B1" s="15" t="s">
        <v>8</v>
      </c>
      <c r="C1" s="15" t="s">
        <v>122</v>
      </c>
      <c r="D1" s="159" t="s">
        <v>210</v>
      </c>
      <c r="E1" s="159" t="s">
        <v>1</v>
      </c>
      <c r="F1" s="159" t="s">
        <v>213</v>
      </c>
      <c r="G1" s="159" t="s">
        <v>228</v>
      </c>
      <c r="H1" s="159" t="s">
        <v>2</v>
      </c>
      <c r="I1" s="159" t="s">
        <v>229</v>
      </c>
      <c r="J1" s="159" t="s">
        <v>217</v>
      </c>
      <c r="K1" s="159" t="s">
        <v>230</v>
      </c>
      <c r="L1" s="159" t="s">
        <v>219</v>
      </c>
      <c r="M1" s="159" t="s">
        <v>4</v>
      </c>
      <c r="N1" s="159" t="s">
        <v>223</v>
      </c>
      <c r="O1" s="159" t="s">
        <v>231</v>
      </c>
      <c r="Q1" s="160" t="s">
        <v>281</v>
      </c>
      <c r="R1" s="133" t="s">
        <v>232</v>
      </c>
      <c r="S1" s="134" t="s">
        <v>451</v>
      </c>
      <c r="T1" s="133" t="s">
        <v>205</v>
      </c>
      <c r="U1" s="133" t="s">
        <v>209</v>
      </c>
      <c r="V1" s="135" t="s">
        <v>280</v>
      </c>
      <c r="W1" s="161" t="s">
        <v>282</v>
      </c>
      <c r="X1" s="133" t="s">
        <v>233</v>
      </c>
      <c r="Y1" s="179" t="s">
        <v>234</v>
      </c>
      <c r="Z1" s="135" t="s">
        <v>235</v>
      </c>
      <c r="AA1" s="160" t="s">
        <v>236</v>
      </c>
      <c r="AB1" s="160" t="s">
        <v>237</v>
      </c>
      <c r="AC1" s="10" t="s">
        <v>262</v>
      </c>
      <c r="AE1" s="136" t="s">
        <v>283</v>
      </c>
      <c r="AF1" s="137" t="s">
        <v>284</v>
      </c>
      <c r="AG1" s="136" t="s">
        <v>285</v>
      </c>
      <c r="AH1" s="136" t="s">
        <v>450</v>
      </c>
      <c r="AN1" s="15" t="s">
        <v>108</v>
      </c>
    </row>
    <row r="2" spans="1:40" x14ac:dyDescent="0.2">
      <c r="A2" s="17" t="s">
        <v>70</v>
      </c>
      <c r="B2" s="18" t="s">
        <v>9</v>
      </c>
      <c r="C2" s="18">
        <f>VLOOKUP($AN$1,DST!C:D,2,FALSE)</f>
        <v>12</v>
      </c>
      <c r="D2" s="146">
        <f>D$32*Q2</f>
        <v>555.98179999999991</v>
      </c>
      <c r="E2" s="146">
        <f>D2*R2</f>
        <v>370.27865528890595</v>
      </c>
      <c r="F2" s="146">
        <f>E2*S2</f>
        <v>4006.9905147315835</v>
      </c>
      <c r="G2" s="146">
        <f>D2*T2</f>
        <v>25.274877634063259</v>
      </c>
      <c r="H2" s="146">
        <f>E2*U2</f>
        <v>6.4497544319124875</v>
      </c>
      <c r="I2" s="146">
        <f>D$35*W2</f>
        <v>21.989044000000003</v>
      </c>
      <c r="J2" s="146">
        <f>I2*V2</f>
        <v>62.031989982224346</v>
      </c>
      <c r="K2" s="146">
        <f>I2*X2</f>
        <v>0.21989044000000005</v>
      </c>
      <c r="L2" s="147"/>
      <c r="M2" s="147"/>
      <c r="N2" s="147"/>
      <c r="O2" s="147"/>
      <c r="Q2" s="150">
        <f>(AE2/SUM(AE$2:AE$25))</f>
        <v>0.95</v>
      </c>
      <c r="R2" s="19">
        <v>0.66599060488833628</v>
      </c>
      <c r="S2" s="107">
        <v>10.82155413901774</v>
      </c>
      <c r="T2" s="19">
        <v>4.5459901086804033E-2</v>
      </c>
      <c r="U2" s="19">
        <v>1.7418650359092763E-2</v>
      </c>
      <c r="V2" s="107">
        <v>2.8210407865946485</v>
      </c>
      <c r="W2" s="150">
        <f>(AF2/SUM(AF$2:AF$25))*0.98</f>
        <v>4.9000000000000002E-2</v>
      </c>
      <c r="X2" s="19">
        <v>0.01</v>
      </c>
      <c r="Y2" s="21"/>
      <c r="Z2" s="22"/>
      <c r="AA2" s="1"/>
      <c r="AB2" s="1"/>
      <c r="AC2" s="1"/>
      <c r="AE2" s="19">
        <v>0.95</v>
      </c>
      <c r="AF2" s="19">
        <v>0.05</v>
      </c>
      <c r="AG2" s="168"/>
      <c r="AH2" s="168"/>
    </row>
    <row r="3" spans="1:40" x14ac:dyDescent="0.2">
      <c r="A3" s="17" t="s">
        <v>684</v>
      </c>
      <c r="B3" s="18" t="s">
        <v>9</v>
      </c>
      <c r="C3" s="18">
        <f>VLOOKUP($AN$1,DST!C:D,2,FALSE)</f>
        <v>12</v>
      </c>
      <c r="D3" s="146">
        <f>D$32*Q3</f>
        <v>11.704879999999999</v>
      </c>
      <c r="E3" s="146">
        <f t="shared" ref="E3:F4" si="0">D3*R3</f>
        <v>7.3389597599999998</v>
      </c>
      <c r="F3" s="146">
        <f t="shared" si="0"/>
        <v>80.068050981599995</v>
      </c>
      <c r="G3" s="146">
        <f t="shared" ref="G3:G4" si="1">D3*T3</f>
        <v>0.47990008000000001</v>
      </c>
      <c r="H3" s="146">
        <f t="shared" ref="H3:H4" si="2">E3*U3</f>
        <v>0.14677919519999999</v>
      </c>
      <c r="I3" s="146">
        <f>D$35*W3</f>
        <v>2.1989044</v>
      </c>
      <c r="J3" s="146">
        <f>I3*V3</f>
        <v>6.6406912880000002</v>
      </c>
      <c r="K3" s="146">
        <f>I3*X3</f>
        <v>4.3978087999999999E-2</v>
      </c>
      <c r="L3" s="147">
        <v>32.190800000000003</v>
      </c>
      <c r="M3" s="147">
        <v>23.66</v>
      </c>
      <c r="N3" s="147">
        <v>258.72550000000001</v>
      </c>
      <c r="O3" s="147">
        <v>2.3847999999999998</v>
      </c>
      <c r="Q3" s="150">
        <f>(AE3/SUM(AE$2:AE$25))</f>
        <v>0.02</v>
      </c>
      <c r="R3" s="19">
        <v>0.627</v>
      </c>
      <c r="S3" s="107">
        <v>10.91</v>
      </c>
      <c r="T3" s="19">
        <v>4.1000000000000002E-2</v>
      </c>
      <c r="U3" s="19">
        <v>0.02</v>
      </c>
      <c r="V3" s="107">
        <v>3.02</v>
      </c>
      <c r="W3" s="150">
        <f>(AF3/SUM(AF$2:AF$25))*0.98</f>
        <v>4.8999999999999998E-3</v>
      </c>
      <c r="X3" s="19">
        <v>0.02</v>
      </c>
      <c r="Y3" s="21"/>
      <c r="Z3" s="22"/>
      <c r="AA3" s="1"/>
      <c r="AB3" s="1"/>
      <c r="AC3" s="1"/>
      <c r="AE3" s="19">
        <v>0.02</v>
      </c>
      <c r="AF3" s="19">
        <v>5.0000000000000001E-3</v>
      </c>
      <c r="AG3" s="168"/>
      <c r="AH3" s="168"/>
    </row>
    <row r="4" spans="1:40" x14ac:dyDescent="0.2">
      <c r="A4" s="42"/>
      <c r="B4" s="18" t="s">
        <v>9</v>
      </c>
      <c r="C4" s="18">
        <f>VLOOKUP($AN$1,DST!C:D,2,FALSE)</f>
        <v>12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(AF4/SUM(AF$2:AF$25))*0.98</f>
        <v>0</v>
      </c>
      <c r="X4" s="19">
        <v>0</v>
      </c>
      <c r="Y4" s="21"/>
      <c r="Z4" s="22"/>
      <c r="AA4" s="1"/>
      <c r="AB4" s="1"/>
      <c r="AC4" s="1"/>
      <c r="AE4" s="19">
        <v>0</v>
      </c>
      <c r="AF4" s="19">
        <v>0</v>
      </c>
      <c r="AG4" s="168"/>
      <c r="AH4" s="168"/>
    </row>
    <row r="5" spans="1:40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40" x14ac:dyDescent="0.2">
      <c r="A6" s="17" t="s">
        <v>79</v>
      </c>
      <c r="B6" s="18" t="s">
        <v>207</v>
      </c>
      <c r="C6" s="18">
        <f>VLOOKUP($AN$1,DST!C:D,2,FALSE)</f>
        <v>12</v>
      </c>
      <c r="D6" s="147"/>
      <c r="E6" s="147"/>
      <c r="F6" s="147"/>
      <c r="G6" s="147"/>
      <c r="H6" s="147"/>
      <c r="I6" s="146">
        <f t="shared" ref="I6:I11" si="3">D$35*W6</f>
        <v>197.46161512000003</v>
      </c>
      <c r="J6" s="146">
        <f t="shared" ref="J6:J11" si="4">I6*V6</f>
        <v>831.3133996552001</v>
      </c>
      <c r="K6" s="146">
        <f t="shared" ref="K6:K11" si="5">I6*X6</f>
        <v>6.1213100687200006</v>
      </c>
      <c r="L6" s="146">
        <f t="shared" ref="L6:L11" si="6">((D$2+D$3+D$4)*AA6)</f>
        <v>74.548614817599983</v>
      </c>
      <c r="M6" s="146">
        <f t="shared" ref="M6:N11" si="7">L6*Y6</f>
        <v>61.129864150431985</v>
      </c>
      <c r="N6" s="146">
        <f t="shared" si="7"/>
        <v>441.35761916611892</v>
      </c>
      <c r="O6" s="146">
        <f t="shared" ref="O6:O11" si="8">M6*AH6</f>
        <v>2.3229348377164154</v>
      </c>
      <c r="Q6" s="13"/>
      <c r="R6" s="139"/>
      <c r="S6" s="138"/>
      <c r="T6" s="139"/>
      <c r="U6" s="139"/>
      <c r="V6" s="107">
        <v>4.21</v>
      </c>
      <c r="W6" s="150">
        <f t="shared" ref="W6:W11" si="9">(AF6/SUM(AF$2:AF$25))*0.98</f>
        <v>0.44002000000000002</v>
      </c>
      <c r="X6" s="19">
        <v>3.1E-2</v>
      </c>
      <c r="Y6" s="19">
        <v>0.82</v>
      </c>
      <c r="Z6" s="20">
        <v>7.22</v>
      </c>
      <c r="AA6" s="150">
        <f t="shared" ref="AA6:AA11" si="10">(AG6/SUM(AG$6:AG$25))*0.98</f>
        <v>0.13131999999999999</v>
      </c>
      <c r="AB6" s="7">
        <v>0.19720064693653186</v>
      </c>
      <c r="AC6" s="150">
        <f t="shared" ref="AC6:AC11" si="11">(AH6/SUM(AH$6:AH$25))*0.98</f>
        <v>4.3294803021533573E-2</v>
      </c>
      <c r="AE6" s="168"/>
      <c r="AF6" s="19">
        <v>0.44900000000000001</v>
      </c>
      <c r="AG6" s="19">
        <v>0.13400000000000001</v>
      </c>
      <c r="AH6" s="19">
        <v>3.7999999999999999E-2</v>
      </c>
    </row>
    <row r="7" spans="1:40" x14ac:dyDescent="0.2">
      <c r="A7" s="17" t="s">
        <v>507</v>
      </c>
      <c r="B7" s="18" t="s">
        <v>207</v>
      </c>
      <c r="C7" s="18">
        <f>VLOOKUP($AN$1,DST!C:D,2,FALSE)</f>
        <v>12</v>
      </c>
      <c r="D7" s="147"/>
      <c r="E7" s="147"/>
      <c r="F7" s="147"/>
      <c r="G7" s="147"/>
      <c r="H7" s="147"/>
      <c r="I7" s="146">
        <f t="shared" si="3"/>
        <v>36.941593920000003</v>
      </c>
      <c r="J7" s="146">
        <f t="shared" si="4"/>
        <v>149.24403943680002</v>
      </c>
      <c r="K7" s="146">
        <f t="shared" si="5"/>
        <v>1.0713062236800002</v>
      </c>
      <c r="L7" s="146">
        <f t="shared" si="6"/>
        <v>27.816647319999998</v>
      </c>
      <c r="M7" s="146">
        <f t="shared" si="7"/>
        <v>21.001568726599999</v>
      </c>
      <c r="N7" s="146">
        <f t="shared" si="7"/>
        <v>142.81066734087997</v>
      </c>
      <c r="O7" s="146">
        <f t="shared" si="8"/>
        <v>0.71405333670439997</v>
      </c>
      <c r="Q7" s="13"/>
      <c r="R7" s="139"/>
      <c r="S7" s="138"/>
      <c r="T7" s="139"/>
      <c r="U7" s="139"/>
      <c r="V7" s="107">
        <v>4.04</v>
      </c>
      <c r="W7" s="150">
        <f t="shared" si="9"/>
        <v>8.2320000000000004E-2</v>
      </c>
      <c r="X7" s="19">
        <v>2.9000000000000001E-2</v>
      </c>
      <c r="Y7" s="19">
        <v>0.755</v>
      </c>
      <c r="Z7" s="20">
        <v>6.8</v>
      </c>
      <c r="AA7" s="150">
        <f t="shared" si="10"/>
        <v>4.9000000000000002E-2</v>
      </c>
      <c r="AB7" s="7">
        <v>1.6265863442866128E-2</v>
      </c>
      <c r="AC7" s="150">
        <f t="shared" si="11"/>
        <v>3.8737455335056362E-2</v>
      </c>
      <c r="AE7" s="168"/>
      <c r="AF7" s="19">
        <v>8.4000000000000005E-2</v>
      </c>
      <c r="AG7" s="19">
        <v>0.05</v>
      </c>
      <c r="AH7" s="19">
        <v>3.4000000000000002E-2</v>
      </c>
    </row>
    <row r="8" spans="1:40" x14ac:dyDescent="0.2">
      <c r="A8" s="17" t="s">
        <v>165</v>
      </c>
      <c r="B8" s="18" t="s">
        <v>207</v>
      </c>
      <c r="C8" s="18">
        <f>VLOOKUP($AN$1,DST!C:D,2,FALSE)</f>
        <v>12</v>
      </c>
      <c r="D8" s="147"/>
      <c r="E8" s="147"/>
      <c r="F8" s="147"/>
      <c r="G8" s="147"/>
      <c r="H8" s="147"/>
      <c r="I8" s="146">
        <f t="shared" si="3"/>
        <v>125.3375508</v>
      </c>
      <c r="J8" s="146">
        <f t="shared" si="4"/>
        <v>501.35020320000001</v>
      </c>
      <c r="K8" s="146">
        <f t="shared" si="5"/>
        <v>3.8854640748000002</v>
      </c>
      <c r="L8" s="146">
        <f t="shared" si="6"/>
        <v>8.3449941959999983</v>
      </c>
      <c r="M8" s="146">
        <f t="shared" si="7"/>
        <v>6.6175803974279992</v>
      </c>
      <c r="N8" s="146">
        <f t="shared" si="7"/>
        <v>39.308427560722315</v>
      </c>
      <c r="O8" s="146">
        <f t="shared" si="8"/>
        <v>0.19852741192283996</v>
      </c>
      <c r="Q8" s="13"/>
      <c r="R8" s="139"/>
      <c r="S8" s="138"/>
      <c r="T8" s="139"/>
      <c r="U8" s="139"/>
      <c r="V8" s="107">
        <v>4</v>
      </c>
      <c r="W8" s="150">
        <f t="shared" si="9"/>
        <v>0.27929999999999999</v>
      </c>
      <c r="X8" s="19">
        <v>3.1E-2</v>
      </c>
      <c r="Y8" s="19">
        <v>0.79300000000000004</v>
      </c>
      <c r="Z8" s="20">
        <v>5.94</v>
      </c>
      <c r="AA8" s="150">
        <f t="shared" si="10"/>
        <v>1.47E-2</v>
      </c>
      <c r="AB8" s="7">
        <v>6.3834614997554232E-2</v>
      </c>
      <c r="AC8" s="150">
        <f t="shared" si="11"/>
        <v>3.4180107648579136E-2</v>
      </c>
      <c r="AE8" s="168"/>
      <c r="AF8" s="19">
        <v>0.28499999999999998</v>
      </c>
      <c r="AG8" s="19">
        <v>1.4999999999999999E-2</v>
      </c>
      <c r="AH8" s="19">
        <v>0.03</v>
      </c>
    </row>
    <row r="9" spans="1:40" x14ac:dyDescent="0.2">
      <c r="A9" s="17" t="s">
        <v>693</v>
      </c>
      <c r="B9" s="18" t="s">
        <v>207</v>
      </c>
      <c r="C9" s="18">
        <f>VLOOKUP($AN$1,DST!C:D,2,FALSE)</f>
        <v>12</v>
      </c>
      <c r="D9" s="147"/>
      <c r="E9" s="147"/>
      <c r="F9" s="147"/>
      <c r="G9" s="147"/>
      <c r="H9" s="147"/>
      <c r="I9" s="146">
        <f t="shared" si="3"/>
        <v>5.2773705600000005</v>
      </c>
      <c r="J9" s="146">
        <f t="shared" si="4"/>
        <v>21.162255945600002</v>
      </c>
      <c r="K9" s="146">
        <f t="shared" si="5"/>
        <v>0.14776637568000001</v>
      </c>
      <c r="L9" s="146">
        <f t="shared" si="6"/>
        <v>6.1196624103999993</v>
      </c>
      <c r="M9" s="146">
        <f t="shared" si="7"/>
        <v>4.5652681581583998</v>
      </c>
      <c r="N9" s="146">
        <f t="shared" si="7"/>
        <v>28.259009899000496</v>
      </c>
      <c r="O9" s="146">
        <f t="shared" si="8"/>
        <v>0.13695804474475198</v>
      </c>
      <c r="Q9" s="13"/>
      <c r="R9" s="139"/>
      <c r="S9" s="138"/>
      <c r="T9" s="139"/>
      <c r="U9" s="139"/>
      <c r="V9" s="107">
        <v>4.01</v>
      </c>
      <c r="W9" s="150">
        <f t="shared" si="9"/>
        <v>1.176E-2</v>
      </c>
      <c r="X9" s="19">
        <v>2.8000000000000001E-2</v>
      </c>
      <c r="Y9" s="19">
        <v>0.746</v>
      </c>
      <c r="Z9" s="20">
        <v>6.19</v>
      </c>
      <c r="AA9" s="150">
        <f t="shared" si="10"/>
        <v>1.078E-2</v>
      </c>
      <c r="AB9" s="7">
        <v>3.0139782715548381E-3</v>
      </c>
      <c r="AC9" s="150">
        <f t="shared" si="11"/>
        <v>3.4180107648579136E-2</v>
      </c>
      <c r="AE9" s="168"/>
      <c r="AF9" s="19">
        <v>1.2E-2</v>
      </c>
      <c r="AG9" s="19">
        <v>1.0999999999999999E-2</v>
      </c>
      <c r="AH9" s="19">
        <v>0.03</v>
      </c>
    </row>
    <row r="10" spans="1:40" x14ac:dyDescent="0.2">
      <c r="B10" s="18" t="s">
        <v>207</v>
      </c>
      <c r="C10" s="18">
        <f>VLOOKUP($AN$1,DST!C:D,2,FALSE)</f>
        <v>12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4"/>
        <v>0</v>
      </c>
      <c r="K10" s="146">
        <f t="shared" si="5"/>
        <v>0</v>
      </c>
      <c r="L10" s="146">
        <f t="shared" si="6"/>
        <v>0</v>
      </c>
      <c r="M10" s="146">
        <f t="shared" si="7"/>
        <v>0</v>
      </c>
      <c r="N10" s="146">
        <f t="shared" si="7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9"/>
        <v>0</v>
      </c>
      <c r="X10" s="19">
        <v>0</v>
      </c>
      <c r="Y10" s="19">
        <v>0</v>
      </c>
      <c r="Z10" s="20">
        <v>0</v>
      </c>
      <c r="AA10" s="150">
        <f t="shared" si="10"/>
        <v>0</v>
      </c>
      <c r="AB10" s="7">
        <v>7.876825306294152E-3</v>
      </c>
      <c r="AC10" s="150">
        <f t="shared" si="11"/>
        <v>0</v>
      </c>
      <c r="AE10" s="168"/>
      <c r="AF10" s="19">
        <v>0</v>
      </c>
      <c r="AG10" s="19">
        <v>0</v>
      </c>
      <c r="AH10" s="19">
        <v>0</v>
      </c>
    </row>
    <row r="11" spans="1:40" x14ac:dyDescent="0.2">
      <c r="B11" s="18" t="s">
        <v>207</v>
      </c>
      <c r="C11" s="18">
        <f>VLOOKUP($AN$1,DST!C:D,2,FALSE)</f>
        <v>12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4"/>
        <v>0</v>
      </c>
      <c r="K11" s="146">
        <f t="shared" si="5"/>
        <v>0</v>
      </c>
      <c r="L11" s="146">
        <f t="shared" si="6"/>
        <v>0</v>
      </c>
      <c r="M11" s="146">
        <f t="shared" si="7"/>
        <v>0</v>
      </c>
      <c r="N11" s="146">
        <f t="shared" si="7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9"/>
        <v>0</v>
      </c>
      <c r="X11" s="19">
        <v>0</v>
      </c>
      <c r="Y11" s="19">
        <v>0</v>
      </c>
      <c r="Z11" s="20">
        <v>0</v>
      </c>
      <c r="AA11" s="150">
        <f t="shared" si="10"/>
        <v>0</v>
      </c>
      <c r="AB11" s="7">
        <v>0</v>
      </c>
      <c r="AC11" s="150">
        <f t="shared" si="11"/>
        <v>0</v>
      </c>
      <c r="AE11" s="168"/>
      <c r="AF11" s="19">
        <v>0</v>
      </c>
      <c r="AG11" s="19">
        <v>0</v>
      </c>
      <c r="AH11" s="19">
        <v>0</v>
      </c>
    </row>
    <row r="12" spans="1:40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40" x14ac:dyDescent="0.2">
      <c r="A13" s="17" t="s">
        <v>399</v>
      </c>
      <c r="B13" s="18" t="s">
        <v>208</v>
      </c>
      <c r="C13" s="18">
        <f>VLOOKUP($AN$1,DST!C:D,2,FALSE)</f>
        <v>12</v>
      </c>
      <c r="D13" s="147"/>
      <c r="E13" s="147"/>
      <c r="F13" s="147"/>
      <c r="G13" s="147"/>
      <c r="H13" s="147"/>
      <c r="I13" s="146">
        <f t="shared" ref="I13:I20" si="12">D$35*W13</f>
        <v>0</v>
      </c>
      <c r="J13" s="146">
        <f t="shared" ref="J13:J20" si="13">I13*V13</f>
        <v>0</v>
      </c>
      <c r="K13" s="146">
        <f t="shared" ref="K13:K20" si="14">I13*X13</f>
        <v>0</v>
      </c>
      <c r="L13" s="146">
        <f t="shared" ref="L13:L20" si="15">((D$2+D$3+D$4)*AA13)</f>
        <v>134.07624008239998</v>
      </c>
      <c r="M13" s="146">
        <f t="shared" ref="M13:N20" si="16">L13*Y13</f>
        <v>84.065802531664787</v>
      </c>
      <c r="N13" s="146">
        <f t="shared" si="16"/>
        <v>1120.5971477470916</v>
      </c>
      <c r="O13" s="146">
        <f t="shared" ref="O13:O20" si="17">M13*AH13</f>
        <v>6.2370178417112587</v>
      </c>
      <c r="Q13" s="13"/>
      <c r="R13" s="139"/>
      <c r="S13" s="138"/>
      <c r="T13" s="139"/>
      <c r="U13" s="139"/>
      <c r="V13" s="107">
        <v>5.0199999999999996</v>
      </c>
      <c r="W13" s="150">
        <f t="shared" ref="W13:W20" si="18">(AF13/SUM(AF$2:AF$25))*0.98</f>
        <v>0</v>
      </c>
      <c r="X13" s="19">
        <v>0</v>
      </c>
      <c r="Y13" s="19">
        <v>0.627</v>
      </c>
      <c r="Z13" s="20">
        <v>13.33</v>
      </c>
      <c r="AA13" s="150">
        <f t="shared" ref="AA13:AA20" si="19">(AG13/SUM(AG$6:AG$25))*0.98</f>
        <v>0.23618</v>
      </c>
      <c r="AB13" s="7">
        <v>0.26142915529951832</v>
      </c>
      <c r="AC13" s="150">
        <f t="shared" ref="AC13:AC20" si="20">(AH13/SUM(AH$6:AH$25))*0.98</f>
        <v>8.4529790876419306E-2</v>
      </c>
      <c r="AE13" s="168"/>
      <c r="AF13" s="19">
        <v>0</v>
      </c>
      <c r="AG13" s="19">
        <v>0.24099999999999999</v>
      </c>
      <c r="AH13" s="19">
        <v>7.4192093025722106E-2</v>
      </c>
    </row>
    <row r="14" spans="1:40" x14ac:dyDescent="0.2">
      <c r="A14" s="17" t="s">
        <v>468</v>
      </c>
      <c r="B14" s="18" t="s">
        <v>208</v>
      </c>
      <c r="C14" s="18">
        <f>VLOOKUP($AN$1,DST!C:D,2,FALSE)</f>
        <v>12</v>
      </c>
      <c r="D14" s="147"/>
      <c r="E14" s="147"/>
      <c r="F14" s="147"/>
      <c r="G14" s="147"/>
      <c r="H14" s="147"/>
      <c r="I14" s="146">
        <f t="shared" si="12"/>
        <v>0</v>
      </c>
      <c r="J14" s="146">
        <f t="shared" si="13"/>
        <v>0</v>
      </c>
      <c r="K14" s="146">
        <f t="shared" si="14"/>
        <v>0</v>
      </c>
      <c r="L14" s="146">
        <f t="shared" si="15"/>
        <v>99.583597405599974</v>
      </c>
      <c r="M14" s="146">
        <f t="shared" si="16"/>
        <v>60.945161612227182</v>
      </c>
      <c r="N14" s="146">
        <f t="shared" si="16"/>
        <v>862.98348842913686</v>
      </c>
      <c r="O14" s="146">
        <f t="shared" si="17"/>
        <v>4.9733005590957413</v>
      </c>
      <c r="Q14" s="13"/>
      <c r="R14" s="139"/>
      <c r="S14" s="138"/>
      <c r="T14" s="139"/>
      <c r="U14" s="139"/>
      <c r="V14" s="107">
        <v>5.0199999999999996</v>
      </c>
      <c r="W14" s="150">
        <f t="shared" si="18"/>
        <v>0</v>
      </c>
      <c r="X14" s="19">
        <v>0</v>
      </c>
      <c r="Y14" s="19">
        <v>0.61199999999999999</v>
      </c>
      <c r="Z14" s="20">
        <v>14.16</v>
      </c>
      <c r="AA14" s="150">
        <f t="shared" si="19"/>
        <v>0.17541999999999999</v>
      </c>
      <c r="AB14" s="7">
        <v>0.12797470258530405</v>
      </c>
      <c r="AC14" s="150">
        <f t="shared" si="20"/>
        <v>9.2973171280440234E-2</v>
      </c>
      <c r="AE14" s="168"/>
      <c r="AF14" s="19">
        <v>0</v>
      </c>
      <c r="AG14" s="19">
        <v>0.17899999999999999</v>
      </c>
      <c r="AH14" s="19">
        <v>8.1602877530116649E-2</v>
      </c>
    </row>
    <row r="15" spans="1:40" x14ac:dyDescent="0.2">
      <c r="A15" s="17" t="s">
        <v>196</v>
      </c>
      <c r="B15" s="18" t="s">
        <v>208</v>
      </c>
      <c r="C15" s="18">
        <f>VLOOKUP($AN$1,DST!C:D,2,FALSE)</f>
        <v>12</v>
      </c>
      <c r="D15" s="147"/>
      <c r="E15" s="147"/>
      <c r="F15" s="147"/>
      <c r="G15" s="147"/>
      <c r="H15" s="147"/>
      <c r="I15" s="146">
        <f t="shared" si="12"/>
        <v>0</v>
      </c>
      <c r="J15" s="146">
        <f t="shared" si="13"/>
        <v>0</v>
      </c>
      <c r="K15" s="146">
        <f t="shared" si="14"/>
        <v>0</v>
      </c>
      <c r="L15" s="146">
        <f t="shared" si="15"/>
        <v>50.06996517599999</v>
      </c>
      <c r="M15" s="146">
        <f t="shared" si="16"/>
        <v>30.041979105599989</v>
      </c>
      <c r="N15" s="146">
        <f t="shared" si="16"/>
        <v>335.26848681849589</v>
      </c>
      <c r="O15" s="146">
        <f t="shared" si="17"/>
        <v>2.4312429088079526</v>
      </c>
      <c r="Q15" s="13"/>
      <c r="R15" s="139"/>
      <c r="S15" s="138"/>
      <c r="T15" s="139"/>
      <c r="U15" s="139"/>
      <c r="V15" s="107">
        <v>5.0199999999999996</v>
      </c>
      <c r="W15" s="150">
        <f t="shared" si="18"/>
        <v>0</v>
      </c>
      <c r="X15" s="19">
        <v>0</v>
      </c>
      <c r="Y15" s="19">
        <v>0.59999999999999987</v>
      </c>
      <c r="Z15" s="20">
        <v>11.16</v>
      </c>
      <c r="AA15" s="150">
        <f t="shared" si="19"/>
        <v>8.8200000000000001E-2</v>
      </c>
      <c r="AB15" s="7">
        <v>6.275169059917024E-2</v>
      </c>
      <c r="AC15" s="150">
        <f t="shared" si="20"/>
        <v>9.2204471672562766E-2</v>
      </c>
      <c r="AE15" s="168"/>
      <c r="AF15" s="19">
        <v>0</v>
      </c>
      <c r="AG15" s="19">
        <v>0.09</v>
      </c>
      <c r="AH15" s="19">
        <v>8.0928187196387322E-2</v>
      </c>
    </row>
    <row r="16" spans="1:40" x14ac:dyDescent="0.2">
      <c r="A16" s="17" t="s">
        <v>508</v>
      </c>
      <c r="B16" s="18" t="s">
        <v>208</v>
      </c>
      <c r="C16" s="18">
        <f>VLOOKUP($AN$1,DST!C:D,2,FALSE)</f>
        <v>12</v>
      </c>
      <c r="D16" s="147"/>
      <c r="E16" s="147"/>
      <c r="F16" s="147"/>
      <c r="G16" s="147"/>
      <c r="H16" s="147"/>
      <c r="I16" s="146">
        <f t="shared" si="12"/>
        <v>0</v>
      </c>
      <c r="J16" s="146">
        <f t="shared" si="13"/>
        <v>0</v>
      </c>
      <c r="K16" s="146">
        <f t="shared" si="14"/>
        <v>0</v>
      </c>
      <c r="L16" s="146">
        <f t="shared" si="15"/>
        <v>32.267310891199998</v>
      </c>
      <c r="M16" s="146">
        <f t="shared" si="16"/>
        <v>19.231317291155197</v>
      </c>
      <c r="N16" s="146">
        <f t="shared" si="16"/>
        <v>256.73808583692187</v>
      </c>
      <c r="O16" s="146">
        <f t="shared" si="17"/>
        <v>1.7500498734951229</v>
      </c>
      <c r="Q16" s="13"/>
      <c r="R16" s="139"/>
      <c r="S16" s="138"/>
      <c r="T16" s="139"/>
      <c r="U16" s="139"/>
      <c r="V16" s="107">
        <v>5.0199999999999996</v>
      </c>
      <c r="W16" s="150">
        <f t="shared" si="18"/>
        <v>0</v>
      </c>
      <c r="X16" s="19">
        <v>0</v>
      </c>
      <c r="Y16" s="19">
        <v>0.59599999999999997</v>
      </c>
      <c r="Z16" s="20">
        <v>13.35</v>
      </c>
      <c r="AA16" s="150">
        <f t="shared" si="19"/>
        <v>5.6840000000000002E-2</v>
      </c>
      <c r="AB16" s="7">
        <v>3.8004297463698711E-2</v>
      </c>
      <c r="AC16" s="150">
        <f t="shared" si="20"/>
        <v>0.10367965986735672</v>
      </c>
      <c r="AE16" s="168"/>
      <c r="AF16" s="19">
        <v>0</v>
      </c>
      <c r="AG16" s="19">
        <v>5.8000000000000003E-2</v>
      </c>
      <c r="AH16" s="19">
        <v>9.0999999999999998E-2</v>
      </c>
    </row>
    <row r="17" spans="1:34" x14ac:dyDescent="0.2">
      <c r="A17" s="17" t="s">
        <v>619</v>
      </c>
      <c r="B17" s="18" t="s">
        <v>208</v>
      </c>
      <c r="C17" s="18">
        <f>VLOOKUP($AN$1,DST!C:D,2,FALSE)</f>
        <v>12</v>
      </c>
      <c r="D17" s="147"/>
      <c r="E17" s="147"/>
      <c r="F17" s="147"/>
      <c r="G17" s="147"/>
      <c r="H17" s="147"/>
      <c r="I17" s="146">
        <f t="shared" si="12"/>
        <v>0</v>
      </c>
      <c r="J17" s="146">
        <f t="shared" si="13"/>
        <v>0</v>
      </c>
      <c r="K17" s="146">
        <f t="shared" si="14"/>
        <v>0</v>
      </c>
      <c r="L17" s="146">
        <f t="shared" si="15"/>
        <v>13.908323659999999</v>
      </c>
      <c r="M17" s="146">
        <f t="shared" si="16"/>
        <v>8.8317855241000007</v>
      </c>
      <c r="N17" s="146">
        <f t="shared" si="16"/>
        <v>105.62815486823601</v>
      </c>
      <c r="O17" s="146">
        <f t="shared" si="17"/>
        <v>0.71006733593030069</v>
      </c>
      <c r="Q17" s="13"/>
      <c r="R17" s="139"/>
      <c r="S17" s="138"/>
      <c r="T17" s="139"/>
      <c r="U17" s="139"/>
      <c r="V17" s="107">
        <v>5.0199999999999996</v>
      </c>
      <c r="W17" s="150">
        <f t="shared" si="18"/>
        <v>0</v>
      </c>
      <c r="X17" s="19">
        <v>0</v>
      </c>
      <c r="Y17" s="19">
        <v>0.63500000000000012</v>
      </c>
      <c r="Z17" s="20">
        <v>11.96</v>
      </c>
      <c r="AA17" s="150">
        <f t="shared" si="19"/>
        <v>2.4500000000000001E-2</v>
      </c>
      <c r="AB17" s="7">
        <v>1.497626220331523E-2</v>
      </c>
      <c r="AC17" s="150">
        <f t="shared" si="20"/>
        <v>9.160162805739E-2</v>
      </c>
      <c r="AE17" s="168"/>
      <c r="AF17" s="19">
        <v>0</v>
      </c>
      <c r="AG17" s="19">
        <v>2.5000000000000001E-2</v>
      </c>
      <c r="AH17" s="19">
        <v>8.0399069247399979E-2</v>
      </c>
    </row>
    <row r="18" spans="1:34" x14ac:dyDescent="0.2">
      <c r="A18" s="17" t="s">
        <v>565</v>
      </c>
      <c r="B18" s="18" t="s">
        <v>208</v>
      </c>
      <c r="C18" s="18">
        <f>VLOOKUP($AN$1,DST!C:D,2,FALSE)</f>
        <v>12</v>
      </c>
      <c r="D18" s="147"/>
      <c r="E18" s="147"/>
      <c r="F18" s="147"/>
      <c r="G18" s="147"/>
      <c r="H18" s="147"/>
      <c r="I18" s="146">
        <f t="shared" si="12"/>
        <v>0</v>
      </c>
      <c r="J18" s="146">
        <f t="shared" si="13"/>
        <v>0</v>
      </c>
      <c r="K18" s="146">
        <f t="shared" si="14"/>
        <v>0</v>
      </c>
      <c r="L18" s="146">
        <f t="shared" si="15"/>
        <v>5.5633294639999988</v>
      </c>
      <c r="M18" s="146">
        <f t="shared" si="16"/>
        <v>3.3379976783999994</v>
      </c>
      <c r="N18" s="146">
        <f t="shared" si="16"/>
        <v>37.076642033546754</v>
      </c>
      <c r="O18" s="146">
        <f t="shared" si="17"/>
        <v>0.22592067160996321</v>
      </c>
      <c r="Q18" s="13"/>
      <c r="R18" s="139"/>
      <c r="S18" s="138"/>
      <c r="T18" s="139"/>
      <c r="U18" s="139"/>
      <c r="V18" s="107">
        <v>5.0199999999999996</v>
      </c>
      <c r="W18" s="150">
        <f t="shared" si="18"/>
        <v>0</v>
      </c>
      <c r="X18" s="19">
        <v>0</v>
      </c>
      <c r="Y18" s="19">
        <v>0.6</v>
      </c>
      <c r="Z18" s="20">
        <v>11.107449916297929</v>
      </c>
      <c r="AA18" s="150">
        <f t="shared" si="19"/>
        <v>9.7999999999999997E-3</v>
      </c>
      <c r="AB18" s="7">
        <v>2.8164098786400027E-2</v>
      </c>
      <c r="AC18" s="150">
        <f t="shared" si="20"/>
        <v>7.7112025627783132E-2</v>
      </c>
      <c r="AE18" s="168"/>
      <c r="AF18" s="19">
        <v>0</v>
      </c>
      <c r="AG18" s="19">
        <v>0.01</v>
      </c>
      <c r="AH18" s="19">
        <v>6.7681494529455044E-2</v>
      </c>
    </row>
    <row r="19" spans="1:34" x14ac:dyDescent="0.2">
      <c r="B19" s="18" t="s">
        <v>208</v>
      </c>
      <c r="C19" s="18">
        <f>VLOOKUP($AN$1,DST!C:D,2,FALSE)</f>
        <v>12</v>
      </c>
      <c r="D19" s="147"/>
      <c r="E19" s="147"/>
      <c r="F19" s="147"/>
      <c r="G19" s="147"/>
      <c r="H19" s="147"/>
      <c r="I19" s="146">
        <f t="shared" si="12"/>
        <v>0</v>
      </c>
      <c r="J19" s="146">
        <f t="shared" si="13"/>
        <v>0</v>
      </c>
      <c r="K19" s="146">
        <f t="shared" si="14"/>
        <v>0</v>
      </c>
      <c r="L19" s="146">
        <f t="shared" si="15"/>
        <v>0</v>
      </c>
      <c r="M19" s="146">
        <f t="shared" si="16"/>
        <v>0</v>
      </c>
      <c r="N19" s="146">
        <f t="shared" si="16"/>
        <v>0</v>
      </c>
      <c r="O19" s="146">
        <f t="shared" si="17"/>
        <v>0</v>
      </c>
      <c r="Q19" s="13"/>
      <c r="R19" s="139"/>
      <c r="S19" s="138"/>
      <c r="T19" s="139"/>
      <c r="U19" s="139"/>
      <c r="V19" s="107">
        <v>0</v>
      </c>
      <c r="W19" s="150">
        <f t="shared" si="18"/>
        <v>0</v>
      </c>
      <c r="X19" s="19">
        <v>0</v>
      </c>
      <c r="Y19" s="19">
        <v>0</v>
      </c>
      <c r="Z19" s="20">
        <v>0</v>
      </c>
      <c r="AA19" s="150">
        <f t="shared" si="19"/>
        <v>0</v>
      </c>
      <c r="AB19" s="7">
        <v>0</v>
      </c>
      <c r="AC19" s="150">
        <f t="shared" si="20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208</v>
      </c>
      <c r="C20" s="18">
        <f>VLOOKUP($AN$1,DST!C:D,2,FALSE)</f>
        <v>12</v>
      </c>
      <c r="D20" s="147"/>
      <c r="E20" s="147"/>
      <c r="F20" s="147"/>
      <c r="G20" s="147"/>
      <c r="H20" s="147"/>
      <c r="I20" s="146">
        <f t="shared" si="12"/>
        <v>0</v>
      </c>
      <c r="J20" s="146">
        <f t="shared" si="13"/>
        <v>0</v>
      </c>
      <c r="K20" s="146">
        <f t="shared" si="14"/>
        <v>0</v>
      </c>
      <c r="L20" s="146">
        <f t="shared" si="15"/>
        <v>0</v>
      </c>
      <c r="M20" s="146">
        <f t="shared" si="16"/>
        <v>0</v>
      </c>
      <c r="N20" s="146">
        <f t="shared" si="16"/>
        <v>0</v>
      </c>
      <c r="O20" s="146">
        <f t="shared" si="17"/>
        <v>0</v>
      </c>
      <c r="Q20" s="13"/>
      <c r="R20" s="139"/>
      <c r="S20" s="138"/>
      <c r="T20" s="139"/>
      <c r="U20" s="139"/>
      <c r="V20" s="107">
        <v>0</v>
      </c>
      <c r="W20" s="150">
        <f t="shared" si="18"/>
        <v>0</v>
      </c>
      <c r="X20" s="19">
        <v>0</v>
      </c>
      <c r="Y20" s="19">
        <v>0</v>
      </c>
      <c r="Z20" s="20">
        <v>0</v>
      </c>
      <c r="AA20" s="150">
        <f t="shared" si="19"/>
        <v>0</v>
      </c>
      <c r="AB20" s="7">
        <v>0</v>
      </c>
      <c r="AC20" s="150">
        <f t="shared" si="20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2" t="s">
        <v>385</v>
      </c>
      <c r="B22" s="18" t="s">
        <v>10</v>
      </c>
      <c r="C22" s="18">
        <f>VLOOKUP($AN$1,DST!C:D,2,FALSE)</f>
        <v>12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67.872619460799996</v>
      </c>
      <c r="M22" s="146">
        <f t="shared" ref="M22:N25" si="21">L22*Y22</f>
        <v>43.574221693833607</v>
      </c>
      <c r="N22" s="146">
        <f t="shared" si="21"/>
        <v>456.22210113443788</v>
      </c>
      <c r="O22" s="146">
        <f>M22*AH22</f>
        <v>4.0959768392203593</v>
      </c>
      <c r="Q22" s="13"/>
      <c r="R22" s="139"/>
      <c r="S22" s="138"/>
      <c r="T22" s="139"/>
      <c r="U22" s="139"/>
      <c r="V22" s="140"/>
      <c r="W22" s="154"/>
      <c r="X22" s="139"/>
      <c r="Y22" s="19">
        <v>0.64200000000000013</v>
      </c>
      <c r="Z22" s="20">
        <v>10.47</v>
      </c>
      <c r="AA22" s="150">
        <f>(AG22/SUM(AG$6:AG$25))*0.98</f>
        <v>0.11956</v>
      </c>
      <c r="AB22" s="7">
        <v>0.10905631606380603</v>
      </c>
      <c r="AC22" s="150">
        <f>(AH22/SUM(AH$6:AH$25))*0.98</f>
        <v>0.10709767063221463</v>
      </c>
      <c r="AE22" s="168"/>
      <c r="AF22" s="168"/>
      <c r="AG22" s="19">
        <v>0.122</v>
      </c>
      <c r="AH22" s="19">
        <v>9.4E-2</v>
      </c>
    </row>
    <row r="23" spans="1:34" x14ac:dyDescent="0.2">
      <c r="A23" s="17" t="s">
        <v>78</v>
      </c>
      <c r="B23" s="18" t="s">
        <v>10</v>
      </c>
      <c r="C23" s="18">
        <f>VLOOKUP($AN$1,DST!C:D,2,FALSE)</f>
        <v>12</v>
      </c>
      <c r="D23" s="146">
        <f>D$32*Q23</f>
        <v>17.557319999999997</v>
      </c>
      <c r="E23" s="146">
        <f>D23*R23</f>
        <v>10.797751799999999</v>
      </c>
      <c r="F23" s="146">
        <f>E23*S23</f>
        <v>130.11290918999998</v>
      </c>
      <c r="G23" s="146">
        <f>E23*T23</f>
        <v>0.60467410079999995</v>
      </c>
      <c r="H23" s="146">
        <f>E23*U23</f>
        <v>0.29153929859999994</v>
      </c>
      <c r="I23" s="146">
        <f>D$35*W23</f>
        <v>50.57480120000001</v>
      </c>
      <c r="J23" s="146">
        <f>I23*V23</f>
        <v>288.27636684000009</v>
      </c>
      <c r="K23" s="146">
        <f>I23*X23</f>
        <v>3.7425352888000005</v>
      </c>
      <c r="L23" s="146">
        <f>((D$2+D$3+D$4)*AA23)</f>
        <v>30.598312051999994</v>
      </c>
      <c r="M23" s="146">
        <f t="shared" si="21"/>
        <v>21.174031939983998</v>
      </c>
      <c r="N23" s="146">
        <f t="shared" si="21"/>
        <v>201.78852438804748</v>
      </c>
      <c r="O23" s="146">
        <f>M23*AH23</f>
        <v>1.5880523954987997</v>
      </c>
      <c r="Q23" s="150">
        <v>0.03</v>
      </c>
      <c r="R23" s="19">
        <v>0.61499999999999999</v>
      </c>
      <c r="S23" s="107">
        <v>12.05</v>
      </c>
      <c r="T23" s="108">
        <v>5.6000000000000001E-2</v>
      </c>
      <c r="U23" s="108">
        <v>2.7E-2</v>
      </c>
      <c r="V23" s="20">
        <v>5.7</v>
      </c>
      <c r="W23" s="150">
        <f>(AF23/SUM(AF$2:AF$25))*0.98</f>
        <v>0.11270000000000001</v>
      </c>
      <c r="X23" s="108">
        <v>7.3999999999999996E-2</v>
      </c>
      <c r="Y23" s="19">
        <v>0.69200000000000006</v>
      </c>
      <c r="Z23" s="20">
        <v>9.5299999999999994</v>
      </c>
      <c r="AA23" s="150">
        <f>(AG23/SUM(AG$6:AG$25))*0.98</f>
        <v>5.3899999999999997E-2</v>
      </c>
      <c r="AB23" s="7">
        <v>6.9991974021732777E-3</v>
      </c>
      <c r="AC23" s="150">
        <f>(AH23/SUM(AH$6:AH$25))*0.98</f>
        <v>8.5450269121447847E-2</v>
      </c>
      <c r="AE23" s="19">
        <v>0.03</v>
      </c>
      <c r="AF23" s="19">
        <v>0.115</v>
      </c>
      <c r="AG23" s="19">
        <v>5.5E-2</v>
      </c>
      <c r="AH23" s="19">
        <v>7.4999999999999997E-2</v>
      </c>
    </row>
    <row r="24" spans="1:34" x14ac:dyDescent="0.2">
      <c r="A24" s="172" t="s">
        <v>71</v>
      </c>
      <c r="B24" s="18" t="s">
        <v>10</v>
      </c>
      <c r="C24" s="18">
        <f>VLOOKUP($AN$1,DST!C:D,2,FALSE)</f>
        <v>12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5.5633294639999988</v>
      </c>
      <c r="M24" s="146">
        <f t="shared" si="21"/>
        <v>3.9555272489039988</v>
      </c>
      <c r="N24" s="146">
        <f t="shared" si="21"/>
        <v>42.086809928338546</v>
      </c>
      <c r="O24" s="146">
        <f>M24*AH24</f>
        <v>0.32967620805979231</v>
      </c>
      <c r="Q24" s="13"/>
      <c r="R24" s="139"/>
      <c r="S24" s="138"/>
      <c r="T24" s="139"/>
      <c r="U24" s="139"/>
      <c r="V24" s="140"/>
      <c r="W24" s="154"/>
      <c r="X24" s="139"/>
      <c r="Y24" s="19">
        <v>0.71099999999999997</v>
      </c>
      <c r="Z24" s="20">
        <v>10.64</v>
      </c>
      <c r="AA24" s="150">
        <f>(AG24/SUM(AG$6:AG$25))*0.98</f>
        <v>9.7999999999999997E-3</v>
      </c>
      <c r="AB24" s="7">
        <v>3.7452350641812744E-2</v>
      </c>
      <c r="AC24" s="150">
        <f>(AH24/SUM(AH$6:AH$25))*0.98</f>
        <v>9.4958839210637261E-2</v>
      </c>
      <c r="AE24" s="168"/>
      <c r="AF24" s="168"/>
      <c r="AG24" s="19">
        <v>0.01</v>
      </c>
      <c r="AH24" s="19">
        <v>8.3345705215692623E-2</v>
      </c>
    </row>
    <row r="25" spans="1:34" x14ac:dyDescent="0.2">
      <c r="A25" s="172"/>
      <c r="B25" s="18" t="s">
        <v>10</v>
      </c>
      <c r="C25" s="18">
        <f>VLOOKUP($AN$1,DST!C:D,2,FALSE)</f>
        <v>12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21"/>
        <v>0</v>
      </c>
      <c r="N25" s="146">
        <f t="shared" si="21"/>
        <v>0</v>
      </c>
      <c r="O25" s="146">
        <f>M25*AH25</f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0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17" t="s">
        <v>526</v>
      </c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264</v>
      </c>
      <c r="X27" s="30"/>
      <c r="Y27" s="30"/>
      <c r="Z27" s="31"/>
      <c r="AA27" s="9" t="s">
        <v>264</v>
      </c>
      <c r="AB27" s="9" t="s">
        <v>264</v>
      </c>
      <c r="AC27" s="9" t="s">
        <v>264</v>
      </c>
      <c r="AD27" s="44"/>
      <c r="AE27" s="9" t="s">
        <v>264</v>
      </c>
      <c r="AF27" s="9" t="s">
        <v>264</v>
      </c>
      <c r="AG27" s="9" t="s">
        <v>264</v>
      </c>
    </row>
    <row r="28" spans="1:34" s="27" customFormat="1" x14ac:dyDescent="0.2">
      <c r="A28" s="45" t="s">
        <v>265</v>
      </c>
      <c r="B28" s="28"/>
      <c r="C28" s="28"/>
      <c r="D28" s="34" t="s">
        <v>269</v>
      </c>
      <c r="E28" s="34" t="s">
        <v>266</v>
      </c>
      <c r="F28" s="155" t="s">
        <v>267</v>
      </c>
      <c r="G28" s="34" t="s">
        <v>286</v>
      </c>
      <c r="H28" s="34" t="s">
        <v>268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0.98000000000000009</v>
      </c>
      <c r="X28" s="30"/>
      <c r="Y28" s="30"/>
      <c r="Z28" s="31"/>
      <c r="AA28" s="150">
        <f>SUM(AA6:AA25)</f>
        <v>0.98</v>
      </c>
      <c r="AB28" s="150">
        <f>SUM(AB2:AB4,AB6:AB11,AB13:AB20,AB22:AB25)</f>
        <v>0.97499999999999998</v>
      </c>
      <c r="AC28" s="150">
        <f>SUM(AC6:AC25)</f>
        <v>0.9800000000000002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</v>
      </c>
    </row>
    <row r="29" spans="1:34" s="27" customFormat="1" x14ac:dyDescent="0.2">
      <c r="A29" s="43"/>
      <c r="B29" s="28"/>
      <c r="C29" s="28"/>
      <c r="D29" s="46">
        <v>1034</v>
      </c>
      <c r="E29" s="47">
        <v>0.56599999999999995</v>
      </c>
      <c r="F29" s="2">
        <f>1-E29</f>
        <v>0.43400000000000005</v>
      </c>
      <c r="G29" s="106">
        <v>4.1500000000000004</v>
      </c>
      <c r="H29" s="126">
        <v>3.4000000000000002E-2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265</v>
      </c>
      <c r="B31" s="28"/>
      <c r="C31" s="28"/>
      <c r="D31" s="162" t="s">
        <v>278</v>
      </c>
      <c r="E31" s="162" t="s">
        <v>1</v>
      </c>
      <c r="F31" s="162" t="s">
        <v>263</v>
      </c>
      <c r="G31" s="162" t="s">
        <v>137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585.24399999999991</v>
      </c>
      <c r="E32" s="156">
        <f>SUM(E2:E4)</f>
        <v>377.61761504890598</v>
      </c>
      <c r="F32" s="156">
        <f>SUM(F2:F4)</f>
        <v>4087.0585657131837</v>
      </c>
      <c r="G32" s="156">
        <f>SUM(G2:G4)</f>
        <v>25.754777714063259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265</v>
      </c>
      <c r="B34" s="28"/>
      <c r="C34" s="28"/>
      <c r="D34" s="162" t="s">
        <v>270</v>
      </c>
      <c r="E34" s="162" t="s">
        <v>263</v>
      </c>
      <c r="F34" s="162" t="s">
        <v>137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448.75600000000003</v>
      </c>
      <c r="E35" s="156">
        <f>D35*G29</f>
        <v>1862.3374000000003</v>
      </c>
      <c r="F35" s="156">
        <f>D35*H29</f>
        <v>15.257704000000002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279</v>
      </c>
      <c r="B37" s="37"/>
      <c r="C37" s="37"/>
      <c r="D37" s="164" t="s">
        <v>273</v>
      </c>
      <c r="E37" s="164" t="s">
        <v>274</v>
      </c>
      <c r="F37" s="164" t="s">
        <v>275</v>
      </c>
      <c r="G37" s="164" t="s">
        <v>271</v>
      </c>
      <c r="H37" s="164" t="s">
        <v>272</v>
      </c>
      <c r="I37" s="160" t="s">
        <v>276</v>
      </c>
      <c r="J37" s="160" t="s">
        <v>277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3.5" thickBot="1" x14ac:dyDescent="0.25">
      <c r="D38" s="157">
        <f>SUM(I2:I25)</f>
        <v>439.78088000000014</v>
      </c>
      <c r="E38" s="157">
        <f>SUM(J2:J4,J6:J11,J13:J25)</f>
        <v>1860.0189463478243</v>
      </c>
      <c r="F38" s="157">
        <f>SUM(K2:K4,K6:K11,K13:K25)</f>
        <v>15.232250559680001</v>
      </c>
      <c r="G38" s="157">
        <f>SUM(L6:L11,L13:L20,L22:L25)</f>
        <v>556.33294639999997</v>
      </c>
      <c r="H38" s="157">
        <f>SUM(M6:M11,M13:M20,M22:M25)</f>
        <v>368.4721060584871</v>
      </c>
      <c r="I38" s="157">
        <f>SUM(N6:N11,N13:N20,N22:N25)</f>
        <v>4070.1251651509742</v>
      </c>
      <c r="J38" s="157">
        <f>SUM(O6:O11,O13:O20,O22:O25)</f>
        <v>25.713778264517696</v>
      </c>
      <c r="V38" s="181"/>
      <c r="X38" s="30"/>
      <c r="Y38" s="30"/>
      <c r="Z38" s="181"/>
      <c r="AH38" s="30"/>
    </row>
    <row r="39" spans="1:34" ht="13.5" thickTop="1" x14ac:dyDescent="0.2">
      <c r="D39" s="158">
        <f>D35-D38</f>
        <v>8.9751199999998903</v>
      </c>
      <c r="E39" s="158">
        <f>E35-E38</f>
        <v>2.3184536521760037</v>
      </c>
      <c r="F39" s="158">
        <f>F35-F38</f>
        <v>2.5453440320001519E-2</v>
      </c>
      <c r="G39" s="158">
        <f>SUM(D2:D4)-G38</f>
        <v>11.353733599999941</v>
      </c>
      <c r="H39" s="158">
        <f>E32-H38</f>
        <v>9.1455089904188753</v>
      </c>
      <c r="I39" s="158">
        <f>F32-I38</f>
        <v>16.933400562209499</v>
      </c>
      <c r="J39" s="158">
        <f>G32-J38</f>
        <v>4.0999449545562783E-2</v>
      </c>
      <c r="V39" s="181"/>
      <c r="X39" s="30"/>
      <c r="Y39" s="30"/>
      <c r="Z39" s="181"/>
      <c r="AH39" s="30"/>
    </row>
    <row r="40" spans="1:34" x14ac:dyDescent="0.2">
      <c r="N40" s="23"/>
      <c r="O40" s="23"/>
      <c r="V40" s="181"/>
      <c r="X40" s="30"/>
      <c r="Y40" s="30"/>
      <c r="Z40" s="181"/>
      <c r="AH40" s="30"/>
    </row>
    <row r="41" spans="1:34" x14ac:dyDescent="0.2">
      <c r="V41" s="181"/>
      <c r="X41" s="30"/>
      <c r="Y41" s="30"/>
      <c r="Z41" s="181"/>
      <c r="AH41" s="30"/>
    </row>
    <row r="42" spans="1:34" x14ac:dyDescent="0.2">
      <c r="N42" s="23"/>
      <c r="O42" s="23"/>
      <c r="V42" s="181"/>
      <c r="X42" s="30"/>
      <c r="Y42" s="30"/>
      <c r="Z42" s="181"/>
      <c r="AH42" s="30"/>
    </row>
    <row r="43" spans="1:34" x14ac:dyDescent="0.2">
      <c r="N43" s="23"/>
      <c r="O43" s="23"/>
      <c r="V43" s="181"/>
      <c r="X43" s="30"/>
      <c r="Y43" s="30"/>
      <c r="Z43" s="181"/>
      <c r="AH43" s="30"/>
    </row>
    <row r="44" spans="1:34" x14ac:dyDescent="0.2">
      <c r="N44" s="23"/>
      <c r="O44" s="23"/>
      <c r="V44" s="181"/>
      <c r="X44" s="30"/>
      <c r="Y44" s="30"/>
      <c r="Z44" s="181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sortState xmlns:xlrd2="http://schemas.microsoft.com/office/spreadsheetml/2017/richdata2" ref="A6:AH11">
    <sortCondition descending="1" ref="J6:J11"/>
  </sortState>
  <conditionalFormatting sqref="D39:J39">
    <cfRule type="cellIs" dxfId="29" priority="1" operator="lessThan">
      <formula>0</formula>
    </cfRule>
  </conditionalFormatting>
  <conditionalFormatting sqref="W28">
    <cfRule type="cellIs" dxfId="28" priority="2" operator="greaterThan">
      <formula>1</formula>
    </cfRule>
  </conditionalFormatting>
  <conditionalFormatting sqref="AA28:AG28">
    <cfRule type="cellIs" dxfId="27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3">
    <tabColor theme="9" tint="0.79998168889431442"/>
  </sheetPr>
  <dimension ref="A1:AG221"/>
  <sheetViews>
    <sheetView showGridLines="0" zoomScale="85" zoomScaleNormal="85" workbookViewId="0">
      <selection activeCell="B1" sqref="B1"/>
    </sheetView>
  </sheetViews>
  <sheetFormatPr defaultRowHeight="12.75" x14ac:dyDescent="0.2"/>
  <cols>
    <col min="1" max="1" width="3.5703125" bestFit="1" customWidth="1"/>
    <col min="2" max="2" width="19.5703125" bestFit="1" customWidth="1"/>
    <col min="3" max="3" width="5.28515625" bestFit="1" customWidth="1"/>
    <col min="4" max="4" width="4.28515625" bestFit="1" customWidth="1"/>
    <col min="5" max="5" width="7.7109375" bestFit="1" customWidth="1"/>
    <col min="6" max="6" width="5.85546875" bestFit="1" customWidth="1"/>
    <col min="7" max="7" width="5.7109375" customWidth="1"/>
    <col min="8" max="8" width="4.140625" bestFit="1" customWidth="1"/>
    <col min="9" max="9" width="22.28515625" bestFit="1" customWidth="1"/>
    <col min="10" max="10" width="5.140625" bestFit="1" customWidth="1"/>
    <col min="11" max="11" width="4.28515625" bestFit="1" customWidth="1"/>
    <col min="12" max="12" width="7.7109375" bestFit="1" customWidth="1"/>
    <col min="13" max="13" width="5.85546875" bestFit="1" customWidth="1"/>
    <col min="14" max="14" width="5.7109375" customWidth="1"/>
    <col min="15" max="15" width="4.140625" bestFit="1" customWidth="1"/>
    <col min="16" max="16" width="25.5703125" bestFit="1" customWidth="1"/>
    <col min="17" max="17" width="5.28515625" bestFit="1" customWidth="1"/>
    <col min="18" max="18" width="4.28515625" bestFit="1" customWidth="1"/>
    <col min="19" max="19" width="7.7109375" bestFit="1" customWidth="1"/>
    <col min="20" max="20" width="5.85546875" bestFit="1" customWidth="1"/>
    <col min="21" max="21" width="5.7109375" customWidth="1"/>
    <col min="22" max="22" width="4.140625" bestFit="1" customWidth="1"/>
    <col min="23" max="23" width="21.42578125" bestFit="1" customWidth="1"/>
    <col min="24" max="24" width="5.28515625" bestFit="1" customWidth="1"/>
    <col min="25" max="25" width="4.28515625" bestFit="1" customWidth="1"/>
    <col min="26" max="26" width="7.7109375" bestFit="1" customWidth="1"/>
    <col min="27" max="27" width="5.85546875" bestFit="1" customWidth="1"/>
    <col min="28" max="28" width="5.7109375" customWidth="1"/>
    <col min="29" max="29" width="3.5703125" bestFit="1" customWidth="1"/>
    <col min="30" max="30" width="26.5703125" bestFit="1" customWidth="1"/>
    <col min="31" max="31" width="4.28515625" bestFit="1" customWidth="1"/>
    <col min="32" max="32" width="7.7109375" bestFit="1" customWidth="1"/>
    <col min="33" max="33" width="5.85546875" bestFit="1" customWidth="1"/>
  </cols>
  <sheetData>
    <row r="1" spans="1:33" s="6" customFormat="1" x14ac:dyDescent="0.2">
      <c r="A1" s="6" t="s">
        <v>136</v>
      </c>
      <c r="B1" s="6" t="s">
        <v>325</v>
      </c>
      <c r="C1" s="6" t="s">
        <v>86</v>
      </c>
      <c r="D1" s="6" t="s">
        <v>122</v>
      </c>
      <c r="E1" s="6" t="s">
        <v>117</v>
      </c>
      <c r="F1" s="6" t="s">
        <v>295</v>
      </c>
      <c r="H1" s="6" t="s">
        <v>136</v>
      </c>
      <c r="I1" s="6" t="s">
        <v>325</v>
      </c>
      <c r="J1" s="6" t="s">
        <v>86</v>
      </c>
      <c r="K1" s="6" t="s">
        <v>122</v>
      </c>
      <c r="L1" s="6" t="s">
        <v>117</v>
      </c>
      <c r="M1" s="6" t="s">
        <v>295</v>
      </c>
      <c r="O1" s="6" t="s">
        <v>136</v>
      </c>
      <c r="P1" s="6" t="s">
        <v>325</v>
      </c>
      <c r="Q1" s="6" t="s">
        <v>86</v>
      </c>
      <c r="R1" s="6" t="s">
        <v>122</v>
      </c>
      <c r="S1" s="6" t="s">
        <v>117</v>
      </c>
      <c r="T1" s="6" t="s">
        <v>295</v>
      </c>
      <c r="V1" s="6" t="s">
        <v>136</v>
      </c>
      <c r="W1" s="6" t="s">
        <v>325</v>
      </c>
      <c r="X1" s="6" t="s">
        <v>86</v>
      </c>
      <c r="Y1" s="6" t="s">
        <v>122</v>
      </c>
      <c r="Z1" s="6" t="s">
        <v>117</v>
      </c>
      <c r="AA1" s="6" t="s">
        <v>295</v>
      </c>
      <c r="AC1" s="6" t="s">
        <v>136</v>
      </c>
      <c r="AD1" s="6" t="s">
        <v>325</v>
      </c>
      <c r="AE1" s="6" t="s">
        <v>122</v>
      </c>
      <c r="AF1" s="6" t="s">
        <v>117</v>
      </c>
      <c r="AG1" s="6" t="s">
        <v>295</v>
      </c>
    </row>
    <row r="2" spans="1:33" x14ac:dyDescent="0.2">
      <c r="A2">
        <v>1</v>
      </c>
      <c r="B2" t="str">
        <f>IFERROR(INDEX(TableQBCalcPts[PLAYER],MATCH(TableQBRanks[[#This Row],[RK]],TableQBCalcPts[RK],0)),"")</f>
        <v>Josh Allen</v>
      </c>
      <c r="C2" t="str">
        <f>IFERROR(INDEX(TableQBCalcPts[TM],MATCH(TableQBRanks[[#This Row],[RK]],TableQBCalcPts[RK],0)),"")</f>
        <v>BUF</v>
      </c>
      <c r="D2">
        <f>IFERROR(INDEX(TableQBCalcPts[BYE],MATCH(TableQBRanks[[#This Row],[RK]],TableQBCalcPts[RK],0)),"")</f>
        <v>12</v>
      </c>
      <c r="E2" s="57">
        <f>IFERROR(INDEX(TableQBCalcPts[Custom],MATCH(TableQBRanks[[#This Row],[RK]],TableQBCalcPts[RK],0)),"")</f>
        <v>396.35644294244599</v>
      </c>
      <c r="F2" s="125">
        <f>(((VLOOKUP(TableQBRanks[[#This Row],[Player]],'OVR &amp; VORP Ranks'!$B:$F,5,FALSE)))/('OVR &amp; VORP Ranks'!$BM$6))*(Settings!$E$10*TEAMS)</f>
        <v>35.24880014496636</v>
      </c>
      <c r="H2">
        <v>1</v>
      </c>
      <c r="I2" t="str">
        <f>IFERROR(INDEX(TableRBCalcPts[PLAYER],MATCH(TableRBRanks[[#This Row],[RK]],TableRBCalcPts[RK],0)),"")</f>
        <v>Christian McCaffrey</v>
      </c>
      <c r="J2" t="str">
        <f>IFERROR(INDEX(TableRBCalcPts[TM],MATCH(TableRBRanks[[#This Row],[RK]],TableRBCalcPts[RK],0)),"")</f>
        <v>SF</v>
      </c>
      <c r="K2">
        <f>IFERROR(INDEX(TableRBCalcPts[BYE],MATCH(TableRBRanks[[#This Row],[RK]],TableRBCalcPts[RK],0)),"")</f>
        <v>9</v>
      </c>
      <c r="L2" s="57">
        <f>IFERROR(INDEX(TableRBCalcPts[Custom],MATCH(TableRBRanks[[#This Row],[RK]],TableRBCalcPts[RK],0)),"")</f>
        <v>318.16897140131476</v>
      </c>
      <c r="M2" s="125">
        <f>(((VLOOKUP(TableRBRanks[[#This Row],[Player]],'OVR &amp; VORP Ranks'!$I:$M,5,FALSE)))/('OVR &amp; VORP Ranks'!$BM$6))*(Settings!$E$10*TEAMS)</f>
        <v>70.701289145915453</v>
      </c>
      <c r="O2">
        <v>1</v>
      </c>
      <c r="P2" t="str">
        <f>IFERROR(INDEX(TableWRCalcPts[PLAYER],MATCH(TableWRRanks[[#This Row],[RK]],TableWRCalcPts[RK],0)),"")</f>
        <v>CeeDee Lamb</v>
      </c>
      <c r="Q2" t="str">
        <f>IFERROR(INDEX(TableWRCalcPts[TM],MATCH(TableWRRanks[[#This Row],[RK]],TableWRCalcPts[RK],0)),"")</f>
        <v>DAL</v>
      </c>
      <c r="R2">
        <f>IFERROR(INDEX(TableWRCalcPts[BYE],MATCH(TableWRRanks[[#This Row],[RK]],TableWRCalcPts[RK],0)),"")</f>
        <v>7</v>
      </c>
      <c r="S2" s="57">
        <f>IFERROR(INDEX(TableWRCalcPts[Custom],MATCH(TableWRRanks[[#This Row],[RK]],TableWRCalcPts[RK],0)),"")</f>
        <v>271.55717234290148</v>
      </c>
      <c r="T2" s="125">
        <f>(((VLOOKUP(TableWRRanks[[#This Row],[Player]],'OVR &amp; VORP Ranks'!$P:$T,5,FALSE)))/('OVR &amp; VORP Ranks'!$BM$6))*(Settings!$E$10*TEAMS)</f>
        <v>54.174855244517012</v>
      </c>
      <c r="V2">
        <v>1</v>
      </c>
      <c r="W2" t="str">
        <f>IFERROR(INDEX(TableTECalcPts[PLAYER],MATCH(TableTERanks[[#This Row],[RK]],TableTECalcPts[RK],0)),"")</f>
        <v>Travis Kelce</v>
      </c>
      <c r="X2" t="str">
        <f>IFERROR(INDEX(TableTECalcPts[TM],MATCH(TableTERanks[[#This Row],[RK]],TableTECalcPts[RK],0)),"")</f>
        <v>KC</v>
      </c>
      <c r="Y2">
        <f>IFERROR(INDEX(TableTECalcPts[BYE],MATCH(TableTERanks[[#This Row],[RK]],TableTECalcPts[RK],0)),"")</f>
        <v>6</v>
      </c>
      <c r="Z2" s="57">
        <f>IFERROR(INDEX(TableTECalcPts[Custom],MATCH(TableTERanks[[#This Row],[RK]],TableTECalcPts[RK],0)),"")</f>
        <v>200.94815106912</v>
      </c>
      <c r="AA2" s="125">
        <f>(((VLOOKUP(TableTERanks[[#This Row],[Player]],'OVR &amp; VORP Ranks'!$W:$AA,5,FALSE)))/('OVR &amp; VORP Ranks'!$BM$6))*(Settings!$E$10*TEAMS)</f>
        <v>28.143774613780923</v>
      </c>
      <c r="AC2">
        <v>1</v>
      </c>
      <c r="AD2" t="str">
        <f>IFERROR(INDEX(TableDSTCalcPts[PLAYER],MATCH(TableDSTRanks[[#This Row],[RK]],TableDSTCalcPts[RK],0)),"")</f>
        <v>Dallas Cowboys</v>
      </c>
      <c r="AE2">
        <f>IFERROR(INDEX(TableDSTCalcPts[BYE],MATCH(TableDSTRanks[[#This Row],[RK]],TableDSTCalcPts[RK],0)),"")</f>
        <v>7</v>
      </c>
      <c r="AF2" s="57">
        <f>IFERROR(INDEX(TableDSTCalcPts[Custom],MATCH(TableDSTRanks[[#This Row],[RK]],TableDSTCalcPts[RK],0)),"")</f>
        <v>119.25000000000001</v>
      </c>
      <c r="AG2" s="125">
        <v>2</v>
      </c>
    </row>
    <row r="3" spans="1:33" x14ac:dyDescent="0.2">
      <c r="A3">
        <v>2</v>
      </c>
      <c r="B3" t="str">
        <f>IFERROR(INDEX(TableQBCalcPts[PLAYER],MATCH(TableQBRanks[[#This Row],[RK]],TableQBCalcPts[RK],0)),"")</f>
        <v>Jalen Hurts</v>
      </c>
      <c r="C3" t="str">
        <f>IFERROR(INDEX(TableQBCalcPts[TM],MATCH(TableQBRanks[[#This Row],[RK]],TableQBCalcPts[RK],0)),"")</f>
        <v>PHI</v>
      </c>
      <c r="D3">
        <f>IFERROR(INDEX(TableQBCalcPts[BYE],MATCH(TableQBRanks[[#This Row],[RK]],TableQBCalcPts[RK],0)),"")</f>
        <v>5</v>
      </c>
      <c r="E3" s="57">
        <f>IFERROR(INDEX(TableQBCalcPts[Custom],MATCH(TableQBRanks[[#This Row],[RK]],TableQBCalcPts[RK],0)),"")</f>
        <v>372.4356141320917</v>
      </c>
      <c r="F3" s="125">
        <f>(((VLOOKUP(TableQBRanks[[#This Row],[Player]],'OVR &amp; VORP Ranks'!$B:$F,5,FALSE)))/('OVR &amp; VORP Ranks'!$BM$6))*(Settings!$E$10*TEAMS)</f>
        <v>22.754730975739278</v>
      </c>
      <c r="H3">
        <v>2</v>
      </c>
      <c r="I3" t="str">
        <f>IFERROR(INDEX(TableRBCalcPts[PLAYER],MATCH(TableRBRanks[[#This Row],[RK]],TableRBCalcPts[RK],0)),"")</f>
        <v>Jonathan Taylor</v>
      </c>
      <c r="J3" t="str">
        <f>IFERROR(INDEX(TableRBCalcPts[TM],MATCH(TableRBRanks[[#This Row],[RK]],TableRBCalcPts[RK],0)),"")</f>
        <v>IND</v>
      </c>
      <c r="K3">
        <f>IFERROR(INDEX(TableRBCalcPts[BYE],MATCH(TableRBRanks[[#This Row],[RK]],TableRBCalcPts[RK],0)),"")</f>
        <v>14</v>
      </c>
      <c r="L3" s="57">
        <f>IFERROR(INDEX(TableRBCalcPts[Custom],MATCH(TableRBRanks[[#This Row],[RK]],TableRBCalcPts[RK],0)),"")</f>
        <v>261.70705676419283</v>
      </c>
      <c r="M3" s="125">
        <f>(((VLOOKUP(TableRBRanks[[#This Row],[Player]],'OVR &amp; VORP Ranks'!$I:$M,5,FALSE)))/('OVR &amp; VORP Ranks'!$BM$6))*(Settings!$E$10*TEAMS)</f>
        <v>50.566068834976171</v>
      </c>
      <c r="O3">
        <v>2</v>
      </c>
      <c r="P3" t="str">
        <f>IFERROR(INDEX(TableWRCalcPts[PLAYER],MATCH(TableWRRanks[[#This Row],[RK]],TableWRCalcPts[RK],0)),"")</f>
        <v>Tyreek Hill</v>
      </c>
      <c r="Q3" t="str">
        <f>IFERROR(INDEX(TableWRCalcPts[TM],MATCH(TableWRRanks[[#This Row],[RK]],TableWRCalcPts[RK],0)),"")</f>
        <v>MIA</v>
      </c>
      <c r="R3">
        <f>IFERROR(INDEX(TableWRCalcPts[BYE],MATCH(TableWRRanks[[#This Row],[RK]],TableWRCalcPts[RK],0)),"")</f>
        <v>6</v>
      </c>
      <c r="S3" s="57">
        <f>IFERROR(INDEX(TableWRCalcPts[Custom],MATCH(TableWRRanks[[#This Row],[RK]],TableWRCalcPts[RK],0)),"")</f>
        <v>266.35924114405168</v>
      </c>
      <c r="T3" s="125">
        <f>(((VLOOKUP(TableWRRanks[[#This Row],[Player]],'OVR &amp; VORP Ranks'!$P:$T,5,FALSE)))/('OVR &amp; VORP Ranks'!$BM$6))*(Settings!$E$10*TEAMS)</f>
        <v>51.910084754006128</v>
      </c>
      <c r="V3">
        <v>2</v>
      </c>
      <c r="W3" t="str">
        <f>IFERROR(INDEX(TableTECalcPts[PLAYER],MATCH(TableTERanks[[#This Row],[RK]],TableTECalcPts[RK],0)),"")</f>
        <v>Sam LaPorta</v>
      </c>
      <c r="X3" t="str">
        <f>IFERROR(INDEX(TableTECalcPts[TM],MATCH(TableTERanks[[#This Row],[RK]],TableTECalcPts[RK],0)),"")</f>
        <v>DET</v>
      </c>
      <c r="Y3">
        <f>IFERROR(INDEX(TableTECalcPts[BYE],MATCH(TableTERanks[[#This Row],[RK]],TableTECalcPts[RK],0)),"")</f>
        <v>5</v>
      </c>
      <c r="Z3" s="57">
        <f>IFERROR(INDEX(TableTECalcPts[Custom],MATCH(TableTERanks[[#This Row],[RK]],TableTECalcPts[RK],0)),"")</f>
        <v>182.53673189245154</v>
      </c>
      <c r="AA3" s="125">
        <f>(((VLOOKUP(TableTERanks[[#This Row],[Player]],'OVR &amp; VORP Ranks'!$W:$AA,5,FALSE)))/('OVR &amp; VORP Ranks'!$BM$6))*(Settings!$E$10*TEAMS)</f>
        <v>20.667603838702814</v>
      </c>
      <c r="AC3">
        <v>2</v>
      </c>
      <c r="AD3" t="str">
        <f>IFERROR(INDEX(TableDSTCalcPts[PLAYER],MATCH(TableDSTRanks[[#This Row],[RK]],TableDSTCalcPts[RK],0)),"")</f>
        <v>Baltimore Ravens</v>
      </c>
      <c r="AE3">
        <f>IFERROR(INDEX(TableDSTCalcPts[BYE],MATCH(TableDSTRanks[[#This Row],[RK]],TableDSTCalcPts[RK],0)),"")</f>
        <v>14</v>
      </c>
      <c r="AF3" s="57">
        <f>IFERROR(INDEX(TableDSTCalcPts[Custom],MATCH(TableDSTRanks[[#This Row],[RK]],TableDSTCalcPts[RK],0)),"")</f>
        <v>117.27500000000001</v>
      </c>
      <c r="AG3" s="125">
        <v>2</v>
      </c>
    </row>
    <row r="4" spans="1:33" x14ac:dyDescent="0.2">
      <c r="A4">
        <v>3</v>
      </c>
      <c r="B4" t="str">
        <f>IFERROR(INDEX(TableQBCalcPts[PLAYER],MATCH(TableQBRanks[[#This Row],[RK]],TableQBCalcPts[RK],0)),"")</f>
        <v>Lamar Jackson</v>
      </c>
      <c r="C4" t="str">
        <f>IFERROR(INDEX(TableQBCalcPts[TM],MATCH(TableQBRanks[[#This Row],[RK]],TableQBCalcPts[RK],0)),"")</f>
        <v>BAL</v>
      </c>
      <c r="D4">
        <f>IFERROR(INDEX(TableQBCalcPts[BYE],MATCH(TableQBRanks[[#This Row],[RK]],TableQBCalcPts[RK],0)),"")</f>
        <v>14</v>
      </c>
      <c r="E4" s="57">
        <f>IFERROR(INDEX(TableQBCalcPts[Custom],MATCH(TableQBRanks[[#This Row],[RK]],TableQBCalcPts[RK],0)),"")</f>
        <v>370.84652487473829</v>
      </c>
      <c r="F4" s="125">
        <f>(((VLOOKUP(TableQBRanks[[#This Row],[Player]],'OVR &amp; VORP Ranks'!$B:$F,5,FALSE)))/('OVR &amp; VORP Ranks'!$BM$6))*(Settings!$E$10*TEAMS)</f>
        <v>21.721939194300639</v>
      </c>
      <c r="H4">
        <v>3</v>
      </c>
      <c r="I4" t="str">
        <f>IFERROR(INDEX(TableRBCalcPts[PLAYER],MATCH(TableRBRanks[[#This Row],[RK]],TableRBCalcPts[RK],0)),"")</f>
        <v>Breece Hall</v>
      </c>
      <c r="J4" t="str">
        <f>IFERROR(INDEX(TableRBCalcPts[TM],MATCH(TableRBRanks[[#This Row],[RK]],TableRBCalcPts[RK],0)),"")</f>
        <v>NYJ</v>
      </c>
      <c r="K4">
        <f>IFERROR(INDEX(TableRBCalcPts[BYE],MATCH(TableRBRanks[[#This Row],[RK]],TableRBCalcPts[RK],0)),"")</f>
        <v>12</v>
      </c>
      <c r="L4" s="57">
        <f>IFERROR(INDEX(TableRBCalcPts[Custom],MATCH(TableRBRanks[[#This Row],[RK]],TableRBCalcPts[RK],0)),"")</f>
        <v>256.69251922440355</v>
      </c>
      <c r="M4" s="125">
        <f>(((VLOOKUP(TableRBRanks[[#This Row],[Player]],'OVR &amp; VORP Ranks'!$I:$M,5,FALSE)))/('OVR &amp; VORP Ranks'!$BM$6))*(Settings!$E$10*TEAMS)</f>
        <v>48.777804679039306</v>
      </c>
      <c r="O4">
        <v>3</v>
      </c>
      <c r="P4" t="str">
        <f>IFERROR(INDEX(TableWRCalcPts[PLAYER],MATCH(TableWRRanks[[#This Row],[RK]],TableWRCalcPts[RK],0)),"")</f>
        <v>Amon-Ra St. Brown</v>
      </c>
      <c r="Q4" t="str">
        <f>IFERROR(INDEX(TableWRCalcPts[TM],MATCH(TableWRRanks[[#This Row],[RK]],TableWRCalcPts[RK],0)),"")</f>
        <v>DET</v>
      </c>
      <c r="R4">
        <f>IFERROR(INDEX(TableWRCalcPts[BYE],MATCH(TableWRRanks[[#This Row],[RK]],TableWRCalcPts[RK],0)),"")</f>
        <v>5</v>
      </c>
      <c r="S4" s="57">
        <f>IFERROR(INDEX(TableWRCalcPts[Custom],MATCH(TableWRRanks[[#This Row],[RK]],TableWRCalcPts[RK],0)),"")</f>
        <v>251.21556304873667</v>
      </c>
      <c r="T4" s="125">
        <f>(((VLOOKUP(TableWRRanks[[#This Row],[Player]],'OVR &amp; VORP Ranks'!$P:$T,5,FALSE)))/('OVR &amp; VORP Ranks'!$BM$6))*(Settings!$E$10*TEAMS)</f>
        <v>45.311891365903037</v>
      </c>
      <c r="V4">
        <v>3</v>
      </c>
      <c r="W4" t="str">
        <f>IFERROR(INDEX(TableTECalcPts[PLAYER],MATCH(TableTERanks[[#This Row],[RK]],TableTECalcPts[RK],0)),"")</f>
        <v>Mark Andrews</v>
      </c>
      <c r="X4" t="str">
        <f>IFERROR(INDEX(TableTECalcPts[TM],MATCH(TableTERanks[[#This Row],[RK]],TableTECalcPts[RK],0)),"")</f>
        <v>BAL</v>
      </c>
      <c r="Y4">
        <f>IFERROR(INDEX(TableTECalcPts[BYE],MATCH(TableTERanks[[#This Row],[RK]],TableTECalcPts[RK],0)),"")</f>
        <v>14</v>
      </c>
      <c r="Z4" s="57">
        <f>IFERROR(INDEX(TableTECalcPts[Custom],MATCH(TableTERanks[[#This Row],[RK]],TableTECalcPts[RK],0)),"")</f>
        <v>182.29298496535898</v>
      </c>
      <c r="AA4" s="125">
        <f>(((VLOOKUP(TableTERanks[[#This Row],[Player]],'OVR &amp; VORP Ranks'!$W:$AA,5,FALSE)))/('OVR &amp; VORP Ranks'!$BM$6))*(Settings!$E$10*TEAMS)</f>
        <v>20.568627565588908</v>
      </c>
      <c r="AC4">
        <v>3</v>
      </c>
      <c r="AD4" t="str">
        <f>IFERROR(INDEX(TableDSTCalcPts[PLAYER],MATCH(TableDSTRanks[[#This Row],[RK]],TableDSTCalcPts[RK],0)),"")</f>
        <v>New York Jets</v>
      </c>
      <c r="AE4">
        <f>IFERROR(INDEX(TableDSTCalcPts[BYE],MATCH(TableDSTRanks[[#This Row],[RK]],TableDSTCalcPts[RK],0)),"")</f>
        <v>12</v>
      </c>
      <c r="AF4" s="57">
        <f>IFERROR(INDEX(TableDSTCalcPts[Custom],MATCH(TableDSTRanks[[#This Row],[RK]],TableDSTCalcPts[RK],0)),"")</f>
        <v>115.575</v>
      </c>
      <c r="AG4" s="125">
        <v>1</v>
      </c>
    </row>
    <row r="5" spans="1:33" x14ac:dyDescent="0.2">
      <c r="A5">
        <v>4</v>
      </c>
      <c r="B5" t="str">
        <f>IFERROR(INDEX(TableQBCalcPts[PLAYER],MATCH(TableQBRanks[[#This Row],[RK]],TableQBCalcPts[RK],0)),"")</f>
        <v>Patrick Mahomes</v>
      </c>
      <c r="C5" t="str">
        <f>IFERROR(INDEX(TableQBCalcPts[TM],MATCH(TableQBRanks[[#This Row],[RK]],TableQBCalcPts[RK],0)),"")</f>
        <v>KC</v>
      </c>
      <c r="D5">
        <f>IFERROR(INDEX(TableQBCalcPts[BYE],MATCH(TableQBRanks[[#This Row],[RK]],TableQBCalcPts[RK],0)),"")</f>
        <v>6</v>
      </c>
      <c r="E5" s="57">
        <f>IFERROR(INDEX(TableQBCalcPts[Custom],MATCH(TableQBRanks[[#This Row],[RK]],TableQBCalcPts[RK],0)),"")</f>
        <v>366.68296514016993</v>
      </c>
      <c r="F5" s="125">
        <f>(((VLOOKUP(TableQBRanks[[#This Row],[Player]],'OVR &amp; VORP Ranks'!$B:$F,5,FALSE)))/('OVR &amp; VORP Ranks'!$BM$6))*(Settings!$E$10*TEAMS)</f>
        <v>19.35150474991466</v>
      </c>
      <c r="H5">
        <v>4</v>
      </c>
      <c r="I5" t="str">
        <f>IFERROR(INDEX(TableRBCalcPts[PLAYER],MATCH(TableRBRanks[[#This Row],[RK]],TableRBCalcPts[RK],0)),"")</f>
        <v>Bijan Robinson</v>
      </c>
      <c r="J5" t="str">
        <f>IFERROR(INDEX(TableRBCalcPts[TM],MATCH(TableRBRanks[[#This Row],[RK]],TableRBCalcPts[RK],0)),"")</f>
        <v>ATL</v>
      </c>
      <c r="K5">
        <f>IFERROR(INDEX(TableRBCalcPts[BYE],MATCH(TableRBRanks[[#This Row],[RK]],TableRBCalcPts[RK],0)),"")</f>
        <v>12</v>
      </c>
      <c r="L5" s="57">
        <f>IFERROR(INDEX(TableRBCalcPts[Custom],MATCH(TableRBRanks[[#This Row],[RK]],TableRBCalcPts[RK],0)),"")</f>
        <v>245.64507671266452</v>
      </c>
      <c r="M5" s="125">
        <f>(((VLOOKUP(TableRBRanks[[#This Row],[Player]],'OVR &amp; VORP Ranks'!$I:$M,5,FALSE)))/('OVR &amp; VORP Ranks'!$BM$6))*(Settings!$E$10*TEAMS)</f>
        <v>44.838110280152357</v>
      </c>
      <c r="O5">
        <v>4</v>
      </c>
      <c r="P5" t="str">
        <f>IFERROR(INDEX(TableWRCalcPts[PLAYER],MATCH(TableWRRanks[[#This Row],[RK]],TableWRCalcPts[RK],0)),"")</f>
        <v>Ja'Marr Chase</v>
      </c>
      <c r="Q5" t="str">
        <f>IFERROR(INDEX(TableWRCalcPts[TM],MATCH(TableWRRanks[[#This Row],[RK]],TableWRCalcPts[RK],0)),"")</f>
        <v>CIN</v>
      </c>
      <c r="R5">
        <f>IFERROR(INDEX(TableWRCalcPts[BYE],MATCH(TableWRRanks[[#This Row],[RK]],TableWRCalcPts[RK],0)),"")</f>
        <v>12</v>
      </c>
      <c r="S5" s="57">
        <f>IFERROR(INDEX(TableWRCalcPts[Custom],MATCH(TableWRRanks[[#This Row],[RK]],TableWRCalcPts[RK],0)),"")</f>
        <v>242.69240708914157</v>
      </c>
      <c r="T5" s="125">
        <f>(((VLOOKUP(TableWRRanks[[#This Row],[Player]],'OVR &amp; VORP Ranks'!$P:$T,5,FALSE)))/('OVR &amp; VORP Ranks'!$BM$6))*(Settings!$E$10*TEAMS)</f>
        <v>41.598300061042288</v>
      </c>
      <c r="V5">
        <v>4</v>
      </c>
      <c r="W5" t="str">
        <f>IFERROR(INDEX(TableTECalcPts[PLAYER],MATCH(TableTERanks[[#This Row],[RK]],TableTECalcPts[RK],0)),"")</f>
        <v>Kyle Pitts</v>
      </c>
      <c r="X5" t="str">
        <f>IFERROR(INDEX(TableTECalcPts[TM],MATCH(TableTERanks[[#This Row],[RK]],TableTECalcPts[RK],0)),"")</f>
        <v>ATL</v>
      </c>
      <c r="Y5">
        <f>IFERROR(INDEX(TableTECalcPts[BYE],MATCH(TableTERanks[[#This Row],[RK]],TableTECalcPts[RK],0)),"")</f>
        <v>12</v>
      </c>
      <c r="Z5" s="57">
        <f>IFERROR(INDEX(TableTECalcPts[Custom],MATCH(TableTERanks[[#This Row],[RK]],TableTECalcPts[RK],0)),"")</f>
        <v>177.62908957073282</v>
      </c>
      <c r="AA5" s="125">
        <f>(((VLOOKUP(TableTERanks[[#This Row],[Player]],'OVR &amp; VORP Ranks'!$W:$AA,5,FALSE)))/('OVR &amp; VORP Ranks'!$BM$6))*(Settings!$E$10*TEAMS)</f>
        <v>18.674798626453597</v>
      </c>
      <c r="AC5">
        <v>4</v>
      </c>
      <c r="AD5" t="str">
        <f>IFERROR(INDEX(TableDSTCalcPts[PLAYER],MATCH(TableDSTRanks[[#This Row],[RK]],TableDSTCalcPts[RK],0)),"")</f>
        <v>Philadelphia Eagles</v>
      </c>
      <c r="AE5">
        <f>IFERROR(INDEX(TableDSTCalcPts[BYE],MATCH(TableDSTRanks[[#This Row],[RK]],TableDSTCalcPts[RK],0)),"")</f>
        <v>5</v>
      </c>
      <c r="AF5" s="57">
        <f>IFERROR(INDEX(TableDSTCalcPts[Custom],MATCH(TableDSTRanks[[#This Row],[RK]],TableDSTCalcPts[RK],0)),"")</f>
        <v>115.47500000000001</v>
      </c>
      <c r="AG5" s="125">
        <v>1</v>
      </c>
    </row>
    <row r="6" spans="1:33" x14ac:dyDescent="0.2">
      <c r="A6">
        <v>5</v>
      </c>
      <c r="B6" t="str">
        <f>IFERROR(INDEX(TableQBCalcPts[PLAYER],MATCH(TableQBRanks[[#This Row],[RK]],TableQBCalcPts[RK],0)),"")</f>
        <v>Anthony Richardson</v>
      </c>
      <c r="C6" t="str">
        <f>IFERROR(INDEX(TableQBCalcPts[TM],MATCH(TableQBRanks[[#This Row],[RK]],TableQBCalcPts[RK],0)),"")</f>
        <v>IND</v>
      </c>
      <c r="D6">
        <f>IFERROR(INDEX(TableQBCalcPts[BYE],MATCH(TableQBRanks[[#This Row],[RK]],TableQBCalcPts[RK],0)),"")</f>
        <v>14</v>
      </c>
      <c r="E6" s="57">
        <f>IFERROR(INDEX(TableQBCalcPts[Custom],MATCH(TableQBRanks[[#This Row],[RK]],TableQBCalcPts[RK],0)),"")</f>
        <v>343.30216825920456</v>
      </c>
      <c r="F6" s="125">
        <f>(((VLOOKUP(TableQBRanks[[#This Row],[Player]],'OVR &amp; VORP Ranks'!$B:$F,5,FALSE)))/('OVR &amp; VORP Ranks'!$BM$6))*(Settings!$E$10*TEAMS)</f>
        <v>15.369908826064485</v>
      </c>
      <c r="H6">
        <v>5</v>
      </c>
      <c r="I6" t="str">
        <f>IFERROR(INDEX(TableRBCalcPts[PLAYER],MATCH(TableRBRanks[[#This Row],[RK]],TableRBCalcPts[RK],0)),"")</f>
        <v>Saquon Barkley</v>
      </c>
      <c r="J6" t="str">
        <f>IFERROR(INDEX(TableRBCalcPts[TM],MATCH(TableRBRanks[[#This Row],[RK]],TableRBCalcPts[RK],0)),"")</f>
        <v>PHI</v>
      </c>
      <c r="K6">
        <f>IFERROR(INDEX(TableRBCalcPts[BYE],MATCH(TableRBRanks[[#This Row],[RK]],TableRBCalcPts[RK],0)),"")</f>
        <v>5</v>
      </c>
      <c r="L6" s="57">
        <f>IFERROR(INDEX(TableRBCalcPts[Custom],MATCH(TableRBRanks[[#This Row],[RK]],TableRBCalcPts[RK],0)),"")</f>
        <v>241.74493605547082</v>
      </c>
      <c r="M6" s="125">
        <f>(((VLOOKUP(TableRBRanks[[#This Row],[Player]],'OVR &amp; VORP Ranks'!$I:$M,5,FALSE)))/('OVR &amp; VORP Ranks'!$BM$6))*(Settings!$E$10*TEAMS)</f>
        <v>43.447257846596806</v>
      </c>
      <c r="O6">
        <v>5</v>
      </c>
      <c r="P6" t="str">
        <f>IFERROR(INDEX(TableWRCalcPts[PLAYER],MATCH(TableWRRanks[[#This Row],[RK]],TableWRCalcPts[RK],0)),"")</f>
        <v>Justin Jefferson</v>
      </c>
      <c r="Q6" t="str">
        <f>IFERROR(INDEX(TableWRCalcPts[TM],MATCH(TableWRRanks[[#This Row],[RK]],TableWRCalcPts[RK],0)),"")</f>
        <v>MIN</v>
      </c>
      <c r="R6">
        <f>IFERROR(INDEX(TableWRCalcPts[BYE],MATCH(TableWRRanks[[#This Row],[RK]],TableWRCalcPts[RK],0)),"")</f>
        <v>6</v>
      </c>
      <c r="S6" s="57">
        <f>IFERROR(INDEX(TableWRCalcPts[Custom],MATCH(TableWRRanks[[#This Row],[RK]],TableWRCalcPts[RK],0)),"")</f>
        <v>241.32118821726243</v>
      </c>
      <c r="T6" s="125">
        <f>(((VLOOKUP(TableWRRanks[[#This Row],[Player]],'OVR &amp; VORP Ranks'!$P:$T,5,FALSE)))/('OVR &amp; VORP Ranks'!$BM$6))*(Settings!$E$10*TEAMS)</f>
        <v>41.000851591976236</v>
      </c>
      <c r="V6">
        <v>5</v>
      </c>
      <c r="W6" t="str">
        <f>IFERROR(INDEX(TableTECalcPts[PLAYER],MATCH(TableTERanks[[#This Row],[RK]],TableTECalcPts[RK],0)),"")</f>
        <v>Trey McBride</v>
      </c>
      <c r="X6" t="str">
        <f>IFERROR(INDEX(TableTECalcPts[TM],MATCH(TableTERanks[[#This Row],[RK]],TableTECalcPts[RK],0)),"")</f>
        <v>ARI</v>
      </c>
      <c r="Y6">
        <f>IFERROR(INDEX(TableTECalcPts[BYE],MATCH(TableTERanks[[#This Row],[RK]],TableTECalcPts[RK],0)),"")</f>
        <v>11</v>
      </c>
      <c r="Z6" s="57">
        <f>IFERROR(INDEX(TableTECalcPts[Custom],MATCH(TableTERanks[[#This Row],[RK]],TableTECalcPts[RK],0)),"")</f>
        <v>170.05237121158649</v>
      </c>
      <c r="AA6" s="125">
        <f>(((VLOOKUP(TableTERanks[[#This Row],[Player]],'OVR &amp; VORP Ranks'!$W:$AA,5,FALSE)))/('OVR &amp; VORP Ranks'!$BM$6))*(Settings!$E$10*TEAMS)</f>
        <v>15.598184063279145</v>
      </c>
      <c r="AC6">
        <v>5</v>
      </c>
      <c r="AD6" t="str">
        <f>IFERROR(INDEX(TableDSTCalcPts[PLAYER],MATCH(TableDSTRanks[[#This Row],[RK]],TableDSTCalcPts[RK],0)),"")</f>
        <v>Cleveland Browns</v>
      </c>
      <c r="AE6">
        <f>IFERROR(INDEX(TableDSTCalcPts[BYE],MATCH(TableDSTRanks[[#This Row],[RK]],TableDSTCalcPts[RK],0)),"")</f>
        <v>10</v>
      </c>
      <c r="AF6" s="57">
        <f>IFERROR(INDEX(TableDSTCalcPts[Custom],MATCH(TableDSTRanks[[#This Row],[RK]],TableDSTCalcPts[RK],0)),"")</f>
        <v>113.54999999999998</v>
      </c>
      <c r="AG6" s="125">
        <v>1</v>
      </c>
    </row>
    <row r="7" spans="1:33" x14ac:dyDescent="0.2">
      <c r="A7">
        <v>6</v>
      </c>
      <c r="B7" t="str">
        <f>IFERROR(INDEX(TableQBCalcPts[PLAYER],MATCH(TableQBRanks[[#This Row],[RK]],TableQBCalcPts[RK],0)),"")</f>
        <v>Jayden Daniels</v>
      </c>
      <c r="C7" t="str">
        <f>IFERROR(INDEX(TableQBCalcPts[TM],MATCH(TableQBRanks[[#This Row],[RK]],TableQBCalcPts[RK],0)),"")</f>
        <v>WSH</v>
      </c>
      <c r="D7">
        <f>IFERROR(INDEX(TableQBCalcPts[BYE],MATCH(TableQBRanks[[#This Row],[RK]],TableQBCalcPts[RK],0)),"")</f>
        <v>14</v>
      </c>
      <c r="E7" s="57">
        <f>IFERROR(INDEX(TableQBCalcPts[Custom],MATCH(TableQBRanks[[#This Row],[RK]],TableQBCalcPts[RK],0)),"")</f>
        <v>340.69552503608452</v>
      </c>
      <c r="F7" s="125">
        <f>(((VLOOKUP(TableQBRanks[[#This Row],[Player]],'OVR &amp; VORP Ranks'!$B:$F,5,FALSE)))/('OVR &amp; VORP Ranks'!$BM$6))*(Settings!$E$10*TEAMS)</f>
        <v>14.005054037894336</v>
      </c>
      <c r="H7">
        <v>6</v>
      </c>
      <c r="I7" t="str">
        <f>IFERROR(INDEX(TableRBCalcPts[PLAYER],MATCH(TableRBRanks[[#This Row],[RK]],TableRBCalcPts[RK],0)),"")</f>
        <v>Derrick Henry</v>
      </c>
      <c r="J7" t="str">
        <f>IFERROR(INDEX(TableRBCalcPts[TM],MATCH(TableRBRanks[[#This Row],[RK]],TableRBCalcPts[RK],0)),"")</f>
        <v>BAL</v>
      </c>
      <c r="K7">
        <f>IFERROR(INDEX(TableRBCalcPts[BYE],MATCH(TableRBRanks[[#This Row],[RK]],TableRBCalcPts[RK],0)),"")</f>
        <v>14</v>
      </c>
      <c r="L7" s="57">
        <f>IFERROR(INDEX(TableRBCalcPts[Custom],MATCH(TableRBRanks[[#This Row],[RK]],TableRBCalcPts[RK],0)),"")</f>
        <v>235.57123502841006</v>
      </c>
      <c r="M7" s="125">
        <f>(((VLOOKUP(TableRBRanks[[#This Row],[Player]],'OVR &amp; VORP Ranks'!$I:$M,5,FALSE)))/('OVR &amp; VORP Ranks'!$BM$6))*(Settings!$E$10*TEAMS)</f>
        <v>41.245617482243816</v>
      </c>
      <c r="O7">
        <v>6</v>
      </c>
      <c r="P7" t="str">
        <f>IFERROR(INDEX(TableWRCalcPts[PLAYER],MATCH(TableWRRanks[[#This Row],[RK]],TableWRCalcPts[RK],0)),"")</f>
        <v>Puka Nacua</v>
      </c>
      <c r="Q7" t="str">
        <f>IFERROR(INDEX(TableWRCalcPts[TM],MATCH(TableWRRanks[[#This Row],[RK]],TableWRCalcPts[RK],0)),"")</f>
        <v>LAR</v>
      </c>
      <c r="R7">
        <f>IFERROR(INDEX(TableWRCalcPts[BYE],MATCH(TableWRRanks[[#This Row],[RK]],TableWRCalcPts[RK],0)),"")</f>
        <v>6</v>
      </c>
      <c r="S7" s="57">
        <f>IFERROR(INDEX(TableWRCalcPts[Custom],MATCH(TableWRRanks[[#This Row],[RK]],TableWRCalcPts[RK],0)),"")</f>
        <v>229.19735538856321</v>
      </c>
      <c r="T7" s="125">
        <f>(((VLOOKUP(TableWRRanks[[#This Row],[Player]],'OVR &amp; VORP Ranks'!$P:$T,5,FALSE)))/('OVR &amp; VORP Ranks'!$BM$6))*(Settings!$E$10*TEAMS)</f>
        <v>35.71842330042805</v>
      </c>
      <c r="V7">
        <v>6</v>
      </c>
      <c r="W7" t="str">
        <f>IFERROR(INDEX(TableTECalcPts[PLAYER],MATCH(TableTERanks[[#This Row],[RK]],TableTECalcPts[RK],0)),"")</f>
        <v>Jake Ferguson</v>
      </c>
      <c r="X7" t="str">
        <f>IFERROR(INDEX(TableTECalcPts[TM],MATCH(TableTERanks[[#This Row],[RK]],TableTECalcPts[RK],0)),"")</f>
        <v>DAL</v>
      </c>
      <c r="Y7">
        <f>IFERROR(INDEX(TableTECalcPts[BYE],MATCH(TableTERanks[[#This Row],[RK]],TableTECalcPts[RK],0)),"")</f>
        <v>7</v>
      </c>
      <c r="Z7" s="57">
        <f>IFERROR(INDEX(TableTECalcPts[Custom],MATCH(TableTERanks[[#This Row],[RK]],TableTECalcPts[RK],0)),"")</f>
        <v>163.6950494543639</v>
      </c>
      <c r="AA7" s="125">
        <f>(((VLOOKUP(TableTERanks[[#This Row],[Player]],'OVR &amp; VORP Ranks'!$W:$AA,5,FALSE)))/('OVR &amp; VORP Ranks'!$BM$6))*(Settings!$E$10*TEAMS)</f>
        <v>13.016719664850518</v>
      </c>
      <c r="AC7">
        <v>6</v>
      </c>
      <c r="AD7" t="str">
        <f>IFERROR(INDEX(TableDSTCalcPts[PLAYER],MATCH(TableDSTRanks[[#This Row],[RK]],TableDSTCalcPts[RK],0)),"")</f>
        <v>Buffalo Bills</v>
      </c>
      <c r="AE7">
        <f>IFERROR(INDEX(TableDSTCalcPts[BYE],MATCH(TableDSTRanks[[#This Row],[RK]],TableDSTCalcPts[RK],0)),"")</f>
        <v>12</v>
      </c>
      <c r="AF7" s="57">
        <f>IFERROR(INDEX(TableDSTCalcPts[Custom],MATCH(TableDSTRanks[[#This Row],[RK]],TableDSTCalcPts[RK],0)),"")</f>
        <v>113.47500000000001</v>
      </c>
      <c r="AG7" s="125">
        <v>1</v>
      </c>
    </row>
    <row r="8" spans="1:33" x14ac:dyDescent="0.2">
      <c r="A8">
        <v>7</v>
      </c>
      <c r="B8" t="str">
        <f>IFERROR(INDEX(TableQBCalcPts[PLAYER],MATCH(TableQBRanks[[#This Row],[RK]],TableQBCalcPts[RK],0)),"")</f>
        <v>Dak Prescott</v>
      </c>
      <c r="C8" t="str">
        <f>IFERROR(INDEX(TableQBCalcPts[TM],MATCH(TableQBRanks[[#This Row],[RK]],TableQBCalcPts[RK],0)),"")</f>
        <v>DAL</v>
      </c>
      <c r="D8">
        <f>IFERROR(INDEX(TableQBCalcPts[BYE],MATCH(TableQBRanks[[#This Row],[RK]],TableQBCalcPts[RK],0)),"")</f>
        <v>7</v>
      </c>
      <c r="E8" s="57">
        <f>IFERROR(INDEX(TableQBCalcPts[Custom],MATCH(TableQBRanks[[#This Row],[RK]],TableQBCalcPts[RK],0)),"")</f>
        <v>330.82918430232354</v>
      </c>
      <c r="F8" s="125">
        <f>(((VLOOKUP(TableQBRanks[[#This Row],[Player]],'OVR &amp; VORP Ranks'!$B:$F,5,FALSE)))/('OVR &amp; VORP Ranks'!$BM$6))*(Settings!$E$10*TEAMS)</f>
        <v>10.345189312590385</v>
      </c>
      <c r="H8">
        <v>7</v>
      </c>
      <c r="I8" t="str">
        <f>IFERROR(INDEX(TableRBCalcPts[PLAYER],MATCH(TableRBRanks[[#This Row],[RK]],TableRBCalcPts[RK],0)),"")</f>
        <v>Joe Mixon</v>
      </c>
      <c r="J8" t="str">
        <f>IFERROR(INDEX(TableRBCalcPts[TM],MATCH(TableRBRanks[[#This Row],[RK]],TableRBCalcPts[RK],0)),"")</f>
        <v>HOU</v>
      </c>
      <c r="K8">
        <f>IFERROR(INDEX(TableRBCalcPts[BYE],MATCH(TableRBRanks[[#This Row],[RK]],TableRBCalcPts[RK],0)),"")</f>
        <v>14</v>
      </c>
      <c r="L8" s="57">
        <f>IFERROR(INDEX(TableRBCalcPts[Custom],MATCH(TableRBRanks[[#This Row],[RK]],TableRBCalcPts[RK],0)),"")</f>
        <v>221.58915310275702</v>
      </c>
      <c r="M8" s="125">
        <f>(((VLOOKUP(TableRBRanks[[#This Row],[Player]],'OVR &amp; VORP Ranks'!$I:$M,5,FALSE)))/('OVR &amp; VORP Ranks'!$BM$6))*(Settings!$E$10*TEAMS)</f>
        <v>36.259383809722777</v>
      </c>
      <c r="O8">
        <v>7</v>
      </c>
      <c r="P8" t="str">
        <f>IFERROR(INDEX(TableWRCalcPts[PLAYER],MATCH(TableWRRanks[[#This Row],[RK]],TableWRCalcPts[RK],0)),"")</f>
        <v>A.J. Brown</v>
      </c>
      <c r="Q8" t="str">
        <f>IFERROR(INDEX(TableWRCalcPts[TM],MATCH(TableWRRanks[[#This Row],[RK]],TableWRCalcPts[RK],0)),"")</f>
        <v>PHI</v>
      </c>
      <c r="R8">
        <f>IFERROR(INDEX(TableWRCalcPts[BYE],MATCH(TableWRRanks[[#This Row],[RK]],TableWRCalcPts[RK],0)),"")</f>
        <v>5</v>
      </c>
      <c r="S8" s="57">
        <f>IFERROR(INDEX(TableWRCalcPts[Custom],MATCH(TableWRRanks[[#This Row],[RK]],TableWRCalcPts[RK],0)),"")</f>
        <v>222.93815465263103</v>
      </c>
      <c r="T8" s="125">
        <f>(((VLOOKUP(TableWRRanks[[#This Row],[Player]],'OVR &amp; VORP Ranks'!$P:$T,5,FALSE)))/('OVR &amp; VORP Ranks'!$BM$6))*(Settings!$E$10*TEAMS)</f>
        <v>32.991251166241277</v>
      </c>
      <c r="V8">
        <v>7</v>
      </c>
      <c r="W8" t="str">
        <f>IFERROR(INDEX(TableTECalcPts[PLAYER],MATCH(TableTERanks[[#This Row],[RK]],TableTECalcPts[RK],0)),"")</f>
        <v>Evan Engram</v>
      </c>
      <c r="X8" t="str">
        <f>IFERROR(INDEX(TableTECalcPts[TM],MATCH(TableTERanks[[#This Row],[RK]],TableTECalcPts[RK],0)),"")</f>
        <v>JAX</v>
      </c>
      <c r="Y8">
        <f>IFERROR(INDEX(TableTECalcPts[BYE],MATCH(TableTERanks[[#This Row],[RK]],TableTECalcPts[RK],0)),"")</f>
        <v>12</v>
      </c>
      <c r="Z8" s="57">
        <f>IFERROR(INDEX(TableTECalcPts[Custom],MATCH(TableTERanks[[#This Row],[RK]],TableTECalcPts[RK],0)),"")</f>
        <v>162.13728753207036</v>
      </c>
      <c r="AA8" s="125">
        <f>(((VLOOKUP(TableTERanks[[#This Row],[Player]],'OVR &amp; VORP Ranks'!$W:$AA,5,FALSE)))/('OVR &amp; VORP Ranks'!$BM$6))*(Settings!$E$10*TEAMS)</f>
        <v>12.384172328535522</v>
      </c>
      <c r="AC8">
        <v>7</v>
      </c>
      <c r="AD8" t="str">
        <f>IFERROR(INDEX(TableDSTCalcPts[PLAYER],MATCH(TableDSTRanks[[#This Row],[RK]],TableDSTCalcPts[RK],0)),"")</f>
        <v>Indianapolis Colts</v>
      </c>
      <c r="AE8">
        <f>IFERROR(INDEX(TableDSTCalcPts[BYE],MATCH(TableDSTRanks[[#This Row],[RK]],TableDSTCalcPts[RK],0)),"")</f>
        <v>14</v>
      </c>
      <c r="AF8" s="57">
        <f>IFERROR(INDEX(TableDSTCalcPts[Custom],MATCH(TableDSTRanks[[#This Row],[RK]],TableDSTCalcPts[RK],0)),"")</f>
        <v>113.37500000000001</v>
      </c>
      <c r="AG8" s="125">
        <v>1</v>
      </c>
    </row>
    <row r="9" spans="1:33" x14ac:dyDescent="0.2">
      <c r="A9">
        <v>8</v>
      </c>
      <c r="B9" t="str">
        <f>IFERROR(INDEX(TableQBCalcPts[PLAYER],MATCH(TableQBRanks[[#This Row],[RK]],TableQBCalcPts[RK],0)),"")</f>
        <v>C.J. Stroud</v>
      </c>
      <c r="C9" t="str">
        <f>IFERROR(INDEX(TableQBCalcPts[TM],MATCH(TableQBRanks[[#This Row],[RK]],TableQBCalcPts[RK],0)),"")</f>
        <v>HOU</v>
      </c>
      <c r="D9">
        <f>IFERROR(INDEX(TableQBCalcPts[BYE],MATCH(TableQBRanks[[#This Row],[RK]],TableQBCalcPts[RK],0)),"")</f>
        <v>14</v>
      </c>
      <c r="E9" s="57">
        <f>IFERROR(INDEX(TableQBCalcPts[Custom],MATCH(TableQBRanks[[#This Row],[RK]],TableQBCalcPts[RK],0)),"")</f>
        <v>330.35566059243126</v>
      </c>
      <c r="F9" s="125">
        <f>(((VLOOKUP(TableQBRanks[[#This Row],[Player]],'OVR &amp; VORP Ranks'!$B:$F,5,FALSE)))/('OVR &amp; VORP Ranks'!$BM$6))*(Settings!$E$10*TEAMS)</f>
        <v>9.1295158501057792</v>
      </c>
      <c r="H9">
        <v>8</v>
      </c>
      <c r="I9" t="str">
        <f>IFERROR(INDEX(TableRBCalcPts[PLAYER],MATCH(TableRBRanks[[#This Row],[RK]],TableRBCalcPts[RK],0)),"")</f>
        <v>Kyren Williams</v>
      </c>
      <c r="J9" t="str">
        <f>IFERROR(INDEX(TableRBCalcPts[TM],MATCH(TableRBRanks[[#This Row],[RK]],TableRBCalcPts[RK],0)),"")</f>
        <v>LAR</v>
      </c>
      <c r="K9">
        <f>IFERROR(INDEX(TableRBCalcPts[BYE],MATCH(TableRBRanks[[#This Row],[RK]],TableRBCalcPts[RK],0)),"")</f>
        <v>6</v>
      </c>
      <c r="L9" s="57">
        <f>IFERROR(INDEX(TableRBCalcPts[Custom],MATCH(TableRBRanks[[#This Row],[RK]],TableRBCalcPts[RK],0)),"")</f>
        <v>214.43728721829297</v>
      </c>
      <c r="M9" s="125">
        <f>(((VLOOKUP(TableRBRanks[[#This Row],[Player]],'OVR &amp; VORP Ranks'!$I:$M,5,FALSE)))/('OVR &amp; VORP Ranks'!$BM$6))*(Settings!$E$10*TEAMS)</f>
        <v>33.70891423844656</v>
      </c>
      <c r="O9">
        <v>8</v>
      </c>
      <c r="P9" t="str">
        <f>IFERROR(INDEX(TableWRCalcPts[PLAYER],MATCH(TableWRRanks[[#This Row],[RK]],TableWRCalcPts[RK],0)),"")</f>
        <v>Cooper Kupp</v>
      </c>
      <c r="Q9" t="str">
        <f>IFERROR(INDEX(TableWRCalcPts[TM],MATCH(TableWRRanks[[#This Row],[RK]],TableWRCalcPts[RK],0)),"")</f>
        <v>LAR</v>
      </c>
      <c r="R9">
        <f>IFERROR(INDEX(TableWRCalcPts[BYE],MATCH(TableWRRanks[[#This Row],[RK]],TableWRCalcPts[RK],0)),"")</f>
        <v>6</v>
      </c>
      <c r="S9" s="57">
        <f>IFERROR(INDEX(TableWRCalcPts[Custom],MATCH(TableWRRanks[[#This Row],[RK]],TableWRCalcPts[RK],0)),"")</f>
        <v>212.00270106103099</v>
      </c>
      <c r="T9" s="125">
        <f>(((VLOOKUP(TableWRRanks[[#This Row],[Player]],'OVR &amp; VORP Ranks'!$P:$T,5,FALSE)))/('OVR &amp; VORP Ranks'!$BM$6))*(Settings!$E$10*TEAMS)</f>
        <v>28.226606993943005</v>
      </c>
      <c r="V9">
        <v>8</v>
      </c>
      <c r="W9" t="str">
        <f>IFERROR(INDEX(TableTECalcPts[PLAYER],MATCH(TableTERanks[[#This Row],[RK]],TableTECalcPts[RK],0)),"")</f>
        <v>George Kittle</v>
      </c>
      <c r="X9" t="str">
        <f>IFERROR(INDEX(TableTECalcPts[TM],MATCH(TableTERanks[[#This Row],[RK]],TableTECalcPts[RK],0)),"")</f>
        <v>SF</v>
      </c>
      <c r="Y9">
        <f>IFERROR(INDEX(TableTECalcPts[BYE],MATCH(TableTERanks[[#This Row],[RK]],TableTECalcPts[RK],0)),"")</f>
        <v>9</v>
      </c>
      <c r="Z9" s="57">
        <f>IFERROR(INDEX(TableTECalcPts[Custom],MATCH(TableTERanks[[#This Row],[RK]],TableTECalcPts[RK],0)),"")</f>
        <v>161.66168890481731</v>
      </c>
      <c r="AA9" s="125">
        <f>(((VLOOKUP(TableTERanks[[#This Row],[Player]],'OVR &amp; VORP Ranks'!$W:$AA,5,FALSE)))/('OVR &amp; VORP Ranks'!$BM$6))*(Settings!$E$10*TEAMS)</f>
        <v>12.19104997747622</v>
      </c>
      <c r="AC9">
        <v>8</v>
      </c>
      <c r="AD9" t="str">
        <f>IFERROR(INDEX(TableDSTCalcPts[PLAYER],MATCH(TableDSTRanks[[#This Row],[RK]],TableDSTCalcPts[RK],0)),"")</f>
        <v>Pittsburgh Steelers</v>
      </c>
      <c r="AE9">
        <f>IFERROR(INDEX(TableDSTCalcPts[BYE],MATCH(TableDSTRanks[[#This Row],[RK]],TableDSTCalcPts[RK],0)),"")</f>
        <v>9</v>
      </c>
      <c r="AF9" s="57">
        <f>IFERROR(INDEX(TableDSTCalcPts[Custom],MATCH(TableDSTRanks[[#This Row],[RK]],TableDSTCalcPts[RK],0)),"")</f>
        <v>112.375</v>
      </c>
      <c r="AG9" s="125">
        <v>1</v>
      </c>
    </row>
    <row r="10" spans="1:33" x14ac:dyDescent="0.2">
      <c r="A10">
        <v>9</v>
      </c>
      <c r="B10" t="str">
        <f>IFERROR(INDEX(TableQBCalcPts[PLAYER],MATCH(TableQBRanks[[#This Row],[RK]],TableQBCalcPts[RK],0)),"")</f>
        <v>Joe Burrow</v>
      </c>
      <c r="C10" t="str">
        <f>IFERROR(INDEX(TableQBCalcPts[TM],MATCH(TableQBRanks[[#This Row],[RK]],TableQBCalcPts[RK],0)),"")</f>
        <v>CIN</v>
      </c>
      <c r="D10">
        <f>IFERROR(INDEX(TableQBCalcPts[BYE],MATCH(TableQBRanks[[#This Row],[RK]],TableQBCalcPts[RK],0)),"")</f>
        <v>12</v>
      </c>
      <c r="E10" s="57">
        <f>IFERROR(INDEX(TableQBCalcPts[Custom],MATCH(TableQBRanks[[#This Row],[RK]],TableQBCalcPts[RK],0)),"")</f>
        <v>327.35691518693926</v>
      </c>
      <c r="F10" s="125">
        <f>(((VLOOKUP(TableQBRanks[[#This Row],[Player]],'OVR &amp; VORP Ranks'!$B:$F,5,FALSE)))/('OVR &amp; VORP Ranks'!$BM$6))*(Settings!$E$10*TEAMS)</f>
        <v>8.6675793245102142</v>
      </c>
      <c r="H10">
        <v>9</v>
      </c>
      <c r="I10" t="str">
        <f>IFERROR(INDEX(TableRBCalcPts[PLAYER],MATCH(TableRBRanks[[#This Row],[RK]],TableRBCalcPts[RK],0)),"")</f>
        <v>Josh Jacobs</v>
      </c>
      <c r="J10" t="str">
        <f>IFERROR(INDEX(TableRBCalcPts[TM],MATCH(TableRBRanks[[#This Row],[RK]],TableRBCalcPts[RK],0)),"")</f>
        <v>GB</v>
      </c>
      <c r="K10">
        <f>IFERROR(INDEX(TableRBCalcPts[BYE],MATCH(TableRBRanks[[#This Row],[RK]],TableRBCalcPts[RK],0)),"")</f>
        <v>10</v>
      </c>
      <c r="L10" s="57">
        <f>IFERROR(INDEX(TableRBCalcPts[Custom],MATCH(TableRBRanks[[#This Row],[RK]],TableRBCalcPts[RK],0)),"")</f>
        <v>214.24072523951244</v>
      </c>
      <c r="M10" s="125">
        <f>(((VLOOKUP(TableRBRanks[[#This Row],[Player]],'OVR &amp; VORP Ranks'!$I:$M,5,FALSE)))/('OVR &amp; VORP Ranks'!$BM$6))*(Settings!$E$10*TEAMS)</f>
        <v>33.638817098224933</v>
      </c>
      <c r="O10">
        <v>9</v>
      </c>
      <c r="P10" t="str">
        <f>IFERROR(INDEX(TableWRCalcPts[PLAYER],MATCH(TableWRRanks[[#This Row],[RK]],TableWRCalcPts[RK],0)),"")</f>
        <v>Mike Evans</v>
      </c>
      <c r="Q10" t="str">
        <f>IFERROR(INDEX(TableWRCalcPts[TM],MATCH(TableWRRanks[[#This Row],[RK]],TableWRCalcPts[RK],0)),"")</f>
        <v>TB</v>
      </c>
      <c r="R10">
        <f>IFERROR(INDEX(TableWRCalcPts[BYE],MATCH(TableWRRanks[[#This Row],[RK]],TableWRCalcPts[RK],0)),"")</f>
        <v>11</v>
      </c>
      <c r="S10" s="57">
        <f>IFERROR(INDEX(TableWRCalcPts[Custom],MATCH(TableWRRanks[[#This Row],[RK]],TableWRCalcPts[RK],0)),"")</f>
        <v>209.61363892007614</v>
      </c>
      <c r="T10" s="125">
        <f>(((VLOOKUP(TableWRRanks[[#This Row],[Player]],'OVR &amp; VORP Ranks'!$P:$T,5,FALSE)))/('OVR &amp; VORP Ranks'!$BM$6))*(Settings!$E$10*TEAMS)</f>
        <v>27.185677972406786</v>
      </c>
      <c r="V10">
        <v>9</v>
      </c>
      <c r="W10" t="str">
        <f>IFERROR(INDEX(TableTECalcPts[PLAYER],MATCH(TableTERanks[[#This Row],[RK]],TableTECalcPts[RK],0)),"")</f>
        <v>Dalton Kincaid</v>
      </c>
      <c r="X10" t="str">
        <f>IFERROR(INDEX(TableTECalcPts[TM],MATCH(TableTERanks[[#This Row],[RK]],TableTECalcPts[RK],0)),"")</f>
        <v>BUF</v>
      </c>
      <c r="Y10">
        <f>IFERROR(INDEX(TableTECalcPts[BYE],MATCH(TableTERanks[[#This Row],[RK]],TableTECalcPts[RK],0)),"")</f>
        <v>12</v>
      </c>
      <c r="Z10" s="57">
        <f>IFERROR(INDEX(TableTECalcPts[Custom],MATCH(TableTERanks[[#This Row],[RK]],TableTECalcPts[RK],0)),"")</f>
        <v>157.46104686653487</v>
      </c>
      <c r="AA10" s="125">
        <f>(((VLOOKUP(TableTERanks[[#This Row],[Player]],'OVR &amp; VORP Ranks'!$W:$AA,5,FALSE)))/('OVR &amp; VORP Ranks'!$BM$6))*(Settings!$E$10*TEAMS)</f>
        <v>10.485330448643335</v>
      </c>
      <c r="AC10">
        <v>9</v>
      </c>
      <c r="AD10" t="str">
        <f>IFERROR(INDEX(TableDSTCalcPts[PLAYER],MATCH(TableDSTRanks[[#This Row],[RK]],TableDSTCalcPts[RK],0)),"")</f>
        <v>Kansas City Chiefs</v>
      </c>
      <c r="AE10">
        <f>IFERROR(INDEX(TableDSTCalcPts[BYE],MATCH(TableDSTRanks[[#This Row],[RK]],TableDSTCalcPts[RK],0)),"")</f>
        <v>6</v>
      </c>
      <c r="AF10" s="57">
        <f>IFERROR(INDEX(TableDSTCalcPts[Custom],MATCH(TableDSTRanks[[#This Row],[RK]],TableDSTCalcPts[RK],0)),"")</f>
        <v>112.17499999999998</v>
      </c>
      <c r="AG10" s="125">
        <v>1</v>
      </c>
    </row>
    <row r="11" spans="1:33" x14ac:dyDescent="0.2">
      <c r="A11">
        <v>10</v>
      </c>
      <c r="B11" t="str">
        <f>IFERROR(INDEX(TableQBCalcPts[PLAYER],MATCH(TableQBRanks[[#This Row],[RK]],TableQBCalcPts[RK],0)),"")</f>
        <v>Jordan Love</v>
      </c>
      <c r="C11" t="str">
        <f>IFERROR(INDEX(TableQBCalcPts[TM],MATCH(TableQBRanks[[#This Row],[RK]],TableQBCalcPts[RK],0)),"")</f>
        <v>GB</v>
      </c>
      <c r="D11">
        <f>IFERROR(INDEX(TableQBCalcPts[BYE],MATCH(TableQBRanks[[#This Row],[RK]],TableQBCalcPts[RK],0)),"")</f>
        <v>10</v>
      </c>
      <c r="E11" s="57">
        <f>IFERROR(INDEX(TableQBCalcPts[Custom],MATCH(TableQBRanks[[#This Row],[RK]],TableQBCalcPts[RK],0)),"")</f>
        <v>322.16016479533897</v>
      </c>
      <c r="F11" s="125">
        <f>(((VLOOKUP(TableQBRanks[[#This Row],[Player]],'OVR &amp; VORP Ranks'!$B:$F,5,FALSE)))/('OVR &amp; VORP Ranks'!$BM$6))*(Settings!$E$10*TEAMS)</f>
        <v>7.892832898478467</v>
      </c>
      <c r="H11">
        <v>10</v>
      </c>
      <c r="I11" t="str">
        <f>IFERROR(INDEX(TableRBCalcPts[PLAYER],MATCH(TableRBRanks[[#This Row],[RK]],TableRBCalcPts[RK],0)),"")</f>
        <v>Isiah Pacheco</v>
      </c>
      <c r="J11" t="str">
        <f>IFERROR(INDEX(TableRBCalcPts[TM],MATCH(TableRBRanks[[#This Row],[RK]],TableRBCalcPts[RK],0)),"")</f>
        <v>KC</v>
      </c>
      <c r="K11">
        <f>IFERROR(INDEX(TableRBCalcPts[BYE],MATCH(TableRBRanks[[#This Row],[RK]],TableRBCalcPts[RK],0)),"")</f>
        <v>6</v>
      </c>
      <c r="L11" s="57">
        <f>IFERROR(INDEX(TableRBCalcPts[Custom],MATCH(TableRBRanks[[#This Row],[RK]],TableRBCalcPts[RK],0)),"")</f>
        <v>214.06072143966074</v>
      </c>
      <c r="M11" s="125">
        <f>(((VLOOKUP(TableRBRanks[[#This Row],[Player]],'OVR &amp; VORP Ranks'!$I:$M,5,FALSE)))/('OVR &amp; VORP Ranks'!$BM$6))*(Settings!$E$10*TEAMS)</f>
        <v>33.574624869000786</v>
      </c>
      <c r="O11">
        <v>10</v>
      </c>
      <c r="P11" t="str">
        <f>IFERROR(INDEX(TableWRCalcPts[PLAYER],MATCH(TableWRRanks[[#This Row],[RK]],TableWRCalcPts[RK],0)),"")</f>
        <v>Deebo Samuel</v>
      </c>
      <c r="Q11" t="str">
        <f>IFERROR(INDEX(TableWRCalcPts[TM],MATCH(TableWRRanks[[#This Row],[RK]],TableWRCalcPts[RK],0)),"")</f>
        <v>SF</v>
      </c>
      <c r="R11">
        <f>IFERROR(INDEX(TableWRCalcPts[BYE],MATCH(TableWRRanks[[#This Row],[RK]],TableWRCalcPts[RK],0)),"")</f>
        <v>9</v>
      </c>
      <c r="S11" s="57">
        <f>IFERROR(INDEX(TableWRCalcPts[Custom],MATCH(TableWRRanks[[#This Row],[RK]],TableWRCalcPts[RK],0)),"")</f>
        <v>209.42708203956002</v>
      </c>
      <c r="T11" s="125">
        <f>(((VLOOKUP(TableWRRanks[[#This Row],[Player]],'OVR &amp; VORP Ranks'!$P:$T,5,FALSE)))/('OVR &amp; VORP Ranks'!$BM$6))*(Settings!$E$10*TEAMS)</f>
        <v>27.104393995833917</v>
      </c>
      <c r="V11">
        <v>10</v>
      </c>
      <c r="W11" t="str">
        <f>IFERROR(INDEX(TableTECalcPts[PLAYER],MATCH(TableTERanks[[#This Row],[RK]],TableTECalcPts[RK],0)),"")</f>
        <v>Brock Bowers</v>
      </c>
      <c r="X11" t="str">
        <f>IFERROR(INDEX(TableTECalcPts[TM],MATCH(TableTERanks[[#This Row],[RK]],TableTECalcPts[RK],0)),"")</f>
        <v>LV</v>
      </c>
      <c r="Y11">
        <f>IFERROR(INDEX(TableTECalcPts[BYE],MATCH(TableTERanks[[#This Row],[RK]],TableTECalcPts[RK],0)),"")</f>
        <v>10</v>
      </c>
      <c r="Z11" s="57">
        <f>IFERROR(INDEX(TableTECalcPts[Custom],MATCH(TableTERanks[[#This Row],[RK]],TableTECalcPts[RK],0)),"")</f>
        <v>142.6223646861975</v>
      </c>
      <c r="AA11" s="125">
        <f>(((VLOOKUP(TableTERanks[[#This Row],[Player]],'OVR &amp; VORP Ranks'!$W:$AA,5,FALSE)))/('OVR &amp; VORP Ranks'!$BM$6))*(Settings!$E$10*TEAMS)</f>
        <v>4.4599110612072517</v>
      </c>
      <c r="AC11">
        <v>10</v>
      </c>
      <c r="AD11" t="str">
        <f>IFERROR(INDEX(TableDSTCalcPts[PLAYER],MATCH(TableDSTRanks[[#This Row],[RK]],TableDSTCalcPts[RK],0)),"")</f>
        <v>Houston Texans</v>
      </c>
      <c r="AE11">
        <f>IFERROR(INDEX(TableDSTCalcPts[BYE],MATCH(TableDSTRanks[[#This Row],[RK]],TableDSTCalcPts[RK],0)),"")</f>
        <v>14</v>
      </c>
      <c r="AF11" s="57">
        <f>IFERROR(INDEX(TableDSTCalcPts[Custom],MATCH(TableDSTRanks[[#This Row],[RK]],TableDSTCalcPts[RK],0)),"")</f>
        <v>111.77500000000001</v>
      </c>
      <c r="AG11" s="125">
        <v>1</v>
      </c>
    </row>
    <row r="12" spans="1:33" x14ac:dyDescent="0.2">
      <c r="A12">
        <v>11</v>
      </c>
      <c r="B12" t="str">
        <f>IFERROR(INDEX(TableQBCalcPts[PLAYER],MATCH(TableQBRanks[[#This Row],[RK]],TableQBCalcPts[RK],0)),"")</f>
        <v>Trevor Lawrence</v>
      </c>
      <c r="C12" t="str">
        <f>IFERROR(INDEX(TableQBCalcPts[TM],MATCH(TableQBRanks[[#This Row],[RK]],TableQBCalcPts[RK],0)),"")</f>
        <v>JAX</v>
      </c>
      <c r="D12">
        <f>IFERROR(INDEX(TableQBCalcPts[BYE],MATCH(TableQBRanks[[#This Row],[RK]],TableQBCalcPts[RK],0)),"")</f>
        <v>12</v>
      </c>
      <c r="E12" s="57">
        <f>IFERROR(INDEX(TableQBCalcPts[Custom],MATCH(TableQBRanks[[#This Row],[RK]],TableQBCalcPts[RK],0)),"")</f>
        <v>315.36308158044176</v>
      </c>
      <c r="F12" s="125">
        <f>(((VLOOKUP(TableQBRanks[[#This Row],[Player]],'OVR &amp; VORP Ranks'!$B:$F,5,FALSE)))/('OVR &amp; VORP Ranks'!$BM$6))*(Settings!$E$10*TEAMS)</f>
        <v>6.5256879579353839</v>
      </c>
      <c r="H12">
        <v>11</v>
      </c>
      <c r="I12" t="str">
        <f>IFERROR(INDEX(TableRBCalcPts[PLAYER],MATCH(TableRBRanks[[#This Row],[RK]],TableRBCalcPts[RK],0)),"")</f>
        <v>Jahmyr Gibbs</v>
      </c>
      <c r="J12" t="str">
        <f>IFERROR(INDEX(TableRBCalcPts[TM],MATCH(TableRBRanks[[#This Row],[RK]],TableRBCalcPts[RK],0)),"")</f>
        <v>DET</v>
      </c>
      <c r="K12">
        <f>IFERROR(INDEX(TableRBCalcPts[BYE],MATCH(TableRBRanks[[#This Row],[RK]],TableRBCalcPts[RK],0)),"")</f>
        <v>5</v>
      </c>
      <c r="L12" s="57">
        <f>IFERROR(INDEX(TableRBCalcPts[Custom],MATCH(TableRBRanks[[#This Row],[RK]],TableRBCalcPts[RK],0)),"")</f>
        <v>211.62050926422344</v>
      </c>
      <c r="M12" s="125">
        <f>(((VLOOKUP(TableRBRanks[[#This Row],[Player]],'OVR &amp; VORP Ranks'!$I:$M,5,FALSE)))/('OVR &amp; VORP Ranks'!$BM$6))*(Settings!$E$10*TEAMS)</f>
        <v>32.704406243336926</v>
      </c>
      <c r="O12">
        <v>11</v>
      </c>
      <c r="P12" t="str">
        <f>IFERROR(INDEX(TableWRCalcPts[PLAYER],MATCH(TableWRRanks[[#This Row],[RK]],TableWRCalcPts[RK],0)),"")</f>
        <v>Nico Collins</v>
      </c>
      <c r="Q12" t="str">
        <f>IFERROR(INDEX(TableWRCalcPts[TM],MATCH(TableWRRanks[[#This Row],[RK]],TableWRCalcPts[RK],0)),"")</f>
        <v>HOU</v>
      </c>
      <c r="R12">
        <f>IFERROR(INDEX(TableWRCalcPts[BYE],MATCH(TableWRRanks[[#This Row],[RK]],TableWRCalcPts[RK],0)),"")</f>
        <v>14</v>
      </c>
      <c r="S12" s="57">
        <f>IFERROR(INDEX(TableWRCalcPts[Custom],MATCH(TableWRRanks[[#This Row],[RK]],TableWRCalcPts[RK],0)),"")</f>
        <v>206.51868818380797</v>
      </c>
      <c r="T12" s="125">
        <f>(((VLOOKUP(TableWRRanks[[#This Row],[Player]],'OVR &amp; VORP Ranks'!$P:$T,5,FALSE)))/('OVR &amp; VORP Ranks'!$BM$6))*(Settings!$E$10*TEAMS)</f>
        <v>25.837188962272108</v>
      </c>
      <c r="V12">
        <v>11</v>
      </c>
      <c r="W12" t="str">
        <f>IFERROR(INDEX(TableTECalcPts[PLAYER],MATCH(TableTERanks[[#This Row],[RK]],TableTECalcPts[RK],0)),"")</f>
        <v>David Njoku</v>
      </c>
      <c r="X12" t="str">
        <f>IFERROR(INDEX(TableTECalcPts[TM],MATCH(TableTERanks[[#This Row],[RK]],TableTECalcPts[RK],0)),"")</f>
        <v>CLE</v>
      </c>
      <c r="Y12">
        <f>IFERROR(INDEX(TableTECalcPts[BYE],MATCH(TableTERanks[[#This Row],[RK]],TableTECalcPts[RK],0)),"")</f>
        <v>10</v>
      </c>
      <c r="Z12" s="57">
        <f>IFERROR(INDEX(TableTECalcPts[Custom],MATCH(TableTERanks[[#This Row],[RK]],TableTECalcPts[RK],0)),"")</f>
        <v>138.11830343849996</v>
      </c>
      <c r="AA12" s="125">
        <f>(((VLOOKUP(TableTERanks[[#This Row],[Player]],'OVR &amp; VORP Ranks'!$W:$AA,5,FALSE)))/('OVR &amp; VORP Ranks'!$BM$6))*(Settings!$E$10*TEAMS)</f>
        <v>2.6309846353796407</v>
      </c>
      <c r="AC12">
        <v>11</v>
      </c>
      <c r="AD12" t="str">
        <f>IFERROR(INDEX(TableDSTCalcPts[PLAYER],MATCH(TableDSTRanks[[#This Row],[RK]],TableDSTCalcPts[RK],0)),"")</f>
        <v>Miami Dolphins</v>
      </c>
      <c r="AE12">
        <f>IFERROR(INDEX(TableDSTCalcPts[BYE],MATCH(TableDSTRanks[[#This Row],[RK]],TableDSTCalcPts[RK],0)),"")</f>
        <v>6</v>
      </c>
      <c r="AF12" s="57">
        <f>IFERROR(INDEX(TableDSTCalcPts[Custom],MATCH(TableDSTRanks[[#This Row],[RK]],TableDSTCalcPts[RK],0)),"")</f>
        <v>111.72500000000002</v>
      </c>
      <c r="AG12" s="125">
        <v>1</v>
      </c>
    </row>
    <row r="13" spans="1:33" x14ac:dyDescent="0.2">
      <c r="A13">
        <v>12</v>
      </c>
      <c r="B13" t="str">
        <f>IFERROR(INDEX(TableQBCalcPts[PLAYER],MATCH(TableQBRanks[[#This Row],[RK]],TableQBCalcPts[RK],0)),"")</f>
        <v>Brock Purdy</v>
      </c>
      <c r="C13" t="str">
        <f>IFERROR(INDEX(TableQBCalcPts[TM],MATCH(TableQBRanks[[#This Row],[RK]],TableQBCalcPts[RK],0)),"")</f>
        <v>SF</v>
      </c>
      <c r="D13">
        <f>IFERROR(INDEX(TableQBCalcPts[BYE],MATCH(TableQBRanks[[#This Row],[RK]],TableQBCalcPts[RK],0)),"")</f>
        <v>9</v>
      </c>
      <c r="E13" s="57">
        <f>IFERROR(INDEX(TableQBCalcPts[Custom],MATCH(TableQBRanks[[#This Row],[RK]],TableQBCalcPts[RK],0)),"")</f>
        <v>313.75022578782216</v>
      </c>
      <c r="F13" s="125">
        <f>(((VLOOKUP(TableQBRanks[[#This Row],[Player]],'OVR &amp; VORP Ranks'!$B:$F,5,FALSE)))/('OVR &amp; VORP Ranks'!$BM$6))*(Settings!$E$10*TEAMS)</f>
        <v>6.260575511287108</v>
      </c>
      <c r="H13">
        <v>12</v>
      </c>
      <c r="I13" t="str">
        <f>IFERROR(INDEX(TableRBCalcPts[PLAYER],MATCH(TableRBRanks[[#This Row],[RK]],TableRBCalcPts[RK],0)),"")</f>
        <v>Aaron Jones</v>
      </c>
      <c r="J13" t="str">
        <f>IFERROR(INDEX(TableRBCalcPts[TM],MATCH(TableRBRanks[[#This Row],[RK]],TableRBCalcPts[RK],0)),"")</f>
        <v>MIN</v>
      </c>
      <c r="K13">
        <f>IFERROR(INDEX(TableRBCalcPts[BYE],MATCH(TableRBRanks[[#This Row],[RK]],TableRBCalcPts[RK],0)),"")</f>
        <v>6</v>
      </c>
      <c r="L13" s="57">
        <f>IFERROR(INDEX(TableRBCalcPts[Custom],MATCH(TableRBRanks[[#This Row],[RK]],TableRBCalcPts[RK],0)),"")</f>
        <v>211.41095636016271</v>
      </c>
      <c r="M13" s="125">
        <f>(((VLOOKUP(TableRBRanks[[#This Row],[Player]],'OVR &amp; VORP Ranks'!$I:$M,5,FALSE)))/('OVR &amp; VORP Ranks'!$BM$6))*(Settings!$E$10*TEAMS)</f>
        <v>32.62967633172876</v>
      </c>
      <c r="O13">
        <v>12</v>
      </c>
      <c r="P13" t="str">
        <f>IFERROR(INDEX(TableWRCalcPts[PLAYER],MATCH(TableWRRanks[[#This Row],[RK]],TableWRCalcPts[RK],0)),"")</f>
        <v>Rashee Rice</v>
      </c>
      <c r="Q13" t="str">
        <f>IFERROR(INDEX(TableWRCalcPts[TM],MATCH(TableWRRanks[[#This Row],[RK]],TableWRCalcPts[RK],0)),"")</f>
        <v>KC</v>
      </c>
      <c r="R13">
        <f>IFERROR(INDEX(TableWRCalcPts[BYE],MATCH(TableWRRanks[[#This Row],[RK]],TableWRCalcPts[RK],0)),"")</f>
        <v>6</v>
      </c>
      <c r="S13" s="57">
        <f>IFERROR(INDEX(TableWRCalcPts[Custom],MATCH(TableWRRanks[[#This Row],[RK]],TableWRCalcPts[RK],0)),"")</f>
        <v>205.3788457910936</v>
      </c>
      <c r="T13" s="125">
        <f>(((VLOOKUP(TableWRRanks[[#This Row],[Player]],'OVR &amp; VORP Ranks'!$P:$T,5,FALSE)))/('OVR &amp; VORP Ranks'!$BM$6))*(Settings!$E$10*TEAMS)</f>
        <v>25.340552643687506</v>
      </c>
      <c r="V13">
        <v>12</v>
      </c>
      <c r="W13" t="str">
        <f>IFERROR(INDEX(TableTECalcPts[PLAYER],MATCH(TableTERanks[[#This Row],[RK]],TableTECalcPts[RK],0)),"")</f>
        <v>T.J. Hockenson</v>
      </c>
      <c r="X13" t="str">
        <f>IFERROR(INDEX(TableTECalcPts[TM],MATCH(TableTERanks[[#This Row],[RK]],TableTECalcPts[RK],0)),"")</f>
        <v>MIN</v>
      </c>
      <c r="Y13">
        <f>IFERROR(INDEX(TableTECalcPts[BYE],MATCH(TableTERanks[[#This Row],[RK]],TableTECalcPts[RK],0)),"")</f>
        <v>6</v>
      </c>
      <c r="Z13" s="57">
        <f>IFERROR(INDEX(TableTECalcPts[Custom],MATCH(TableTERanks[[#This Row],[RK]],TableTECalcPts[RK],0)),"")</f>
        <v>131.63902916472006</v>
      </c>
      <c r="AA13" s="125">
        <f>(((VLOOKUP(TableTERanks[[#This Row],[Player]],'OVR &amp; VORP Ranks'!$W:$AA,5,FALSE)))/('OVR &amp; VORP Ranks'!$BM$6))*(Settings!$E$10*TEAMS)</f>
        <v>0</v>
      </c>
      <c r="AC13">
        <v>12</v>
      </c>
      <c r="AD13" t="str">
        <f>IFERROR(INDEX(TableDSTCalcPts[PLAYER],MATCH(TableDSTRanks[[#This Row],[RK]],TableDSTCalcPts[RK],0)),"")</f>
        <v>Cincinnati Bengals</v>
      </c>
      <c r="AE13">
        <f>IFERROR(INDEX(TableDSTCalcPts[BYE],MATCH(TableDSTRanks[[#This Row],[RK]],TableDSTCalcPts[RK],0)),"")</f>
        <v>12</v>
      </c>
      <c r="AF13" s="57">
        <f>IFERROR(INDEX(TableDSTCalcPts[Custom],MATCH(TableDSTRanks[[#This Row],[RK]],TableDSTCalcPts[RK],0)),"")</f>
        <v>111.22500000000001</v>
      </c>
      <c r="AG13" s="125">
        <v>0</v>
      </c>
    </row>
    <row r="14" spans="1:33" x14ac:dyDescent="0.2">
      <c r="A14">
        <v>13</v>
      </c>
      <c r="B14" t="str">
        <f>IFERROR(INDEX(TableQBCalcPts[PLAYER],MATCH(TableQBRanks[[#This Row],[RK]],TableQBCalcPts[RK],0)),"")</f>
        <v>Kyler Murray</v>
      </c>
      <c r="C14" t="str">
        <f>IFERROR(INDEX(TableQBCalcPts[TM],MATCH(TableQBRanks[[#This Row],[RK]],TableQBCalcPts[RK],0)),"")</f>
        <v>ARI</v>
      </c>
      <c r="D14">
        <f>IFERROR(INDEX(TableQBCalcPts[BYE],MATCH(TableQBRanks[[#This Row],[RK]],TableQBCalcPts[RK],0)),"")</f>
        <v>11</v>
      </c>
      <c r="E14" s="57">
        <f>IFERROR(INDEX(TableQBCalcPts[Custom],MATCH(TableQBRanks[[#This Row],[RK]],TableQBCalcPts[RK],0)),"")</f>
        <v>308.03397965325968</v>
      </c>
      <c r="F14" s="125">
        <f>(((VLOOKUP(TableQBRanks[[#This Row],[Player]],'OVR &amp; VORP Ranks'!$B:$F,5,FALSE)))/('OVR &amp; VORP Ranks'!$BM$6))*(Settings!$E$10*TEAMS)</f>
        <v>4.9726125981607847</v>
      </c>
      <c r="H14">
        <v>13</v>
      </c>
      <c r="I14" t="str">
        <f>IFERROR(INDEX(TableRBCalcPts[PLAYER],MATCH(TableRBRanks[[#This Row],[RK]],TableRBCalcPts[RK],0)),"")</f>
        <v>Alvin Kamara</v>
      </c>
      <c r="J14" t="str">
        <f>IFERROR(INDEX(TableRBCalcPts[TM],MATCH(TableRBRanks[[#This Row],[RK]],TableRBCalcPts[RK],0)),"")</f>
        <v>NO</v>
      </c>
      <c r="K14">
        <f>IFERROR(INDEX(TableRBCalcPts[BYE],MATCH(TableRBRanks[[#This Row],[RK]],TableRBCalcPts[RK],0)),"")</f>
        <v>12</v>
      </c>
      <c r="L14" s="57">
        <f>IFERROR(INDEX(TableRBCalcPts[Custom],MATCH(TableRBRanks[[#This Row],[RK]],TableRBCalcPts[RK],0)),"")</f>
        <v>208.49750339596642</v>
      </c>
      <c r="M14" s="125">
        <f>(((VLOOKUP(TableRBRanks[[#This Row],[Player]],'OVR &amp; VORP Ranks'!$I:$M,5,FALSE)))/('OVR &amp; VORP Ranks'!$BM$6))*(Settings!$E$10*TEAMS)</f>
        <v>31.590692484357021</v>
      </c>
      <c r="O14">
        <v>13</v>
      </c>
      <c r="P14" t="str">
        <f>IFERROR(INDEX(TableWRCalcPts[PLAYER],MATCH(TableWRRanks[[#This Row],[RK]],TableWRCalcPts[RK],0)),"")</f>
        <v>Jaylen Waddle</v>
      </c>
      <c r="Q14" t="str">
        <f>IFERROR(INDEX(TableWRCalcPts[TM],MATCH(TableWRRanks[[#This Row],[RK]],TableWRCalcPts[RK],0)),"")</f>
        <v>MIA</v>
      </c>
      <c r="R14">
        <f>IFERROR(INDEX(TableWRCalcPts[BYE],MATCH(TableWRRanks[[#This Row],[RK]],TableWRCalcPts[RK],0)),"")</f>
        <v>6</v>
      </c>
      <c r="S14" s="57">
        <f>IFERROR(INDEX(TableWRCalcPts[Custom],MATCH(TableWRRanks[[#This Row],[RK]],TableWRCalcPts[RK],0)),"")</f>
        <v>205.17621580917057</v>
      </c>
      <c r="T14" s="125">
        <f>(((VLOOKUP(TableWRRanks[[#This Row],[Player]],'OVR &amp; VORP Ranks'!$P:$T,5,FALSE)))/('OVR &amp; VORP Ranks'!$BM$6))*(Settings!$E$10*TEAMS)</f>
        <v>25.252265518291626</v>
      </c>
      <c r="V14">
        <v>13</v>
      </c>
      <c r="W14" t="str">
        <f>IFERROR(INDEX(TableTECalcPts[PLAYER],MATCH(TableTERanks[[#This Row],[RK]],TableTECalcPts[RK],0)),"")</f>
        <v>Dallas Goedert</v>
      </c>
      <c r="X14" t="str">
        <f>IFERROR(INDEX(TableTECalcPts[TM],MATCH(TableTERanks[[#This Row],[RK]],TableTECalcPts[RK],0)),"")</f>
        <v>PHI</v>
      </c>
      <c r="Y14">
        <f>IFERROR(INDEX(TableTECalcPts[BYE],MATCH(TableTERanks[[#This Row],[RK]],TableTECalcPts[RK],0)),"")</f>
        <v>5</v>
      </c>
      <c r="Z14" s="57">
        <f>IFERROR(INDEX(TableTECalcPts[Custom],MATCH(TableTERanks[[#This Row],[RK]],TableTECalcPts[RK],0)),"")</f>
        <v>123.25352037647167</v>
      </c>
      <c r="AA14" s="125">
        <f>(((VLOOKUP(TableTERanks[[#This Row],[Player]],'OVR &amp; VORP Ranks'!$W:$AA,5,FALSE)))/('OVR &amp; VORP Ranks'!$BM$6))*(Settings!$E$10*TEAMS)</f>
        <v>-3.4050333184694388</v>
      </c>
      <c r="AC14">
        <v>13</v>
      </c>
      <c r="AD14" t="str">
        <f>IFERROR(INDEX(TableDSTCalcPts[PLAYER],MATCH(TableDSTRanks[[#This Row],[RK]],TableDSTCalcPts[RK],0)),"")</f>
        <v>San Francisco 49ers</v>
      </c>
      <c r="AE14">
        <f>IFERROR(INDEX(TableDSTCalcPts[BYE],MATCH(TableDSTRanks[[#This Row],[RK]],TableDSTCalcPts[RK],0)),"")</f>
        <v>9</v>
      </c>
      <c r="AF14" s="57">
        <f>IFERROR(INDEX(TableDSTCalcPts[Custom],MATCH(TableDSTRanks[[#This Row],[RK]],TableDSTCalcPts[RK],0)),"")</f>
        <v>110.55000000000001</v>
      </c>
      <c r="AG14" s="125">
        <v>0</v>
      </c>
    </row>
    <row r="15" spans="1:33" x14ac:dyDescent="0.2">
      <c r="A15">
        <v>14</v>
      </c>
      <c r="B15" t="str">
        <f>IFERROR(INDEX(TableQBCalcPts[PLAYER],MATCH(TableQBRanks[[#This Row],[RK]],TableQBCalcPts[RK],0)),"")</f>
        <v>Caleb Williams</v>
      </c>
      <c r="C15" t="str">
        <f>IFERROR(INDEX(TableQBCalcPts[TM],MATCH(TableQBRanks[[#This Row],[RK]],TableQBCalcPts[RK],0)),"")</f>
        <v>CHI</v>
      </c>
      <c r="D15">
        <f>IFERROR(INDEX(TableQBCalcPts[BYE],MATCH(TableQBRanks[[#This Row],[RK]],TableQBCalcPts[RK],0)),"")</f>
        <v>7</v>
      </c>
      <c r="E15" s="57">
        <f>IFERROR(INDEX(TableQBCalcPts[Custom],MATCH(TableQBRanks[[#This Row],[RK]],TableQBCalcPts[RK],0)),"")</f>
        <v>307.64374263679053</v>
      </c>
      <c r="F15" s="125">
        <f>(((VLOOKUP(TableQBRanks[[#This Row],[Player]],'OVR &amp; VORP Ranks'!$B:$F,5,FALSE)))/('OVR &amp; VORP Ranks'!$BM$6))*(Settings!$E$10*TEAMS)</f>
        <v>4.6747533396704632</v>
      </c>
      <c r="H15">
        <v>14</v>
      </c>
      <c r="I15" t="str">
        <f>IFERROR(INDEX(TableRBCalcPts[PLAYER],MATCH(TableRBRanks[[#This Row],[RK]],TableRBCalcPts[RK],0)),"")</f>
        <v>De'Von Achane</v>
      </c>
      <c r="J15" t="str">
        <f>IFERROR(INDEX(TableRBCalcPts[TM],MATCH(TableRBRanks[[#This Row],[RK]],TableRBCalcPts[RK],0)),"")</f>
        <v>MIA</v>
      </c>
      <c r="K15">
        <f>IFERROR(INDEX(TableRBCalcPts[BYE],MATCH(TableRBRanks[[#This Row],[RK]],TableRBCalcPts[RK],0)),"")</f>
        <v>6</v>
      </c>
      <c r="L15" s="57">
        <f>IFERROR(INDEX(TableRBCalcPts[Custom],MATCH(TableRBRanks[[#This Row],[RK]],TableRBCalcPts[RK],0)),"")</f>
        <v>206.99043080924</v>
      </c>
      <c r="M15" s="125">
        <f>(((VLOOKUP(TableRBRanks[[#This Row],[Player]],'OVR &amp; VORP Ranks'!$I:$M,5,FALSE)))/('OVR &amp; VORP Ranks'!$BM$6))*(Settings!$E$10*TEAMS)</f>
        <v>31.053246335863104</v>
      </c>
      <c r="O15">
        <v>14</v>
      </c>
      <c r="P15" t="str">
        <f>IFERROR(INDEX(TableWRCalcPts[PLAYER],MATCH(TableWRRanks[[#This Row],[RK]],TableWRCalcPts[RK],0)),"")</f>
        <v>Brandon Aiyuk</v>
      </c>
      <c r="Q15" t="str">
        <f>IFERROR(INDEX(TableWRCalcPts[TM],MATCH(TableWRRanks[[#This Row],[RK]],TableWRCalcPts[RK],0)),"")</f>
        <v>SF</v>
      </c>
      <c r="R15">
        <f>IFERROR(INDEX(TableWRCalcPts[BYE],MATCH(TableWRRanks[[#This Row],[RK]],TableWRCalcPts[RK],0)),"")</f>
        <v>9</v>
      </c>
      <c r="S15" s="57">
        <f>IFERROR(INDEX(TableWRCalcPts[Custom],MATCH(TableWRRanks[[#This Row],[RK]],TableWRCalcPts[RK],0)),"")</f>
        <v>204.932700677376</v>
      </c>
      <c r="T15" s="125">
        <f>(((VLOOKUP(TableWRRanks[[#This Row],[Player]],'OVR &amp; VORP Ranks'!$P:$T,5,FALSE)))/('OVR &amp; VORP Ranks'!$BM$6))*(Settings!$E$10*TEAMS)</f>
        <v>25.146164482440422</v>
      </c>
      <c r="V15">
        <v>14</v>
      </c>
      <c r="W15" t="str">
        <f>IFERROR(INDEX(TableTECalcPts[PLAYER],MATCH(TableTERanks[[#This Row],[RK]],TableTECalcPts[RK],0)),"")</f>
        <v>Chigoziem Okonkwo</v>
      </c>
      <c r="X15" t="str">
        <f>IFERROR(INDEX(TableTECalcPts[TM],MATCH(TableTERanks[[#This Row],[RK]],TableTECalcPts[RK],0)),"")</f>
        <v>TEN</v>
      </c>
      <c r="Y15">
        <f>IFERROR(INDEX(TableTECalcPts[BYE],MATCH(TableTERanks[[#This Row],[RK]],TableTECalcPts[RK],0)),"")</f>
        <v>5</v>
      </c>
      <c r="Z15" s="57">
        <f>IFERROR(INDEX(TableTECalcPts[Custom],MATCH(TableTERanks[[#This Row],[RK]],TableTECalcPts[RK],0)),"")</f>
        <v>110.39226567248875</v>
      </c>
      <c r="AA15" s="125">
        <f>(((VLOOKUP(TableTERanks[[#This Row],[Player]],'OVR &amp; VORP Ranks'!$W:$AA,5,FALSE)))/('OVR &amp; VORP Ranks'!$BM$6))*(Settings!$E$10*TEAMS)</f>
        <v>-8.6274952930792548</v>
      </c>
      <c r="AC15">
        <v>14</v>
      </c>
      <c r="AD15" t="str">
        <f>IFERROR(INDEX(TableDSTCalcPts[PLAYER],MATCH(TableDSTRanks[[#This Row],[RK]],TableDSTCalcPts[RK],0)),"")</f>
        <v>New York Giants</v>
      </c>
      <c r="AE15">
        <f>IFERROR(INDEX(TableDSTCalcPts[BYE],MATCH(TableDSTRanks[[#This Row],[RK]],TableDSTCalcPts[RK],0)),"")</f>
        <v>11</v>
      </c>
      <c r="AF15" s="57">
        <f>IFERROR(INDEX(TableDSTCalcPts[Custom],MATCH(TableDSTRanks[[#This Row],[RK]],TableDSTCalcPts[RK],0)),"")</f>
        <v>110.4</v>
      </c>
      <c r="AG15" s="125">
        <v>0</v>
      </c>
    </row>
    <row r="16" spans="1:33" x14ac:dyDescent="0.2">
      <c r="A16">
        <v>15</v>
      </c>
      <c r="B16" t="str">
        <f>IFERROR(INDEX(TableQBCalcPts[PLAYER],MATCH(TableQBRanks[[#This Row],[RK]],TableQBCalcPts[RK],0)),"")</f>
        <v>Jared Goff</v>
      </c>
      <c r="C16" t="str">
        <f>IFERROR(INDEX(TableQBCalcPts[TM],MATCH(TableQBRanks[[#This Row],[RK]],TableQBCalcPts[RK],0)),"")</f>
        <v>DET</v>
      </c>
      <c r="D16">
        <f>IFERROR(INDEX(TableQBCalcPts[BYE],MATCH(TableQBRanks[[#This Row],[RK]],TableQBCalcPts[RK],0)),"")</f>
        <v>5</v>
      </c>
      <c r="E16" s="57">
        <f>IFERROR(INDEX(TableQBCalcPts[Custom],MATCH(TableQBRanks[[#This Row],[RK]],TableQBCalcPts[RK],0)),"")</f>
        <v>303.18172306147073</v>
      </c>
      <c r="F16" s="125">
        <f>(((VLOOKUP(TableQBRanks[[#This Row],[Player]],'OVR &amp; VORP Ranks'!$B:$F,5,FALSE)))/('OVR &amp; VORP Ranks'!$BM$6))*(Settings!$E$10*TEAMS)</f>
        <v>2.5029566822979472</v>
      </c>
      <c r="H16">
        <v>15</v>
      </c>
      <c r="I16" t="str">
        <f>IFERROR(INDEX(TableRBCalcPts[PLAYER],MATCH(TableRBRanks[[#This Row],[RK]],TableRBCalcPts[RK],0)),"")</f>
        <v>Rachaad White</v>
      </c>
      <c r="J16" t="str">
        <f>IFERROR(INDEX(TableRBCalcPts[TM],MATCH(TableRBRanks[[#This Row],[RK]],TableRBCalcPts[RK],0)),"")</f>
        <v>TB</v>
      </c>
      <c r="K16">
        <f>IFERROR(INDEX(TableRBCalcPts[BYE],MATCH(TableRBRanks[[#This Row],[RK]],TableRBCalcPts[RK],0)),"")</f>
        <v>11</v>
      </c>
      <c r="L16" s="57">
        <f>IFERROR(INDEX(TableRBCalcPts[Custom],MATCH(TableRBRanks[[#This Row],[RK]],TableRBCalcPts[RK],0)),"")</f>
        <v>197.44771324617597</v>
      </c>
      <c r="M16" s="125">
        <f>(((VLOOKUP(TableRBRanks[[#This Row],[Player]],'OVR &amp; VORP Ranks'!$I:$M,5,FALSE)))/('OVR &amp; VORP Ranks'!$BM$6))*(Settings!$E$10*TEAMS)</f>
        <v>27.650160880255211</v>
      </c>
      <c r="O16">
        <v>15</v>
      </c>
      <c r="P16" t="str">
        <f>IFERROR(INDEX(TableWRCalcPts[PLAYER],MATCH(TableWRRanks[[#This Row],[RK]],TableWRCalcPts[RK],0)),"")</f>
        <v>Tee Higgins</v>
      </c>
      <c r="Q16" t="str">
        <f>IFERROR(INDEX(TableWRCalcPts[TM],MATCH(TableWRRanks[[#This Row],[RK]],TableWRCalcPts[RK],0)),"")</f>
        <v>CIN</v>
      </c>
      <c r="R16">
        <f>IFERROR(INDEX(TableWRCalcPts[BYE],MATCH(TableWRRanks[[#This Row],[RK]],TableWRCalcPts[RK],0)),"")</f>
        <v>12</v>
      </c>
      <c r="S16" s="57">
        <f>IFERROR(INDEX(TableWRCalcPts[Custom],MATCH(TableWRRanks[[#This Row],[RK]],TableWRCalcPts[RK],0)),"")</f>
        <v>204.30798894549793</v>
      </c>
      <c r="T16" s="125">
        <f>(((VLOOKUP(TableWRRanks[[#This Row],[Player]],'OVR &amp; VORP Ranks'!$P:$T,5,FALSE)))/('OVR &amp; VORP Ranks'!$BM$6))*(Settings!$E$10*TEAMS)</f>
        <v>24.873973750915066</v>
      </c>
      <c r="V16">
        <v>15</v>
      </c>
      <c r="W16" t="str">
        <f>IFERROR(INDEX(TableTECalcPts[PLAYER],MATCH(TableTERanks[[#This Row],[RK]],TableTECalcPts[RK],0)),"")</f>
        <v>Hunter Henry</v>
      </c>
      <c r="X16" t="str">
        <f>IFERROR(INDEX(TableTECalcPts[TM],MATCH(TableTERanks[[#This Row],[RK]],TableTECalcPts[RK],0)),"")</f>
        <v>NE</v>
      </c>
      <c r="Y16">
        <f>IFERROR(INDEX(TableTECalcPts[BYE],MATCH(TableTERanks[[#This Row],[RK]],TableTECalcPts[RK],0)),"")</f>
        <v>14</v>
      </c>
      <c r="Z16" s="57">
        <f>IFERROR(INDEX(TableTECalcPts[Custom],MATCH(TableTERanks[[#This Row],[RK]],TableTECalcPts[RK],0)),"")</f>
        <v>101.64388453660112</v>
      </c>
      <c r="AA16" s="125">
        <f>(((VLOOKUP(TableTERanks[[#This Row],[Player]],'OVR &amp; VORP Ranks'!$W:$AA,5,FALSE)))/('OVR &amp; VORP Ranks'!$BM$6))*(Settings!$E$10*TEAMS)</f>
        <v>-12.179877146415704</v>
      </c>
      <c r="AC16">
        <v>15</v>
      </c>
      <c r="AD16" t="str">
        <f>IFERROR(INDEX(TableDSTCalcPts[PLAYER],MATCH(TableDSTRanks[[#This Row],[RK]],TableDSTCalcPts[RK],0)),"")</f>
        <v>Los Angeles Chargers</v>
      </c>
      <c r="AE16">
        <f>IFERROR(INDEX(TableDSTCalcPts[BYE],MATCH(TableDSTRanks[[#This Row],[RK]],TableDSTCalcPts[RK],0)),"")</f>
        <v>5</v>
      </c>
      <c r="AF16" s="57">
        <f>IFERROR(INDEX(TableDSTCalcPts[Custom],MATCH(TableDSTRanks[[#This Row],[RK]],TableDSTCalcPts[RK],0)),"")</f>
        <v>109.97499999999999</v>
      </c>
      <c r="AG16" s="125">
        <v>0</v>
      </c>
    </row>
    <row r="17" spans="1:33" x14ac:dyDescent="0.2">
      <c r="A17">
        <v>16</v>
      </c>
      <c r="B17" t="str">
        <f>IFERROR(INDEX(TableQBCalcPts[PLAYER],MATCH(TableQBRanks[[#This Row],[RK]],TableQBCalcPts[RK],0)),"")</f>
        <v>Tua Tagovailoa</v>
      </c>
      <c r="C17" t="str">
        <f>IFERROR(INDEX(TableQBCalcPts[TM],MATCH(TableQBRanks[[#This Row],[RK]],TableQBCalcPts[RK],0)),"")</f>
        <v>MIA</v>
      </c>
      <c r="D17">
        <f>IFERROR(INDEX(TableQBCalcPts[BYE],MATCH(TableQBRanks[[#This Row],[RK]],TableQBCalcPts[RK],0)),"")</f>
        <v>6</v>
      </c>
      <c r="E17" s="57">
        <f>IFERROR(INDEX(TableQBCalcPts[Custom],MATCH(TableQBRanks[[#This Row],[RK]],TableQBCalcPts[RK],0)),"")</f>
        <v>298.29362645876625</v>
      </c>
      <c r="F17" s="125">
        <f>(((VLOOKUP(TableQBRanks[[#This Row],[Player]],'OVR &amp; VORP Ranks'!$B:$F,5,FALSE)))/('OVR &amp; VORP Ranks'!$BM$6))*(Settings!$E$10*TEAMS)</f>
        <v>1.6247426998282082</v>
      </c>
      <c r="H17">
        <v>16</v>
      </c>
      <c r="I17" t="str">
        <f>IFERROR(INDEX(TableRBCalcPts[PLAYER],MATCH(TableRBRanks[[#This Row],[RK]],TableRBCalcPts[RK],0)),"")</f>
        <v>Kenneth Walker</v>
      </c>
      <c r="J17" t="str">
        <f>IFERROR(INDEX(TableRBCalcPts[TM],MATCH(TableRBRanks[[#This Row],[RK]],TableRBCalcPts[RK],0)),"")</f>
        <v>SEA</v>
      </c>
      <c r="K17">
        <f>IFERROR(INDEX(TableRBCalcPts[BYE],MATCH(TableRBRanks[[#This Row],[RK]],TableRBCalcPts[RK],0)),"")</f>
        <v>10</v>
      </c>
      <c r="L17" s="57">
        <f>IFERROR(INDEX(TableRBCalcPts[Custom],MATCH(TableRBRanks[[#This Row],[RK]],TableRBCalcPts[RK],0)),"")</f>
        <v>196.34691268147145</v>
      </c>
      <c r="M17" s="125">
        <f>(((VLOOKUP(TableRBRanks[[#This Row],[Player]],'OVR &amp; VORP Ranks'!$I:$M,5,FALSE)))/('OVR &amp; VORP Ranks'!$BM$6))*(Settings!$E$10*TEAMS)</f>
        <v>27.257597821932013</v>
      </c>
      <c r="O17">
        <v>16</v>
      </c>
      <c r="P17" t="str">
        <f>IFERROR(INDEX(TableWRCalcPts[PLAYER],MATCH(TableWRRanks[[#This Row],[RK]],TableWRCalcPts[RK],0)),"")</f>
        <v>DeVonta Smith</v>
      </c>
      <c r="Q17" t="str">
        <f>IFERROR(INDEX(TableWRCalcPts[TM],MATCH(TableWRRanks[[#This Row],[RK]],TableWRCalcPts[RK],0)),"")</f>
        <v>PHI</v>
      </c>
      <c r="R17">
        <f>IFERROR(INDEX(TableWRCalcPts[BYE],MATCH(TableWRRanks[[#This Row],[RK]],TableWRCalcPts[RK],0)),"")</f>
        <v>5</v>
      </c>
      <c r="S17" s="57">
        <f>IFERROR(INDEX(TableWRCalcPts[Custom],MATCH(TableWRRanks[[#This Row],[RK]],TableWRCalcPts[RK],0)),"")</f>
        <v>200.62046472114179</v>
      </c>
      <c r="T17" s="125">
        <f>(((VLOOKUP(TableWRRanks[[#This Row],[Player]],'OVR &amp; VORP Ranks'!$P:$T,5,FALSE)))/('OVR &amp; VORP Ranks'!$BM$6))*(Settings!$E$10*TEAMS)</f>
        <v>23.267296839105647</v>
      </c>
      <c r="V17">
        <v>16</v>
      </c>
      <c r="W17" t="str">
        <f>IFERROR(INDEX(TableTECalcPts[PLAYER],MATCH(TableTERanks[[#This Row],[RK]],TableTECalcPts[RK],0)),"")</f>
        <v>Cole Kmet</v>
      </c>
      <c r="X17" t="str">
        <f>IFERROR(INDEX(TableTECalcPts[TM],MATCH(TableTERanks[[#This Row],[RK]],TableTECalcPts[RK],0)),"")</f>
        <v>CHI</v>
      </c>
      <c r="Y17">
        <f>IFERROR(INDEX(TableTECalcPts[BYE],MATCH(TableTERanks[[#This Row],[RK]],TableTECalcPts[RK],0)),"")</f>
        <v>7</v>
      </c>
      <c r="Z17" s="57">
        <f>IFERROR(INDEX(TableTECalcPts[Custom],MATCH(TableTERanks[[#This Row],[RK]],TableTECalcPts[RK],0)),"")</f>
        <v>99.558300157164425</v>
      </c>
      <c r="AA17" s="125">
        <f>(((VLOOKUP(TableTERanks[[#This Row],[Player]],'OVR &amp; VORP Ranks'!$W:$AA,5,FALSE)))/('OVR &amp; VORP Ranks'!$BM$6))*(Settings!$E$10*TEAMS)</f>
        <v>-13.02675292697818</v>
      </c>
      <c r="AC17">
        <v>16</v>
      </c>
      <c r="AD17" t="str">
        <f>IFERROR(INDEX(TableDSTCalcPts[PLAYER],MATCH(TableDSTRanks[[#This Row],[RK]],TableDSTCalcPts[RK],0)),"")</f>
        <v>Tampa Bay Buccaneers</v>
      </c>
      <c r="AE17">
        <f>IFERROR(INDEX(TableDSTCalcPts[BYE],MATCH(TableDSTRanks[[#This Row],[RK]],TableDSTCalcPts[RK],0)),"")</f>
        <v>11</v>
      </c>
      <c r="AF17" s="57">
        <f>IFERROR(INDEX(TableDSTCalcPts[Custom],MATCH(TableDSTRanks[[#This Row],[RK]],TableDSTCalcPts[RK],0)),"")</f>
        <v>109.27499999999999</v>
      </c>
      <c r="AG17" s="125">
        <v>0</v>
      </c>
    </row>
    <row r="18" spans="1:33" x14ac:dyDescent="0.2">
      <c r="A18">
        <v>17</v>
      </c>
      <c r="B18" t="str">
        <f>IFERROR(INDEX(TableQBCalcPts[PLAYER],MATCH(TableQBRanks[[#This Row],[RK]],TableQBCalcPts[RK],0)),"")</f>
        <v>Aaron Rodgers</v>
      </c>
      <c r="C18" t="str">
        <f>IFERROR(INDEX(TableQBCalcPts[TM],MATCH(TableQBRanks[[#This Row],[RK]],TableQBCalcPts[RK],0)),"")</f>
        <v>NYJ</v>
      </c>
      <c r="D18">
        <f>IFERROR(INDEX(TableQBCalcPts[BYE],MATCH(TableQBRanks[[#This Row],[RK]],TableQBCalcPts[RK],0)),"")</f>
        <v>12</v>
      </c>
      <c r="E18" s="57">
        <f>IFERROR(INDEX(TableQBCalcPts[Custom],MATCH(TableQBRanks[[#This Row],[RK]],TableQBCalcPts[RK],0)),"")</f>
        <v>295.18043126391552</v>
      </c>
      <c r="F18" s="125">
        <f>(((VLOOKUP(TableQBRanks[[#This Row],[Player]],'OVR &amp; VORP Ranks'!$B:$F,5,FALSE)))/('OVR &amp; VORP Ranks'!$BM$6))*(Settings!$E$10*TEAMS)</f>
        <v>1.1114353881118684</v>
      </c>
      <c r="H18">
        <v>17</v>
      </c>
      <c r="I18" t="str">
        <f>IFERROR(INDEX(TableRBCalcPts[PLAYER],MATCH(TableRBRanks[[#This Row],[RK]],TableRBCalcPts[RK],0)),"")</f>
        <v>Travis Etienne</v>
      </c>
      <c r="J18" t="str">
        <f>IFERROR(INDEX(TableRBCalcPts[TM],MATCH(TableRBRanks[[#This Row],[RK]],TableRBCalcPts[RK],0)),"")</f>
        <v>JAX</v>
      </c>
      <c r="K18">
        <f>IFERROR(INDEX(TableRBCalcPts[BYE],MATCH(TableRBRanks[[#This Row],[RK]],TableRBCalcPts[RK],0)),"")</f>
        <v>12</v>
      </c>
      <c r="L18" s="57">
        <f>IFERROR(INDEX(TableRBCalcPts[Custom],MATCH(TableRBRanks[[#This Row],[RK]],TableRBCalcPts[RK],0)),"")</f>
        <v>195.93259725063314</v>
      </c>
      <c r="M18" s="125">
        <f>(((VLOOKUP(TableRBRanks[[#This Row],[Player]],'OVR &amp; VORP Ranks'!$I:$M,5,FALSE)))/('OVR &amp; VORP Ranks'!$BM$6))*(Settings!$E$10*TEAMS)</f>
        <v>27.10984632374484</v>
      </c>
      <c r="O18">
        <v>17</v>
      </c>
      <c r="P18" t="str">
        <f>IFERROR(INDEX(TableWRCalcPts[PLAYER],MATCH(TableWRRanks[[#This Row],[RK]],TableWRCalcPts[RK],0)),"")</f>
        <v>Drake London</v>
      </c>
      <c r="Q18" t="str">
        <f>IFERROR(INDEX(TableWRCalcPts[TM],MATCH(TableWRRanks[[#This Row],[RK]],TableWRCalcPts[RK],0)),"")</f>
        <v>ATL</v>
      </c>
      <c r="R18">
        <f>IFERROR(INDEX(TableWRCalcPts[BYE],MATCH(TableWRRanks[[#This Row],[RK]],TableWRCalcPts[RK],0)),"")</f>
        <v>12</v>
      </c>
      <c r="S18" s="57">
        <f>IFERROR(INDEX(TableWRCalcPts[Custom],MATCH(TableWRRanks[[#This Row],[RK]],TableWRCalcPts[RK],0)),"")</f>
        <v>198.04928813429765</v>
      </c>
      <c r="T18" s="125">
        <f>(((VLOOKUP(TableWRRanks[[#This Row],[Player]],'OVR &amp; VORP Ranks'!$P:$T,5,FALSE)))/('OVR &amp; VORP Ranks'!$BM$6))*(Settings!$E$10*TEAMS)</f>
        <v>22.147019436998896</v>
      </c>
      <c r="V18">
        <v>17</v>
      </c>
      <c r="W18" t="str">
        <f>IFERROR(INDEX(TableTECalcPts[PLAYER],MATCH(TableTERanks[[#This Row],[RK]],TableTECalcPts[RK],0)),"")</f>
        <v>Dalton Schultz</v>
      </c>
      <c r="X18" t="str">
        <f>IFERROR(INDEX(TableTECalcPts[TM],MATCH(TableTERanks[[#This Row],[RK]],TableTECalcPts[RK],0)),"")</f>
        <v>HOU</v>
      </c>
      <c r="Y18">
        <f>IFERROR(INDEX(TableTECalcPts[BYE],MATCH(TableTERanks[[#This Row],[RK]],TableTECalcPts[RK],0)),"")</f>
        <v>14</v>
      </c>
      <c r="Z18" s="57">
        <f>IFERROR(INDEX(TableTECalcPts[Custom],MATCH(TableTERanks[[#This Row],[RK]],TableTECalcPts[RK],0)),"")</f>
        <v>98.459944410737833</v>
      </c>
      <c r="AA18" s="125">
        <f>(((VLOOKUP(TableTERanks[[#This Row],[Player]],'OVR &amp; VORP Ranks'!$W:$AA,5,FALSE)))/('OVR &amp; VORP Ranks'!$BM$6))*(Settings!$E$10*TEAMS)</f>
        <v>-13.472753045343824</v>
      </c>
      <c r="AC18">
        <v>17</v>
      </c>
      <c r="AD18" t="str">
        <f>IFERROR(INDEX(TableDSTCalcPts[PLAYER],MATCH(TableDSTRanks[[#This Row],[RK]],TableDSTCalcPts[RK],0)),"")</f>
        <v>Washington Commanders</v>
      </c>
      <c r="AE18">
        <f>IFERROR(INDEX(TableDSTCalcPts[BYE],MATCH(TableDSTRanks[[#This Row],[RK]],TableDSTCalcPts[RK],0)),"")</f>
        <v>14</v>
      </c>
      <c r="AF18" s="57">
        <f>IFERROR(INDEX(TableDSTCalcPts[Custom],MATCH(TableDSTRanks[[#This Row],[RK]],TableDSTCalcPts[RK],0)),"")</f>
        <v>108.67500000000001</v>
      </c>
      <c r="AG18" s="125">
        <v>0</v>
      </c>
    </row>
    <row r="19" spans="1:33" x14ac:dyDescent="0.2">
      <c r="A19">
        <v>18</v>
      </c>
      <c r="B19" t="str">
        <f>IFERROR(INDEX(TableQBCalcPts[PLAYER],MATCH(TableQBRanks[[#This Row],[RK]],TableQBCalcPts[RK],0)),"")</f>
        <v>Kirk Cousins</v>
      </c>
      <c r="C19" t="str">
        <f>IFERROR(INDEX(TableQBCalcPts[TM],MATCH(TableQBRanks[[#This Row],[RK]],TableQBCalcPts[RK],0)),"")</f>
        <v>ATL</v>
      </c>
      <c r="D19">
        <f>IFERROR(INDEX(TableQBCalcPts[BYE],MATCH(TableQBRanks[[#This Row],[RK]],TableQBCalcPts[RK],0)),"")</f>
        <v>12</v>
      </c>
      <c r="E19" s="57">
        <f>IFERROR(INDEX(TableQBCalcPts[Custom],MATCH(TableQBRanks[[#This Row],[RK]],TableQBCalcPts[RK],0)),"")</f>
        <v>292.72218406002816</v>
      </c>
      <c r="F19" s="125">
        <f>(((VLOOKUP(TableQBRanks[[#This Row],[Player]],'OVR &amp; VORP Ranks'!$B:$F,5,FALSE)))/('OVR &amp; VORP Ranks'!$BM$6))*(Settings!$E$10*TEAMS)</f>
        <v>0.39942311438595435</v>
      </c>
      <c r="H19">
        <v>18</v>
      </c>
      <c r="I19" t="str">
        <f>IFERROR(INDEX(TableRBCalcPts[PLAYER],MATCH(TableRBRanks[[#This Row],[RK]],TableRBCalcPts[RK],0)),"")</f>
        <v>James Cook</v>
      </c>
      <c r="J19" t="str">
        <f>IFERROR(INDEX(TableRBCalcPts[TM],MATCH(TableRBRanks[[#This Row],[RK]],TableRBCalcPts[RK],0)),"")</f>
        <v>BUF</v>
      </c>
      <c r="K19">
        <f>IFERROR(INDEX(TableRBCalcPts[BYE],MATCH(TableRBRanks[[#This Row],[RK]],TableRBCalcPts[RK],0)),"")</f>
        <v>12</v>
      </c>
      <c r="L19" s="57">
        <f>IFERROR(INDEX(TableRBCalcPts[Custom],MATCH(TableRBRanks[[#This Row],[RK]],TableRBCalcPts[RK],0)),"")</f>
        <v>193.69430971828919</v>
      </c>
      <c r="M19" s="125">
        <f>(((VLOOKUP(TableRBRanks[[#This Row],[Player]],'OVR &amp; VORP Ranks'!$I:$M,5,FALSE)))/('OVR &amp; VORP Ranks'!$BM$6))*(Settings!$E$10*TEAMS)</f>
        <v>26.3116372500245</v>
      </c>
      <c r="O19">
        <v>18</v>
      </c>
      <c r="P19" t="str">
        <f>IFERROR(INDEX(TableWRCalcPts[PLAYER],MATCH(TableWRRanks[[#This Row],[RK]],TableWRCalcPts[RK],0)),"")</f>
        <v>DK Metcalf</v>
      </c>
      <c r="Q19" t="str">
        <f>IFERROR(INDEX(TableWRCalcPts[TM],MATCH(TableWRRanks[[#This Row],[RK]],TableWRCalcPts[RK],0)),"")</f>
        <v>SEA</v>
      </c>
      <c r="R19">
        <f>IFERROR(INDEX(TableWRCalcPts[BYE],MATCH(TableWRRanks[[#This Row],[RK]],TableWRCalcPts[RK],0)),"")</f>
        <v>10</v>
      </c>
      <c r="S19" s="57">
        <f>IFERROR(INDEX(TableWRCalcPts[Custom],MATCH(TableWRRanks[[#This Row],[RK]],TableWRCalcPts[RK],0)),"")</f>
        <v>196.75593147513993</v>
      </c>
      <c r="T19" s="125">
        <f>(((VLOOKUP(TableWRRanks[[#This Row],[Player]],'OVR &amp; VORP Ranks'!$P:$T,5,FALSE)))/('OVR &amp; VORP Ranks'!$BM$6))*(Settings!$E$10*TEAMS)</f>
        <v>21.583496011368652</v>
      </c>
      <c r="V19">
        <v>18</v>
      </c>
      <c r="W19" t="str">
        <f>IFERROR(INDEX(TableTECalcPts[PLAYER],MATCH(TableTERanks[[#This Row],[RK]],TableTECalcPts[RK],0)),"")</f>
        <v>Mike Gesicki</v>
      </c>
      <c r="X19" t="str">
        <f>IFERROR(INDEX(TableTECalcPts[TM],MATCH(TableTERanks[[#This Row],[RK]],TableTECalcPts[RK],0)),"")</f>
        <v>CIN</v>
      </c>
      <c r="Y19">
        <f>IFERROR(INDEX(TableTECalcPts[BYE],MATCH(TableTERanks[[#This Row],[RK]],TableTECalcPts[RK],0)),"")</f>
        <v>12</v>
      </c>
      <c r="Z19" s="57">
        <f>IFERROR(INDEX(TableTECalcPts[Custom],MATCH(TableTERanks[[#This Row],[RK]],TableTECalcPts[RK],0)),"")</f>
        <v>96.879813101035438</v>
      </c>
      <c r="AA19" s="125">
        <f>(((VLOOKUP(TableTERanks[[#This Row],[Player]],'OVR &amp; VORP Ranks'!$W:$AA,5,FALSE)))/('OVR &amp; VORP Ranks'!$BM$6))*(Settings!$E$10*TEAMS)</f>
        <v>-14.114383731442869</v>
      </c>
      <c r="AC19">
        <v>18</v>
      </c>
      <c r="AD19" t="str">
        <f>IFERROR(INDEX(TableDSTCalcPts[PLAYER],MATCH(TableDSTRanks[[#This Row],[RK]],TableDSTCalcPts[RK],0)),"")</f>
        <v>Green Bay Packers</v>
      </c>
      <c r="AE19">
        <f>IFERROR(INDEX(TableDSTCalcPts[BYE],MATCH(TableDSTRanks[[#This Row],[RK]],TableDSTCalcPts[RK],0)),"")</f>
        <v>10</v>
      </c>
      <c r="AF19" s="57">
        <f>IFERROR(INDEX(TableDSTCalcPts[Custom],MATCH(TableDSTRanks[[#This Row],[RK]],TableDSTCalcPts[RK],0)),"")</f>
        <v>106.97499999999999</v>
      </c>
      <c r="AG19" s="125">
        <v>0</v>
      </c>
    </row>
    <row r="20" spans="1:33" x14ac:dyDescent="0.2">
      <c r="A20">
        <v>19</v>
      </c>
      <c r="B20" t="str">
        <f>IFERROR(INDEX(TableQBCalcPts[PLAYER],MATCH(TableQBRanks[[#This Row],[RK]],TableQBCalcPts[RK],0)),"")</f>
        <v>Deshaun Watson</v>
      </c>
      <c r="C20" t="str">
        <f>IFERROR(INDEX(TableQBCalcPts[TM],MATCH(TableQBRanks[[#This Row],[RK]],TableQBCalcPts[RK],0)),"")</f>
        <v>CLE</v>
      </c>
      <c r="D20">
        <f>IFERROR(INDEX(TableQBCalcPts[BYE],MATCH(TableQBRanks[[#This Row],[RK]],TableQBCalcPts[RK],0)),"")</f>
        <v>10</v>
      </c>
      <c r="E20" s="57">
        <f>IFERROR(INDEX(TableQBCalcPts[Custom],MATCH(TableQBRanks[[#This Row],[RK]],TableQBCalcPts[RK],0)),"")</f>
        <v>292.12616760278985</v>
      </c>
      <c r="F20" s="125">
        <f>(((VLOOKUP(TableQBRanks[[#This Row],[Player]],'OVR &amp; VORP Ranks'!$B:$F,5,FALSE)))/('OVR &amp; VORP Ranks'!$BM$6))*(Settings!$E$10*TEAMS)</f>
        <v>7.9450336512538813E-2</v>
      </c>
      <c r="H20">
        <v>19</v>
      </c>
      <c r="I20" t="str">
        <f>IFERROR(INDEX(TableRBCalcPts[PLAYER],MATCH(TableRBRanks[[#This Row],[RK]],TableRBCalcPts[RK],0)),"")</f>
        <v>Zamir White</v>
      </c>
      <c r="J20" t="str">
        <f>IFERROR(INDEX(TableRBCalcPts[TM],MATCH(TableRBRanks[[#This Row],[RK]],TableRBCalcPts[RK],0)),"")</f>
        <v>LV</v>
      </c>
      <c r="K20">
        <f>IFERROR(INDEX(TableRBCalcPts[BYE],MATCH(TableRBRanks[[#This Row],[RK]],TableRBCalcPts[RK],0)),"")</f>
        <v>10</v>
      </c>
      <c r="L20" s="57">
        <f>IFERROR(INDEX(TableRBCalcPts[Custom],MATCH(TableRBRanks[[#This Row],[RK]],TableRBCalcPts[RK],0)),"")</f>
        <v>192.23347940104071</v>
      </c>
      <c r="M20" s="125">
        <f>(((VLOOKUP(TableRBRanks[[#This Row],[Player]],'OVR &amp; VORP Ranks'!$I:$M,5,FALSE)))/('OVR &amp; VORP Ranks'!$BM$6))*(Settings!$E$10*TEAMS)</f>
        <v>25.790681833196349</v>
      </c>
      <c r="O20">
        <v>19</v>
      </c>
      <c r="P20" t="str">
        <f>IFERROR(INDEX(TableWRCalcPts[PLAYER],MATCH(TableWRRanks[[#This Row],[RK]],TableWRCalcPts[RK],0)),"")</f>
        <v>Terry McLaurin</v>
      </c>
      <c r="Q20" t="str">
        <f>IFERROR(INDEX(TableWRCalcPts[TM],MATCH(TableWRRanks[[#This Row],[RK]],TableWRCalcPts[RK],0)),"")</f>
        <v>WSH</v>
      </c>
      <c r="R20">
        <f>IFERROR(INDEX(TableWRCalcPts[BYE],MATCH(TableWRRanks[[#This Row],[RK]],TableWRCalcPts[RK],0)),"")</f>
        <v>14</v>
      </c>
      <c r="S20" s="57">
        <f>IFERROR(INDEX(TableWRCalcPts[Custom],MATCH(TableWRRanks[[#This Row],[RK]],TableWRCalcPts[RK],0)),"")</f>
        <v>196.63586376487206</v>
      </c>
      <c r="T20" s="125">
        <f>(((VLOOKUP(TableWRRanks[[#This Row],[Player]],'OVR &amp; VORP Ranks'!$P:$T,5,FALSE)))/('OVR &amp; VORP Ranks'!$BM$6))*(Settings!$E$10*TEAMS)</f>
        <v>21.531181773900851</v>
      </c>
      <c r="V20">
        <v>19</v>
      </c>
      <c r="W20" t="str">
        <f>IFERROR(INDEX(TableTECalcPts[PLAYER],MATCH(TableTERanks[[#This Row],[RK]],TableTECalcPts[RK],0)),"")</f>
        <v>Luke Musgrave</v>
      </c>
      <c r="X20" t="str">
        <f>IFERROR(INDEX(TableTECalcPts[TM],MATCH(TableTERanks[[#This Row],[RK]],TableTECalcPts[RK],0)),"")</f>
        <v>GB</v>
      </c>
      <c r="Y20">
        <f>IFERROR(INDEX(TableTECalcPts[BYE],MATCH(TableTERanks[[#This Row],[RK]],TableTECalcPts[RK],0)),"")</f>
        <v>10</v>
      </c>
      <c r="Z20" s="57">
        <f>IFERROR(INDEX(TableTECalcPts[Custom],MATCH(TableTERanks[[#This Row],[RK]],TableTECalcPts[RK],0)),"")</f>
        <v>95.806678079854066</v>
      </c>
      <c r="AA20" s="125">
        <f>(((VLOOKUP(TableTERanks[[#This Row],[Player]],'OVR &amp; VORP Ranks'!$W:$AA,5,FALSE)))/('OVR &amp; VORP Ranks'!$BM$6))*(Settings!$E$10*TEAMS)</f>
        <v>-14.550142681151426</v>
      </c>
      <c r="AC20">
        <v>19</v>
      </c>
      <c r="AD20" t="str">
        <f>IFERROR(INDEX(TableDSTCalcPts[PLAYER],MATCH(TableDSTRanks[[#This Row],[RK]],TableDSTCalcPts[RK],0)),"")</f>
        <v>Seattle Seahawks</v>
      </c>
      <c r="AE20">
        <f>IFERROR(INDEX(TableDSTCalcPts[BYE],MATCH(TableDSTRanks[[#This Row],[RK]],TableDSTCalcPts[RK],0)),"")</f>
        <v>10</v>
      </c>
      <c r="AF20" s="57">
        <f>IFERROR(INDEX(TableDSTCalcPts[Custom],MATCH(TableDSTRanks[[#This Row],[RK]],TableDSTCalcPts[RK],0)),"")</f>
        <v>106.5</v>
      </c>
      <c r="AG20" s="125">
        <v>0</v>
      </c>
    </row>
    <row r="21" spans="1:33" x14ac:dyDescent="0.2">
      <c r="A21">
        <v>20</v>
      </c>
      <c r="B21" t="str">
        <f>IFERROR(INDEX(TableQBCalcPts[PLAYER],MATCH(TableQBRanks[[#This Row],[RK]],TableQBCalcPts[RK],0)),"")</f>
        <v>Matthew Stafford</v>
      </c>
      <c r="C21" t="str">
        <f>IFERROR(INDEX(TableQBCalcPts[TM],MATCH(TableQBRanks[[#This Row],[RK]],TableQBCalcPts[RK],0)),"")</f>
        <v>LAR</v>
      </c>
      <c r="D21">
        <f>IFERROR(INDEX(TableQBCalcPts[BYE],MATCH(TableQBRanks[[#This Row],[RK]],TableQBCalcPts[RK],0)),"")</f>
        <v>6</v>
      </c>
      <c r="E21" s="57">
        <f>IFERROR(INDEX(TableQBCalcPts[Custom],MATCH(TableQBRanks[[#This Row],[RK]],TableQBCalcPts[RK],0)),"")</f>
        <v>286.98529196689174</v>
      </c>
      <c r="F21" s="125">
        <f>(((VLOOKUP(TableQBRanks[[#This Row],[Player]],'OVR &amp; VORP Ranks'!$B:$F,5,FALSE)))/('OVR &amp; VORP Ranks'!$BM$6))*(Settings!$E$10*TEAMS)</f>
        <v>-0.73701750536389943</v>
      </c>
      <c r="H21">
        <v>20</v>
      </c>
      <c r="I21" t="str">
        <f>IFERROR(INDEX(TableRBCalcPts[PLAYER],MATCH(TableRBRanks[[#This Row],[RK]],TableRBCalcPts[RK],0)),"")</f>
        <v>James Conner</v>
      </c>
      <c r="J21" t="str">
        <f>IFERROR(INDEX(TableRBCalcPts[TM],MATCH(TableRBRanks[[#This Row],[RK]],TableRBCalcPts[RK],0)),"")</f>
        <v>ARI</v>
      </c>
      <c r="K21">
        <f>IFERROR(INDEX(TableRBCalcPts[BYE],MATCH(TableRBRanks[[#This Row],[RK]],TableRBCalcPts[RK],0)),"")</f>
        <v>11</v>
      </c>
      <c r="L21" s="57">
        <f>IFERROR(INDEX(TableRBCalcPts[Custom],MATCH(TableRBRanks[[#This Row],[RK]],TableRBCalcPts[RK],0)),"")</f>
        <v>191.74352001145337</v>
      </c>
      <c r="M21" s="125">
        <f>(((VLOOKUP(TableRBRanks[[#This Row],[Player]],'OVR &amp; VORP Ranks'!$I:$M,5,FALSE)))/('OVR &amp; VORP Ranks'!$BM$6))*(Settings!$E$10*TEAMS)</f>
        <v>25.615954491480093</v>
      </c>
      <c r="O21">
        <v>20</v>
      </c>
      <c r="P21" t="str">
        <f>IFERROR(INDEX(TableWRCalcPts[PLAYER],MATCH(TableWRRanks[[#This Row],[RK]],TableWRCalcPts[RK],0)),"")</f>
        <v>Marvin Harrison</v>
      </c>
      <c r="Q21" t="str">
        <f>IFERROR(INDEX(TableWRCalcPts[TM],MATCH(TableWRRanks[[#This Row],[RK]],TableWRCalcPts[RK],0)),"")</f>
        <v>ARI</v>
      </c>
      <c r="R21">
        <f>IFERROR(INDEX(TableWRCalcPts[BYE],MATCH(TableWRRanks[[#This Row],[RK]],TableWRCalcPts[RK],0)),"")</f>
        <v>11</v>
      </c>
      <c r="S21" s="57">
        <f>IFERROR(INDEX(TableWRCalcPts[Custom],MATCH(TableWRRanks[[#This Row],[RK]],TableWRCalcPts[RK],0)),"")</f>
        <v>196.12822049057965</v>
      </c>
      <c r="T21" s="125">
        <f>(((VLOOKUP(TableWRRanks[[#This Row],[Player]],'OVR &amp; VORP Ranks'!$P:$T,5,FALSE)))/('OVR &amp; VORP Ranks'!$BM$6))*(Settings!$E$10*TEAMS)</f>
        <v>21.30999848706201</v>
      </c>
      <c r="V21">
        <v>20</v>
      </c>
      <c r="W21" t="str">
        <f>IFERROR(INDEX(TableTECalcPts[PLAYER],MATCH(TableTERanks[[#This Row],[RK]],TableTECalcPts[RK],0)),"")</f>
        <v>Cade Otton</v>
      </c>
      <c r="X21" t="str">
        <f>IFERROR(INDEX(TableTECalcPts[TM],MATCH(TableTERanks[[#This Row],[RK]],TableTECalcPts[RK],0)),"")</f>
        <v>TB</v>
      </c>
      <c r="Y21">
        <f>IFERROR(INDEX(TableTECalcPts[BYE],MATCH(TableTERanks[[#This Row],[RK]],TableTECalcPts[RK],0)),"")</f>
        <v>11</v>
      </c>
      <c r="Z21" s="57">
        <f>IFERROR(INDEX(TableTECalcPts[Custom],MATCH(TableTERanks[[#This Row],[RK]],TableTECalcPts[RK],0)),"")</f>
        <v>93.69854319917674</v>
      </c>
      <c r="AA21" s="125">
        <f>(((VLOOKUP(TableTERanks[[#This Row],[Player]],'OVR &amp; VORP Ranks'!$W:$AA,5,FALSE)))/('OVR &amp; VORP Ranks'!$BM$6))*(Settings!$E$10*TEAMS)</f>
        <v>-15.406175354874652</v>
      </c>
      <c r="AC21">
        <v>20</v>
      </c>
      <c r="AD21" t="str">
        <f>IFERROR(INDEX(TableDSTCalcPts[PLAYER],MATCH(TableDSTRanks[[#This Row],[RK]],TableDSTCalcPts[RK],0)),"")</f>
        <v>Minnesota Vikings</v>
      </c>
      <c r="AE21">
        <f>IFERROR(INDEX(TableDSTCalcPts[BYE],MATCH(TableDSTRanks[[#This Row],[RK]],TableDSTCalcPts[RK],0)),"")</f>
        <v>6</v>
      </c>
      <c r="AF21" s="57">
        <f>IFERROR(INDEX(TableDSTCalcPts[Custom],MATCH(TableDSTRanks[[#This Row],[RK]],TableDSTCalcPts[RK],0)),"")</f>
        <v>106.425</v>
      </c>
      <c r="AG21" s="125">
        <v>0</v>
      </c>
    </row>
    <row r="22" spans="1:33" x14ac:dyDescent="0.2">
      <c r="A22">
        <v>21</v>
      </c>
      <c r="B22" t="str">
        <f>IFERROR(INDEX(TableQBCalcPts[PLAYER],MATCH(TableQBRanks[[#This Row],[RK]],TableQBCalcPts[RK],0)),"")</f>
        <v>Baker Mayfield</v>
      </c>
      <c r="C22" t="str">
        <f>IFERROR(INDEX(TableQBCalcPts[TM],MATCH(TableQBRanks[[#This Row],[RK]],TableQBCalcPts[RK],0)),"")</f>
        <v>TB</v>
      </c>
      <c r="D22">
        <f>IFERROR(INDEX(TableQBCalcPts[BYE],MATCH(TableQBRanks[[#This Row],[RK]],TableQBCalcPts[RK],0)),"")</f>
        <v>11</v>
      </c>
      <c r="E22" s="57">
        <f>IFERROR(INDEX(TableQBCalcPts[Custom],MATCH(TableQBRanks[[#This Row],[RK]],TableQBCalcPts[RK],0)),"")</f>
        <v>279.41011934295392</v>
      </c>
      <c r="F22" s="125">
        <f>(((VLOOKUP(TableQBRanks[[#This Row],[Player]],'OVR &amp; VORP Ranks'!$B:$F,5,FALSE)))/('OVR &amp; VORP Ranks'!$BM$6))*(Settings!$E$10*TEAMS)</f>
        <v>-2.3006930975113717</v>
      </c>
      <c r="H22">
        <v>21</v>
      </c>
      <c r="I22" t="str">
        <f>IFERROR(INDEX(TableRBCalcPts[PLAYER],MATCH(TableRBRanks[[#This Row],[RK]],TableRBCalcPts[RK],0)),"")</f>
        <v>D'Andre Swift</v>
      </c>
      <c r="J22" t="str">
        <f>IFERROR(INDEX(TableRBCalcPts[TM],MATCH(TableRBRanks[[#This Row],[RK]],TableRBCalcPts[RK],0)),"")</f>
        <v>CHI</v>
      </c>
      <c r="K22">
        <f>IFERROR(INDEX(TableRBCalcPts[BYE],MATCH(TableRBRanks[[#This Row],[RK]],TableRBCalcPts[RK],0)),"")</f>
        <v>7</v>
      </c>
      <c r="L22" s="57">
        <f>IFERROR(INDEX(TableRBCalcPts[Custom],MATCH(TableRBRanks[[#This Row],[RK]],TableRBCalcPts[RK],0)),"")</f>
        <v>188.77453535321337</v>
      </c>
      <c r="M22" s="125">
        <f>(((VLOOKUP(TableRBRanks[[#This Row],[Player]],'OVR &amp; VORP Ranks'!$I:$M,5,FALSE)))/('OVR &amp; VORP Ranks'!$BM$6))*(Settings!$E$10*TEAMS)</f>
        <v>24.557167155314254</v>
      </c>
      <c r="O22">
        <v>21</v>
      </c>
      <c r="P22" t="str">
        <f>IFERROR(INDEX(TableWRCalcPts[PLAYER],MATCH(TableWRRanks[[#This Row],[RK]],TableWRCalcPts[RK],0)),"")</f>
        <v>Davante Adams</v>
      </c>
      <c r="Q22" t="str">
        <f>IFERROR(INDEX(TableWRCalcPts[TM],MATCH(TableWRRanks[[#This Row],[RK]],TableWRCalcPts[RK],0)),"")</f>
        <v>LV</v>
      </c>
      <c r="R22">
        <f>IFERROR(INDEX(TableWRCalcPts[BYE],MATCH(TableWRRanks[[#This Row],[RK]],TableWRCalcPts[RK],0)),"")</f>
        <v>10</v>
      </c>
      <c r="S22" s="57">
        <f>IFERROR(INDEX(TableWRCalcPts[Custom],MATCH(TableWRRanks[[#This Row],[RK]],TableWRCalcPts[RK],0)),"")</f>
        <v>193.52615414390021</v>
      </c>
      <c r="T22" s="125">
        <f>(((VLOOKUP(TableWRRanks[[#This Row],[Player]],'OVR &amp; VORP Ranks'!$P:$T,5,FALSE)))/('OVR &amp; VORP Ranks'!$BM$6))*(Settings!$E$10*TEAMS)</f>
        <v>20.176262227217887</v>
      </c>
      <c r="V22">
        <v>21</v>
      </c>
      <c r="W22" t="str">
        <f>IFERROR(INDEX(TableTECalcPts[PLAYER],MATCH(TableTERanks[[#This Row],[RK]],TableTECalcPts[RK],0)),"")</f>
        <v>Tyler Conklin</v>
      </c>
      <c r="X22" t="str">
        <f>IFERROR(INDEX(TableTECalcPts[TM],MATCH(TableTERanks[[#This Row],[RK]],TableTECalcPts[RK],0)),"")</f>
        <v>NYJ</v>
      </c>
      <c r="Y22">
        <f>IFERROR(INDEX(TableTECalcPts[BYE],MATCH(TableTERanks[[#This Row],[RK]],TableTECalcPts[RK],0)),"")</f>
        <v>12</v>
      </c>
      <c r="Z22" s="57">
        <f>IFERROR(INDEX(TableTECalcPts[Custom],MATCH(TableTERanks[[#This Row],[RK]],TableTECalcPts[RK],0)),"")</f>
        <v>92.077826494206874</v>
      </c>
      <c r="AA22" s="125">
        <f>(((VLOOKUP(TableTERanks[[#This Row],[Player]],'OVR &amp; VORP Ranks'!$W:$AA,5,FALSE)))/('OVR &amp; VORP Ranks'!$BM$6))*(Settings!$E$10*TEAMS)</f>
        <v>-16.064286212495627</v>
      </c>
      <c r="AC22">
        <v>21</v>
      </c>
      <c r="AD22" t="str">
        <f>IFERROR(INDEX(TableDSTCalcPts[PLAYER],MATCH(TableDSTRanks[[#This Row],[RK]],TableDSTCalcPts[RK],0)),"")</f>
        <v>Jacksonville Jaguars</v>
      </c>
      <c r="AE22">
        <f>IFERROR(INDEX(TableDSTCalcPts[BYE],MATCH(TableDSTRanks[[#This Row],[RK]],TableDSTCalcPts[RK],0)),"")</f>
        <v>12</v>
      </c>
      <c r="AF22" s="57">
        <f>IFERROR(INDEX(TableDSTCalcPts[Custom],MATCH(TableDSTRanks[[#This Row],[RK]],TableDSTCalcPts[RK],0)),"")</f>
        <v>106.37500000000001</v>
      </c>
      <c r="AG22" s="125">
        <v>0</v>
      </c>
    </row>
    <row r="23" spans="1:33" x14ac:dyDescent="0.2">
      <c r="A23">
        <v>22</v>
      </c>
      <c r="B23" t="str">
        <f>IFERROR(INDEX(TableQBCalcPts[PLAYER],MATCH(TableQBRanks[[#This Row],[RK]],TableQBCalcPts[RK],0)),"")</f>
        <v>Bo Nix</v>
      </c>
      <c r="C23" t="str">
        <f>IFERROR(INDEX(TableQBCalcPts[TM],MATCH(TableQBRanks[[#This Row],[RK]],TableQBCalcPts[RK],0)),"")</f>
        <v>DEN</v>
      </c>
      <c r="D23">
        <f>IFERROR(INDEX(TableQBCalcPts[BYE],MATCH(TableQBRanks[[#This Row],[RK]],TableQBCalcPts[RK],0)),"")</f>
        <v>14</v>
      </c>
      <c r="E23" s="57">
        <f>IFERROR(INDEX(TableQBCalcPts[Custom],MATCH(TableQBRanks[[#This Row],[RK]],TableQBCalcPts[RK],0)),"")</f>
        <v>275.85327323847935</v>
      </c>
      <c r="F23" s="125">
        <f>(((VLOOKUP(TableQBRanks[[#This Row],[Player]],'OVR &amp; VORP Ranks'!$B:$F,5,FALSE)))/('OVR &amp; VORP Ranks'!$BM$6))*(Settings!$E$10*TEAMS)</f>
        <v>-3.9353621988959144</v>
      </c>
      <c r="H23">
        <v>22</v>
      </c>
      <c r="I23" t="str">
        <f>IFERROR(INDEX(TableRBCalcPts[PLAYER],MATCH(TableRBRanks[[#This Row],[RK]],TableRBCalcPts[RK],0)),"")</f>
        <v>Devin Singletary</v>
      </c>
      <c r="J23" t="str">
        <f>IFERROR(INDEX(TableRBCalcPts[TM],MATCH(TableRBRanks[[#This Row],[RK]],TableRBCalcPts[RK],0)),"")</f>
        <v>NYG</v>
      </c>
      <c r="K23">
        <f>IFERROR(INDEX(TableRBCalcPts[BYE],MATCH(TableRBRanks[[#This Row],[RK]],TableRBCalcPts[RK],0)),"")</f>
        <v>11</v>
      </c>
      <c r="L23" s="57">
        <f>IFERROR(INDEX(TableRBCalcPts[Custom],MATCH(TableRBRanks[[#This Row],[RK]],TableRBCalcPts[RK],0)),"")</f>
        <v>181.76933222371224</v>
      </c>
      <c r="M23" s="125">
        <f>(((VLOOKUP(TableRBRanks[[#This Row],[Player]],'OVR &amp; VORP Ranks'!$I:$M,5,FALSE)))/('OVR &amp; VORP Ranks'!$BM$6))*(Settings!$E$10*TEAMS)</f>
        <v>22.05899986428425</v>
      </c>
      <c r="O23">
        <v>22</v>
      </c>
      <c r="P23" t="str">
        <f>IFERROR(INDEX(TableWRCalcPts[PLAYER],MATCH(TableWRRanks[[#This Row],[RK]],TableWRCalcPts[RK],0)),"")</f>
        <v>DJ Moore</v>
      </c>
      <c r="Q23" t="str">
        <f>IFERROR(INDEX(TableWRCalcPts[TM],MATCH(TableWRRanks[[#This Row],[RK]],TableWRCalcPts[RK],0)),"")</f>
        <v>CHI</v>
      </c>
      <c r="R23">
        <f>IFERROR(INDEX(TableWRCalcPts[BYE],MATCH(TableWRRanks[[#This Row],[RK]],TableWRCalcPts[RK],0)),"")</f>
        <v>7</v>
      </c>
      <c r="S23" s="57">
        <f>IFERROR(INDEX(TableWRCalcPts[Custom],MATCH(TableWRRanks[[#This Row],[RK]],TableWRCalcPts[RK],0)),"")</f>
        <v>192.10939741928462</v>
      </c>
      <c r="T23" s="125">
        <f>(((VLOOKUP(TableWRRanks[[#This Row],[Player]],'OVR &amp; VORP Ranks'!$P:$T,5,FALSE)))/('OVR &amp; VORP Ranks'!$BM$6))*(Settings!$E$10*TEAMS)</f>
        <v>19.558972636533756</v>
      </c>
      <c r="V23">
        <v>22</v>
      </c>
      <c r="W23" t="str">
        <f>IFERROR(INDEX(TableTECalcPts[PLAYER],MATCH(TableTERanks[[#This Row],[RK]],TableTECalcPts[RK],0)),"")</f>
        <v>Juwan Johnson</v>
      </c>
      <c r="X23" t="str">
        <f>IFERROR(INDEX(TableTECalcPts[TM],MATCH(TableTERanks[[#This Row],[RK]],TableTECalcPts[RK],0)),"")</f>
        <v>NO</v>
      </c>
      <c r="Y23">
        <f>IFERROR(INDEX(TableTECalcPts[BYE],MATCH(TableTERanks[[#This Row],[RK]],TableTECalcPts[RK],0)),"")</f>
        <v>12</v>
      </c>
      <c r="Z23" s="57">
        <f>IFERROR(INDEX(TableTECalcPts[Custom],MATCH(TableTERanks[[#This Row],[RK]],TableTECalcPts[RK],0)),"")</f>
        <v>91.985181995682751</v>
      </c>
      <c r="AA23" s="125">
        <f>(((VLOOKUP(TableTERanks[[#This Row],[Player]],'OVR &amp; VORP Ranks'!$W:$AA,5,FALSE)))/('OVR &amp; VORP Ranks'!$BM$6))*(Settings!$E$10*TEAMS)</f>
        <v>-16.101905588041408</v>
      </c>
      <c r="AC23">
        <v>22</v>
      </c>
      <c r="AD23" t="str">
        <f>IFERROR(INDEX(TableDSTCalcPts[PLAYER],MATCH(TableDSTRanks[[#This Row],[RK]],TableDSTCalcPts[RK],0)),"")</f>
        <v>New Orleans Saints</v>
      </c>
      <c r="AE23">
        <f>IFERROR(INDEX(TableDSTCalcPts[BYE],MATCH(TableDSTRanks[[#This Row],[RK]],TableDSTCalcPts[RK],0)),"")</f>
        <v>12</v>
      </c>
      <c r="AF23" s="57">
        <f>IFERROR(INDEX(TableDSTCalcPts[Custom],MATCH(TableDSTRanks[[#This Row],[RK]],TableDSTCalcPts[RK],0)),"")</f>
        <v>105.37499999999999</v>
      </c>
      <c r="AG23" s="125">
        <v>0</v>
      </c>
    </row>
    <row r="24" spans="1:33" x14ac:dyDescent="0.2">
      <c r="A24">
        <v>23</v>
      </c>
      <c r="B24" t="str">
        <f>IFERROR(INDEX(TableQBCalcPts[PLAYER],MATCH(TableQBRanks[[#This Row],[RK]],TableQBCalcPts[RK],0)),"")</f>
        <v>Justin Herbert</v>
      </c>
      <c r="C24" t="str">
        <f>IFERROR(INDEX(TableQBCalcPts[TM],MATCH(TableQBRanks[[#This Row],[RK]],TableQBCalcPts[RK],0)),"")</f>
        <v>LAC</v>
      </c>
      <c r="D24">
        <f>IFERROR(INDEX(TableQBCalcPts[BYE],MATCH(TableQBRanks[[#This Row],[RK]],TableQBCalcPts[RK],0)),"")</f>
        <v>5</v>
      </c>
      <c r="E24" s="57">
        <f>IFERROR(INDEX(TableQBCalcPts[Custom],MATCH(TableQBRanks[[#This Row],[RK]],TableQBCalcPts[RK],0)),"")</f>
        <v>274.72016258724005</v>
      </c>
      <c r="F24" s="125">
        <f>(((VLOOKUP(TableQBRanks[[#This Row],[Player]],'OVR &amp; VORP Ranks'!$B:$F,5,FALSE)))/('OVR &amp; VORP Ranks'!$BM$6))*(Settings!$E$10*TEAMS)</f>
        <v>-4.3171510040622181</v>
      </c>
      <c r="H24">
        <v>23</v>
      </c>
      <c r="I24" t="str">
        <f>IFERROR(INDEX(TableRBCalcPts[PLAYER],MATCH(TableRBRanks[[#This Row],[RK]],TableRBCalcPts[RK],0)),"")</f>
        <v>Brian Robinson</v>
      </c>
      <c r="J24" t="str">
        <f>IFERROR(INDEX(TableRBCalcPts[TM],MATCH(TableRBRanks[[#This Row],[RK]],TableRBCalcPts[RK],0)),"")</f>
        <v>WSH</v>
      </c>
      <c r="K24">
        <f>IFERROR(INDEX(TableRBCalcPts[BYE],MATCH(TableRBRanks[[#This Row],[RK]],TableRBCalcPts[RK],0)),"")</f>
        <v>14</v>
      </c>
      <c r="L24" s="57">
        <f>IFERROR(INDEX(TableRBCalcPts[Custom],MATCH(TableRBRanks[[#This Row],[RK]],TableRBCalcPts[RK],0)),"")</f>
        <v>180.40365584897597</v>
      </c>
      <c r="M24" s="125">
        <f>(((VLOOKUP(TableRBRanks[[#This Row],[Player]],'OVR &amp; VORP Ranks'!$I:$M,5,FALSE)))/('OVR &amp; VORP Ranks'!$BM$6))*(Settings!$E$10*TEAMS)</f>
        <v>21.571977862719312</v>
      </c>
      <c r="O24">
        <v>23</v>
      </c>
      <c r="P24" t="str">
        <f>IFERROR(INDEX(TableWRCalcPts[PLAYER],MATCH(TableWRRanks[[#This Row],[RK]],TableWRCalcPts[RK],0)),"")</f>
        <v>Garrett Wilson</v>
      </c>
      <c r="Q24" t="str">
        <f>IFERROR(INDEX(TableWRCalcPts[TM],MATCH(TableWRRanks[[#This Row],[RK]],TableWRCalcPts[RK],0)),"")</f>
        <v>NYJ</v>
      </c>
      <c r="R24">
        <f>IFERROR(INDEX(TableWRCalcPts[BYE],MATCH(TableWRRanks[[#This Row],[RK]],TableWRCalcPts[RK],0)),"")</f>
        <v>12</v>
      </c>
      <c r="S24" s="57">
        <f>IFERROR(INDEX(TableWRCalcPts[Custom],MATCH(TableWRRanks[[#This Row],[RK]],TableWRCalcPts[RK],0)),"")</f>
        <v>191.61840654680199</v>
      </c>
      <c r="T24" s="125">
        <f>(((VLOOKUP(TableWRRanks[[#This Row],[Player]],'OVR &amp; VORP Ranks'!$P:$T,5,FALSE)))/('OVR &amp; VORP Ranks'!$BM$6))*(Settings!$E$10*TEAMS)</f>
        <v>19.345044903255008</v>
      </c>
      <c r="V24">
        <v>23</v>
      </c>
      <c r="W24" t="str">
        <f>IFERROR(INDEX(TableTECalcPts[PLAYER],MATCH(TableTERanks[[#This Row],[RK]],TableTECalcPts[RK],0)),"")</f>
        <v>Jonnu Smith</v>
      </c>
      <c r="X24" t="str">
        <f>IFERROR(INDEX(TableTECalcPts[TM],MATCH(TableTERanks[[#This Row],[RK]],TableTECalcPts[RK],0)),"")</f>
        <v>MIA</v>
      </c>
      <c r="Y24">
        <f>IFERROR(INDEX(TableTECalcPts[BYE],MATCH(TableTERanks[[#This Row],[RK]],TableTECalcPts[RK],0)),"")</f>
        <v>6</v>
      </c>
      <c r="Z24" s="57">
        <f>IFERROR(INDEX(TableTECalcPts[Custom],MATCH(TableTERanks[[#This Row],[RK]],TableTECalcPts[RK],0)),"")</f>
        <v>85.626365410456145</v>
      </c>
      <c r="AA24" s="125">
        <f>(((VLOOKUP(TableTERanks[[#This Row],[Player]],'OVR &amp; VORP Ranks'!$W:$AA,5,FALSE)))/('OVR &amp; VORP Ranks'!$BM$6))*(Settings!$E$10*TEAMS)</f>
        <v>-18.683976978757279</v>
      </c>
      <c r="AC24">
        <v>23</v>
      </c>
      <c r="AD24" t="str">
        <f>IFERROR(INDEX(TableDSTCalcPts[PLAYER],MATCH(TableDSTRanks[[#This Row],[RK]],TableDSTCalcPts[RK],0)),"")</f>
        <v>Detroit Lions</v>
      </c>
      <c r="AE24">
        <f>IFERROR(INDEX(TableDSTCalcPts[BYE],MATCH(TableDSTRanks[[#This Row],[RK]],TableDSTCalcPts[RK],0)),"")</f>
        <v>5</v>
      </c>
      <c r="AF24" s="57">
        <f>IFERROR(INDEX(TableDSTCalcPts[Custom],MATCH(TableDSTRanks[[#This Row],[RK]],TableDSTCalcPts[RK],0)),"")</f>
        <v>105.14999999999999</v>
      </c>
      <c r="AG24" s="125">
        <v>0</v>
      </c>
    </row>
    <row r="25" spans="1:33" x14ac:dyDescent="0.2">
      <c r="A25">
        <v>24</v>
      </c>
      <c r="B25" t="str">
        <f>IFERROR(INDEX(TableQBCalcPts[PLAYER],MATCH(TableQBRanks[[#This Row],[RK]],TableQBCalcPts[RK],0)),"")</f>
        <v>Bryce Young</v>
      </c>
      <c r="C25" t="str">
        <f>IFERROR(INDEX(TableQBCalcPts[TM],MATCH(TableQBRanks[[#This Row],[RK]],TableQBCalcPts[RK],0)),"")</f>
        <v>CAR</v>
      </c>
      <c r="D25">
        <f>IFERROR(INDEX(TableQBCalcPts[BYE],MATCH(TableQBRanks[[#This Row],[RK]],TableQBCalcPts[RK],0)),"")</f>
        <v>11</v>
      </c>
      <c r="E25" s="57">
        <f>IFERROR(INDEX(TableQBCalcPts[Custom],MATCH(TableQBRanks[[#This Row],[RK]],TableQBCalcPts[RK],0)),"")</f>
        <v>274.38871581037159</v>
      </c>
      <c r="F25" s="125">
        <f>(((VLOOKUP(TableQBRanks[[#This Row],[Player]],'OVR &amp; VORP Ranks'!$B:$F,5,FALSE)))/('OVR &amp; VORP Ranks'!$BM$6))*(Settings!$E$10*TEAMS)</f>
        <v>-4.4447182647187553</v>
      </c>
      <c r="H25">
        <v>24</v>
      </c>
      <c r="I25" t="str">
        <f>IFERROR(INDEX(TableRBCalcPts[PLAYER],MATCH(TableRBRanks[[#This Row],[RK]],TableRBCalcPts[RK],0)),"")</f>
        <v>Javonte Williams</v>
      </c>
      <c r="J25" t="str">
        <f>IFERROR(INDEX(TableRBCalcPts[TM],MATCH(TableRBRanks[[#This Row],[RK]],TableRBCalcPts[RK],0)),"")</f>
        <v>DEN</v>
      </c>
      <c r="K25">
        <f>IFERROR(INDEX(TableRBCalcPts[BYE],MATCH(TableRBRanks[[#This Row],[RK]],TableRBCalcPts[RK],0)),"")</f>
        <v>14</v>
      </c>
      <c r="L25" s="57">
        <f>IFERROR(INDEX(TableRBCalcPts[Custom],MATCH(TableRBRanks[[#This Row],[RK]],TableRBCalcPts[RK],0)),"")</f>
        <v>179.90516382745326</v>
      </c>
      <c r="M25" s="125">
        <f>(((VLOOKUP(TableRBRanks[[#This Row],[Player]],'OVR &amp; VORP Ranks'!$I:$M,5,FALSE)))/('OVR &amp; VORP Ranks'!$BM$6))*(Settings!$E$10*TEAMS)</f>
        <v>21.394207648210749</v>
      </c>
      <c r="O25">
        <v>24</v>
      </c>
      <c r="P25" t="str">
        <f>IFERROR(INDEX(TableWRCalcPts[PLAYER],MATCH(TableWRRanks[[#This Row],[RK]],TableWRCalcPts[RK],0)),"")</f>
        <v>Chris Olave</v>
      </c>
      <c r="Q25" t="str">
        <f>IFERROR(INDEX(TableWRCalcPts[TM],MATCH(TableWRRanks[[#This Row],[RK]],TableWRCalcPts[RK],0)),"")</f>
        <v>NO</v>
      </c>
      <c r="R25">
        <f>IFERROR(INDEX(TableWRCalcPts[BYE],MATCH(TableWRRanks[[#This Row],[RK]],TableWRCalcPts[RK],0)),"")</f>
        <v>12</v>
      </c>
      <c r="S25" s="57">
        <f>IFERROR(INDEX(TableWRCalcPts[Custom],MATCH(TableWRRanks[[#This Row],[RK]],TableWRCalcPts[RK],0)),"")</f>
        <v>191.5147230908091</v>
      </c>
      <c r="T25" s="125">
        <f>(((VLOOKUP(TableWRRanks[[#This Row],[Player]],'OVR &amp; VORP Ranks'!$P:$T,5,FALSE)))/('OVR &amp; VORP Ranks'!$BM$6))*(Settings!$E$10*TEAMS)</f>
        <v>19.299869385822443</v>
      </c>
      <c r="V25">
        <v>24</v>
      </c>
      <c r="W25" t="str">
        <f>IFERROR(INDEX(TableTECalcPts[PLAYER],MATCH(TableTERanks[[#This Row],[RK]],TableTECalcPts[RK],0)),"")</f>
        <v>Pat Freiermuth</v>
      </c>
      <c r="X25" t="str">
        <f>IFERROR(INDEX(TableTECalcPts[TM],MATCH(TableTERanks[[#This Row],[RK]],TableTECalcPts[RK],0)),"")</f>
        <v>PIT</v>
      </c>
      <c r="Y25">
        <f>IFERROR(INDEX(TableTECalcPts[BYE],MATCH(TableTERanks[[#This Row],[RK]],TableTECalcPts[RK],0)),"")</f>
        <v>9</v>
      </c>
      <c r="Z25" s="57">
        <f>IFERROR(INDEX(TableTECalcPts[Custom],MATCH(TableTERanks[[#This Row],[RK]],TableTECalcPts[RK],0)),"")</f>
        <v>84.255051648368294</v>
      </c>
      <c r="AA25" s="125">
        <f>(((VLOOKUP(TableTERanks[[#This Row],[Player]],'OVR &amp; VORP Ranks'!$W:$AA,5,FALSE)))/('OVR &amp; VORP Ranks'!$BM$6))*(Settings!$E$10*TEAMS)</f>
        <v>-19.24081487230627</v>
      </c>
      <c r="AC25">
        <v>24</v>
      </c>
      <c r="AD25" t="str">
        <f>IFERROR(INDEX(TableDSTCalcPts[PLAYER],MATCH(TableDSTRanks[[#This Row],[RK]],TableDSTCalcPts[RK],0)),"")</f>
        <v>Denver Broncos</v>
      </c>
      <c r="AE25">
        <f>IFERROR(INDEX(TableDSTCalcPts[BYE],MATCH(TableDSTRanks[[#This Row],[RK]],TableDSTCalcPts[RK],0)),"")</f>
        <v>14</v>
      </c>
      <c r="AF25" s="57">
        <f>IFERROR(INDEX(TableDSTCalcPts[Custom],MATCH(TableDSTRanks[[#This Row],[RK]],TableDSTCalcPts[RK],0)),"")</f>
        <v>104.35</v>
      </c>
      <c r="AG25" s="125">
        <v>0</v>
      </c>
    </row>
    <row r="26" spans="1:33" x14ac:dyDescent="0.2">
      <c r="A26">
        <v>25</v>
      </c>
      <c r="B26" t="str">
        <f>IFERROR(INDEX(TableQBCalcPts[PLAYER],MATCH(TableQBRanks[[#This Row],[RK]],TableQBCalcPts[RK],0)),"")</f>
        <v>Will Levis</v>
      </c>
      <c r="C26" t="str">
        <f>IFERROR(INDEX(TableQBCalcPts[TM],MATCH(TableQBRanks[[#This Row],[RK]],TableQBCalcPts[RK],0)),"")</f>
        <v>TEN</v>
      </c>
      <c r="D26">
        <f>IFERROR(INDEX(TableQBCalcPts[BYE],MATCH(TableQBRanks[[#This Row],[RK]],TableQBCalcPts[RK],0)),"")</f>
        <v>5</v>
      </c>
      <c r="E26" s="57">
        <f>IFERROR(INDEX(TableQBCalcPts[Custom],MATCH(TableQBRanks[[#This Row],[RK]],TableQBCalcPts[RK],0)),"")</f>
        <v>270.23832799722175</v>
      </c>
      <c r="F26" s="125">
        <f>(((VLOOKUP(TableQBRanks[[#This Row],[Player]],'OVR &amp; VORP Ranks'!$B:$F,5,FALSE)))/('OVR &amp; VORP Ranks'!$BM$6))*(Settings!$E$10*TEAMS)</f>
        <v>-5.3271465837844074</v>
      </c>
      <c r="H26">
        <v>25</v>
      </c>
      <c r="I26" t="str">
        <f>IFERROR(INDEX(TableRBCalcPts[PLAYER],MATCH(TableRBRanks[[#This Row],[RK]],TableRBCalcPts[RK],0)),"")</f>
        <v>Zack Moss</v>
      </c>
      <c r="J26" t="str">
        <f>IFERROR(INDEX(TableRBCalcPts[TM],MATCH(TableRBRanks[[#This Row],[RK]],TableRBCalcPts[RK],0)),"")</f>
        <v>CIN</v>
      </c>
      <c r="K26">
        <f>IFERROR(INDEX(TableRBCalcPts[BYE],MATCH(TableRBRanks[[#This Row],[RK]],TableRBCalcPts[RK],0)),"")</f>
        <v>12</v>
      </c>
      <c r="L26" s="57">
        <f>IFERROR(INDEX(TableRBCalcPts[Custom],MATCH(TableRBRanks[[#This Row],[RK]],TableRBCalcPts[RK],0)),"")</f>
        <v>178.11832512965827</v>
      </c>
      <c r="M26" s="125">
        <f>(((VLOOKUP(TableRBRanks[[#This Row],[Player]],'OVR &amp; VORP Ranks'!$I:$M,5,FALSE)))/('OVR &amp; VORP Ranks'!$BM$6))*(Settings!$E$10*TEAMS)</f>
        <v>20.756992437365611</v>
      </c>
      <c r="O26">
        <v>25</v>
      </c>
      <c r="P26" t="str">
        <f>IFERROR(INDEX(TableWRCalcPts[PLAYER],MATCH(TableWRRanks[[#This Row],[RK]],TableWRCalcPts[RK],0)),"")</f>
        <v>George Pickens</v>
      </c>
      <c r="Q26" t="str">
        <f>IFERROR(INDEX(TableWRCalcPts[TM],MATCH(TableWRRanks[[#This Row],[RK]],TableWRCalcPts[RK],0)),"")</f>
        <v>PIT</v>
      </c>
      <c r="R26">
        <f>IFERROR(INDEX(TableWRCalcPts[BYE],MATCH(TableWRRanks[[#This Row],[RK]],TableWRCalcPts[RK],0)),"")</f>
        <v>9</v>
      </c>
      <c r="S26" s="57">
        <f>IFERROR(INDEX(TableWRCalcPts[Custom],MATCH(TableWRRanks[[#This Row],[RK]],TableWRCalcPts[RK],0)),"")</f>
        <v>189.09560213560073</v>
      </c>
      <c r="T26" s="125">
        <f>(((VLOOKUP(TableWRRanks[[#This Row],[Player]],'OVR &amp; VORP Ranks'!$P:$T,5,FALSE)))/('OVR &amp; VORP Ranks'!$BM$6))*(Settings!$E$10*TEAMS)</f>
        <v>18.245843554633147</v>
      </c>
      <c r="V26">
        <v>25</v>
      </c>
      <c r="W26" t="str">
        <f>IFERROR(INDEX(TableTECalcPts[PLAYER],MATCH(TableTERanks[[#This Row],[RK]],TableTECalcPts[RK],0)),"")</f>
        <v>Colby Parkinson</v>
      </c>
      <c r="X26" t="str">
        <f>IFERROR(INDEX(TableTECalcPts[TM],MATCH(TableTERanks[[#This Row],[RK]],TableTECalcPts[RK],0)),"")</f>
        <v>LAR</v>
      </c>
      <c r="Y26">
        <f>IFERROR(INDEX(TableTECalcPts[BYE],MATCH(TableTERanks[[#This Row],[RK]],TableTECalcPts[RK],0)),"")</f>
        <v>6</v>
      </c>
      <c r="Z26" s="57">
        <f>IFERROR(INDEX(TableTECalcPts[Custom],MATCH(TableTERanks[[#This Row],[RK]],TableTECalcPts[RK],0)),"")</f>
        <v>81.17558367219813</v>
      </c>
      <c r="AA26" s="125">
        <f>(((VLOOKUP(TableTERanks[[#This Row],[Player]],'OVR &amp; VORP Ranks'!$W:$AA,5,FALSE)))/('OVR &amp; VORP Ranks'!$BM$6))*(Settings!$E$10*TEAMS)</f>
        <v>-20.491268640444218</v>
      </c>
      <c r="AC26">
        <v>25</v>
      </c>
      <c r="AD26" t="str">
        <f>IFERROR(INDEX(TableDSTCalcPts[PLAYER],MATCH(TableDSTRanks[[#This Row],[RK]],TableDSTCalcPts[RK],0)),"")</f>
        <v>Las Vegas Raiders</v>
      </c>
      <c r="AE26">
        <f>IFERROR(INDEX(TableDSTCalcPts[BYE],MATCH(TableDSTRanks[[#This Row],[RK]],TableDSTCalcPts[RK],0)),"")</f>
        <v>10</v>
      </c>
      <c r="AF26" s="57">
        <f>IFERROR(INDEX(TableDSTCalcPts[Custom],MATCH(TableDSTRanks[[#This Row],[RK]],TableDSTCalcPts[RK],0)),"")</f>
        <v>103.30000000000001</v>
      </c>
      <c r="AG26" s="125">
        <v>0</v>
      </c>
    </row>
    <row r="27" spans="1:33" x14ac:dyDescent="0.2">
      <c r="A27">
        <v>26</v>
      </c>
      <c r="B27" t="str">
        <f>IFERROR(INDEX(TableQBCalcPts[PLAYER],MATCH(TableQBRanks[[#This Row],[RK]],TableQBCalcPts[RK],0)),"")</f>
        <v>Geno Smith</v>
      </c>
      <c r="C27" t="str">
        <f>IFERROR(INDEX(TableQBCalcPts[TM],MATCH(TableQBRanks[[#This Row],[RK]],TableQBCalcPts[RK],0)),"")</f>
        <v>SEA</v>
      </c>
      <c r="D27">
        <f>IFERROR(INDEX(TableQBCalcPts[BYE],MATCH(TableQBRanks[[#This Row],[RK]],TableQBCalcPts[RK],0)),"")</f>
        <v>10</v>
      </c>
      <c r="E27" s="57">
        <f>IFERROR(INDEX(TableQBCalcPts[Custom],MATCH(TableQBRanks[[#This Row],[RK]],TableQBCalcPts[RK],0)),"")</f>
        <v>264.83536145652607</v>
      </c>
      <c r="F27" s="125">
        <f>(((VLOOKUP(TableQBRanks[[#This Row],[Player]],'OVR &amp; VORP Ranks'!$B:$F,5,FALSE)))/('OVR &amp; VORP Ranks'!$BM$6))*(Settings!$E$10*TEAMS)</f>
        <v>-6.3976063383759083</v>
      </c>
      <c r="H27">
        <v>26</v>
      </c>
      <c r="I27" t="str">
        <f>IFERROR(INDEX(TableRBCalcPts[PLAYER],MATCH(TableRBRanks[[#This Row],[RK]],TableRBCalcPts[RK],0)),"")</f>
        <v>Rhamondre Stevenson</v>
      </c>
      <c r="J27" t="str">
        <f>IFERROR(INDEX(TableRBCalcPts[TM],MATCH(TableRBRanks[[#This Row],[RK]],TableRBCalcPts[RK],0)),"")</f>
        <v>NE</v>
      </c>
      <c r="K27">
        <f>IFERROR(INDEX(TableRBCalcPts[BYE],MATCH(TableRBRanks[[#This Row],[RK]],TableRBCalcPts[RK],0)),"")</f>
        <v>14</v>
      </c>
      <c r="L27" s="57">
        <f>IFERROR(INDEX(TableRBCalcPts[Custom],MATCH(TableRBRanks[[#This Row],[RK]],TableRBCalcPts[RK],0)),"")</f>
        <v>176.28004011613581</v>
      </c>
      <c r="M27" s="125">
        <f>(((VLOOKUP(TableRBRanks[[#This Row],[Player]],'OVR &amp; VORP Ranks'!$I:$M,5,FALSE)))/('OVR &amp; VORP Ranks'!$BM$6))*(Settings!$E$10*TEAMS)</f>
        <v>20.101430648866906</v>
      </c>
      <c r="O27">
        <v>26</v>
      </c>
      <c r="P27" t="str">
        <f>IFERROR(INDEX(TableWRCalcPts[PLAYER],MATCH(TableWRRanks[[#This Row],[RK]],TableWRCalcPts[RK],0)),"")</f>
        <v>Malik Nabers</v>
      </c>
      <c r="Q27" t="str">
        <f>IFERROR(INDEX(TableWRCalcPts[TM],MATCH(TableWRRanks[[#This Row],[RK]],TableWRCalcPts[RK],0)),"")</f>
        <v>NYG</v>
      </c>
      <c r="R27">
        <f>IFERROR(INDEX(TableWRCalcPts[BYE],MATCH(TableWRRanks[[#This Row],[RK]],TableWRCalcPts[RK],0)),"")</f>
        <v>11</v>
      </c>
      <c r="S27" s="57">
        <f>IFERROR(INDEX(TableWRCalcPts[Custom],MATCH(TableWRRanks[[#This Row],[RK]],TableWRCalcPts[RK],0)),"")</f>
        <v>188.23503874057269</v>
      </c>
      <c r="T27" s="125">
        <f>(((VLOOKUP(TableWRRanks[[#This Row],[Player]],'OVR &amp; VORP Ranks'!$P:$T,5,FALSE)))/('OVR &amp; VORP Ranks'!$BM$6))*(Settings!$E$10*TEAMS)</f>
        <v>17.870890807527793</v>
      </c>
      <c r="V27">
        <v>26</v>
      </c>
      <c r="W27" t="str">
        <f>IFERROR(INDEX(TableTECalcPts[PLAYER],MATCH(TableTERanks[[#This Row],[RK]],TableTECalcPts[RK],0)),"")</f>
        <v>Isaiah Likely</v>
      </c>
      <c r="X27" t="str">
        <f>IFERROR(INDEX(TableTECalcPts[TM],MATCH(TableTERanks[[#This Row],[RK]],TableTECalcPts[RK],0)),"")</f>
        <v>BAL</v>
      </c>
      <c r="Y27">
        <f>IFERROR(INDEX(TableTECalcPts[BYE],MATCH(TableTERanks[[#This Row],[RK]],TableTECalcPts[RK],0)),"")</f>
        <v>14</v>
      </c>
      <c r="Z27" s="57">
        <f>IFERROR(INDEX(TableTECalcPts[Custom],MATCH(TableTERanks[[#This Row],[RK]],TableTECalcPts[RK],0)),"")</f>
        <v>80.196752536282389</v>
      </c>
      <c r="AA27" s="125">
        <f>(((VLOOKUP(TableTERanks[[#This Row],[Player]],'OVR &amp; VORP Ranks'!$W:$AA,5,FALSE)))/('OVR &amp; VORP Ranks'!$BM$6))*(Settings!$E$10*TEAMS)</f>
        <v>-20.888734401331529</v>
      </c>
      <c r="AC27">
        <v>26</v>
      </c>
      <c r="AD27" t="str">
        <f>IFERROR(INDEX(TableDSTCalcPts[PLAYER],MATCH(TableDSTRanks[[#This Row],[RK]],TableDSTCalcPts[RK],0)),"")</f>
        <v>Atlanta Falcons</v>
      </c>
      <c r="AE27">
        <f>IFERROR(INDEX(TableDSTCalcPts[BYE],MATCH(TableDSTRanks[[#This Row],[RK]],TableDSTCalcPts[RK],0)),"")</f>
        <v>12</v>
      </c>
      <c r="AF27" s="57">
        <f>IFERROR(INDEX(TableDSTCalcPts[Custom],MATCH(TableDSTRanks[[#This Row],[RK]],TableDSTCalcPts[RK],0)),"")</f>
        <v>100.60000000000001</v>
      </c>
      <c r="AG27" s="125">
        <v>0</v>
      </c>
    </row>
    <row r="28" spans="1:33" x14ac:dyDescent="0.2">
      <c r="A28">
        <v>27</v>
      </c>
      <c r="B28" t="str">
        <f>IFERROR(INDEX(TableQBCalcPts[PLAYER],MATCH(TableQBRanks[[#This Row],[RK]],TableQBCalcPts[RK],0)),"")</f>
        <v>Sam Darnold</v>
      </c>
      <c r="C28" t="str">
        <f>IFERROR(INDEX(TableQBCalcPts[TM],MATCH(TableQBRanks[[#This Row],[RK]],TableQBCalcPts[RK],0)),"")</f>
        <v>MIN</v>
      </c>
      <c r="D28">
        <f>IFERROR(INDEX(TableQBCalcPts[BYE],MATCH(TableQBRanks[[#This Row],[RK]],TableQBCalcPts[RK],0)),"")</f>
        <v>6</v>
      </c>
      <c r="E28" s="57">
        <f>IFERROR(INDEX(TableQBCalcPts[Custom],MATCH(TableQBRanks[[#This Row],[RK]],TableQBCalcPts[RK],0)),"")</f>
        <v>258.71409293844147</v>
      </c>
      <c r="F28" s="125">
        <f>(((VLOOKUP(TableQBRanks[[#This Row],[Player]],'OVR &amp; VORP Ranks'!$B:$F,5,FALSE)))/('OVR &amp; VORP Ranks'!$BM$6))*(Settings!$E$10*TEAMS)</f>
        <v>-7.3966381766178966</v>
      </c>
      <c r="H28">
        <v>27</v>
      </c>
      <c r="I28" t="str">
        <f>IFERROR(INDEX(TableRBCalcPts[PLAYER],MATCH(TableRBRanks[[#This Row],[RK]],TableRBCalcPts[RK],0)),"")</f>
        <v>David Montgomery</v>
      </c>
      <c r="J28" t="str">
        <f>IFERROR(INDEX(TableRBCalcPts[TM],MATCH(TableRBRanks[[#This Row],[RK]],TableRBCalcPts[RK],0)),"")</f>
        <v>DET</v>
      </c>
      <c r="K28">
        <f>IFERROR(INDEX(TableRBCalcPts[BYE],MATCH(TableRBRanks[[#This Row],[RK]],TableRBCalcPts[RK],0)),"")</f>
        <v>5</v>
      </c>
      <c r="L28" s="57">
        <f>IFERROR(INDEX(TableRBCalcPts[Custom],MATCH(TableRBRanks[[#This Row],[RK]],TableRBCalcPts[RK],0)),"")</f>
        <v>175.52927230347515</v>
      </c>
      <c r="M28" s="125">
        <f>(((VLOOKUP(TableRBRanks[[#This Row],[Player]],'OVR &amp; VORP Ranks'!$I:$M,5,FALSE)))/('OVR &amp; VORP Ranks'!$BM$6))*(Settings!$E$10*TEAMS)</f>
        <v>19.83369485904398</v>
      </c>
      <c r="O28">
        <v>27</v>
      </c>
      <c r="P28" t="str">
        <f>IFERROR(INDEX(TableWRCalcPts[PLAYER],MATCH(TableWRRanks[[#This Row],[RK]],TableWRCalcPts[RK],0)),"")</f>
        <v>Christian Kirk</v>
      </c>
      <c r="Q28" t="str">
        <f>IFERROR(INDEX(TableWRCalcPts[TM],MATCH(TableWRRanks[[#This Row],[RK]],TableWRCalcPts[RK],0)),"")</f>
        <v>JAX</v>
      </c>
      <c r="R28">
        <f>IFERROR(INDEX(TableWRCalcPts[BYE],MATCH(TableWRRanks[[#This Row],[RK]],TableWRCalcPts[RK],0)),"")</f>
        <v>12</v>
      </c>
      <c r="S28" s="57">
        <f>IFERROR(INDEX(TableWRCalcPts[Custom],MATCH(TableWRRanks[[#This Row],[RK]],TableWRCalcPts[RK],0)),"")</f>
        <v>185.57758003995784</v>
      </c>
      <c r="T28" s="125">
        <f>(((VLOOKUP(TableWRRanks[[#This Row],[Player]],'OVR &amp; VORP Ranks'!$P:$T,5,FALSE)))/('OVR &amp; VORP Ranks'!$BM$6))*(Settings!$E$10*TEAMS)</f>
        <v>16.71301975947781</v>
      </c>
      <c r="V28">
        <v>27</v>
      </c>
      <c r="W28" t="str">
        <f>IFERROR(INDEX(TableTECalcPts[PLAYER],MATCH(TableTERanks[[#This Row],[RK]],TableTECalcPts[RK],0)),"")</f>
        <v>Hayden Hurst</v>
      </c>
      <c r="X28" t="str">
        <f>IFERROR(INDEX(TableTECalcPts[TM],MATCH(TableTERanks[[#This Row],[RK]],TableTECalcPts[RK],0)),"")</f>
        <v>LAC</v>
      </c>
      <c r="Y28">
        <f>IFERROR(INDEX(TableTECalcPts[BYE],MATCH(TableTERanks[[#This Row],[RK]],TableTECalcPts[RK],0)),"")</f>
        <v>5</v>
      </c>
      <c r="Z28" s="57">
        <f>IFERROR(INDEX(TableTECalcPts[Custom],MATCH(TableTERanks[[#This Row],[RK]],TableTECalcPts[RK],0)),"")</f>
        <v>79.726833329761405</v>
      </c>
      <c r="AA28" s="125">
        <f>(((VLOOKUP(TableTERanks[[#This Row],[Player]],'OVR &amp; VORP Ranks'!$W:$AA,5,FALSE)))/('OVR &amp; VORP Ranks'!$BM$6))*(Settings!$E$10*TEAMS)</f>
        <v>-21.07955055758374</v>
      </c>
      <c r="AC28">
        <v>27</v>
      </c>
      <c r="AD28" t="str">
        <f>IFERROR(INDEX(TableDSTCalcPts[PLAYER],MATCH(TableDSTRanks[[#This Row],[RK]],TableDSTCalcPts[RK],0)),"")</f>
        <v>New England Patriots</v>
      </c>
      <c r="AE28">
        <f>IFERROR(INDEX(TableDSTCalcPts[BYE],MATCH(TableDSTRanks[[#This Row],[RK]],TableDSTCalcPts[RK],0)),"")</f>
        <v>14</v>
      </c>
      <c r="AF28" s="57">
        <f>IFERROR(INDEX(TableDSTCalcPts[Custom],MATCH(TableDSTRanks[[#This Row],[RK]],TableDSTCalcPts[RK],0)),"")</f>
        <v>100.6</v>
      </c>
      <c r="AG28" s="125">
        <v>0</v>
      </c>
    </row>
    <row r="29" spans="1:33" x14ac:dyDescent="0.2">
      <c r="A29">
        <v>28</v>
      </c>
      <c r="B29" t="str">
        <f>IFERROR(INDEX(TableQBCalcPts[PLAYER],MATCH(TableQBRanks[[#This Row],[RK]],TableQBCalcPts[RK],0)),"")</f>
        <v>Derek Carr</v>
      </c>
      <c r="C29" t="str">
        <f>IFERROR(INDEX(TableQBCalcPts[TM],MATCH(TableQBRanks[[#This Row],[RK]],TableQBCalcPts[RK],0)),"")</f>
        <v>NO</v>
      </c>
      <c r="D29">
        <f>IFERROR(INDEX(TableQBCalcPts[BYE],MATCH(TableQBRanks[[#This Row],[RK]],TableQBCalcPts[RK],0)),"")</f>
        <v>12</v>
      </c>
      <c r="E29" s="57">
        <f>IFERROR(INDEX(TableQBCalcPts[Custom],MATCH(TableQBRanks[[#This Row],[RK]],TableQBCalcPts[RK],0)),"")</f>
        <v>256.00216389991385</v>
      </c>
      <c r="F29" s="125">
        <f>(((VLOOKUP(TableQBRanks[[#This Row],[Player]],'OVR &amp; VORP Ranks'!$B:$F,5,FALSE)))/('OVR &amp; VORP Ranks'!$BM$6))*(Settings!$E$10*TEAMS)</f>
        <v>-7.8415812076345164</v>
      </c>
      <c r="H29">
        <v>28</v>
      </c>
      <c r="I29" t="str">
        <f>IFERROR(INDEX(TableRBCalcPts[PLAYER],MATCH(TableRBRanks[[#This Row],[RK]],TableRBCalcPts[RK],0)),"")</f>
        <v>Tony Pollard</v>
      </c>
      <c r="J29" t="str">
        <f>IFERROR(INDEX(TableRBCalcPts[TM],MATCH(TableRBRanks[[#This Row],[RK]],TableRBCalcPts[RK],0)),"")</f>
        <v>TEN</v>
      </c>
      <c r="K29">
        <f>IFERROR(INDEX(TableRBCalcPts[BYE],MATCH(TableRBRanks[[#This Row],[RK]],TableRBCalcPts[RK],0)),"")</f>
        <v>5</v>
      </c>
      <c r="L29" s="57">
        <f>IFERROR(INDEX(TableRBCalcPts[Custom],MATCH(TableRBRanks[[#This Row],[RK]],TableRBCalcPts[RK],0)),"")</f>
        <v>175.18208691056179</v>
      </c>
      <c r="M29" s="125">
        <f>(((VLOOKUP(TableRBRanks[[#This Row],[Player]],'OVR &amp; VORP Ranks'!$I:$M,5,FALSE)))/('OVR &amp; VORP Ranks'!$BM$6))*(Settings!$E$10*TEAMS)</f>
        <v>19.709883004274634</v>
      </c>
      <c r="O29">
        <v>28</v>
      </c>
      <c r="P29" t="str">
        <f>IFERROR(INDEX(TableWRCalcPts[PLAYER],MATCH(TableWRRanks[[#This Row],[RK]],TableWRCalcPts[RK],0)),"")</f>
        <v>Stefon Diggs</v>
      </c>
      <c r="Q29" t="str">
        <f>IFERROR(INDEX(TableWRCalcPts[TM],MATCH(TableWRRanks[[#This Row],[RK]],TableWRCalcPts[RK],0)),"")</f>
        <v>HOU</v>
      </c>
      <c r="R29">
        <f>IFERROR(INDEX(TableWRCalcPts[BYE],MATCH(TableWRRanks[[#This Row],[RK]],TableWRCalcPts[RK],0)),"")</f>
        <v>14</v>
      </c>
      <c r="S29" s="57">
        <f>IFERROR(INDEX(TableWRCalcPts[Custom],MATCH(TableWRRanks[[#This Row],[RK]],TableWRCalcPts[RK],0)),"")</f>
        <v>185.17442688786917</v>
      </c>
      <c r="T29" s="125">
        <f>(((VLOOKUP(TableWRRanks[[#This Row],[Player]],'OVR &amp; VORP Ranks'!$P:$T,5,FALSE)))/('OVR &amp; VORP Ranks'!$BM$6))*(Settings!$E$10*TEAMS)</f>
        <v>16.537363459485057</v>
      </c>
      <c r="V29">
        <v>28</v>
      </c>
      <c r="W29" t="str">
        <f>IFERROR(INDEX(TableTECalcPts[PLAYER],MATCH(TableTERanks[[#This Row],[RK]],TableTECalcPts[RK],0)),"")</f>
        <v>Ben Sinnott</v>
      </c>
      <c r="X29" t="str">
        <f>IFERROR(INDEX(TableTECalcPts[TM],MATCH(TableTERanks[[#This Row],[RK]],TableTECalcPts[RK],0)),"")</f>
        <v>WSH</v>
      </c>
      <c r="Y29">
        <f>IFERROR(INDEX(TableTECalcPts[BYE],MATCH(TableTERanks[[#This Row],[RK]],TableTECalcPts[RK],0)),"")</f>
        <v>14</v>
      </c>
      <c r="Z29" s="57">
        <f>IFERROR(INDEX(TableTECalcPts[Custom],MATCH(TableTERanks[[#This Row],[RK]],TableTECalcPts[RK],0)),"")</f>
        <v>79.489285396192031</v>
      </c>
      <c r="AA29" s="125">
        <f>(((VLOOKUP(TableTERanks[[#This Row],[Player]],'OVR &amp; VORP Ranks'!$W:$AA,5,FALSE)))/('OVR &amp; VORP Ranks'!$BM$6))*(Settings!$E$10*TEAMS)</f>
        <v>-21.176009657319085</v>
      </c>
      <c r="AC29">
        <v>28</v>
      </c>
      <c r="AD29" t="str">
        <f>IFERROR(INDEX(TableDSTCalcPts[PLAYER],MATCH(TableDSTRanks[[#This Row],[RK]],TableDSTCalcPts[RK],0)),"")</f>
        <v>Los Angeles Rams</v>
      </c>
      <c r="AE29">
        <f>IFERROR(INDEX(TableDSTCalcPts[BYE],MATCH(TableDSTRanks[[#This Row],[RK]],TableDSTCalcPts[RK],0)),"")</f>
        <v>6</v>
      </c>
      <c r="AF29" s="57">
        <f>IFERROR(INDEX(TableDSTCalcPts[Custom],MATCH(TableDSTRanks[[#This Row],[RK]],TableDSTCalcPts[RK],0)),"")</f>
        <v>99.85</v>
      </c>
      <c r="AG29" s="125">
        <v>0</v>
      </c>
    </row>
    <row r="30" spans="1:33" x14ac:dyDescent="0.2">
      <c r="A30">
        <v>29</v>
      </c>
      <c r="B30" t="str">
        <f>IFERROR(INDEX(TableQBCalcPts[PLAYER],MATCH(TableQBRanks[[#This Row],[RK]],TableQBCalcPts[RK],0)),"")</f>
        <v>Daniel Jones</v>
      </c>
      <c r="C30" t="str">
        <f>IFERROR(INDEX(TableQBCalcPts[TM],MATCH(TableQBRanks[[#This Row],[RK]],TableQBCalcPts[RK],0)),"")</f>
        <v>NYG</v>
      </c>
      <c r="D30">
        <f>IFERROR(INDEX(TableQBCalcPts[BYE],MATCH(TableQBRanks[[#This Row],[RK]],TableQBCalcPts[RK],0)),"")</f>
        <v>11</v>
      </c>
      <c r="E30" s="57">
        <f>IFERROR(INDEX(TableQBCalcPts[Custom],MATCH(TableQBRanks[[#This Row],[RK]],TableQBCalcPts[RK],0)),"")</f>
        <v>222.95186959043883</v>
      </c>
      <c r="F30" s="125">
        <f>(((VLOOKUP(TableQBRanks[[#This Row],[Player]],'OVR &amp; VORP Ranks'!$B:$F,5,FALSE)))/('OVR &amp; VORP Ranks'!$BM$6))*(Settings!$E$10*TEAMS)</f>
        <v>-12.774636853641788</v>
      </c>
      <c r="H30">
        <v>29</v>
      </c>
      <c r="I30" t="str">
        <f>IFERROR(INDEX(TableRBCalcPts[PLAYER],MATCH(TableRBRanks[[#This Row],[RK]],TableRBCalcPts[RK],0)),"")</f>
        <v>Tyjae Spears</v>
      </c>
      <c r="J30" t="str">
        <f>IFERROR(INDEX(TableRBCalcPts[TM],MATCH(TableRBRanks[[#This Row],[RK]],TableRBCalcPts[RK],0)),"")</f>
        <v>TEN</v>
      </c>
      <c r="K30">
        <f>IFERROR(INDEX(TableRBCalcPts[BYE],MATCH(TableRBRanks[[#This Row],[RK]],TableRBCalcPts[RK],0)),"")</f>
        <v>5</v>
      </c>
      <c r="L30" s="57">
        <f>IFERROR(INDEX(TableRBCalcPts[Custom],MATCH(TableRBRanks[[#This Row],[RK]],TableRBCalcPts[RK],0)),"")</f>
        <v>174.00101222826075</v>
      </c>
      <c r="M30" s="125">
        <f>(((VLOOKUP(TableRBRanks[[#This Row],[Player]],'OVR &amp; VORP Ranks'!$I:$M,5,FALSE)))/('OVR &amp; VORP Ranks'!$BM$6))*(Settings!$E$10*TEAMS)</f>
        <v>19.28869291384563</v>
      </c>
      <c r="O30">
        <v>29</v>
      </c>
      <c r="P30" t="str">
        <f>IFERROR(INDEX(TableWRCalcPts[PLAYER],MATCH(TableWRRanks[[#This Row],[RK]],TableWRCalcPts[RK],0)),"")</f>
        <v>Amari Cooper</v>
      </c>
      <c r="Q30" t="str">
        <f>IFERROR(INDEX(TableWRCalcPts[TM],MATCH(TableWRRanks[[#This Row],[RK]],TableWRCalcPts[RK],0)),"")</f>
        <v>CLE</v>
      </c>
      <c r="R30">
        <f>IFERROR(INDEX(TableWRCalcPts[BYE],MATCH(TableWRRanks[[#This Row],[RK]],TableWRCalcPts[RK],0)),"")</f>
        <v>10</v>
      </c>
      <c r="S30" s="57">
        <f>IFERROR(INDEX(TableWRCalcPts[Custom],MATCH(TableWRRanks[[#This Row],[RK]],TableWRCalcPts[RK],0)),"")</f>
        <v>183.56746715999992</v>
      </c>
      <c r="T30" s="125">
        <f>(((VLOOKUP(TableWRRanks[[#This Row],[Player]],'OVR &amp; VORP Ranks'!$P:$T,5,FALSE)))/('OVR &amp; VORP Ranks'!$BM$6))*(Settings!$E$10*TEAMS)</f>
        <v>15.837201254197881</v>
      </c>
      <c r="V30">
        <v>29</v>
      </c>
      <c r="W30" t="str">
        <f>IFERROR(INDEX(TableTECalcPts[PLAYER],MATCH(TableTERanks[[#This Row],[RK]],TableTECalcPts[RK],0)),"")</f>
        <v>Noah Fant</v>
      </c>
      <c r="X30" t="str">
        <f>IFERROR(INDEX(TableTECalcPts[TM],MATCH(TableTERanks[[#This Row],[RK]],TableTECalcPts[RK],0)),"")</f>
        <v>SEA</v>
      </c>
      <c r="Y30">
        <f>IFERROR(INDEX(TableTECalcPts[BYE],MATCH(TableTERanks[[#This Row],[RK]],TableTECalcPts[RK],0)),"")</f>
        <v>10</v>
      </c>
      <c r="Z30" s="57">
        <f>IFERROR(INDEX(TableTECalcPts[Custom],MATCH(TableTERanks[[#This Row],[RK]],TableTECalcPts[RK],0)),"")</f>
        <v>76.39024214942178</v>
      </c>
      <c r="AA30" s="125">
        <f>(((VLOOKUP(TableTERanks[[#This Row],[Player]],'OVR &amp; VORP Ranks'!$W:$AA,5,FALSE)))/('OVR &amp; VORP Ranks'!$BM$6))*(Settings!$E$10*TEAMS)</f>
        <v>-22.434412191631452</v>
      </c>
      <c r="AC30">
        <v>29</v>
      </c>
      <c r="AD30" t="str">
        <f>IFERROR(INDEX(TableDSTCalcPts[PLAYER],MATCH(TableDSTRanks[[#This Row],[RK]],TableDSTCalcPts[RK],0)),"")</f>
        <v>Chicago Bears</v>
      </c>
      <c r="AE30">
        <f>IFERROR(INDEX(TableDSTCalcPts[BYE],MATCH(TableDSTRanks[[#This Row],[RK]],TableDSTCalcPts[RK],0)),"")</f>
        <v>7</v>
      </c>
      <c r="AF30" s="57">
        <f>IFERROR(INDEX(TableDSTCalcPts[Custom],MATCH(TableDSTRanks[[#This Row],[RK]],TableDSTCalcPts[RK],0)),"")</f>
        <v>99.5</v>
      </c>
      <c r="AG30" s="125">
        <v>0</v>
      </c>
    </row>
    <row r="31" spans="1:33" x14ac:dyDescent="0.2">
      <c r="A31">
        <v>30</v>
      </c>
      <c r="B31" t="str">
        <f>IFERROR(INDEX(TableQBCalcPts[PLAYER],MATCH(TableQBRanks[[#This Row],[RK]],TableQBCalcPts[RK],0)),"")</f>
        <v>Russell Wilson</v>
      </c>
      <c r="C31" t="str">
        <f>IFERROR(INDEX(TableQBCalcPts[TM],MATCH(TableQBRanks[[#This Row],[RK]],TableQBCalcPts[RK],0)),"")</f>
        <v>PIT</v>
      </c>
      <c r="D31">
        <f>IFERROR(INDEX(TableQBCalcPts[BYE],MATCH(TableQBRanks[[#This Row],[RK]],TableQBCalcPts[RK],0)),"")</f>
        <v>9</v>
      </c>
      <c r="E31" s="57">
        <f>IFERROR(INDEX(TableQBCalcPts[Custom],MATCH(TableQBRanks[[#This Row],[RK]],TableQBCalcPts[RK],0)),"")</f>
        <v>209.11725262807195</v>
      </c>
      <c r="F31" s="125">
        <f>(((VLOOKUP(TableQBRanks[[#This Row],[Player]],'OVR &amp; VORP Ranks'!$B:$F,5,FALSE)))/('OVR &amp; VORP Ranks'!$BM$6))*(Settings!$E$10*TEAMS)</f>
        <v>-15.524717000866103</v>
      </c>
      <c r="H31">
        <v>30</v>
      </c>
      <c r="I31" t="str">
        <f>IFERROR(INDEX(TableRBCalcPts[PLAYER],MATCH(TableRBRanks[[#This Row],[RK]],TableRBCalcPts[RK],0)),"")</f>
        <v>Raheem Mostert</v>
      </c>
      <c r="J31" t="str">
        <f>IFERROR(INDEX(TableRBCalcPts[TM],MATCH(TableRBRanks[[#This Row],[RK]],TableRBCalcPts[RK],0)),"")</f>
        <v>MIA</v>
      </c>
      <c r="K31">
        <f>IFERROR(INDEX(TableRBCalcPts[BYE],MATCH(TableRBRanks[[#This Row],[RK]],TableRBCalcPts[RK],0)),"")</f>
        <v>6</v>
      </c>
      <c r="L31" s="57">
        <f>IFERROR(INDEX(TableRBCalcPts[Custom],MATCH(TableRBRanks[[#This Row],[RK]],TableRBCalcPts[RK],0)),"")</f>
        <v>169.2372413840734</v>
      </c>
      <c r="M31" s="125">
        <f>(((VLOOKUP(TableRBRanks[[#This Row],[Player]],'OVR &amp; VORP Ranks'!$I:$M,5,FALSE)))/('OVR &amp; VORP Ranks'!$BM$6))*(Settings!$E$10*TEAMS)</f>
        <v>17.589856165658606</v>
      </c>
      <c r="O31">
        <v>30</v>
      </c>
      <c r="P31" t="str">
        <f>IFERROR(INDEX(TableWRCalcPts[PLAYER],MATCH(TableWRRanks[[#This Row],[RK]],TableWRCalcPts[RK],0)),"")</f>
        <v>Calvin Ridley</v>
      </c>
      <c r="Q31" t="str">
        <f>IFERROR(INDEX(TableWRCalcPts[TM],MATCH(TableWRRanks[[#This Row],[RK]],TableWRCalcPts[RK],0)),"")</f>
        <v>TEN</v>
      </c>
      <c r="R31">
        <f>IFERROR(INDEX(TableWRCalcPts[BYE],MATCH(TableWRRanks[[#This Row],[RK]],TableWRCalcPts[RK],0)),"")</f>
        <v>5</v>
      </c>
      <c r="S31" s="57">
        <f>IFERROR(INDEX(TableWRCalcPts[Custom],MATCH(TableWRRanks[[#This Row],[RK]],TableWRCalcPts[RK],0)),"")</f>
        <v>182.91329454254475</v>
      </c>
      <c r="T31" s="125">
        <f>(((VLOOKUP(TableWRRanks[[#This Row],[Player]],'OVR &amp; VORP Ranks'!$P:$T,5,FALSE)))/('OVR &amp; VORP Ranks'!$BM$6))*(Settings!$E$10*TEAMS)</f>
        <v>15.55217423420951</v>
      </c>
      <c r="V31">
        <v>30</v>
      </c>
      <c r="W31" t="str">
        <f>IFERROR(INDEX(TableTECalcPts[PLAYER],MATCH(TableTERanks[[#This Row],[RK]],TableTECalcPts[RK],0)),"")</f>
        <v>Theo Johnson</v>
      </c>
      <c r="X31" t="str">
        <f>IFERROR(INDEX(TableTECalcPts[TM],MATCH(TableTERanks[[#This Row],[RK]],TableTECalcPts[RK],0)),"")</f>
        <v>NYG</v>
      </c>
      <c r="Y31">
        <f>IFERROR(INDEX(TableTECalcPts[BYE],MATCH(TableTERanks[[#This Row],[RK]],TableTECalcPts[RK],0)),"")</f>
        <v>11</v>
      </c>
      <c r="Z31" s="57">
        <f>IFERROR(INDEX(TableTECalcPts[Custom],MATCH(TableTERanks[[#This Row],[RK]],TableTECalcPts[RK],0)),"")</f>
        <v>74.308369090843826</v>
      </c>
      <c r="AA31" s="125">
        <f>(((VLOOKUP(TableTERanks[[#This Row],[Player]],'OVR &amp; VORP Ranks'!$W:$AA,5,FALSE)))/('OVR &amp; VORP Ranks'!$BM$6))*(Settings!$E$10*TEAMS)</f>
        <v>-23.279780947218025</v>
      </c>
      <c r="AC31">
        <v>30</v>
      </c>
      <c r="AD31" t="str">
        <f>IFERROR(INDEX(TableDSTCalcPts[PLAYER],MATCH(TableDSTRanks[[#This Row],[RK]],TableDSTCalcPts[RK],0)),"")</f>
        <v>Tennessee Titans</v>
      </c>
      <c r="AE31">
        <f>IFERROR(INDEX(TableDSTCalcPts[BYE],MATCH(TableDSTRanks[[#This Row],[RK]],TableDSTCalcPts[RK],0)),"")</f>
        <v>5</v>
      </c>
      <c r="AF31" s="57">
        <f>IFERROR(INDEX(TableDSTCalcPts[Custom],MATCH(TableDSTRanks[[#This Row],[RK]],TableDSTCalcPts[RK],0)),"")</f>
        <v>97.949999999999974</v>
      </c>
      <c r="AG31" s="125">
        <v>0</v>
      </c>
    </row>
    <row r="32" spans="1:33" x14ac:dyDescent="0.2">
      <c r="A32">
        <v>31</v>
      </c>
      <c r="B32" t="str">
        <f>IFERROR(INDEX(TableQBCalcPts[PLAYER],MATCH(TableQBRanks[[#This Row],[RK]],TableQBCalcPts[RK],0)),"")</f>
        <v>Drake Maye</v>
      </c>
      <c r="C32" t="str">
        <f>IFERROR(INDEX(TableQBCalcPts[TM],MATCH(TableQBRanks[[#This Row],[RK]],TableQBCalcPts[RK],0)),"")</f>
        <v>NE</v>
      </c>
      <c r="D32">
        <f>IFERROR(INDEX(TableQBCalcPts[BYE],MATCH(TableQBRanks[[#This Row],[RK]],TableQBCalcPts[RK],0)),"")</f>
        <v>14</v>
      </c>
      <c r="E32" s="57">
        <f>IFERROR(INDEX(TableQBCalcPts[Custom],MATCH(TableQBRanks[[#This Row],[RK]],TableQBCalcPts[RK],0)),"")</f>
        <v>196.96135361153011</v>
      </c>
      <c r="F32" s="125">
        <f>(((VLOOKUP(TableQBRanks[[#This Row],[Player]],'OVR &amp; VORP Ranks'!$B:$F,5,FALSE)))/('OVR &amp; VORP Ranks'!$BM$6))*(Settings!$E$10*TEAMS)</f>
        <v>-17.356915699188427</v>
      </c>
      <c r="H32">
        <v>31</v>
      </c>
      <c r="I32" t="str">
        <f>IFERROR(INDEX(TableRBCalcPts[PLAYER],MATCH(TableRBRanks[[#This Row],[RK]],TableRBCalcPts[RK],0)),"")</f>
        <v>Jerome Ford</v>
      </c>
      <c r="J32" t="str">
        <f>IFERROR(INDEX(TableRBCalcPts[TM],MATCH(TableRBRanks[[#This Row],[RK]],TableRBCalcPts[RK],0)),"")</f>
        <v>CLE</v>
      </c>
      <c r="K32">
        <f>IFERROR(INDEX(TableRBCalcPts[BYE],MATCH(TableRBRanks[[#This Row],[RK]],TableRBCalcPts[RK],0)),"")</f>
        <v>10</v>
      </c>
      <c r="L32" s="57">
        <f>IFERROR(INDEX(TableRBCalcPts[Custom],MATCH(TableRBRanks[[#This Row],[RK]],TableRBCalcPts[RK],0)),"")</f>
        <v>168.69179379937501</v>
      </c>
      <c r="M32" s="125">
        <f>(((VLOOKUP(TableRBRanks[[#This Row],[Player]],'OVR &amp; VORP Ranks'!$I:$M,5,FALSE)))/('OVR &amp; VORP Ranks'!$BM$6))*(Settings!$E$10*TEAMS)</f>
        <v>17.395340847562203</v>
      </c>
      <c r="O32">
        <v>31</v>
      </c>
      <c r="P32" t="str">
        <f>IFERROR(INDEX(TableWRCalcPts[PLAYER],MATCH(TableWRRanks[[#This Row],[RK]],TableWRCalcPts[RK],0)),"")</f>
        <v>Tank Dell</v>
      </c>
      <c r="Q32" t="str">
        <f>IFERROR(INDEX(TableWRCalcPts[TM],MATCH(TableWRRanks[[#This Row],[RK]],TableWRCalcPts[RK],0)),"")</f>
        <v>HOU</v>
      </c>
      <c r="R32">
        <f>IFERROR(INDEX(TableWRCalcPts[BYE],MATCH(TableWRRanks[[#This Row],[RK]],TableWRCalcPts[RK],0)),"")</f>
        <v>14</v>
      </c>
      <c r="S32" s="57">
        <f>IFERROR(INDEX(TableWRCalcPts[Custom],MATCH(TableWRRanks[[#This Row],[RK]],TableWRCalcPts[RK],0)),"")</f>
        <v>181.86577234960347</v>
      </c>
      <c r="T32" s="125">
        <f>(((VLOOKUP(TableWRRanks[[#This Row],[Player]],'OVR &amp; VORP Ranks'!$P:$T,5,FALSE)))/('OVR &amp; VORP Ranks'!$BM$6))*(Settings!$E$10*TEAMS)</f>
        <v>15.095762392657312</v>
      </c>
      <c r="V32">
        <v>31</v>
      </c>
      <c r="W32" t="str">
        <f>IFERROR(INDEX(TableTECalcPts[PLAYER],MATCH(TableTERanks[[#This Row],[RK]],TableTECalcPts[RK],0)),"")</f>
        <v>Greg Dulcich</v>
      </c>
      <c r="X32" t="str">
        <f>IFERROR(INDEX(TableTECalcPts[TM],MATCH(TableTERanks[[#This Row],[RK]],TableTECalcPts[RK],0)),"")</f>
        <v>DEN</v>
      </c>
      <c r="Y32">
        <f>IFERROR(INDEX(TableTECalcPts[BYE],MATCH(TableTERanks[[#This Row],[RK]],TableTECalcPts[RK],0)),"")</f>
        <v>14</v>
      </c>
      <c r="Z32" s="57">
        <f>IFERROR(INDEX(TableTECalcPts[Custom],MATCH(TableTERanks[[#This Row],[RK]],TableTECalcPts[RK],0)),"")</f>
        <v>72.597638439045213</v>
      </c>
      <c r="AA32" s="125">
        <f>(((VLOOKUP(TableTERanks[[#This Row],[Player]],'OVR &amp; VORP Ranks'!$W:$AA,5,FALSE)))/('OVR &amp; VORP Ranks'!$BM$6))*(Settings!$E$10*TEAMS)</f>
        <v>-23.97444301429076</v>
      </c>
      <c r="AC32">
        <v>31</v>
      </c>
      <c r="AD32" t="str">
        <f>IFERROR(INDEX(TableDSTCalcPts[PLAYER],MATCH(TableDSTRanks[[#This Row],[RK]],TableDSTCalcPts[RK],0)),"")</f>
        <v>Arizona Cardinals</v>
      </c>
      <c r="AE32">
        <f>IFERROR(INDEX(TableDSTCalcPts[BYE],MATCH(TableDSTRanks[[#This Row],[RK]],TableDSTCalcPts[RK],0)),"")</f>
        <v>11</v>
      </c>
      <c r="AF32" s="57">
        <f>IFERROR(INDEX(TableDSTCalcPts[Custom],MATCH(TableDSTRanks[[#This Row],[RK]],TableDSTCalcPts[RK],0)),"")</f>
        <v>97.050000000000011</v>
      </c>
      <c r="AG32" s="125">
        <v>0</v>
      </c>
    </row>
    <row r="33" spans="1:33" x14ac:dyDescent="0.2">
      <c r="A33">
        <v>32</v>
      </c>
      <c r="B33" t="str">
        <f>IFERROR(INDEX(TableQBCalcPts[PLAYER],MATCH(TableQBRanks[[#This Row],[RK]],TableQBCalcPts[RK],0)),"")</f>
        <v>Gardner Minshew</v>
      </c>
      <c r="C33" t="str">
        <f>IFERROR(INDEX(TableQBCalcPts[TM],MATCH(TableQBRanks[[#This Row],[RK]],TableQBCalcPts[RK],0)),"")</f>
        <v>LV</v>
      </c>
      <c r="D33">
        <f>IFERROR(INDEX(TableQBCalcPts[BYE],MATCH(TableQBRanks[[#This Row],[RK]],TableQBCalcPts[RK],0)),"")</f>
        <v>10</v>
      </c>
      <c r="E33" s="57">
        <f>IFERROR(INDEX(TableQBCalcPts[Custom],MATCH(TableQBRanks[[#This Row],[RK]],TableQBCalcPts[RK],0)),"")</f>
        <v>157.03372905387877</v>
      </c>
      <c r="F33" s="125">
        <f>(((VLOOKUP(TableQBRanks[[#This Row],[Player]],'OVR &amp; VORP Ranks'!$B:$F,5,FALSE)))/('OVR &amp; VORP Ranks'!$BM$6))*(Settings!$E$10*TEAMS)</f>
        <v>-24.615615992469486</v>
      </c>
      <c r="H33">
        <v>32</v>
      </c>
      <c r="I33" t="str">
        <f>IFERROR(INDEX(TableRBCalcPts[PLAYER],MATCH(TableRBRanks[[#This Row],[RK]],TableRBCalcPts[RK],0)),"")</f>
        <v>Gus Edwards</v>
      </c>
      <c r="J33" t="str">
        <f>IFERROR(INDEX(TableRBCalcPts[TM],MATCH(TableRBRanks[[#This Row],[RK]],TableRBCalcPts[RK],0)),"")</f>
        <v>LAC</v>
      </c>
      <c r="K33">
        <f>IFERROR(INDEX(TableRBCalcPts[BYE],MATCH(TableRBRanks[[#This Row],[RK]],TableRBCalcPts[RK],0)),"")</f>
        <v>5</v>
      </c>
      <c r="L33" s="57">
        <f>IFERROR(INDEX(TableRBCalcPts[Custom],MATCH(TableRBRanks[[#This Row],[RK]],TableRBCalcPts[RK],0)),"")</f>
        <v>159.16946682775205</v>
      </c>
      <c r="M33" s="125">
        <f>(((VLOOKUP(TableRBRanks[[#This Row],[Player]],'OVR &amp; VORP Ranks'!$I:$M,5,FALSE)))/('OVR &amp; VORP Ranks'!$BM$6))*(Settings!$E$10*TEAMS)</f>
        <v>13.999527002447419</v>
      </c>
      <c r="O33">
        <v>32</v>
      </c>
      <c r="P33" t="str">
        <f>IFERROR(INDEX(TableWRCalcPts[PLAYER],MATCH(TableWRRanks[[#This Row],[RK]],TableWRCalcPts[RK],0)),"")</f>
        <v>Brian Thomas</v>
      </c>
      <c r="Q33" t="str">
        <f>IFERROR(INDEX(TableWRCalcPts[TM],MATCH(TableWRRanks[[#This Row],[RK]],TableWRCalcPts[RK],0)),"")</f>
        <v>JAX</v>
      </c>
      <c r="R33">
        <f>IFERROR(INDEX(TableWRCalcPts[BYE],MATCH(TableWRRanks[[#This Row],[RK]],TableWRCalcPts[RK],0)),"")</f>
        <v>12</v>
      </c>
      <c r="S33" s="57">
        <f>IFERROR(INDEX(TableWRCalcPts[Custom],MATCH(TableWRRanks[[#This Row],[RK]],TableWRCalcPts[RK],0)),"")</f>
        <v>181.1515057352</v>
      </c>
      <c r="T33" s="125">
        <f>(((VLOOKUP(TableWRRanks[[#This Row],[Player]],'OVR &amp; VORP Ranks'!$P:$T,5,FALSE)))/('OVR &amp; VORP Ranks'!$BM$6))*(Settings!$E$10*TEAMS)</f>
        <v>14.784552049777814</v>
      </c>
      <c r="V33">
        <v>32</v>
      </c>
      <c r="W33" t="str">
        <f>IFERROR(INDEX(TableTECalcPts[PLAYER],MATCH(TableTERanks[[#This Row],[RK]],TableTECalcPts[RK],0)),"")</f>
        <v>Tucker Kraft</v>
      </c>
      <c r="X33" t="str">
        <f>IFERROR(INDEX(TableTECalcPts[TM],MATCH(TableTERanks[[#This Row],[RK]],TableTECalcPts[RK],0)),"")</f>
        <v>GB</v>
      </c>
      <c r="Y33">
        <f>IFERROR(INDEX(TableTECalcPts[BYE],MATCH(TableTERanks[[#This Row],[RK]],TableTECalcPts[RK],0)),"")</f>
        <v>10</v>
      </c>
      <c r="Z33" s="57">
        <f>IFERROR(INDEX(TableTECalcPts[Custom],MATCH(TableTERanks[[#This Row],[RK]],TableTECalcPts[RK],0)),"")</f>
        <v>65.127360408954189</v>
      </c>
      <c r="AA33" s="125">
        <f>(((VLOOKUP(TableTERanks[[#This Row],[Player]],'OVR &amp; VORP Ranks'!$W:$AA,5,FALSE)))/('OVR &amp; VORP Ranks'!$BM$6))*(Settings!$E$10*TEAMS)</f>
        <v>-27.00783624456648</v>
      </c>
      <c r="AC33">
        <v>32</v>
      </c>
      <c r="AD33" t="str">
        <f>IFERROR(INDEX(TableDSTCalcPts[PLAYER],MATCH(TableDSTRanks[[#This Row],[RK]],TableDSTCalcPts[RK],0)),"")</f>
        <v>Carolina Panthers</v>
      </c>
      <c r="AE33">
        <f>IFERROR(INDEX(TableDSTCalcPts[BYE],MATCH(TableDSTRanks[[#This Row],[RK]],TableDSTCalcPts[RK],0)),"")</f>
        <v>11</v>
      </c>
      <c r="AF33" s="57">
        <f>IFERROR(INDEX(TableDSTCalcPts[Custom],MATCH(TableDSTRanks[[#This Row],[RK]],TableDSTCalcPts[RK],0)),"")</f>
        <v>94.75</v>
      </c>
      <c r="AG33" s="125">
        <v>0</v>
      </c>
    </row>
    <row r="34" spans="1:33" x14ac:dyDescent="0.2">
      <c r="A34">
        <v>33</v>
      </c>
      <c r="B34" t="str">
        <f>IFERROR(INDEX(TableQBCalcPts[PLAYER],MATCH(TableQBRanks[[#This Row],[RK]],TableQBCalcPts[RK],0)),"")</f>
        <v>Aidan O'Connell</v>
      </c>
      <c r="C34" t="str">
        <f>IFERROR(INDEX(TableQBCalcPts[TM],MATCH(TableQBRanks[[#This Row],[RK]],TableQBCalcPts[RK],0)),"")</f>
        <v>LV</v>
      </c>
      <c r="D34">
        <f>IFERROR(INDEX(TableQBCalcPts[BYE],MATCH(TableQBRanks[[#This Row],[RK]],TableQBCalcPts[RK],0)),"")</f>
        <v>10</v>
      </c>
      <c r="E34" s="57">
        <f>IFERROR(INDEX(TableQBCalcPts[Custom],MATCH(TableQBRanks[[#This Row],[RK]],TableQBCalcPts[RK],0)),"")</f>
        <v>96.097259595861857</v>
      </c>
      <c r="F34" s="125">
        <f>(((VLOOKUP(TableQBRanks[[#This Row],[Player]],'OVR &amp; VORP Ranks'!$B:$F,5,FALSE)))/('OVR &amp; VORP Ranks'!$BM$6))*(Settings!$E$10*TEAMS)</f>
        <v>-33.548027965095997</v>
      </c>
      <c r="H34">
        <v>33</v>
      </c>
      <c r="I34" t="str">
        <f>IFERROR(INDEX(TableRBCalcPts[PLAYER],MATCH(TableRBRanks[[#This Row],[RK]],TableRBCalcPts[RK],0)),"")</f>
        <v>Najee Harris</v>
      </c>
      <c r="J34" t="str">
        <f>IFERROR(INDEX(TableRBCalcPts[TM],MATCH(TableRBRanks[[#This Row],[RK]],TableRBCalcPts[RK],0)),"")</f>
        <v>PIT</v>
      </c>
      <c r="K34">
        <f>IFERROR(INDEX(TableRBCalcPts[BYE],MATCH(TableRBRanks[[#This Row],[RK]],TableRBCalcPts[RK],0)),"")</f>
        <v>9</v>
      </c>
      <c r="L34" s="57">
        <f>IFERROR(INDEX(TableRBCalcPts[Custom],MATCH(TableRBRanks[[#This Row],[RK]],TableRBCalcPts[RK],0)),"")</f>
        <v>158.00700681706502</v>
      </c>
      <c r="M34" s="125">
        <f>(((VLOOKUP(TableRBRanks[[#This Row],[Player]],'OVR &amp; VORP Ranks'!$I:$M,5,FALSE)))/('OVR &amp; VORP Ranks'!$BM$6))*(Settings!$E$10*TEAMS)</f>
        <v>13.58497520114433</v>
      </c>
      <c r="O34">
        <v>33</v>
      </c>
      <c r="P34" t="str">
        <f>IFERROR(INDEX(TableWRCalcPts[PLAYER],MATCH(TableWRRanks[[#This Row],[RK]],TableWRCalcPts[RK],0)),"")</f>
        <v>Khalil Shakir</v>
      </c>
      <c r="Q34" t="str">
        <f>IFERROR(INDEX(TableWRCalcPts[TM],MATCH(TableWRRanks[[#This Row],[RK]],TableWRCalcPts[RK],0)),"")</f>
        <v>BUF</v>
      </c>
      <c r="R34">
        <f>IFERROR(INDEX(TableWRCalcPts[BYE],MATCH(TableWRRanks[[#This Row],[RK]],TableWRCalcPts[RK],0)),"")</f>
        <v>12</v>
      </c>
      <c r="S34" s="57">
        <f>IFERROR(INDEX(TableWRCalcPts[Custom],MATCH(TableWRRanks[[#This Row],[RK]],TableWRCalcPts[RK],0)),"")</f>
        <v>177.32419603379708</v>
      </c>
      <c r="T34" s="125">
        <f>(((VLOOKUP(TableWRRanks[[#This Row],[Player]],'OVR &amp; VORP Ranks'!$P:$T,5,FALSE)))/('OVR &amp; VORP Ranks'!$BM$6))*(Settings!$E$10*TEAMS)</f>
        <v>13.116969748630497</v>
      </c>
      <c r="V34">
        <v>33</v>
      </c>
      <c r="W34" t="str">
        <f>IFERROR(INDEX(TableTECalcPts[PLAYER],MATCH(TableTERanks[[#This Row],[RK]],TableTECalcPts[RK],0)),"")</f>
        <v>Michael Mayer</v>
      </c>
      <c r="X34" t="str">
        <f>IFERROR(INDEX(TableTECalcPts[TM],MATCH(TableTERanks[[#This Row],[RK]],TableTECalcPts[RK],0)),"")</f>
        <v>LV</v>
      </c>
      <c r="Y34">
        <f>IFERROR(INDEX(TableTECalcPts[BYE],MATCH(TableTERanks[[#This Row],[RK]],TableTECalcPts[RK],0)),"")</f>
        <v>10</v>
      </c>
      <c r="Z34" s="57">
        <f>IFERROR(INDEX(TableTECalcPts[Custom],MATCH(TableTERanks[[#This Row],[RK]],TableTECalcPts[RK],0)),"")</f>
        <v>63.541282229215099</v>
      </c>
      <c r="AA34" s="125">
        <f>(((VLOOKUP(TableTERanks[[#This Row],[Player]],'OVR &amp; VORP Ranks'!$W:$AA,5,FALSE)))/('OVR &amp; VORP Ranks'!$BM$6))*(Settings!$E$10*TEAMS)</f>
        <v>-27.651881726371649</v>
      </c>
    </row>
    <row r="35" spans="1:33" x14ac:dyDescent="0.2">
      <c r="A35">
        <v>34</v>
      </c>
      <c r="B35" t="str">
        <f>IFERROR(INDEX(TableQBCalcPts[PLAYER],MATCH(TableQBRanks[[#This Row],[RK]],TableQBCalcPts[RK],0)),"")</f>
        <v>Justin Fields</v>
      </c>
      <c r="C35" t="str">
        <f>IFERROR(INDEX(TableQBCalcPts[TM],MATCH(TableQBRanks[[#This Row],[RK]],TableQBCalcPts[RK],0)),"")</f>
        <v>PIT</v>
      </c>
      <c r="D35">
        <f>IFERROR(INDEX(TableQBCalcPts[BYE],MATCH(TableQBRanks[[#This Row],[RK]],TableQBCalcPts[RK],0)),"")</f>
        <v>9</v>
      </c>
      <c r="E35" s="57">
        <f>IFERROR(INDEX(TableQBCalcPts[Custom],MATCH(TableQBRanks[[#This Row],[RK]],TableQBCalcPts[RK],0)),"")</f>
        <v>84.962265033129825</v>
      </c>
      <c r="F35" s="125">
        <f>(((VLOOKUP(TableQBRanks[[#This Row],[Player]],'OVR &amp; VORP Ranks'!$B:$F,5,FALSE)))/('OVR &amp; VORP Ranks'!$BM$6))*(Settings!$E$10*TEAMS)</f>
        <v>-36.282984012964512</v>
      </c>
      <c r="H35">
        <v>34</v>
      </c>
      <c r="I35" t="str">
        <f>IFERROR(INDEX(TableRBCalcPts[PLAYER],MATCH(TableRBRanks[[#This Row],[RK]],TableRBCalcPts[RK],0)),"")</f>
        <v>Austin Ekeler</v>
      </c>
      <c r="J35" t="str">
        <f>IFERROR(INDEX(TableRBCalcPts[TM],MATCH(TableRBRanks[[#This Row],[RK]],TableRBCalcPts[RK],0)),"")</f>
        <v>WSH</v>
      </c>
      <c r="K35">
        <f>IFERROR(INDEX(TableRBCalcPts[BYE],MATCH(TableRBRanks[[#This Row],[RK]],TableRBCalcPts[RK],0)),"")</f>
        <v>14</v>
      </c>
      <c r="L35" s="57">
        <f>IFERROR(INDEX(TableRBCalcPts[Custom],MATCH(TableRBRanks[[#This Row],[RK]],TableRBCalcPts[RK],0)),"")</f>
        <v>150.92304762595202</v>
      </c>
      <c r="M35" s="125">
        <f>(((VLOOKUP(TableRBRanks[[#This Row],[Player]],'OVR &amp; VORP Ranks'!$I:$M,5,FALSE)))/('OVR &amp; VORP Ranks'!$BM$6))*(Settings!$E$10*TEAMS)</f>
        <v>11.058722241012083</v>
      </c>
      <c r="O35">
        <v>34</v>
      </c>
      <c r="P35" t="str">
        <f>IFERROR(INDEX(TableWRCalcPts[PLAYER],MATCH(TableWRRanks[[#This Row],[RK]],TableWRCalcPts[RK],0)),"")</f>
        <v>Zay Flowers</v>
      </c>
      <c r="Q35" t="str">
        <f>IFERROR(INDEX(TableWRCalcPts[TM],MATCH(TableWRRanks[[#This Row],[RK]],TableWRCalcPts[RK],0)),"")</f>
        <v>BAL</v>
      </c>
      <c r="R35">
        <f>IFERROR(INDEX(TableWRCalcPts[BYE],MATCH(TableWRRanks[[#This Row],[RK]],TableWRCalcPts[RK],0)),"")</f>
        <v>14</v>
      </c>
      <c r="S35" s="57">
        <f>IFERROR(INDEX(TableWRCalcPts[Custom],MATCH(TableWRRanks[[#This Row],[RK]],TableWRCalcPts[RK],0)),"")</f>
        <v>176.12076560183124</v>
      </c>
      <c r="T35" s="125">
        <f>(((VLOOKUP(TableWRRanks[[#This Row],[Player]],'OVR &amp; VORP Ranks'!$P:$T,5,FALSE)))/('OVR &amp; VORP Ranks'!$BM$6))*(Settings!$E$10*TEAMS)</f>
        <v>12.592627731502199</v>
      </c>
      <c r="V35">
        <v>34</v>
      </c>
      <c r="W35" t="str">
        <f>IFERROR(INDEX(TableTECalcPts[PLAYER],MATCH(TableTERanks[[#This Row],[RK]],TableTECalcPts[RK],0)),"")</f>
        <v>Tommy Tremble</v>
      </c>
      <c r="X35" t="str">
        <f>IFERROR(INDEX(TableTECalcPts[TM],MATCH(TableTERanks[[#This Row],[RK]],TableTECalcPts[RK],0)),"")</f>
        <v>CAR</v>
      </c>
      <c r="Y35">
        <f>IFERROR(INDEX(TableTECalcPts[BYE],MATCH(TableTERanks[[#This Row],[RK]],TableTECalcPts[RK],0)),"")</f>
        <v>11</v>
      </c>
      <c r="Z35" s="57">
        <f>IFERROR(INDEX(TableTECalcPts[Custom],MATCH(TableTERanks[[#This Row],[RK]],TableTECalcPts[RK],0)),"")</f>
        <v>59.441486316951199</v>
      </c>
      <c r="AA35" s="125">
        <f>(((VLOOKUP(TableTERanks[[#This Row],[Player]],'OVR &amp; VORP Ranks'!$W:$AA,5,FALSE)))/('OVR &amp; VORP Ranks'!$BM$6))*(Settings!$E$10*TEAMS)</f>
        <v>-29.316651513477129</v>
      </c>
    </row>
    <row r="36" spans="1:33" x14ac:dyDescent="0.2">
      <c r="A36">
        <v>35</v>
      </c>
      <c r="B36" t="str">
        <f>IFERROR(INDEX(TableQBCalcPts[PLAYER],MATCH(TableQBRanks[[#This Row],[RK]],TableQBCalcPts[RK],0)),"")</f>
        <v>Jacoby Brissett</v>
      </c>
      <c r="C36" t="str">
        <f>IFERROR(INDEX(TableQBCalcPts[TM],MATCH(TableQBRanks[[#This Row],[RK]],TableQBCalcPts[RK],0)),"")</f>
        <v>NE</v>
      </c>
      <c r="D36">
        <f>IFERROR(INDEX(TableQBCalcPts[BYE],MATCH(TableQBRanks[[#This Row],[RK]],TableQBCalcPts[RK],0)),"")</f>
        <v>14</v>
      </c>
      <c r="E36" s="57">
        <f>IFERROR(INDEX(TableQBCalcPts[Custom],MATCH(TableQBRanks[[#This Row],[RK]],TableQBCalcPts[RK],0)),"")</f>
        <v>71.758407648976288</v>
      </c>
      <c r="F36" s="125">
        <f>(((VLOOKUP(TableQBRanks[[#This Row],[Player]],'OVR &amp; VORP Ranks'!$B:$F,5,FALSE)))/('OVR &amp; VORP Ranks'!$BM$6))*(Settings!$E$10*TEAMS)</f>
        <v>-38.457606928209131</v>
      </c>
      <c r="H36">
        <v>35</v>
      </c>
      <c r="I36" t="str">
        <f>IFERROR(INDEX(TableRBCalcPts[PLAYER],MATCH(TableRBRanks[[#This Row],[RK]],TableRBCalcPts[RK],0)),"")</f>
        <v>Nick Chubb</v>
      </c>
      <c r="J36" t="str">
        <f>IFERROR(INDEX(TableRBCalcPts[TM],MATCH(TableRBRanks[[#This Row],[RK]],TableRBCalcPts[RK],0)),"")</f>
        <v>CLE</v>
      </c>
      <c r="K36">
        <f>IFERROR(INDEX(TableRBCalcPts[BYE],MATCH(TableRBRanks[[#This Row],[RK]],TableRBCalcPts[RK],0)),"")</f>
        <v>10</v>
      </c>
      <c r="L36" s="57">
        <f>IFERROR(INDEX(TableRBCalcPts[Custom],MATCH(TableRBRanks[[#This Row],[RK]],TableRBCalcPts[RK],0)),"")</f>
        <v>149.18106401459886</v>
      </c>
      <c r="M36" s="125">
        <f>(((VLOOKUP(TableRBRanks[[#This Row],[Player]],'OVR &amp; VORP Ranks'!$I:$M,5,FALSE)))/('OVR &amp; VORP Ranks'!$BM$6))*(Settings!$E$10*TEAMS)</f>
        <v>10.437503070212292</v>
      </c>
      <c r="O36">
        <v>35</v>
      </c>
      <c r="P36" t="str">
        <f>IFERROR(INDEX(TableWRCalcPts[PLAYER],MATCH(TableWRRanks[[#This Row],[RK]],TableWRCalcPts[RK],0)),"")</f>
        <v>Jordan Addison</v>
      </c>
      <c r="Q36" t="str">
        <f>IFERROR(INDEX(TableWRCalcPts[TM],MATCH(TableWRRanks[[#This Row],[RK]],TableWRCalcPts[RK],0)),"")</f>
        <v>MIN</v>
      </c>
      <c r="R36">
        <f>IFERROR(INDEX(TableWRCalcPts[BYE],MATCH(TableWRRanks[[#This Row],[RK]],TableWRCalcPts[RK],0)),"")</f>
        <v>6</v>
      </c>
      <c r="S36" s="57">
        <f>IFERROR(INDEX(TableWRCalcPts[Custom],MATCH(TableWRRanks[[#This Row],[RK]],TableWRCalcPts[RK],0)),"")</f>
        <v>173.55431512473601</v>
      </c>
      <c r="T36" s="125">
        <f>(((VLOOKUP(TableWRRanks[[#This Row],[Player]],'OVR &amp; VORP Ranks'!$P:$T,5,FALSE)))/('OVR &amp; VORP Ranks'!$BM$6))*(Settings!$E$10*TEAMS)</f>
        <v>11.474409524387598</v>
      </c>
      <c r="V36">
        <v>35</v>
      </c>
      <c r="W36" t="str">
        <f>IFERROR(INDEX(TableTECalcPts[PLAYER],MATCH(TableTERanks[[#This Row],[RK]],TableTECalcPts[RK],0)),"")</f>
        <v>Ja'Tavion Sanders</v>
      </c>
      <c r="X36" t="str">
        <f>IFERROR(INDEX(TableTECalcPts[TM],MATCH(TableTERanks[[#This Row],[RK]],TableTECalcPts[RK],0)),"")</f>
        <v>CAR</v>
      </c>
      <c r="Y36">
        <f>IFERROR(INDEX(TableTECalcPts[BYE],MATCH(TableTERanks[[#This Row],[RK]],TableTECalcPts[RK],0)),"")</f>
        <v>11</v>
      </c>
      <c r="Z36" s="57">
        <f>IFERROR(INDEX(TableTECalcPts[Custom],MATCH(TableTERanks[[#This Row],[RK]],TableTECalcPts[RK],0)),"")</f>
        <v>59.212657014771921</v>
      </c>
      <c r="AA36" s="125">
        <f>(((VLOOKUP(TableTERanks[[#This Row],[Player]],'OVR &amp; VORP Ranks'!$W:$AA,5,FALSE)))/('OVR &amp; VORP Ranks'!$BM$6))*(Settings!$E$10*TEAMS)</f>
        <v>-29.409570311589238</v>
      </c>
    </row>
    <row r="37" spans="1:33" x14ac:dyDescent="0.2">
      <c r="A37">
        <v>36</v>
      </c>
      <c r="B37" t="str">
        <f>IFERROR(INDEX(TableQBCalcPts[PLAYER],MATCH(TableQBRanks[[#This Row],[RK]],TableQBCalcPts[RK],0)),"")</f>
        <v>Drew Lock</v>
      </c>
      <c r="C37" t="str">
        <f>IFERROR(INDEX(TableQBCalcPts[TM],MATCH(TableQBRanks[[#This Row],[RK]],TableQBCalcPts[RK],0)),"")</f>
        <v>NYG</v>
      </c>
      <c r="D37">
        <f>IFERROR(INDEX(TableQBCalcPts[BYE],MATCH(TableQBRanks[[#This Row],[RK]],TableQBCalcPts[RK],0)),"")</f>
        <v>11</v>
      </c>
      <c r="E37" s="57">
        <f>IFERROR(INDEX(TableQBCalcPts[Custom],MATCH(TableQBRanks[[#This Row],[RK]],TableQBCalcPts[RK],0)),"")</f>
        <v>66.139166646074798</v>
      </c>
      <c r="F37" s="125">
        <f>(((VLOOKUP(TableQBRanks[[#This Row],[Player]],'OVR &amp; VORP Ranks'!$B:$F,5,FALSE)))/('OVR &amp; VORP Ranks'!$BM$6))*(Settings!$E$10*TEAMS)</f>
        <v>-39.688118769638841</v>
      </c>
      <c r="H37">
        <v>36</v>
      </c>
      <c r="I37" t="str">
        <f>IFERROR(INDEX(TableRBCalcPts[PLAYER],MATCH(TableRBRanks[[#This Row],[RK]],TableRBCalcPts[RK],0)),"")</f>
        <v>Chuba Hubbard</v>
      </c>
      <c r="J37" t="str">
        <f>IFERROR(INDEX(TableRBCalcPts[TM],MATCH(TableRBRanks[[#This Row],[RK]],TableRBCalcPts[RK],0)),"")</f>
        <v>CAR</v>
      </c>
      <c r="K37">
        <f>IFERROR(INDEX(TableRBCalcPts[BYE],MATCH(TableRBRanks[[#This Row],[RK]],TableRBCalcPts[RK],0)),"")</f>
        <v>11</v>
      </c>
      <c r="L37" s="57">
        <f>IFERROR(INDEX(TableRBCalcPts[Custom],MATCH(TableRBRanks[[#This Row],[RK]],TableRBCalcPts[RK],0)),"")</f>
        <v>146.53885508250966</v>
      </c>
      <c r="M37" s="125">
        <f>(((VLOOKUP(TableRBRanks[[#This Row],[Player]],'OVR &amp; VORP Ranks'!$I:$M,5,FALSE)))/('OVR &amp; VORP Ranks'!$BM$6))*(Settings!$E$10*TEAMS)</f>
        <v>9.4952491757584614</v>
      </c>
      <c r="O37">
        <v>36</v>
      </c>
      <c r="P37" t="str">
        <f>IFERROR(INDEX(TableWRCalcPts[PLAYER],MATCH(TableWRRanks[[#This Row],[RK]],TableWRCalcPts[RK],0)),"")</f>
        <v>Michael Pittman</v>
      </c>
      <c r="Q37" t="str">
        <f>IFERROR(INDEX(TableWRCalcPts[TM],MATCH(TableWRRanks[[#This Row],[RK]],TableWRCalcPts[RK],0)),"")</f>
        <v>IND</v>
      </c>
      <c r="R37">
        <f>IFERROR(INDEX(TableWRCalcPts[BYE],MATCH(TableWRRanks[[#This Row],[RK]],TableWRCalcPts[RK],0)),"")</f>
        <v>14</v>
      </c>
      <c r="S37" s="57">
        <f>IFERROR(INDEX(TableWRCalcPts[Custom],MATCH(TableWRRanks[[#This Row],[RK]],TableWRCalcPts[RK],0)),"")</f>
        <v>173.37018571044479</v>
      </c>
      <c r="T37" s="125">
        <f>(((VLOOKUP(TableWRRanks[[#This Row],[Player]],'OVR &amp; VORP Ranks'!$P:$T,5,FALSE)))/('OVR &amp; VORP Ranks'!$BM$6))*(Settings!$E$10*TEAMS)</f>
        <v>11.394183209731089</v>
      </c>
      <c r="V37">
        <v>36</v>
      </c>
      <c r="W37" t="str">
        <f>IFERROR(INDEX(TableTECalcPts[PLAYER],MATCH(TableTERanks[[#This Row],[RK]],TableTECalcPts[RK],0)),"")</f>
        <v>Dawson Knox</v>
      </c>
      <c r="X37" t="str">
        <f>IFERROR(INDEX(TableTECalcPts[TM],MATCH(TableTERanks[[#This Row],[RK]],TableTECalcPts[RK],0)),"")</f>
        <v>BUF</v>
      </c>
      <c r="Y37">
        <f>IFERROR(INDEX(TableTECalcPts[BYE],MATCH(TableTERanks[[#This Row],[RK]],TableTECalcPts[RK],0)),"")</f>
        <v>12</v>
      </c>
      <c r="Z37" s="57">
        <f>IFERROR(INDEX(TableTECalcPts[Custom],MATCH(TableTERanks[[#This Row],[RK]],TableTECalcPts[RK],0)),"")</f>
        <v>58.149530922381004</v>
      </c>
      <c r="AA37" s="125">
        <f>(((VLOOKUP(TableTERanks[[#This Row],[Player]],'OVR &amp; VORP Ranks'!$W:$AA,5,FALSE)))/('OVR &amp; VORP Ranks'!$BM$6))*(Settings!$E$10*TEAMS)</f>
        <v>-29.841265019416433</v>
      </c>
    </row>
    <row r="38" spans="1:33" x14ac:dyDescent="0.2">
      <c r="A38">
        <v>37</v>
      </c>
      <c r="B38" t="str">
        <f>IFERROR(INDEX(TableQBCalcPts[PLAYER],MATCH(TableQBRanks[[#This Row],[RK]],TableQBCalcPts[RK],0)),"")</f>
        <v>Nick Mullens</v>
      </c>
      <c r="C38" t="str">
        <f>IFERROR(INDEX(TableQBCalcPts[TM],MATCH(TableQBRanks[[#This Row],[RK]],TableQBCalcPts[RK],0)),"")</f>
        <v>MIN</v>
      </c>
      <c r="D38">
        <f>IFERROR(INDEX(TableQBCalcPts[BYE],MATCH(TableQBRanks[[#This Row],[RK]],TableQBCalcPts[RK],0)),"")</f>
        <v>6</v>
      </c>
      <c r="E38" s="57">
        <f>IFERROR(INDEX(TableQBCalcPts[Custom],MATCH(TableQBRanks[[#This Row],[RK]],TableQBCalcPts[RK],0)),"")</f>
        <v>33.390141439999994</v>
      </c>
      <c r="F38" s="125">
        <f>(((VLOOKUP(TableQBRanks[[#This Row],[Player]],'OVR &amp; VORP Ranks'!$B:$F,5,FALSE)))/('OVR &amp; VORP Ranks'!$BM$6))*(Settings!$E$10*TEAMS)</f>
        <v>-45.274307458941898</v>
      </c>
      <c r="H38">
        <v>37</v>
      </c>
      <c r="I38" t="str">
        <f>IFERROR(INDEX(TableRBCalcPts[PLAYER],MATCH(TableRBRanks[[#This Row],[RK]],TableRBCalcPts[RK],0)),"")</f>
        <v>J.K. Dobbins</v>
      </c>
      <c r="J38" t="str">
        <f>IFERROR(INDEX(TableRBCalcPts[TM],MATCH(TableRBRanks[[#This Row],[RK]],TableRBCalcPts[RK],0)),"")</f>
        <v>LAC</v>
      </c>
      <c r="K38">
        <f>IFERROR(INDEX(TableRBCalcPts[BYE],MATCH(TableRBRanks[[#This Row],[RK]],TableRBCalcPts[RK],0)),"")</f>
        <v>5</v>
      </c>
      <c r="L38" s="57">
        <f>IFERROR(INDEX(TableRBCalcPts[Custom],MATCH(TableRBRanks[[#This Row],[RK]],TableRBCalcPts[RK],0)),"")</f>
        <v>141.01839423318069</v>
      </c>
      <c r="M38" s="125">
        <f>(((VLOOKUP(TableRBRanks[[#This Row],[Player]],'OVR &amp; VORP Ranks'!$I:$M,5,FALSE)))/('OVR &amp; VORP Ranks'!$BM$6))*(Settings!$E$10*TEAMS)</f>
        <v>7.5265646893476443</v>
      </c>
      <c r="O38">
        <v>37</v>
      </c>
      <c r="P38" t="str">
        <f>IFERROR(INDEX(TableWRCalcPts[PLAYER],MATCH(TableWRRanks[[#This Row],[RK]],TableWRCalcPts[RK],0)),"")</f>
        <v>Joshua Palmer</v>
      </c>
      <c r="Q38" t="str">
        <f>IFERROR(INDEX(TableWRCalcPts[TM],MATCH(TableWRRanks[[#This Row],[RK]],TableWRCalcPts[RK],0)),"")</f>
        <v>LAC</v>
      </c>
      <c r="R38">
        <f>IFERROR(INDEX(TableWRCalcPts[BYE],MATCH(TableWRRanks[[#This Row],[RK]],TableWRCalcPts[RK],0)),"")</f>
        <v>5</v>
      </c>
      <c r="S38" s="57">
        <f>IFERROR(INDEX(TableWRCalcPts[Custom],MATCH(TableWRRanks[[#This Row],[RK]],TableWRCalcPts[RK],0)),"")</f>
        <v>172.74939155380375</v>
      </c>
      <c r="T38" s="125">
        <f>(((VLOOKUP(TableWRRanks[[#This Row],[Player]],'OVR &amp; VORP Ranks'!$P:$T,5,FALSE)))/('OVR &amp; VORP Ranks'!$BM$6))*(Settings!$E$10*TEAMS)</f>
        <v>11.123699389754146</v>
      </c>
      <c r="V38">
        <v>37</v>
      </c>
      <c r="W38" t="str">
        <f>IFERROR(INDEX(TableTECalcPts[PLAYER],MATCH(TableTERanks[[#This Row],[RK]],TableTECalcPts[RK],0)),"")</f>
        <v>Zach Ertz</v>
      </c>
      <c r="X38" t="str">
        <f>IFERROR(INDEX(TableTECalcPts[TM],MATCH(TableTERanks[[#This Row],[RK]],TableTECalcPts[RK],0)),"")</f>
        <v>WSH</v>
      </c>
      <c r="Y38">
        <f>IFERROR(INDEX(TableTECalcPts[BYE],MATCH(TableTERanks[[#This Row],[RK]],TableTECalcPts[RK],0)),"")</f>
        <v>14</v>
      </c>
      <c r="Z38" s="57">
        <f>IFERROR(INDEX(TableTECalcPts[Custom],MATCH(TableTERanks[[#This Row],[RK]],TableTECalcPts[RK],0)),"")</f>
        <v>56.143588018518017</v>
      </c>
      <c r="AA38" s="125">
        <f>(((VLOOKUP(TableTERanks[[#This Row],[Player]],'OVR &amp; VORP Ranks'!$W:$AA,5,FALSE)))/('OVR &amp; VORP Ranks'!$BM$6))*(Settings!$E$10*TEAMS)</f>
        <v>-30.655801453052149</v>
      </c>
    </row>
    <row r="39" spans="1:33" x14ac:dyDescent="0.2">
      <c r="A39">
        <v>38</v>
      </c>
      <c r="B39" t="str">
        <f>IFERROR(INDEX(TableQBCalcPts[PLAYER],MATCH(TableQBRanks[[#This Row],[RK]],TableQBCalcPts[RK],0)),"")</f>
        <v>Sam Howell</v>
      </c>
      <c r="C39" t="str">
        <f>IFERROR(INDEX(TableQBCalcPts[TM],MATCH(TableQBRanks[[#This Row],[RK]],TableQBCalcPts[RK],0)),"")</f>
        <v>SEA</v>
      </c>
      <c r="D39">
        <f>IFERROR(INDEX(TableQBCalcPts[BYE],MATCH(TableQBRanks[[#This Row],[RK]],TableQBCalcPts[RK],0)),"")</f>
        <v>10</v>
      </c>
      <c r="E39" s="57">
        <f>IFERROR(INDEX(TableQBCalcPts[Custom],MATCH(TableQBRanks[[#This Row],[RK]],TableQBCalcPts[RK],0)),"")</f>
        <v>27.688196317621554</v>
      </c>
      <c r="F39" s="125">
        <f>(((VLOOKUP(TableQBRanks[[#This Row],[Player]],'OVR &amp; VORP Ranks'!$B:$F,5,FALSE)))/('OVR &amp; VORP Ranks'!$BM$6))*(Settings!$E$10*TEAMS)</f>
        <v>-46.102306461869887</v>
      </c>
      <c r="H39">
        <v>38</v>
      </c>
      <c r="I39" t="str">
        <f>IFERROR(INDEX(TableRBCalcPts[PLAYER],MATCH(TableRBRanks[[#This Row],[RK]],TableRBCalcPts[RK],0)),"")</f>
        <v>Zach Charbonnet</v>
      </c>
      <c r="J39" t="str">
        <f>IFERROR(INDEX(TableRBCalcPts[TM],MATCH(TableRBRanks[[#This Row],[RK]],TableRBCalcPts[RK],0)),"")</f>
        <v>SEA</v>
      </c>
      <c r="K39">
        <f>IFERROR(INDEX(TableRBCalcPts[BYE],MATCH(TableRBRanks[[#This Row],[RK]],TableRBCalcPts[RK],0)),"")</f>
        <v>10</v>
      </c>
      <c r="L39" s="57">
        <f>IFERROR(INDEX(TableRBCalcPts[Custom],MATCH(TableRBRanks[[#This Row],[RK]],TableRBCalcPts[RK],0)),"")</f>
        <v>140.95837720488342</v>
      </c>
      <c r="M39" s="125">
        <f>(((VLOOKUP(TableRBRanks[[#This Row],[Player]],'OVR &amp; VORP Ranks'!$I:$M,5,FALSE)))/('OVR &amp; VORP Ranks'!$BM$6))*(Settings!$E$10*TEAMS)</f>
        <v>7.5051616587394898</v>
      </c>
      <c r="O39">
        <v>38</v>
      </c>
      <c r="P39" t="str">
        <f>IFERROR(INDEX(TableWRCalcPts[PLAYER],MATCH(TableWRRanks[[#This Row],[RK]],TableWRCalcPts[RK],0)),"")</f>
        <v>Diontae Johnson</v>
      </c>
      <c r="Q39" t="str">
        <f>IFERROR(INDEX(TableWRCalcPts[TM],MATCH(TableWRRanks[[#This Row],[RK]],TableWRCalcPts[RK],0)),"")</f>
        <v>CAR</v>
      </c>
      <c r="R39">
        <f>IFERROR(INDEX(TableWRCalcPts[BYE],MATCH(TableWRRanks[[#This Row],[RK]],TableWRCalcPts[RK],0)),"")</f>
        <v>11</v>
      </c>
      <c r="S39" s="57">
        <f>IFERROR(INDEX(TableWRCalcPts[Custom],MATCH(TableWRRanks[[#This Row],[RK]],TableWRCalcPts[RK],0)),"")</f>
        <v>171.49062820982402</v>
      </c>
      <c r="T39" s="125">
        <f>(((VLOOKUP(TableWRRanks[[#This Row],[Player]],'OVR &amp; VORP Ranks'!$P:$T,5,FALSE)))/('OVR &amp; VORP Ranks'!$BM$6))*(Settings!$E$10*TEAMS)</f>
        <v>10.575248483629629</v>
      </c>
      <c r="V39">
        <v>38</v>
      </c>
      <c r="W39" t="str">
        <f>IFERROR(INDEX(TableTECalcPts[PLAYER],MATCH(TableTERanks[[#This Row],[RK]],TableTECalcPts[RK],0)),"")</f>
        <v>Daniel Bellinger</v>
      </c>
      <c r="X39" t="str">
        <f>IFERROR(INDEX(TableTECalcPts[TM],MATCH(TableTERanks[[#This Row],[RK]],TableTECalcPts[RK],0)),"")</f>
        <v>NYG</v>
      </c>
      <c r="Y39">
        <f>IFERROR(INDEX(TableTECalcPts[BYE],MATCH(TableTERanks[[#This Row],[RK]],TableTECalcPts[RK],0)),"")</f>
        <v>11</v>
      </c>
      <c r="Z39" s="57">
        <f>IFERROR(INDEX(TableTECalcPts[Custom],MATCH(TableTERanks[[#This Row],[RK]],TableTECalcPts[RK],0)),"")</f>
        <v>52.988011934465121</v>
      </c>
      <c r="AA39" s="125">
        <f>(((VLOOKUP(TableTERanks[[#This Row],[Player]],'OVR &amp; VORP Ranks'!$W:$AA,5,FALSE)))/('OVR &amp; VORP Ranks'!$BM$6))*(Settings!$E$10*TEAMS)</f>
        <v>-31.937159803093287</v>
      </c>
    </row>
    <row r="40" spans="1:33" x14ac:dyDescent="0.2">
      <c r="A40">
        <v>39</v>
      </c>
      <c r="B40" t="str">
        <f>IFERROR(INDEX(TableQBCalcPts[PLAYER],MATCH(TableQBRanks[[#This Row],[RK]],TableQBCalcPts[RK],0)),"")</f>
        <v>Easton Stick</v>
      </c>
      <c r="C40" t="str">
        <f>IFERROR(INDEX(TableQBCalcPts[TM],MATCH(TableQBRanks[[#This Row],[RK]],TableQBCalcPts[RK],0)),"")</f>
        <v>LAC</v>
      </c>
      <c r="D40">
        <f>IFERROR(INDEX(TableQBCalcPts[BYE],MATCH(TableQBRanks[[#This Row],[RK]],TableQBCalcPts[RK],0)),"")</f>
        <v>5</v>
      </c>
      <c r="E40" s="57">
        <f>IFERROR(INDEX(TableQBCalcPts[Custom],MATCH(TableQBRanks[[#This Row],[RK]],TableQBCalcPts[RK],0)),"")</f>
        <v>24.425186876458412</v>
      </c>
      <c r="F40" s="125">
        <f>(((VLOOKUP(TableQBRanks[[#This Row],[Player]],'OVR &amp; VORP Ranks'!$B:$F,5,FALSE)))/('OVR &amp; VORP Ranks'!$BM$6))*(Settings!$E$10*TEAMS)</f>
        <v>-46.596472205565355</v>
      </c>
      <c r="H40">
        <v>39</v>
      </c>
      <c r="I40" t="str">
        <f>IFERROR(INDEX(TableRBCalcPts[PLAYER],MATCH(TableRBRanks[[#This Row],[RK]],TableRBCalcPts[RK],0)),"")</f>
        <v>Jonathon Brooks</v>
      </c>
      <c r="J40" t="str">
        <f>IFERROR(INDEX(TableRBCalcPts[TM],MATCH(TableRBRanks[[#This Row],[RK]],TableRBCalcPts[RK],0)),"")</f>
        <v>CAR</v>
      </c>
      <c r="K40">
        <f>IFERROR(INDEX(TableRBCalcPts[BYE],MATCH(TableRBRanks[[#This Row],[RK]],TableRBCalcPts[RK],0)),"")</f>
        <v>11</v>
      </c>
      <c r="L40" s="57">
        <f>IFERROR(INDEX(TableRBCalcPts[Custom],MATCH(TableRBRanks[[#This Row],[RK]],TableRBCalcPts[RK],0)),"")</f>
        <v>140.79732862710091</v>
      </c>
      <c r="M40" s="125">
        <f>(((VLOOKUP(TableRBRanks[[#This Row],[Player]],'OVR &amp; VORP Ranks'!$I:$M,5,FALSE)))/('OVR &amp; VORP Ranks'!$BM$6))*(Settings!$E$10*TEAMS)</f>
        <v>7.4477291643712897</v>
      </c>
      <c r="O40">
        <v>39</v>
      </c>
      <c r="P40" t="str">
        <f>IFERROR(INDEX(TableWRCalcPts[PLAYER],MATCH(TableWRRanks[[#This Row],[RK]],TableWRCalcPts[RK],0)),"")</f>
        <v>DeAndre Hopkins</v>
      </c>
      <c r="Q40" t="str">
        <f>IFERROR(INDEX(TableWRCalcPts[TM],MATCH(TableWRRanks[[#This Row],[RK]],TableWRCalcPts[RK],0)),"")</f>
        <v>TEN</v>
      </c>
      <c r="R40">
        <f>IFERROR(INDEX(TableWRCalcPts[BYE],MATCH(TableWRRanks[[#This Row],[RK]],TableWRCalcPts[RK],0)),"")</f>
        <v>5</v>
      </c>
      <c r="S40" s="57">
        <f>IFERROR(INDEX(TableWRCalcPts[Custom],MATCH(TableWRRanks[[#This Row],[RK]],TableWRCalcPts[RK],0)),"")</f>
        <v>170.19671371216654</v>
      </c>
      <c r="T40" s="125">
        <f>(((VLOOKUP(TableWRRanks[[#This Row],[Player]],'OVR &amp; VORP Ranks'!$P:$T,5,FALSE)))/('OVR &amp; VORP Ranks'!$BM$6))*(Settings!$E$10*TEAMS)</f>
        <v>10.011482004345076</v>
      </c>
      <c r="V40">
        <v>39</v>
      </c>
      <c r="W40" t="str">
        <f>IFERROR(INDEX(TableTECalcPts[PLAYER],MATCH(TableTERanks[[#This Row],[RK]],TableTECalcPts[RK],0)),"")</f>
        <v>Kylen Granson</v>
      </c>
      <c r="X40" t="str">
        <f>IFERROR(INDEX(TableTECalcPts[TM],MATCH(TableTERanks[[#This Row],[RK]],TableTECalcPts[RK],0)),"")</f>
        <v>IND</v>
      </c>
      <c r="Y40">
        <f>IFERROR(INDEX(TableTECalcPts[BYE],MATCH(TableTERanks[[#This Row],[RK]],TableTECalcPts[RK],0)),"")</f>
        <v>14</v>
      </c>
      <c r="Z40" s="57">
        <f>IFERROR(INDEX(TableTECalcPts[Custom],MATCH(TableTERanks[[#This Row],[RK]],TableTECalcPts[RK],0)),"")</f>
        <v>51.971771830712242</v>
      </c>
      <c r="AA40" s="125">
        <f>(((VLOOKUP(TableTERanks[[#This Row],[Player]],'OVR &amp; VORP Ranks'!$W:$AA,5,FALSE)))/('OVR &amp; VORP Ranks'!$BM$6))*(Settings!$E$10*TEAMS)</f>
        <v>-32.349815910220961</v>
      </c>
    </row>
    <row r="41" spans="1:33" x14ac:dyDescent="0.2">
      <c r="A41">
        <v>40</v>
      </c>
      <c r="B41" t="str">
        <f>IFERROR(INDEX(TableQBCalcPts[PLAYER],MATCH(TableQBRanks[[#This Row],[RK]],TableQBCalcPts[RK],0)),"")</f>
        <v>Clayton Tune</v>
      </c>
      <c r="C41" t="str">
        <f>IFERROR(INDEX(TableQBCalcPts[TM],MATCH(TableQBRanks[[#This Row],[RK]],TableQBCalcPts[RK],0)),"")</f>
        <v>ARI</v>
      </c>
      <c r="D41">
        <f>IFERROR(INDEX(TableQBCalcPts[BYE],MATCH(TableQBRanks[[#This Row],[RK]],TableQBCalcPts[RK],0)),"")</f>
        <v>11</v>
      </c>
      <c r="E41" s="57">
        <f>IFERROR(INDEX(TableQBCalcPts[Custom],MATCH(TableQBRanks[[#This Row],[RK]],TableQBCalcPts[RK],0)),"")</f>
        <v>16.462684903460051</v>
      </c>
      <c r="F41" s="125">
        <f>(((VLOOKUP(TableQBRanks[[#This Row],[Player]],'OVR &amp; VORP Ranks'!$B:$F,5,FALSE)))/('OVR &amp; VORP Ranks'!$BM$6))*(Settings!$E$10*TEAMS)</f>
        <v>-47.764497660409702</v>
      </c>
      <c r="H41">
        <v>40</v>
      </c>
      <c r="I41" t="str">
        <f>IFERROR(INDEX(TableRBCalcPts[PLAYER],MATCH(TableRBRanks[[#This Row],[RK]],TableRBCalcPts[RK],0)),"")</f>
        <v>Ezekiel Elliott</v>
      </c>
      <c r="J41" t="str">
        <f>IFERROR(INDEX(TableRBCalcPts[TM],MATCH(TableRBRanks[[#This Row],[RK]],TableRBCalcPts[RK],0)),"")</f>
        <v>DAL</v>
      </c>
      <c r="K41">
        <f>IFERROR(INDEX(TableRBCalcPts[BYE],MATCH(TableRBRanks[[#This Row],[RK]],TableRBCalcPts[RK],0)),"")</f>
        <v>7</v>
      </c>
      <c r="L41" s="57">
        <f>IFERROR(INDEX(TableRBCalcPts[Custom],MATCH(TableRBRanks[[#This Row],[RK]],TableRBCalcPts[RK],0)),"")</f>
        <v>140.64021599356784</v>
      </c>
      <c r="M41" s="125">
        <f>(((VLOOKUP(TableRBRanks[[#This Row],[Player]],'OVR &amp; VORP Ranks'!$I:$M,5,FALSE)))/('OVR &amp; VORP Ranks'!$BM$6))*(Settings!$E$10*TEAMS)</f>
        <v>7.3917002905693314</v>
      </c>
      <c r="O41">
        <v>40</v>
      </c>
      <c r="P41" t="str">
        <f>IFERROR(INDEX(TableWRCalcPts[PLAYER],MATCH(TableWRRanks[[#This Row],[RK]],TableWRCalcPts[RK],0)),"")</f>
        <v>Marquise Brown</v>
      </c>
      <c r="Q41" t="str">
        <f>IFERROR(INDEX(TableWRCalcPts[TM],MATCH(TableWRRanks[[#This Row],[RK]],TableWRCalcPts[RK],0)),"")</f>
        <v>KC</v>
      </c>
      <c r="R41">
        <f>IFERROR(INDEX(TableWRCalcPts[BYE],MATCH(TableWRRanks[[#This Row],[RK]],TableWRCalcPts[RK],0)),"")</f>
        <v>6</v>
      </c>
      <c r="S41" s="57">
        <f>IFERROR(INDEX(TableWRCalcPts[Custom],MATCH(TableWRRanks[[#This Row],[RK]],TableWRCalcPts[RK],0)),"")</f>
        <v>169.58278297902092</v>
      </c>
      <c r="T41" s="125">
        <f>(((VLOOKUP(TableWRRanks[[#This Row],[Player]],'OVR &amp; VORP Ranks'!$P:$T,5,FALSE)))/('OVR &amp; VORP Ranks'!$BM$6))*(Settings!$E$10*TEAMS)</f>
        <v>9.7439886200629626</v>
      </c>
      <c r="V41">
        <v>40</v>
      </c>
      <c r="W41" t="str">
        <f>IFERROR(INDEX(TableTECalcPts[PLAYER],MATCH(TableTERanks[[#This Row],[RK]],TableTECalcPts[RK],0)),"")</f>
        <v>Will Dissly</v>
      </c>
      <c r="X41" t="str">
        <f>IFERROR(INDEX(TableTECalcPts[TM],MATCH(TableTERanks[[#This Row],[RK]],TableTECalcPts[RK],0)),"")</f>
        <v>LAC</v>
      </c>
      <c r="Y41">
        <f>IFERROR(INDEX(TableTECalcPts[BYE],MATCH(TableTERanks[[#This Row],[RK]],TableTECalcPts[RK],0)),"")</f>
        <v>5</v>
      </c>
      <c r="Z41" s="57">
        <f>IFERROR(INDEX(TableTECalcPts[Custom],MATCH(TableTERanks[[#This Row],[RK]],TableTECalcPts[RK],0)),"")</f>
        <v>51.886490271348435</v>
      </c>
      <c r="AA41" s="125">
        <f>(((VLOOKUP(TableTERanks[[#This Row],[Player]],'OVR &amp; VORP Ranks'!$W:$AA,5,FALSE)))/('OVR &amp; VORP Ranks'!$BM$6))*(Settings!$E$10*TEAMS)</f>
        <v>-32.38444547873226</v>
      </c>
    </row>
    <row r="42" spans="1:33" x14ac:dyDescent="0.2">
      <c r="A42">
        <v>41</v>
      </c>
      <c r="B42" t="str">
        <f>IFERROR(INDEX(TableQBCalcPts[PLAYER],MATCH(TableQBRanks[[#This Row],[RK]],TableQBCalcPts[RK],0)),"")</f>
        <v>Jake Browning</v>
      </c>
      <c r="C42" t="str">
        <f>IFERROR(INDEX(TableQBCalcPts[TM],MATCH(TableQBRanks[[#This Row],[RK]],TableQBCalcPts[RK],0)),"")</f>
        <v>CIN</v>
      </c>
      <c r="D42">
        <f>IFERROR(INDEX(TableQBCalcPts[BYE],MATCH(TableQBRanks[[#This Row],[RK]],TableQBCalcPts[RK],0)),"")</f>
        <v>12</v>
      </c>
      <c r="E42" s="57">
        <f>IFERROR(INDEX(TableQBCalcPts[Custom],MATCH(TableQBRanks[[#This Row],[RK]],TableQBCalcPts[RK],0)),"")</f>
        <v>13.811457173920372</v>
      </c>
      <c r="F42" s="125">
        <f>(((VLOOKUP(TableQBRanks[[#This Row],[Player]],'OVR &amp; VORP Ranks'!$B:$F,5,FALSE)))/('OVR &amp; VORP Ranks'!$BM$6))*(Settings!$E$10*TEAMS)</f>
        <v>-48.741524341792051</v>
      </c>
      <c r="H42">
        <v>41</v>
      </c>
      <c r="I42" t="str">
        <f>IFERROR(INDEX(TableRBCalcPts[PLAYER],MATCH(TableRBRanks[[#This Row],[RK]],TableRBCalcPts[RK],0)),"")</f>
        <v>Jaylen Warren</v>
      </c>
      <c r="J42" t="str">
        <f>IFERROR(INDEX(TableRBCalcPts[TM],MATCH(TableRBRanks[[#This Row],[RK]],TableRBCalcPts[RK],0)),"")</f>
        <v>PIT</v>
      </c>
      <c r="K42">
        <f>IFERROR(INDEX(TableRBCalcPts[BYE],MATCH(TableRBRanks[[#This Row],[RK]],TableRBCalcPts[RK],0)),"")</f>
        <v>9</v>
      </c>
      <c r="L42" s="57">
        <f>IFERROR(INDEX(TableRBCalcPts[Custom],MATCH(TableRBRanks[[#This Row],[RK]],TableRBCalcPts[RK],0)),"")</f>
        <v>136.92310756992001</v>
      </c>
      <c r="M42" s="125">
        <f>(((VLOOKUP(TableRBRanks[[#This Row],[Player]],'OVR &amp; VORP Ranks'!$I:$M,5,FALSE)))/('OVR &amp; VORP Ranks'!$BM$6))*(Settings!$E$10*TEAMS)</f>
        <v>6.0661200740495529</v>
      </c>
      <c r="O42">
        <v>41</v>
      </c>
      <c r="P42" t="str">
        <f>IFERROR(INDEX(TableWRCalcPts[PLAYER],MATCH(TableWRRanks[[#This Row],[RK]],TableWRCalcPts[RK],0)),"")</f>
        <v>Chris Godwin</v>
      </c>
      <c r="Q42" t="str">
        <f>IFERROR(INDEX(TableWRCalcPts[TM],MATCH(TableWRRanks[[#This Row],[RK]],TableWRCalcPts[RK],0)),"")</f>
        <v>TB</v>
      </c>
      <c r="R42">
        <f>IFERROR(INDEX(TableWRCalcPts[BYE],MATCH(TableWRRanks[[#This Row],[RK]],TableWRCalcPts[RK],0)),"")</f>
        <v>11</v>
      </c>
      <c r="S42" s="57">
        <f>IFERROR(INDEX(TableWRCalcPts[Custom],MATCH(TableWRRanks[[#This Row],[RK]],TableWRCalcPts[RK],0)),"")</f>
        <v>167.29208694718784</v>
      </c>
      <c r="T42" s="125">
        <f>(((VLOOKUP(TableWRRanks[[#This Row],[Player]],'OVR &amp; VORP Ranks'!$P:$T,5,FALSE)))/('OVR &amp; VORP Ranks'!$BM$6))*(Settings!$E$10*TEAMS)</f>
        <v>8.7459183153282769</v>
      </c>
      <c r="V42">
        <v>41</v>
      </c>
      <c r="W42" t="str">
        <f>IFERROR(INDEX(TableTECalcPts[PLAYER],MATCH(TableTERanks[[#This Row],[RK]],TableTECalcPts[RK],0)),"")</f>
        <v>Mo Alie-Cox</v>
      </c>
      <c r="X42" t="str">
        <f>IFERROR(INDEX(TableTECalcPts[TM],MATCH(TableTERanks[[#This Row],[RK]],TableTECalcPts[RK],0)),"")</f>
        <v>IND</v>
      </c>
      <c r="Y42">
        <f>IFERROR(INDEX(TableTECalcPts[BYE],MATCH(TableTERanks[[#This Row],[RK]],TableTECalcPts[RK],0)),"")</f>
        <v>14</v>
      </c>
      <c r="Z42" s="57">
        <f>IFERROR(INDEX(TableTECalcPts[Custom],MATCH(TableTERanks[[#This Row],[RK]],TableTECalcPts[RK],0)),"")</f>
        <v>47.760272891565855</v>
      </c>
      <c r="AA42" s="125">
        <f>(((VLOOKUP(TableTERanks[[#This Row],[Player]],'OVR &amp; VORP Ranks'!$W:$AA,5,FALSE)))/('OVR &amp; VORP Ranks'!$BM$6))*(Settings!$E$10*TEAMS)</f>
        <v>-34.059944009852657</v>
      </c>
    </row>
    <row r="43" spans="1:33" x14ac:dyDescent="0.2">
      <c r="A43">
        <v>42</v>
      </c>
      <c r="B43" t="str">
        <f>IFERROR(INDEX(TableQBCalcPts[PLAYER],MATCH(TableQBRanks[[#This Row],[RK]],TableQBCalcPts[RK],0)),"")</f>
        <v>Andy Dalton</v>
      </c>
      <c r="C43" t="str">
        <f>IFERROR(INDEX(TableQBCalcPts[TM],MATCH(TableQBRanks[[#This Row],[RK]],TableQBCalcPts[RK],0)),"")</f>
        <v>CAR</v>
      </c>
      <c r="D43">
        <f>IFERROR(INDEX(TableQBCalcPts[BYE],MATCH(TableQBRanks[[#This Row],[RK]],TableQBCalcPts[RK],0)),"")</f>
        <v>11</v>
      </c>
      <c r="E43" s="57">
        <f>IFERROR(INDEX(TableQBCalcPts[Custom],MATCH(TableQBRanks[[#This Row],[RK]],TableQBCalcPts[RK],0)),"")</f>
        <v>12.790913200756451</v>
      </c>
      <c r="F43" s="125">
        <f>(((VLOOKUP(TableQBRanks[[#This Row],[Player]],'OVR &amp; VORP Ranks'!$B:$F,5,FALSE)))/('OVR &amp; VORP Ranks'!$BM$6))*(Settings!$E$10*TEAMS)</f>
        <v>-50.525432189433907</v>
      </c>
      <c r="H43">
        <v>42</v>
      </c>
      <c r="I43" t="str">
        <f>IFERROR(INDEX(TableRBCalcPts[PLAYER],MATCH(TableRBRanks[[#This Row],[RK]],TableRBCalcPts[RK],0)),"")</f>
        <v>Antonio Gibson</v>
      </c>
      <c r="J43" t="str">
        <f>IFERROR(INDEX(TableRBCalcPts[TM],MATCH(TableRBRanks[[#This Row],[RK]],TableRBCalcPts[RK],0)),"")</f>
        <v>NE</v>
      </c>
      <c r="K43">
        <f>IFERROR(INDEX(TableRBCalcPts[BYE],MATCH(TableRBRanks[[#This Row],[RK]],TableRBCalcPts[RK],0)),"")</f>
        <v>14</v>
      </c>
      <c r="L43" s="57">
        <f>IFERROR(INDEX(TableRBCalcPts[Custom],MATCH(TableRBRanks[[#This Row],[RK]],TableRBCalcPts[RK],0)),"")</f>
        <v>126.71956996098638</v>
      </c>
      <c r="M43" s="125">
        <f>(((VLOOKUP(TableRBRanks[[#This Row],[Player]],'OVR &amp; VORP Ranks'!$I:$M,5,FALSE)))/('OVR &amp; VORP Ranks'!$BM$6))*(Settings!$E$10*TEAMS)</f>
        <v>2.4273756384905765</v>
      </c>
      <c r="O43">
        <v>42</v>
      </c>
      <c r="P43" t="str">
        <f>IFERROR(INDEX(TableWRCalcPts[PLAYER],MATCH(TableWRRanks[[#This Row],[RK]],TableWRCalcPts[RK],0)),"")</f>
        <v>Courtland Sutton</v>
      </c>
      <c r="Q43" t="str">
        <f>IFERROR(INDEX(TableWRCalcPts[TM],MATCH(TableWRRanks[[#This Row],[RK]],TableWRCalcPts[RK],0)),"")</f>
        <v>DEN</v>
      </c>
      <c r="R43">
        <f>IFERROR(INDEX(TableWRCalcPts[BYE],MATCH(TableWRRanks[[#This Row],[RK]],TableWRCalcPts[RK],0)),"")</f>
        <v>14</v>
      </c>
      <c r="S43" s="57">
        <f>IFERROR(INDEX(TableWRCalcPts[Custom],MATCH(TableWRRanks[[#This Row],[RK]],TableWRCalcPts[RK],0)),"")</f>
        <v>165.59548838461149</v>
      </c>
      <c r="T43" s="125">
        <f>(((VLOOKUP(TableWRRanks[[#This Row],[Player]],'OVR &amp; VORP Ranks'!$P:$T,5,FALSE)))/('OVR &amp; VORP Ranks'!$BM$6))*(Settings!$E$10*TEAMS)</f>
        <v>8.0066999202067031</v>
      </c>
      <c r="V43">
        <v>42</v>
      </c>
      <c r="W43" t="str">
        <f>IFERROR(INDEX(TableTECalcPts[PLAYER],MATCH(TableTERanks[[#This Row],[RK]],TableTECalcPts[RK],0)),"")</f>
        <v>Darnell Washington</v>
      </c>
      <c r="X43" t="str">
        <f>IFERROR(INDEX(TableTECalcPts[TM],MATCH(TableTERanks[[#This Row],[RK]],TableTECalcPts[RK],0)),"")</f>
        <v>PIT</v>
      </c>
      <c r="Y43">
        <f>IFERROR(INDEX(TableTECalcPts[BYE],MATCH(TableTERanks[[#This Row],[RK]],TableTECalcPts[RK],0)),"")</f>
        <v>9</v>
      </c>
      <c r="Z43" s="57">
        <f>IFERROR(INDEX(TableTECalcPts[Custom],MATCH(TableTERanks[[#This Row],[RK]],TableTECalcPts[RK],0)),"")</f>
        <v>45.128004722701178</v>
      </c>
      <c r="AA43" s="125">
        <f>(((VLOOKUP(TableTERanks[[#This Row],[Player]],'OVR &amp; VORP Ranks'!$W:$AA,5,FALSE)))/('OVR &amp; VORP Ranks'!$BM$6))*(Settings!$E$10*TEAMS)</f>
        <v>-35.128807097885144</v>
      </c>
    </row>
    <row r="44" spans="1:33" x14ac:dyDescent="0.2">
      <c r="A44">
        <v>43</v>
      </c>
      <c r="B44" t="str">
        <f>IFERROR(INDEX(TableQBCalcPts[PLAYER],MATCH(TableQBRanks[[#This Row],[RK]],TableQBCalcPts[RK],0)),"")</f>
        <v>Kyle Trask</v>
      </c>
      <c r="C44" t="str">
        <f>IFERROR(INDEX(TableQBCalcPts[TM],MATCH(TableQBRanks[[#This Row],[RK]],TableQBCalcPts[RK],0)),"")</f>
        <v>TB</v>
      </c>
      <c r="D44">
        <f>IFERROR(INDEX(TableQBCalcPts[BYE],MATCH(TableQBRanks[[#This Row],[RK]],TableQBCalcPts[RK],0)),"")</f>
        <v>11</v>
      </c>
      <c r="E44" s="57">
        <f>IFERROR(INDEX(TableQBCalcPts[Custom],MATCH(TableQBRanks[[#This Row],[RK]],TableQBCalcPts[RK],0)),"")</f>
        <v>12.444899348985402</v>
      </c>
      <c r="F44" s="125">
        <f>(((VLOOKUP(TableQBRanks[[#This Row],[Player]],'OVR &amp; VORP Ranks'!$B:$F,5,FALSE)))/('OVR &amp; VORP Ranks'!$BM$6))*(Settings!$E$10*TEAMS)</f>
        <v>-51.621351865235809</v>
      </c>
      <c r="H44">
        <v>43</v>
      </c>
      <c r="I44" t="str">
        <f>IFERROR(INDEX(TableRBCalcPts[PLAYER],MATCH(TableRBRanks[[#This Row],[RK]],TableRBCalcPts[RK],0)),"")</f>
        <v>Blake Corum</v>
      </c>
      <c r="J44" t="str">
        <f>IFERROR(INDEX(TableRBCalcPts[TM],MATCH(TableRBRanks[[#This Row],[RK]],TableRBCalcPts[RK],0)),"")</f>
        <v>LAR</v>
      </c>
      <c r="K44">
        <f>IFERROR(INDEX(TableRBCalcPts[BYE],MATCH(TableRBRanks[[#This Row],[RK]],TableRBCalcPts[RK],0)),"")</f>
        <v>6</v>
      </c>
      <c r="L44" s="57">
        <f>IFERROR(INDEX(TableRBCalcPts[Custom],MATCH(TableRBRanks[[#This Row],[RK]],TableRBCalcPts[RK],0)),"")</f>
        <v>120.1999000133012</v>
      </c>
      <c r="M44" s="125">
        <f>(((VLOOKUP(TableRBRanks[[#This Row],[Player]],'OVR &amp; VORP Ranks'!$I:$M,5,FALSE)))/('OVR &amp; VORP Ranks'!$BM$6))*(Settings!$E$10*TEAMS)</f>
        <v>0.10235723281040771</v>
      </c>
      <c r="O44">
        <v>43</v>
      </c>
      <c r="P44" t="str">
        <f>IFERROR(INDEX(TableWRCalcPts[PLAYER],MATCH(TableWRRanks[[#This Row],[RK]],TableWRCalcPts[RK],0)),"")</f>
        <v>Jameson Williams</v>
      </c>
      <c r="Q44" t="str">
        <f>IFERROR(INDEX(TableWRCalcPts[TM],MATCH(TableWRRanks[[#This Row],[RK]],TableWRCalcPts[RK],0)),"")</f>
        <v>DET</v>
      </c>
      <c r="R44">
        <f>IFERROR(INDEX(TableWRCalcPts[BYE],MATCH(TableWRRanks[[#This Row],[RK]],TableWRCalcPts[RK],0)),"")</f>
        <v>5</v>
      </c>
      <c r="S44" s="57">
        <f>IFERROR(INDEX(TableWRCalcPts[Custom],MATCH(TableWRRanks[[#This Row],[RK]],TableWRCalcPts[RK],0)),"")</f>
        <v>164.89881363257362</v>
      </c>
      <c r="T44" s="125">
        <f>(((VLOOKUP(TableWRRanks[[#This Row],[Player]],'OVR &amp; VORP Ranks'!$P:$T,5,FALSE)))/('OVR &amp; VORP Ranks'!$BM$6))*(Settings!$E$10*TEAMS)</f>
        <v>7.7031544596110546</v>
      </c>
      <c r="V44">
        <v>43</v>
      </c>
      <c r="W44" t="str">
        <f>IFERROR(INDEX(TableTECalcPts[PLAYER],MATCH(TableTERanks[[#This Row],[RK]],TableTECalcPts[RK],0)),"")</f>
        <v>Josh Oliver</v>
      </c>
      <c r="X44" t="str">
        <f>IFERROR(INDEX(TableTECalcPts[TM],MATCH(TableTERanks[[#This Row],[RK]],TableTECalcPts[RK],0)),"")</f>
        <v>MIN</v>
      </c>
      <c r="Y44">
        <f>IFERROR(INDEX(TableTECalcPts[BYE],MATCH(TableTERanks[[#This Row],[RK]],TableTECalcPts[RK],0)),"")</f>
        <v>6</v>
      </c>
      <c r="Z44" s="57">
        <f>IFERROR(INDEX(TableTECalcPts[Custom],MATCH(TableTERanks[[#This Row],[RK]],TableTECalcPts[RK],0)),"")</f>
        <v>43.132444729764075</v>
      </c>
      <c r="AA44" s="125">
        <f>(((VLOOKUP(TableTERanks[[#This Row],[Player]],'OVR &amp; VORP Ranks'!$W:$AA,5,FALSE)))/('OVR &amp; VORP Ranks'!$BM$6))*(Settings!$E$10*TEAMS)</f>
        <v>-35.939127429846167</v>
      </c>
    </row>
    <row r="45" spans="1:33" x14ac:dyDescent="0.2">
      <c r="A45">
        <v>44</v>
      </c>
      <c r="B45" t="str">
        <f>IFERROR(INDEX(TableQBCalcPts[PLAYER],MATCH(TableQBRanks[[#This Row],[RK]],TableQBCalcPts[RK],0)),"")</f>
        <v>Mason Rudolph</v>
      </c>
      <c r="C45" t="str">
        <f>IFERROR(INDEX(TableQBCalcPts[TM],MATCH(TableQBRanks[[#This Row],[RK]],TableQBCalcPts[RK],0)),"")</f>
        <v>TEN</v>
      </c>
      <c r="D45">
        <f>IFERROR(INDEX(TableQBCalcPts[BYE],MATCH(TableQBRanks[[#This Row],[RK]],TableQBCalcPts[RK],0)),"")</f>
        <v>5</v>
      </c>
      <c r="E45" s="57">
        <f>IFERROR(INDEX(TableQBCalcPts[Custom],MATCH(TableQBRanks[[#This Row],[RK]],TableQBCalcPts[RK],0)),"")</f>
        <v>11.66843933615211</v>
      </c>
      <c r="F45" s="125">
        <f>(((VLOOKUP(TableQBRanks[[#This Row],[Player]],'OVR &amp; VORP Ranks'!$B:$F,5,FALSE)))/('OVR &amp; VORP Ranks'!$BM$6))*(Settings!$E$10*TEAMS)</f>
        <v>-51.778853493941249</v>
      </c>
      <c r="H45">
        <v>44</v>
      </c>
      <c r="I45" t="str">
        <f>IFERROR(INDEX(TableRBCalcPts[PLAYER],MATCH(TableRBRanks[[#This Row],[RK]],TableRBCalcPts[RK],0)),"")</f>
        <v>Trey Benson</v>
      </c>
      <c r="J45" t="str">
        <f>IFERROR(INDEX(TableRBCalcPts[TM],MATCH(TableRBRanks[[#This Row],[RK]],TableRBCalcPts[RK],0)),"")</f>
        <v>ARI</v>
      </c>
      <c r="K45">
        <f>IFERROR(INDEX(TableRBCalcPts[BYE],MATCH(TableRBRanks[[#This Row],[RK]],TableRBCalcPts[RK],0)),"")</f>
        <v>11</v>
      </c>
      <c r="L45" s="57">
        <f>IFERROR(INDEX(TableRBCalcPts[Custom],MATCH(TableRBRanks[[#This Row],[RK]],TableRBCalcPts[RK],0)),"")</f>
        <v>119.91287631789652</v>
      </c>
      <c r="M45" s="125">
        <f>(((VLOOKUP(TableRBRanks[[#This Row],[Player]],'OVR &amp; VORP Ranks'!$I:$M,5,FALSE)))/('OVR &amp; VORP Ranks'!$BM$6))*(Settings!$E$10*TEAMS)</f>
        <v>0</v>
      </c>
      <c r="O45">
        <v>44</v>
      </c>
      <c r="P45" t="str">
        <f>IFERROR(INDEX(TableWRCalcPts[PLAYER],MATCH(TableWRRanks[[#This Row],[RK]],TableWRCalcPts[RK],0)),"")</f>
        <v>Jaxon Smith-Njigba</v>
      </c>
      <c r="Q45" t="str">
        <f>IFERROR(INDEX(TableWRCalcPts[TM],MATCH(TableWRRanks[[#This Row],[RK]],TableWRCalcPts[RK],0)),"")</f>
        <v>SEA</v>
      </c>
      <c r="R45">
        <f>IFERROR(INDEX(TableWRCalcPts[BYE],MATCH(TableWRRanks[[#This Row],[RK]],TableWRCalcPts[RK],0)),"")</f>
        <v>10</v>
      </c>
      <c r="S45" s="57">
        <f>IFERROR(INDEX(TableWRCalcPts[Custom],MATCH(TableWRRanks[[#This Row],[RK]],TableWRCalcPts[RK],0)),"")</f>
        <v>163.8453388368572</v>
      </c>
      <c r="T45" s="125">
        <f>(((VLOOKUP(TableWRRanks[[#This Row],[Player]],'OVR &amp; VORP Ranks'!$P:$T,5,FALSE)))/('OVR &amp; VORP Ranks'!$BM$6))*(Settings!$E$10*TEAMS)</f>
        <v>7.244149032535856</v>
      </c>
      <c r="V45">
        <v>44</v>
      </c>
      <c r="W45" t="str">
        <f>IFERROR(INDEX(TableTECalcPts[PLAYER],MATCH(TableTERanks[[#This Row],[RK]],TableTECalcPts[RK],0)),"")</f>
        <v>Tyler Higbee</v>
      </c>
      <c r="X45" t="str">
        <f>IFERROR(INDEX(TableTECalcPts[TM],MATCH(TableTERanks[[#This Row],[RK]],TableTECalcPts[RK],0)),"")</f>
        <v>LAR</v>
      </c>
      <c r="Y45">
        <f>IFERROR(INDEX(TableTECalcPts[BYE],MATCH(TableTERanks[[#This Row],[RK]],TableTECalcPts[RK],0)),"")</f>
        <v>6</v>
      </c>
      <c r="Z45" s="57">
        <f>IFERROR(INDEX(TableTECalcPts[Custom],MATCH(TableTERanks[[#This Row],[RK]],TableTECalcPts[RK],0)),"")</f>
        <v>40.797864195877821</v>
      </c>
      <c r="AA45" s="125">
        <f>(((VLOOKUP(TableTERanks[[#This Row],[Player]],'OVR &amp; VORP Ranks'!$W:$AA,5,FALSE)))/('OVR &amp; VORP Ranks'!$BM$6))*(Settings!$E$10*TEAMS)</f>
        <v>-36.88711099330903</v>
      </c>
    </row>
    <row r="46" spans="1:33" x14ac:dyDescent="0.2">
      <c r="A46">
        <v>45</v>
      </c>
      <c r="B46" t="str">
        <f>IFERROR(INDEX(TableQBCalcPts[PLAYER],MATCH(TableQBRanks[[#This Row],[RK]],TableQBCalcPts[RK],0)),"")</f>
        <v>Joe Flacco</v>
      </c>
      <c r="C46" t="str">
        <f>IFERROR(INDEX(TableQBCalcPts[TM],MATCH(TableQBRanks[[#This Row],[RK]],TableQBCalcPts[RK],0)),"")</f>
        <v>IND</v>
      </c>
      <c r="D46">
        <f>IFERROR(INDEX(TableQBCalcPts[BYE],MATCH(TableQBRanks[[#This Row],[RK]],TableQBCalcPts[RK],0)),"")</f>
        <v>14</v>
      </c>
      <c r="E46" s="57">
        <f>IFERROR(INDEX(TableQBCalcPts[Custom],MATCH(TableQBRanks[[#This Row],[RK]],TableQBCalcPts[RK],0)),"")</f>
        <v>11.668072653919413</v>
      </c>
      <c r="F46" s="125">
        <f>(((VLOOKUP(TableQBRanks[[#This Row],[Player]],'OVR &amp; VORP Ranks'!$B:$F,5,FALSE)))/('OVR &amp; VORP Ranks'!$BM$6))*(Settings!$E$10*TEAMS)</f>
        <v>-51.958143816967635</v>
      </c>
      <c r="H46">
        <v>45</v>
      </c>
      <c r="I46" t="str">
        <f>IFERROR(INDEX(TableRBCalcPts[PLAYER],MATCH(TableRBRanks[[#This Row],[RK]],TableRBCalcPts[RK],0)),"")</f>
        <v>Ty Chandler</v>
      </c>
      <c r="J46" t="str">
        <f>IFERROR(INDEX(TableRBCalcPts[TM],MATCH(TableRBRanks[[#This Row],[RK]],TableRBCalcPts[RK],0)),"")</f>
        <v>MIN</v>
      </c>
      <c r="K46">
        <f>IFERROR(INDEX(TableRBCalcPts[BYE],MATCH(TableRBRanks[[#This Row],[RK]],TableRBCalcPts[RK],0)),"")</f>
        <v>6</v>
      </c>
      <c r="L46" s="57">
        <f>IFERROR(INDEX(TableRBCalcPts[Custom],MATCH(TableRBRanks[[#This Row],[RK]],TableRBCalcPts[RK],0)),"")</f>
        <v>118.79597178821116</v>
      </c>
      <c r="M46" s="125">
        <f>(((VLOOKUP(TableRBRanks[[#This Row],[Player]],'OVR &amp; VORP Ranks'!$I:$M,5,FALSE)))/('OVR &amp; VORP Ranks'!$BM$6))*(Settings!$E$10*TEAMS)</f>
        <v>-0.39830598937420386</v>
      </c>
      <c r="O46">
        <v>45</v>
      </c>
      <c r="P46" t="str">
        <f>IFERROR(INDEX(TableWRCalcPts[PLAYER],MATCH(TableWRRanks[[#This Row],[RK]],TableWRCalcPts[RK],0)),"")</f>
        <v>Xavier Worthy</v>
      </c>
      <c r="Q46" t="str">
        <f>IFERROR(INDEX(TableWRCalcPts[TM],MATCH(TableWRRanks[[#This Row],[RK]],TableWRCalcPts[RK],0)),"")</f>
        <v>KC</v>
      </c>
      <c r="R46">
        <f>IFERROR(INDEX(TableWRCalcPts[BYE],MATCH(TableWRRanks[[#This Row],[RK]],TableWRCalcPts[RK],0)),"")</f>
        <v>6</v>
      </c>
      <c r="S46" s="57">
        <f>IFERROR(INDEX(TableWRCalcPts[Custom],MATCH(TableWRRanks[[#This Row],[RK]],TableWRCalcPts[RK],0)),"")</f>
        <v>163.43310093245475</v>
      </c>
      <c r="T46" s="125">
        <f>(((VLOOKUP(TableWRRanks[[#This Row],[Player]],'OVR &amp; VORP Ranks'!$P:$T,5,FALSE)))/('OVR &amp; VORP Ranks'!$BM$6))*(Settings!$E$10*TEAMS)</f>
        <v>7.0645344502637197</v>
      </c>
      <c r="V46">
        <v>45</v>
      </c>
      <c r="W46" t="str">
        <f>IFERROR(INDEX(TableTECalcPts[PLAYER],MATCH(TableTERanks[[#This Row],[RK]],TableTECalcPts[RK],0)),"")</f>
        <v>Taysom Hill</v>
      </c>
      <c r="X46" t="str">
        <f>IFERROR(INDEX(TableTECalcPts[TM],MATCH(TableTERanks[[#This Row],[RK]],TableTECalcPts[RK],0)),"")</f>
        <v>NO</v>
      </c>
      <c r="Y46">
        <f>IFERROR(INDEX(TableTECalcPts[BYE],MATCH(TableTERanks[[#This Row],[RK]],TableTECalcPts[RK],0)),"")</f>
        <v>12</v>
      </c>
      <c r="Z46" s="57">
        <f>IFERROR(INDEX(TableTECalcPts[Custom],MATCH(TableTERanks[[#This Row],[RK]],TableTECalcPts[RK],0)),"")</f>
        <v>40.294182781789544</v>
      </c>
      <c r="AA46" s="125">
        <f>(((VLOOKUP(TableTERanks[[#This Row],[Player]],'OVR &amp; VORP Ranks'!$W:$AA,5,FALSE)))/('OVR &amp; VORP Ranks'!$BM$6))*(Settings!$E$10*TEAMS)</f>
        <v>-37.091636686403277</v>
      </c>
    </row>
    <row r="47" spans="1:33" x14ac:dyDescent="0.2">
      <c r="A47">
        <v>46</v>
      </c>
      <c r="B47" t="str">
        <f>IFERROR(INDEX(TableQBCalcPts[PLAYER],MATCH(TableQBRanks[[#This Row],[RK]],TableQBCalcPts[RK],0)),"")</f>
        <v>Josh Johnson</v>
      </c>
      <c r="C47" t="str">
        <f>IFERROR(INDEX(TableQBCalcPts[TM],MATCH(TableQBRanks[[#This Row],[RK]],TableQBCalcPts[RK],0)),"")</f>
        <v>BAL</v>
      </c>
      <c r="D47">
        <f>IFERROR(INDEX(TableQBCalcPts[BYE],MATCH(TableQBRanks[[#This Row],[RK]],TableQBCalcPts[RK],0)),"")</f>
        <v>14</v>
      </c>
      <c r="E47" s="57">
        <f>IFERROR(INDEX(TableQBCalcPts[Custom],MATCH(TableQBRanks[[#This Row],[RK]],TableQBCalcPts[RK],0)),"")</f>
        <v>11.632491294020705</v>
      </c>
      <c r="F47" s="125">
        <f>(((VLOOKUP(TableQBRanks[[#This Row],[Player]],'OVR &amp; VORP Ranks'!$B:$F,5,FALSE)))/('OVR &amp; VORP Ranks'!$BM$6))*(Settings!$E$10*TEAMS)</f>
        <v>-52.408362522453153</v>
      </c>
      <c r="H47">
        <v>46</v>
      </c>
      <c r="I47" t="str">
        <f>IFERROR(INDEX(TableRBCalcPts[PLAYER],MATCH(TableRBRanks[[#This Row],[RK]],TableRBCalcPts[RK],0)),"")</f>
        <v>Tyler Allgeier</v>
      </c>
      <c r="J47" t="str">
        <f>IFERROR(INDEX(TableRBCalcPts[TM],MATCH(TableRBRanks[[#This Row],[RK]],TableRBCalcPts[RK],0)),"")</f>
        <v>ATL</v>
      </c>
      <c r="K47">
        <f>IFERROR(INDEX(TableRBCalcPts[BYE],MATCH(TableRBRanks[[#This Row],[RK]],TableRBCalcPts[RK],0)),"")</f>
        <v>12</v>
      </c>
      <c r="L47" s="57">
        <f>IFERROR(INDEX(TableRBCalcPts[Custom],MATCH(TableRBRanks[[#This Row],[RK]],TableRBCalcPts[RK],0)),"")</f>
        <v>116.02229455155656</v>
      </c>
      <c r="M47" s="125">
        <f>(((VLOOKUP(TableRBRanks[[#This Row],[Player]],'OVR &amp; VORP Ranks'!$I:$M,5,FALSE)))/('OVR &amp; VORP Ranks'!$BM$6))*(Settings!$E$10*TEAMS)</f>
        <v>-1.3874435804462413</v>
      </c>
      <c r="O47">
        <v>46</v>
      </c>
      <c r="P47" t="str">
        <f>IFERROR(INDEX(TableWRCalcPts[PLAYER],MATCH(TableWRRanks[[#This Row],[RK]],TableWRCalcPts[RK],0)),"")</f>
        <v>Ladd McConkey</v>
      </c>
      <c r="Q47" t="str">
        <f>IFERROR(INDEX(TableWRCalcPts[TM],MATCH(TableWRRanks[[#This Row],[RK]],TableWRCalcPts[RK],0)),"")</f>
        <v>LAC</v>
      </c>
      <c r="R47">
        <f>IFERROR(INDEX(TableWRCalcPts[BYE],MATCH(TableWRRanks[[#This Row],[RK]],TableWRCalcPts[RK],0)),"")</f>
        <v>5</v>
      </c>
      <c r="S47" s="57">
        <f>IFERROR(INDEX(TableWRCalcPts[Custom],MATCH(TableWRRanks[[#This Row],[RK]],TableWRCalcPts[RK],0)),"")</f>
        <v>163.29882840022213</v>
      </c>
      <c r="T47" s="125">
        <f>(((VLOOKUP(TableWRRanks[[#This Row],[Player]],'OVR &amp; VORP Ranks'!$P:$T,5,FALSE)))/('OVR &amp; VORP Ranks'!$BM$6))*(Settings!$E$10*TEAMS)</f>
        <v>7.0060310847797984</v>
      </c>
      <c r="V47">
        <v>46</v>
      </c>
      <c r="W47" t="str">
        <f>IFERROR(INDEX(TableTECalcPts[PLAYER],MATCH(TableTERanks[[#This Row],[RK]],TableTECalcPts[RK],0)),"")</f>
        <v>Jeremy Ruckert</v>
      </c>
      <c r="X47" t="str">
        <f>IFERROR(INDEX(TableTECalcPts[TM],MATCH(TableTERanks[[#This Row],[RK]],TableTECalcPts[RK],0)),"")</f>
        <v>NYJ</v>
      </c>
      <c r="Y47">
        <f>IFERROR(INDEX(TableTECalcPts[BYE],MATCH(TableTERanks[[#This Row],[RK]],TableTECalcPts[RK],0)),"")</f>
        <v>12</v>
      </c>
      <c r="Z47" s="57">
        <f>IFERROR(INDEX(TableTECalcPts[Custom],MATCH(TableTERanks[[#This Row],[RK]],TableTECalcPts[RK],0)),"")</f>
        <v>40.072235990399271</v>
      </c>
      <c r="AA47" s="125">
        <f>(((VLOOKUP(TableTERanks[[#This Row],[Player]],'OVR &amp; VORP Ranks'!$W:$AA,5,FALSE)))/('OVR &amp; VORP Ranks'!$BM$6))*(Settings!$E$10*TEAMS)</f>
        <v>-37.181760761005684</v>
      </c>
    </row>
    <row r="48" spans="1:33" x14ac:dyDescent="0.2">
      <c r="A48">
        <v>47</v>
      </c>
      <c r="B48" t="str">
        <f>IFERROR(INDEX(TableQBCalcPts[PLAYER],MATCH(TableQBRanks[[#This Row],[RK]],TableQBCalcPts[RK],0)),"")</f>
        <v>Marcus Mariota</v>
      </c>
      <c r="C48" t="str">
        <f>IFERROR(INDEX(TableQBCalcPts[TM],MATCH(TableQBRanks[[#This Row],[RK]],TableQBCalcPts[RK],0)),"")</f>
        <v>WSH</v>
      </c>
      <c r="D48">
        <f>IFERROR(INDEX(TableQBCalcPts[BYE],MATCH(TableQBRanks[[#This Row],[RK]],TableQBCalcPts[RK],0)),"")</f>
        <v>14</v>
      </c>
      <c r="E48" s="57">
        <f>IFERROR(INDEX(TableQBCalcPts[Custom],MATCH(TableQBRanks[[#This Row],[RK]],TableQBCalcPts[RK],0)),"")</f>
        <v>11.178047239620373</v>
      </c>
      <c r="F48" s="125">
        <f>(((VLOOKUP(TableQBRanks[[#This Row],[Player]],'OVR &amp; VORP Ranks'!$B:$F,5,FALSE)))/('OVR &amp; VORP Ranks'!$BM$6))*(Settings!$E$10*TEAMS)</f>
        <v>-53.261729794379143</v>
      </c>
      <c r="H48">
        <v>47</v>
      </c>
      <c r="I48" t="str">
        <f>IFERROR(INDEX(TableRBCalcPts[PLAYER],MATCH(TableRBRanks[[#This Row],[RK]],TableRBCalcPts[RK],0)),"")</f>
        <v>Rico Dowdle</v>
      </c>
      <c r="J48" t="str">
        <f>IFERROR(INDEX(TableRBCalcPts[TM],MATCH(TableRBRanks[[#This Row],[RK]],TableRBCalcPts[RK],0)),"")</f>
        <v>DAL</v>
      </c>
      <c r="K48">
        <f>IFERROR(INDEX(TableRBCalcPts[BYE],MATCH(TableRBRanks[[#This Row],[RK]],TableRBCalcPts[RK],0)),"")</f>
        <v>7</v>
      </c>
      <c r="L48" s="57">
        <f>IFERROR(INDEX(TableRBCalcPts[Custom],MATCH(TableRBRanks[[#This Row],[RK]],TableRBCalcPts[RK],0)),"")</f>
        <v>111.11104496242798</v>
      </c>
      <c r="M48" s="125">
        <f>(((VLOOKUP(TableRBRanks[[#This Row],[Player]],'OVR &amp; VORP Ranks'!$I:$M,5,FALSE)))/('OVR &amp; VORP Ranks'!$BM$6))*(Settings!$E$10*TEAMS)</f>
        <v>-3.1388736039349845</v>
      </c>
      <c r="O48">
        <v>47</v>
      </c>
      <c r="P48" t="str">
        <f>IFERROR(INDEX(TableWRCalcPts[PLAYER],MATCH(TableWRRanks[[#This Row],[RK]],TableWRCalcPts[RK],0)),"")</f>
        <v>Tyler Lockett</v>
      </c>
      <c r="Q48" t="str">
        <f>IFERROR(INDEX(TableWRCalcPts[TM],MATCH(TableWRRanks[[#This Row],[RK]],TableWRCalcPts[RK],0)),"")</f>
        <v>SEA</v>
      </c>
      <c r="R48">
        <f>IFERROR(INDEX(TableWRCalcPts[BYE],MATCH(TableWRRanks[[#This Row],[RK]],TableWRCalcPts[RK],0)),"")</f>
        <v>10</v>
      </c>
      <c r="S48" s="57">
        <f>IFERROR(INDEX(TableWRCalcPts[Custom],MATCH(TableWRRanks[[#This Row],[RK]],TableWRCalcPts[RK],0)),"")</f>
        <v>162.31493454865003</v>
      </c>
      <c r="T48" s="125">
        <f>(((VLOOKUP(TableWRRanks[[#This Row],[Player]],'OVR &amp; VORP Ranks'!$P:$T,5,FALSE)))/('OVR &amp; VORP Ranks'!$BM$6))*(Settings!$E$10*TEAMS)</f>
        <v>6.5773425016510556</v>
      </c>
      <c r="V48">
        <v>47</v>
      </c>
      <c r="W48" t="str">
        <f>IFERROR(INDEX(TableTECalcPts[PLAYER],MATCH(TableTERanks[[#This Row],[RK]],TableTECalcPts[RK],0)),"")</f>
        <v>Austin Hooper</v>
      </c>
      <c r="X48" t="str">
        <f>IFERROR(INDEX(TableTECalcPts[TM],MATCH(TableTERanks[[#This Row],[RK]],TableTECalcPts[RK],0)),"")</f>
        <v>NE</v>
      </c>
      <c r="Y48">
        <f>IFERROR(INDEX(TableTECalcPts[BYE],MATCH(TableTERanks[[#This Row],[RK]],TableTECalcPts[RK],0)),"")</f>
        <v>14</v>
      </c>
      <c r="Z48" s="57">
        <f>IFERROR(INDEX(TableTECalcPts[Custom],MATCH(TableTERanks[[#This Row],[RK]],TableTECalcPts[RK],0)),"")</f>
        <v>35.870510360635265</v>
      </c>
      <c r="AA48" s="125">
        <f>(((VLOOKUP(TableTERanks[[#This Row],[Player]],'OVR &amp; VORP Ranks'!$W:$AA,5,FALSE)))/('OVR &amp; VORP Ranks'!$BM$6))*(Settings!$E$10*TEAMS)</f>
        <v>-38.887920294755574</v>
      </c>
    </row>
    <row r="49" spans="1:27" x14ac:dyDescent="0.2">
      <c r="A49">
        <v>48</v>
      </c>
      <c r="B49" t="str">
        <f>IFERROR(INDEX(TableQBCalcPts[PLAYER],MATCH(TableQBRanks[[#This Row],[RK]],TableQBCalcPts[RK],0)),"")</f>
        <v>Jimmy Garoppolo</v>
      </c>
      <c r="C49" t="str">
        <f>IFERROR(INDEX(TableQBCalcPts[TM],MATCH(TableQBRanks[[#This Row],[RK]],TableQBCalcPts[RK],0)),"")</f>
        <v>LAR</v>
      </c>
      <c r="D49">
        <f>IFERROR(INDEX(TableQBCalcPts[BYE],MATCH(TableQBRanks[[#This Row],[RK]],TableQBCalcPts[RK],0)),"")</f>
        <v>6</v>
      </c>
      <c r="E49" s="57">
        <f>IFERROR(INDEX(TableQBCalcPts[Custom],MATCH(TableQBRanks[[#This Row],[RK]],TableQBCalcPts[RK],0)),"")</f>
        <v>11.151845668709123</v>
      </c>
      <c r="F49" s="125">
        <f>(((VLOOKUP(TableQBRanks[[#This Row],[Player]],'OVR &amp; VORP Ranks'!$B:$F,5,FALSE)))/('OVR &amp; VORP Ranks'!$BM$6))*(Settings!$E$10*TEAMS)</f>
        <v>-53.483295870945128</v>
      </c>
      <c r="H49">
        <v>48</v>
      </c>
      <c r="I49" t="str">
        <f>IFERROR(INDEX(TableRBCalcPts[PLAYER],MATCH(TableRBRanks[[#This Row],[RK]],TableRBCalcPts[RK],0)),"")</f>
        <v>Chase Brown</v>
      </c>
      <c r="J49" t="str">
        <f>IFERROR(INDEX(TableRBCalcPts[TM],MATCH(TableRBRanks[[#This Row],[RK]],TableRBCalcPts[RK],0)),"")</f>
        <v>CIN</v>
      </c>
      <c r="K49">
        <f>IFERROR(INDEX(TableRBCalcPts[BYE],MATCH(TableRBRanks[[#This Row],[RK]],TableRBCalcPts[RK],0)),"")</f>
        <v>12</v>
      </c>
      <c r="L49" s="57">
        <f>IFERROR(INDEX(TableRBCalcPts[Custom],MATCH(TableRBRanks[[#This Row],[RK]],TableRBCalcPts[RK],0)),"")</f>
        <v>109.75380832983265</v>
      </c>
      <c r="M49" s="125">
        <f>(((VLOOKUP(TableRBRanks[[#This Row],[Player]],'OVR &amp; VORP Ranks'!$I:$M,5,FALSE)))/('OVR &amp; VORP Ranks'!$BM$6))*(Settings!$E$10*TEAMS)</f>
        <v>-3.6228858586915185</v>
      </c>
      <c r="O49">
        <v>48</v>
      </c>
      <c r="P49" t="str">
        <f>IFERROR(INDEX(TableWRCalcPts[PLAYER],MATCH(TableWRRanks[[#This Row],[RK]],TableWRCalcPts[RK],0)),"")</f>
        <v>Jakobi Meyers</v>
      </c>
      <c r="Q49" t="str">
        <f>IFERROR(INDEX(TableWRCalcPts[TM],MATCH(TableWRRanks[[#This Row],[RK]],TableWRCalcPts[RK],0)),"")</f>
        <v>LV</v>
      </c>
      <c r="R49">
        <f>IFERROR(INDEX(TableWRCalcPts[BYE],MATCH(TableWRRanks[[#This Row],[RK]],TableWRCalcPts[RK],0)),"")</f>
        <v>10</v>
      </c>
      <c r="S49" s="57">
        <f>IFERROR(INDEX(TableWRCalcPts[Custom],MATCH(TableWRRanks[[#This Row],[RK]],TableWRCalcPts[RK],0)),"")</f>
        <v>159.5175566273596</v>
      </c>
      <c r="T49" s="125">
        <f>(((VLOOKUP(TableWRRanks[[#This Row],[Player]],'OVR &amp; VORP Ranks'!$P:$T,5,FALSE)))/('OVR &amp; VORP Ranks'!$BM$6))*(Settings!$E$10*TEAMS)</f>
        <v>5.3585077913441621</v>
      </c>
      <c r="V49">
        <v>48</v>
      </c>
      <c r="W49" t="str">
        <f>IFERROR(INDEX(TableTECalcPts[PLAYER],MATCH(TableTERanks[[#This Row],[RK]],TableTECalcPts[RK],0)),"")</f>
        <v>Cade Stover</v>
      </c>
      <c r="X49" t="str">
        <f>IFERROR(INDEX(TableTECalcPts[TM],MATCH(TableTERanks[[#This Row],[RK]],TableTECalcPts[RK],0)),"")</f>
        <v>HOU</v>
      </c>
      <c r="Y49">
        <f>IFERROR(INDEX(TableTECalcPts[BYE],MATCH(TableTERanks[[#This Row],[RK]],TableTECalcPts[RK],0)),"")</f>
        <v>14</v>
      </c>
      <c r="Z49" s="57">
        <f>IFERROR(INDEX(TableTECalcPts[Custom],MATCH(TableTERanks[[#This Row],[RK]],TableTECalcPts[RK],0)),"")</f>
        <v>32.672274321811308</v>
      </c>
      <c r="AA49" s="125">
        <f>(((VLOOKUP(TableTERanks[[#This Row],[Player]],'OVR &amp; VORP Ranks'!$W:$AA,5,FALSE)))/('OVR &amp; VORP Ranks'!$BM$6))*(Settings!$E$10*TEAMS)</f>
        <v>-40.186601215320216</v>
      </c>
    </row>
    <row r="50" spans="1:27" x14ac:dyDescent="0.2">
      <c r="A50">
        <v>49</v>
      </c>
      <c r="B50" t="str">
        <f>IFERROR(INDEX(TableQBCalcPts[PLAYER],MATCH(TableQBRanks[[#This Row],[RK]],TableQBCalcPts[RK],0)),"")</f>
        <v>Zach Wilson</v>
      </c>
      <c r="C50" t="str">
        <f>IFERROR(INDEX(TableQBCalcPts[TM],MATCH(TableQBRanks[[#This Row],[RK]],TableQBCalcPts[RK],0)),"")</f>
        <v>DEN</v>
      </c>
      <c r="D50">
        <f>IFERROR(INDEX(TableQBCalcPts[BYE],MATCH(TableQBRanks[[#This Row],[RK]],TableQBCalcPts[RK],0)),"")</f>
        <v>14</v>
      </c>
      <c r="E50" s="57">
        <f>IFERROR(INDEX(TableQBCalcPts[Custom],MATCH(TableQBRanks[[#This Row],[RK]],TableQBCalcPts[RK],0)),"")</f>
        <v>9.5981190378000001</v>
      </c>
      <c r="F50" s="125">
        <f>(((VLOOKUP(TableQBRanks[[#This Row],[Player]],'OVR &amp; VORP Ranks'!$B:$F,5,FALSE)))/('OVR &amp; VORP Ranks'!$BM$6))*(Settings!$E$10*TEAMS)</f>
        <v>-53.972866480064042</v>
      </c>
      <c r="H50">
        <v>49</v>
      </c>
      <c r="I50" t="str">
        <f>IFERROR(INDEX(TableRBCalcPts[PLAYER],MATCH(TableRBRanks[[#This Row],[RK]],TableRBCalcPts[RK],0)),"")</f>
        <v>Bucky Irving</v>
      </c>
      <c r="J50" t="str">
        <f>IFERROR(INDEX(TableRBCalcPts[TM],MATCH(TableRBRanks[[#This Row],[RK]],TableRBCalcPts[RK],0)),"")</f>
        <v>TB</v>
      </c>
      <c r="K50">
        <f>IFERROR(INDEX(TableRBCalcPts[BYE],MATCH(TableRBRanks[[#This Row],[RK]],TableRBCalcPts[RK],0)),"")</f>
        <v>11</v>
      </c>
      <c r="L50" s="57">
        <f>IFERROR(INDEX(TableRBCalcPts[Custom],MATCH(TableRBRanks[[#This Row],[RK]],TableRBCalcPts[RK],0)),"")</f>
        <v>108.09268065474014</v>
      </c>
      <c r="M50" s="125">
        <f>(((VLOOKUP(TableRBRanks[[#This Row],[Player]],'OVR &amp; VORP Ranks'!$I:$M,5,FALSE)))/('OVR &amp; VORP Ranks'!$BM$6))*(Settings!$E$10*TEAMS)</f>
        <v>-4.2152705115597326</v>
      </c>
      <c r="O50">
        <v>49</v>
      </c>
      <c r="P50" t="str">
        <f>IFERROR(INDEX(TableWRCalcPts[PLAYER],MATCH(TableWRRanks[[#This Row],[RK]],TableWRCalcPts[RK],0)),"")</f>
        <v>Romeo Doubs</v>
      </c>
      <c r="Q50" t="str">
        <f>IFERROR(INDEX(TableWRCalcPts[TM],MATCH(TableWRRanks[[#This Row],[RK]],TableWRCalcPts[RK],0)),"")</f>
        <v>GB</v>
      </c>
      <c r="R50">
        <f>IFERROR(INDEX(TableWRCalcPts[BYE],MATCH(TableWRRanks[[#This Row],[RK]],TableWRCalcPts[RK],0)),"")</f>
        <v>10</v>
      </c>
      <c r="S50" s="57">
        <f>IFERROR(INDEX(TableWRCalcPts[Custom],MATCH(TableWRRanks[[#This Row],[RK]],TableWRCalcPts[RK],0)),"")</f>
        <v>159.42435883867063</v>
      </c>
      <c r="T50" s="125">
        <f>(((VLOOKUP(TableWRRanks[[#This Row],[Player]],'OVR &amp; VORP Ranks'!$P:$T,5,FALSE)))/('OVR &amp; VORP Ranks'!$BM$6))*(Settings!$E$10*TEAMS)</f>
        <v>5.3179009434408355</v>
      </c>
      <c r="V50">
        <v>49</v>
      </c>
      <c r="W50" t="str">
        <f>IFERROR(INDEX(TableTECalcPts[PLAYER],MATCH(TableTERanks[[#This Row],[RK]],TableTECalcPts[RK],0)),"")</f>
        <v>Gerald Everett</v>
      </c>
      <c r="X50" t="str">
        <f>IFERROR(INDEX(TableTECalcPts[TM],MATCH(TableTERanks[[#This Row],[RK]],TableTECalcPts[RK],0)),"")</f>
        <v>CHI</v>
      </c>
      <c r="Y50">
        <f>IFERROR(INDEX(TableTECalcPts[BYE],MATCH(TableTERanks[[#This Row],[RK]],TableTECalcPts[RK],0)),"")</f>
        <v>7</v>
      </c>
      <c r="Z50" s="57">
        <f>IFERROR(INDEX(TableTECalcPts[Custom],MATCH(TableTERanks[[#This Row],[RK]],TableTECalcPts[RK],0)),"")</f>
        <v>28.159483725102589</v>
      </c>
      <c r="AA50" s="125">
        <f>(((VLOOKUP(TableTERanks[[#This Row],[Player]],'OVR &amp; VORP Ranks'!$W:$AA,5,FALSE)))/('OVR &amp; VORP Ranks'!$BM$6))*(Settings!$E$10*TEAMS)</f>
        <v>-42.019072294785687</v>
      </c>
    </row>
    <row r="51" spans="1:27" x14ac:dyDescent="0.2">
      <c r="A51">
        <v>50</v>
      </c>
      <c r="B51" t="str">
        <f>IFERROR(INDEX(TableQBCalcPts[PLAYER],MATCH(TableQBRanks[[#This Row],[RK]],TableQBCalcPts[RK],0)),"")</f>
        <v>Mike White</v>
      </c>
      <c r="C51" t="str">
        <f>IFERROR(INDEX(TableQBCalcPts[TM],MATCH(TableQBRanks[[#This Row],[RK]],TableQBCalcPts[RK],0)),"")</f>
        <v>MIA</v>
      </c>
      <c r="D51">
        <f>IFERROR(INDEX(TableQBCalcPts[BYE],MATCH(TableQBRanks[[#This Row],[RK]],TableQBCalcPts[RK],0)),"")</f>
        <v>6</v>
      </c>
      <c r="E51" s="57">
        <f>IFERROR(INDEX(TableQBCalcPts[Custom],MATCH(TableQBRanks[[#This Row],[RK]],TableQBCalcPts[RK],0)),"")</f>
        <v>6.8101210808395845</v>
      </c>
      <c r="F51" s="125">
        <f>(((VLOOKUP(TableQBRanks[[#This Row],[Player]],'OVR &amp; VORP Ranks'!$B:$F,5,FALSE)))/('OVR &amp; VORP Ranks'!$BM$6))*(Settings!$E$10*TEAMS)</f>
        <v>-55.355801885764464</v>
      </c>
      <c r="H51">
        <v>50</v>
      </c>
      <c r="I51" t="str">
        <f>IFERROR(INDEX(TableRBCalcPts[PLAYER],MATCH(TableRBRanks[[#This Row],[RK]],TableRBCalcPts[RK],0)),"")</f>
        <v>Jaleel McLaughlin</v>
      </c>
      <c r="J51" t="str">
        <f>IFERROR(INDEX(TableRBCalcPts[TM],MATCH(TableRBRanks[[#This Row],[RK]],TableRBCalcPts[RK],0)),"")</f>
        <v>DEN</v>
      </c>
      <c r="K51">
        <f>IFERROR(INDEX(TableRBCalcPts[BYE],MATCH(TableRBRanks[[#This Row],[RK]],TableRBCalcPts[RK],0)),"")</f>
        <v>14</v>
      </c>
      <c r="L51" s="57">
        <f>IFERROR(INDEX(TableRBCalcPts[Custom],MATCH(TableRBRanks[[#This Row],[RK]],TableRBCalcPts[RK],0)),"")</f>
        <v>101.96850811551907</v>
      </c>
      <c r="M51" s="125">
        <f>(((VLOOKUP(TableRBRanks[[#This Row],[Player]],'OVR &amp; VORP Ranks'!$I:$M,5,FALSE)))/('OVR &amp; VORP Ranks'!$BM$6))*(Settings!$E$10*TEAMS)</f>
        <v>-6.3992482263067121</v>
      </c>
      <c r="O51">
        <v>50</v>
      </c>
      <c r="P51" t="str">
        <f>IFERROR(INDEX(TableWRCalcPts[PLAYER],MATCH(TableWRRanks[[#This Row],[RK]],TableWRCalcPts[RK],0)),"")</f>
        <v>Mike Williams</v>
      </c>
      <c r="Q51" t="str">
        <f>IFERROR(INDEX(TableWRCalcPts[TM],MATCH(TableWRRanks[[#This Row],[RK]],TableWRCalcPts[RK],0)),"")</f>
        <v>NYJ</v>
      </c>
      <c r="R51">
        <f>IFERROR(INDEX(TableWRCalcPts[BYE],MATCH(TableWRRanks[[#This Row],[RK]],TableWRCalcPts[RK],0)),"")</f>
        <v>12</v>
      </c>
      <c r="S51" s="57">
        <f>IFERROR(INDEX(TableWRCalcPts[Custom],MATCH(TableWRRanks[[#This Row],[RK]],TableWRCalcPts[RK],0)),"")</f>
        <v>158.6684307713081</v>
      </c>
      <c r="T51" s="125">
        <f>(((VLOOKUP(TableWRRanks[[#This Row],[Player]],'OVR &amp; VORP Ranks'!$P:$T,5,FALSE)))/('OVR &amp; VORP Ranks'!$BM$6))*(Settings!$E$10*TEAMS)</f>
        <v>4.988538450091478</v>
      </c>
      <c r="V51">
        <v>50</v>
      </c>
      <c r="W51" t="str">
        <f>IFERROR(INDEX(TableTECalcPts[PLAYER],MATCH(TableTERanks[[#This Row],[RK]],TableTECalcPts[RK],0)),"")</f>
        <v>Charlie Woerner</v>
      </c>
      <c r="X51" t="str">
        <f>IFERROR(INDEX(TableTECalcPts[TM],MATCH(TableTERanks[[#This Row],[RK]],TableTECalcPts[RK],0)),"")</f>
        <v>ATL</v>
      </c>
      <c r="Y51">
        <f>IFERROR(INDEX(TableTECalcPts[BYE],MATCH(TableTERanks[[#This Row],[RK]],TableTECalcPts[RK],0)),"")</f>
        <v>12</v>
      </c>
      <c r="Z51" s="57">
        <f>IFERROR(INDEX(TableTECalcPts[Custom],MATCH(TableTERanks[[#This Row],[RK]],TableTECalcPts[RK],0)),"")</f>
        <v>27.714480291641177</v>
      </c>
      <c r="AA51" s="125">
        <f>(((VLOOKUP(TableTERanks[[#This Row],[Player]],'OVR &amp; VORP Ranks'!$W:$AA,5,FALSE)))/('OVR &amp; VORP Ranks'!$BM$6))*(Settings!$E$10*TEAMS)</f>
        <v>-42.199771111760619</v>
      </c>
    </row>
    <row r="52" spans="1:27" x14ac:dyDescent="0.2">
      <c r="A52">
        <v>51</v>
      </c>
      <c r="B52" t="str">
        <f>IFERROR(INDEX(TableQBCalcPts[PLAYER],MATCH(TableQBRanks[[#This Row],[RK]],TableQBCalcPts[RK],0)),"")</f>
        <v>Jameis Winston</v>
      </c>
      <c r="C52" t="str">
        <f>IFERROR(INDEX(TableQBCalcPts[TM],MATCH(TableQBRanks[[#This Row],[RK]],TableQBCalcPts[RK],0)),"")</f>
        <v>CLE</v>
      </c>
      <c r="D52">
        <f>IFERROR(INDEX(TableQBCalcPts[BYE],MATCH(TableQBRanks[[#This Row],[RK]],TableQBCalcPts[RK],0)),"")</f>
        <v>10</v>
      </c>
      <c r="E52" s="57">
        <f>IFERROR(INDEX(TableQBCalcPts[Custom],MATCH(TableQBRanks[[#This Row],[RK]],TableQBCalcPts[RK],0)),"")</f>
        <v>6.4643817227131688</v>
      </c>
      <c r="F52" s="125">
        <f>(((VLOOKUP(TableQBRanks[[#This Row],[Player]],'OVR &amp; VORP Ranks'!$B:$F,5,FALSE)))/('OVR &amp; VORP Ranks'!$BM$6))*(Settings!$E$10*TEAMS)</f>
        <v>-55.962805911392557</v>
      </c>
      <c r="H52">
        <v>51</v>
      </c>
      <c r="I52" t="str">
        <f>IFERROR(INDEX(TableRBCalcPts[PLAYER],MATCH(TableRBRanks[[#This Row],[RK]],TableRBCalcPts[RK],0)),"")</f>
        <v>Jordan Mason</v>
      </c>
      <c r="J52" t="str">
        <f>IFERROR(INDEX(TableRBCalcPts[TM],MATCH(TableRBRanks[[#This Row],[RK]],TableRBCalcPts[RK],0)),"")</f>
        <v>SF</v>
      </c>
      <c r="K52">
        <f>IFERROR(INDEX(TableRBCalcPts[BYE],MATCH(TableRBRanks[[#This Row],[RK]],TableRBCalcPts[RK],0)),"")</f>
        <v>9</v>
      </c>
      <c r="L52" s="57">
        <f>IFERROR(INDEX(TableRBCalcPts[Custom],MATCH(TableRBRanks[[#This Row],[RK]],TableRBCalcPts[RK],0)),"")</f>
        <v>98.495229171198076</v>
      </c>
      <c r="M52" s="125">
        <f>(((VLOOKUP(TableRBRanks[[#This Row],[Player]],'OVR &amp; VORP Ranks'!$I:$M,5,FALSE)))/('OVR &amp; VORP Ranks'!$BM$6))*(Settings!$E$10*TEAMS)</f>
        <v>-7.6378749571698163</v>
      </c>
      <c r="O52">
        <v>51</v>
      </c>
      <c r="P52" t="str">
        <f>IFERROR(INDEX(TableWRCalcPts[PLAYER],MATCH(TableWRRanks[[#This Row],[RK]],TableWRCalcPts[RK],0)),"")</f>
        <v>Keenan Allen</v>
      </c>
      <c r="Q52" t="str">
        <f>IFERROR(INDEX(TableWRCalcPts[TM],MATCH(TableWRRanks[[#This Row],[RK]],TableWRCalcPts[RK],0)),"")</f>
        <v>CHI</v>
      </c>
      <c r="R52">
        <f>IFERROR(INDEX(TableWRCalcPts[BYE],MATCH(TableWRRanks[[#This Row],[RK]],TableWRCalcPts[RK],0)),"")</f>
        <v>7</v>
      </c>
      <c r="S52" s="57">
        <f>IFERROR(INDEX(TableWRCalcPts[Custom],MATCH(TableWRRanks[[#This Row],[RK]],TableWRCalcPts[RK],0)),"")</f>
        <v>156.9230989893536</v>
      </c>
      <c r="T52" s="125">
        <f>(((VLOOKUP(TableWRRanks[[#This Row],[Player]],'OVR &amp; VORP Ranks'!$P:$T,5,FALSE)))/('OVR &amp; VORP Ranks'!$BM$6))*(Settings!$E$10*TEAMS)</f>
        <v>4.228086692516082</v>
      </c>
      <c r="V52">
        <v>51</v>
      </c>
      <c r="W52" t="str">
        <f>IFERROR(INDEX(TableTECalcPts[PLAYER],MATCH(TableTERanks[[#This Row],[RK]],TableTECalcPts[RK],0)),"")</f>
        <v>Jared Wiley</v>
      </c>
      <c r="X52" t="str">
        <f>IFERROR(INDEX(TableTECalcPts[TM],MATCH(TableTERanks[[#This Row],[RK]],TableTECalcPts[RK],0)),"")</f>
        <v>KC</v>
      </c>
      <c r="Y52">
        <f>IFERROR(INDEX(TableTECalcPts[BYE],MATCH(TableTERanks[[#This Row],[RK]],TableTECalcPts[RK],0)),"")</f>
        <v>6</v>
      </c>
      <c r="Z52" s="57">
        <f>IFERROR(INDEX(TableTECalcPts[Custom],MATCH(TableTERanks[[#This Row],[RK]],TableTECalcPts[RK],0)),"")</f>
        <v>25.838048037454413</v>
      </c>
      <c r="AA52" s="125">
        <f>(((VLOOKUP(TableTERanks[[#This Row],[Player]],'OVR &amp; VORP Ranks'!$W:$AA,5,FALSE)))/('OVR &amp; VORP Ranks'!$BM$6))*(Settings!$E$10*TEAMS)</f>
        <v>-42.961718240634987</v>
      </c>
    </row>
    <row r="53" spans="1:27" x14ac:dyDescent="0.2">
      <c r="A53">
        <v>52</v>
      </c>
      <c r="B53" t="str">
        <f>IFERROR(INDEX(TableQBCalcPts[PLAYER],MATCH(TableQBRanks[[#This Row],[RK]],TableQBCalcPts[RK],0)),"")</f>
        <v>Taylor Heinicke</v>
      </c>
      <c r="C53" t="str">
        <f>IFERROR(INDEX(TableQBCalcPts[TM],MATCH(TableQBRanks[[#This Row],[RK]],TableQBCalcPts[RK],0)),"")</f>
        <v>ATL</v>
      </c>
      <c r="D53">
        <f>IFERROR(INDEX(TableQBCalcPts[BYE],MATCH(TableQBRanks[[#This Row],[RK]],TableQBCalcPts[RK],0)),"")</f>
        <v>12</v>
      </c>
      <c r="E53" s="57">
        <f>IFERROR(INDEX(TableQBCalcPts[Custom],MATCH(TableQBRanks[[#This Row],[RK]],TableQBCalcPts[RK],0)),"")</f>
        <v>6.3741828070080002</v>
      </c>
      <c r="F53" s="125">
        <f>(((VLOOKUP(TableQBRanks[[#This Row],[Player]],'OVR &amp; VORP Ranks'!$B:$F,5,FALSE)))/('OVR &amp; VORP Ranks'!$BM$6))*(Settings!$E$10*TEAMS)</f>
        <v>-56.313850384667752</v>
      </c>
      <c r="H53">
        <v>52</v>
      </c>
      <c r="I53" t="str">
        <f>IFERROR(INDEX(TableRBCalcPts[PLAYER],MATCH(TableRBRanks[[#This Row],[RK]],TableRBCalcPts[RK],0)),"")</f>
        <v>MarShawn Lloyd</v>
      </c>
      <c r="J53" t="str">
        <f>IFERROR(INDEX(TableRBCalcPts[TM],MATCH(TableRBRanks[[#This Row],[RK]],TableRBCalcPts[RK],0)),"")</f>
        <v>GB</v>
      </c>
      <c r="K53">
        <f>IFERROR(INDEX(TableRBCalcPts[BYE],MATCH(TableRBRanks[[#This Row],[RK]],TableRBCalcPts[RK],0)),"")</f>
        <v>10</v>
      </c>
      <c r="L53" s="57">
        <f>IFERROR(INDEX(TableRBCalcPts[Custom],MATCH(TableRBRanks[[#This Row],[RK]],TableRBCalcPts[RK],0)),"")</f>
        <v>96.388395498843764</v>
      </c>
      <c r="M53" s="125">
        <f>(((VLOOKUP(TableRBRanks[[#This Row],[Player]],'OVR &amp; VORP Ranks'!$I:$M,5,FALSE)))/('OVR &amp; VORP Ranks'!$BM$6))*(Settings!$E$10*TEAMS)</f>
        <v>-8.3892054854383069</v>
      </c>
      <c r="O53">
        <v>52</v>
      </c>
      <c r="P53" t="str">
        <f>IFERROR(INDEX(TableWRCalcPts[PLAYER],MATCH(TableWRRanks[[#This Row],[RK]],TableWRCalcPts[RK],0)),"")</f>
        <v>Christian Watson</v>
      </c>
      <c r="Q53" t="str">
        <f>IFERROR(INDEX(TableWRCalcPts[TM],MATCH(TableWRRanks[[#This Row],[RK]],TableWRCalcPts[RK],0)),"")</f>
        <v>GB</v>
      </c>
      <c r="R53">
        <f>IFERROR(INDEX(TableWRCalcPts[BYE],MATCH(TableWRRanks[[#This Row],[RK]],TableWRCalcPts[RK],0)),"")</f>
        <v>10</v>
      </c>
      <c r="S53" s="57">
        <f>IFERROR(INDEX(TableWRCalcPts[Custom],MATCH(TableWRRanks[[#This Row],[RK]],TableWRCalcPts[RK],0)),"")</f>
        <v>155.86557059484923</v>
      </c>
      <c r="T53" s="125">
        <f>(((VLOOKUP(TableWRRanks[[#This Row],[Player]],'OVR &amp; VORP Ranks'!$P:$T,5,FALSE)))/('OVR &amp; VORP Ranks'!$BM$6))*(Settings!$E$10*TEAMS)</f>
        <v>3.7673150875974093</v>
      </c>
      <c r="V53">
        <v>52</v>
      </c>
      <c r="W53" t="str">
        <f>IFERROR(INDEX(TableTECalcPts[PLAYER],MATCH(TableTERanks[[#This Row],[RK]],TableTECalcPts[RK],0)),"")</f>
        <v>Adam Trautman</v>
      </c>
      <c r="X53" t="str">
        <f>IFERROR(INDEX(TableTECalcPts[TM],MATCH(TableTERanks[[#This Row],[RK]],TableTECalcPts[RK],0)),"")</f>
        <v>DEN</v>
      </c>
      <c r="Y53">
        <f>IFERROR(INDEX(TableTECalcPts[BYE],MATCH(TableTERanks[[#This Row],[RK]],TableTECalcPts[RK],0)),"")</f>
        <v>14</v>
      </c>
      <c r="Z53" s="57">
        <f>IFERROR(INDEX(TableTECalcPts[Custom],MATCH(TableTERanks[[#This Row],[RK]],TableTECalcPts[RK],0)),"")</f>
        <v>24.53739429731975</v>
      </c>
      <c r="AA53" s="125">
        <f>(((VLOOKUP(TableTERanks[[#This Row],[Player]],'OVR &amp; VORP Ranks'!$W:$AA,5,FALSE)))/('OVR &amp; VORP Ranks'!$BM$6))*(Settings!$E$10*TEAMS)</f>
        <v>-43.489863810902236</v>
      </c>
    </row>
    <row r="54" spans="1:27" x14ac:dyDescent="0.2">
      <c r="A54">
        <v>53</v>
      </c>
      <c r="B54" t="str">
        <f>IFERROR(INDEX(TableQBCalcPts[PLAYER],MATCH(TableQBRanks[[#This Row],[RK]],TableQBCalcPts[RK],0)),"")</f>
        <v>Tyrod Taylor</v>
      </c>
      <c r="C54" t="str">
        <f>IFERROR(INDEX(TableQBCalcPts[TM],MATCH(TableQBRanks[[#This Row],[RK]],TableQBCalcPts[RK],0)),"")</f>
        <v>NYJ</v>
      </c>
      <c r="D54">
        <f>IFERROR(INDEX(TableQBCalcPts[BYE],MATCH(TableQBRanks[[#This Row],[RK]],TableQBCalcPts[RK],0)),"")</f>
        <v>12</v>
      </c>
      <c r="E54" s="57">
        <f>IFERROR(INDEX(TableQBCalcPts[Custom],MATCH(TableQBRanks[[#This Row],[RK]],TableQBCalcPts[RK],0)),"")</f>
        <v>6.2338821112386551</v>
      </c>
      <c r="F54" s="125">
        <f>(((VLOOKUP(TableQBRanks[[#This Row],[Player]],'OVR &amp; VORP Ranks'!$B:$F,5,FALSE)))/('OVR &amp; VORP Ranks'!$BM$6))*(Settings!$E$10*TEAMS)</f>
        <v>-58.122297934778366</v>
      </c>
      <c r="H54">
        <v>53</v>
      </c>
      <c r="I54" t="str">
        <f>IFERROR(INDEX(TableRBCalcPts[PLAYER],MATCH(TableRBRanks[[#This Row],[RK]],TableRBCalcPts[RK],0)),"")</f>
        <v>Dalvin Cook</v>
      </c>
      <c r="J54" t="str">
        <f>IFERROR(INDEX(TableRBCalcPts[TM],MATCH(TableRBRanks[[#This Row],[RK]],TableRBCalcPts[RK],0)),"")</f>
        <v>DAL</v>
      </c>
      <c r="K54">
        <f>IFERROR(INDEX(TableRBCalcPts[BYE],MATCH(TableRBRanks[[#This Row],[RK]],TableRBCalcPts[RK],0)),"")</f>
        <v>7</v>
      </c>
      <c r="L54" s="57">
        <f>IFERROR(INDEX(TableRBCalcPts[Custom],MATCH(TableRBRanks[[#This Row],[RK]],TableRBCalcPts[RK],0)),"")</f>
        <v>85.244686888648587</v>
      </c>
      <c r="M54" s="125">
        <f>(((VLOOKUP(TableRBRanks[[#This Row],[Player]],'OVR &amp; VORP Ranks'!$I:$M,5,FALSE)))/('OVR &amp; VORP Ranks'!$BM$6))*(Settings!$E$10*TEAMS)</f>
        <v>-12.363229912156338</v>
      </c>
      <c r="O54">
        <v>53</v>
      </c>
      <c r="P54" t="str">
        <f>IFERROR(INDEX(TableWRCalcPts[PLAYER],MATCH(TableWRRanks[[#This Row],[RK]],TableWRCalcPts[RK],0)),"")</f>
        <v>Curtis Samuel</v>
      </c>
      <c r="Q54" t="str">
        <f>IFERROR(INDEX(TableWRCalcPts[TM],MATCH(TableWRRanks[[#This Row],[RK]],TableWRCalcPts[RK],0)),"")</f>
        <v>BUF</v>
      </c>
      <c r="R54">
        <f>IFERROR(INDEX(TableWRCalcPts[BYE],MATCH(TableWRRanks[[#This Row],[RK]],TableWRCalcPts[RK],0)),"")</f>
        <v>12</v>
      </c>
      <c r="S54" s="57">
        <f>IFERROR(INDEX(TableWRCalcPts[Custom],MATCH(TableWRRanks[[#This Row],[RK]],TableWRCalcPts[RK],0)),"")</f>
        <v>152.29973704531247</v>
      </c>
      <c r="T54" s="125">
        <f>(((VLOOKUP(TableWRRanks[[#This Row],[Player]],'OVR &amp; VORP Ranks'!$P:$T,5,FALSE)))/('OVR &amp; VORP Ranks'!$BM$6))*(Settings!$E$10*TEAMS)</f>
        <v>2.2136595488608513</v>
      </c>
      <c r="V54">
        <v>53</v>
      </c>
      <c r="W54" t="str">
        <f>IFERROR(INDEX(TableTECalcPts[PLAYER],MATCH(TableTERanks[[#This Row],[RK]],TableTECalcPts[RK],0)),"")</f>
        <v>Luke Schoonmaker</v>
      </c>
      <c r="X54" t="str">
        <f>IFERROR(INDEX(TableTECalcPts[TM],MATCH(TableTERanks[[#This Row],[RK]],TableTECalcPts[RK],0)),"")</f>
        <v>DAL</v>
      </c>
      <c r="Y54">
        <f>IFERROR(INDEX(TableTECalcPts[BYE],MATCH(TableTERanks[[#This Row],[RK]],TableTECalcPts[RK],0)),"")</f>
        <v>7</v>
      </c>
      <c r="Z54" s="57">
        <f>IFERROR(INDEX(TableTECalcPts[Custom],MATCH(TableTERanks[[#This Row],[RK]],TableTECalcPts[RK],0)),"")</f>
        <v>24.051614582192396</v>
      </c>
      <c r="AA54" s="125">
        <f>(((VLOOKUP(TableTERanks[[#This Row],[Player]],'OVR &amp; VORP Ranks'!$W:$AA,5,FALSE)))/('OVR &amp; VORP Ranks'!$BM$6))*(Settings!$E$10*TEAMS)</f>
        <v>-43.687120311040104</v>
      </c>
    </row>
    <row r="55" spans="1:27" x14ac:dyDescent="0.2">
      <c r="A55">
        <v>54</v>
      </c>
      <c r="B55" t="str">
        <f>IFERROR(INDEX(TableQBCalcPts[PLAYER],MATCH(TableQBRanks[[#This Row],[RK]],TableQBCalcPts[RK],0)),"")</f>
        <v>Kenny Pickett</v>
      </c>
      <c r="C55" t="str">
        <f>IFERROR(INDEX(TableQBCalcPts[TM],MATCH(TableQBRanks[[#This Row],[RK]],TableQBCalcPts[RK],0)),"")</f>
        <v>PHI</v>
      </c>
      <c r="D55">
        <f>IFERROR(INDEX(TableQBCalcPts[BYE],MATCH(TableQBRanks[[#This Row],[RK]],TableQBCalcPts[RK],0)),"")</f>
        <v>5</v>
      </c>
      <c r="E55" s="57">
        <f>IFERROR(INDEX(TableQBCalcPts[Custom],MATCH(TableQBRanks[[#This Row],[RK]],TableQBCalcPts[RK],0)),"")</f>
        <v>6.0923809038144068</v>
      </c>
      <c r="F55" s="125">
        <f>(((VLOOKUP(TableQBRanks[[#This Row],[Player]],'OVR &amp; VORP Ranks'!$B:$F,5,FALSE)))/('OVR &amp; VORP Ranks'!$BM$6))*(Settings!$E$10*TEAMS)</f>
        <v>-58.316100017070866</v>
      </c>
      <c r="H55">
        <v>54</v>
      </c>
      <c r="I55" t="str">
        <f>IFERROR(INDEX(TableRBCalcPts[PLAYER],MATCH(TableRBRanks[[#This Row],[RK]],TableRBCalcPts[RK],0)),"")</f>
        <v>Alexander Mattison</v>
      </c>
      <c r="J55" t="str">
        <f>IFERROR(INDEX(TableRBCalcPts[TM],MATCH(TableRBRanks[[#This Row],[RK]],TableRBCalcPts[RK],0)),"")</f>
        <v>LV</v>
      </c>
      <c r="K55">
        <f>IFERROR(INDEX(TableRBCalcPts[BYE],MATCH(TableRBRanks[[#This Row],[RK]],TableRBCalcPts[RK],0)),"")</f>
        <v>10</v>
      </c>
      <c r="L55" s="57">
        <f>IFERROR(INDEX(TableRBCalcPts[Custom],MATCH(TableRBRanks[[#This Row],[RK]],TableRBCalcPts[RK],0)),"")</f>
        <v>84.163578560068146</v>
      </c>
      <c r="M55" s="125">
        <f>(((VLOOKUP(TableRBRanks[[#This Row],[Player]],'OVR &amp; VORP Ranks'!$I:$M,5,FALSE)))/('OVR &amp; VORP Ranks'!$BM$6))*(Settings!$E$10*TEAMS)</f>
        <v>-12.748770404643405</v>
      </c>
      <c r="O55">
        <v>54</v>
      </c>
      <c r="P55" t="str">
        <f>IFERROR(INDEX(TableWRCalcPts[PLAYER],MATCH(TableWRRanks[[#This Row],[RK]],TableWRCalcPts[RK],0)),"")</f>
        <v>Adonai Mitchell</v>
      </c>
      <c r="Q55" t="str">
        <f>IFERROR(INDEX(TableWRCalcPts[TM],MATCH(TableWRRanks[[#This Row],[RK]],TableWRCalcPts[RK],0)),"")</f>
        <v>IND</v>
      </c>
      <c r="R55">
        <f>IFERROR(INDEX(TableWRCalcPts[BYE],MATCH(TableWRRanks[[#This Row],[RK]],TableWRCalcPts[RK],0)),"")</f>
        <v>14</v>
      </c>
      <c r="S55" s="57">
        <f>IFERROR(INDEX(TableWRCalcPts[Custom],MATCH(TableWRRanks[[#This Row],[RK]],TableWRCalcPts[RK],0)),"")</f>
        <v>151.99119359423997</v>
      </c>
      <c r="T55" s="125">
        <f>(((VLOOKUP(TableWRRanks[[#This Row],[Player]],'OVR &amp; VORP Ranks'!$P:$T,5,FALSE)))/('OVR &amp; VORP Ranks'!$BM$6))*(Settings!$E$10*TEAMS)</f>
        <v>2.0792252756284539</v>
      </c>
      <c r="V55">
        <v>54</v>
      </c>
      <c r="W55" t="str">
        <f>IFERROR(INDEX(TableTECalcPts[PLAYER],MATCH(TableTERanks[[#This Row],[RK]],TableTECalcPts[RK],0)),"")</f>
        <v>Brenton Strange</v>
      </c>
      <c r="X55" t="str">
        <f>IFERROR(INDEX(TableTECalcPts[TM],MATCH(TableTERanks[[#This Row],[RK]],TableTECalcPts[RK],0)),"")</f>
        <v>JAX</v>
      </c>
      <c r="Y55">
        <f>IFERROR(INDEX(TableTECalcPts[BYE],MATCH(TableTERanks[[#This Row],[RK]],TableTECalcPts[RK],0)),"")</f>
        <v>12</v>
      </c>
      <c r="Z55" s="57">
        <f>IFERROR(INDEX(TableTECalcPts[Custom],MATCH(TableTERanks[[#This Row],[RK]],TableTECalcPts[RK],0)),"")</f>
        <v>23.035335255416182</v>
      </c>
      <c r="AA55" s="125">
        <f>(((VLOOKUP(TableTERanks[[#This Row],[Player]],'OVR &amp; VORP Ranks'!$W:$AA,5,FALSE)))/('OVR &amp; VORP Ranks'!$BM$6))*(Settings!$E$10*TEAMS)</f>
        <v>-44.099792345132329</v>
      </c>
    </row>
    <row r="56" spans="1:27" x14ac:dyDescent="0.2">
      <c r="A56">
        <v>55</v>
      </c>
      <c r="B56" t="str">
        <f>IFERROR(INDEX(TableQBCalcPts[PLAYER],MATCH(TableQBRanks[[#This Row],[RK]],TableQBCalcPts[RK],0)),"")</f>
        <v>Spencer Rattler</v>
      </c>
      <c r="C56" t="str">
        <f>IFERROR(INDEX(TableQBCalcPts[TM],MATCH(TableQBRanks[[#This Row],[RK]],TableQBCalcPts[RK],0)),"")</f>
        <v>NO</v>
      </c>
      <c r="D56">
        <f>IFERROR(INDEX(TableQBCalcPts[BYE],MATCH(TableQBRanks[[#This Row],[RK]],TableQBCalcPts[RK],0)),"")</f>
        <v>12</v>
      </c>
      <c r="E56" s="57">
        <f>IFERROR(INDEX(TableQBCalcPts[Custom],MATCH(TableQBRanks[[#This Row],[RK]],TableQBCalcPts[RK],0)),"")</f>
        <v>5.7567016256639985</v>
      </c>
      <c r="F56" s="125">
        <f>(((VLOOKUP(TableQBRanks[[#This Row],[Player]],'OVR &amp; VORP Ranks'!$B:$F,5,FALSE)))/('OVR &amp; VORP Ranks'!$BM$6))*(Settings!$E$10*TEAMS)</f>
        <v>-58.552040547633879</v>
      </c>
      <c r="H56">
        <v>55</v>
      </c>
      <c r="I56" t="str">
        <f>IFERROR(INDEX(TableRBCalcPts[PLAYER],MATCH(TableRBRanks[[#This Row],[RK]],TableRBCalcPts[RK],0)),"")</f>
        <v>Roschon Johnson</v>
      </c>
      <c r="J56" t="str">
        <f>IFERROR(INDEX(TableRBCalcPts[TM],MATCH(TableRBRanks[[#This Row],[RK]],TableRBCalcPts[RK],0)),"")</f>
        <v>CHI</v>
      </c>
      <c r="K56">
        <f>IFERROR(INDEX(TableRBCalcPts[BYE],MATCH(TableRBRanks[[#This Row],[RK]],TableRBCalcPts[RK],0)),"")</f>
        <v>7</v>
      </c>
      <c r="L56" s="57">
        <f>IFERROR(INDEX(TableRBCalcPts[Custom],MATCH(TableRBRanks[[#This Row],[RK]],TableRBCalcPts[RK],0)),"")</f>
        <v>82.993553055914475</v>
      </c>
      <c r="M56" s="125">
        <f>(((VLOOKUP(TableRBRanks[[#This Row],[Player]],'OVR &amp; VORP Ranks'!$I:$M,5,FALSE)))/('OVR &amp; VORP Ranks'!$BM$6))*(Settings!$E$10*TEAMS)</f>
        <v>-13.166020181718142</v>
      </c>
      <c r="O56">
        <v>55</v>
      </c>
      <c r="P56" t="str">
        <f>IFERROR(INDEX(TableWRCalcPts[PLAYER],MATCH(TableWRRanks[[#This Row],[RK]],TableWRCalcPts[RK],0)),"")</f>
        <v>Rome Odunze</v>
      </c>
      <c r="Q56" t="str">
        <f>IFERROR(INDEX(TableWRCalcPts[TM],MATCH(TableWRRanks[[#This Row],[RK]],TableWRCalcPts[RK],0)),"")</f>
        <v>CHI</v>
      </c>
      <c r="R56">
        <f>IFERROR(INDEX(TableWRCalcPts[BYE],MATCH(TableWRRanks[[#This Row],[RK]],TableWRCalcPts[RK],0)),"")</f>
        <v>7</v>
      </c>
      <c r="S56" s="57">
        <f>IFERROR(INDEX(TableWRCalcPts[Custom],MATCH(TableWRRanks[[#This Row],[RK]],TableWRCalcPts[RK],0)),"")</f>
        <v>151.03909567844491</v>
      </c>
      <c r="T56" s="125">
        <f>(((VLOOKUP(TableWRRanks[[#This Row],[Player]],'OVR &amp; VORP Ranks'!$P:$T,5,FALSE)))/('OVR &amp; VORP Ranks'!$BM$6))*(Settings!$E$10*TEAMS)</f>
        <v>1.664390376650428</v>
      </c>
      <c r="V56">
        <v>55</v>
      </c>
      <c r="W56" t="str">
        <f>IFERROR(INDEX(TableTECalcPts[PLAYER],MATCH(TableTERanks[[#This Row],[RK]],TableTECalcPts[RK],0)),"")</f>
        <v>Ko Kieft</v>
      </c>
      <c r="X56" t="str">
        <f>IFERROR(INDEX(TableTECalcPts[TM],MATCH(TableTERanks[[#This Row],[RK]],TableTECalcPts[RK],0)),"")</f>
        <v>TB</v>
      </c>
      <c r="Y56">
        <f>IFERROR(INDEX(TableTECalcPts[BYE],MATCH(TableTERanks[[#This Row],[RK]],TableTECalcPts[RK],0)),"")</f>
        <v>11</v>
      </c>
      <c r="Z56" s="57">
        <f>IFERROR(INDEX(TableTECalcPts[Custom],MATCH(TableTERanks[[#This Row],[RK]],TableTECalcPts[RK],0)),"")</f>
        <v>22.234463133326038</v>
      </c>
      <c r="AA56" s="125">
        <f>(((VLOOKUP(TableTERanks[[#This Row],[Player]],'OVR &amp; VORP Ranks'!$W:$AA,5,FALSE)))/('OVR &amp; VORP Ranks'!$BM$6))*(Settings!$E$10*TEAMS)</f>
        <v>-44.424995779820982</v>
      </c>
    </row>
    <row r="57" spans="1:27" x14ac:dyDescent="0.2">
      <c r="A57">
        <v>56</v>
      </c>
      <c r="B57" t="str">
        <f>IFERROR(INDEX(TableQBCalcPts[PLAYER],MATCH(TableQBRanks[[#This Row],[RK]],TableQBCalcPts[RK],0)),"")</f>
        <v>Trey Lance</v>
      </c>
      <c r="C57" t="str">
        <f>IFERROR(INDEX(TableQBCalcPts[TM],MATCH(TableQBRanks[[#This Row],[RK]],TableQBCalcPts[RK],0)),"")</f>
        <v>DAL</v>
      </c>
      <c r="D57">
        <f>IFERROR(INDEX(TableQBCalcPts[BYE],MATCH(TableQBRanks[[#This Row],[RK]],TableQBCalcPts[RK],0)),"")</f>
        <v>7</v>
      </c>
      <c r="E57" s="57">
        <f>IFERROR(INDEX(TableQBCalcPts[Custom],MATCH(TableQBRanks[[#This Row],[RK]],TableQBCalcPts[RK],0)),"")</f>
        <v>5.6193425291810213</v>
      </c>
      <c r="F57" s="125">
        <f>(((VLOOKUP(TableQBRanks[[#This Row],[Player]],'OVR &amp; VORP Ranks'!$B:$F,5,FALSE)))/('OVR &amp; VORP Ranks'!$BM$6))*(Settings!$E$10*TEAMS)</f>
        <v>-58.750679090698348</v>
      </c>
      <c r="H57">
        <v>56</v>
      </c>
      <c r="I57" t="str">
        <f>IFERROR(INDEX(TableRBCalcPts[PLAYER],MATCH(TableRBRanks[[#This Row],[RK]],TableRBCalcPts[RK],0)),"")</f>
        <v>Jamaal Williams</v>
      </c>
      <c r="J57" t="str">
        <f>IFERROR(INDEX(TableRBCalcPts[TM],MATCH(TableRBRanks[[#This Row],[RK]],TableRBCalcPts[RK],0)),"")</f>
        <v>NO</v>
      </c>
      <c r="K57">
        <f>IFERROR(INDEX(TableRBCalcPts[BYE],MATCH(TableRBRanks[[#This Row],[RK]],TableRBCalcPts[RK],0)),"")</f>
        <v>12</v>
      </c>
      <c r="L57" s="57">
        <f>IFERROR(INDEX(TableRBCalcPts[Custom],MATCH(TableRBRanks[[#This Row],[RK]],TableRBCalcPts[RK],0)),"")</f>
        <v>81.878602195123278</v>
      </c>
      <c r="M57" s="125">
        <f>(((VLOOKUP(TableRBRanks[[#This Row],[Player]],'OVR &amp; VORP Ranks'!$I:$M,5,FALSE)))/('OVR &amp; VORP Ranks'!$BM$6))*(Settings!$E$10*TEAMS)</f>
        <v>-13.563629461569626</v>
      </c>
      <c r="O57">
        <v>56</v>
      </c>
      <c r="P57" t="str">
        <f>IFERROR(INDEX(TableWRCalcPts[PLAYER],MATCH(TableWRRanks[[#This Row],[RK]],TableWRCalcPts[RK],0)),"")</f>
        <v>Keon Coleman</v>
      </c>
      <c r="Q57" t="str">
        <f>IFERROR(INDEX(TableWRCalcPts[TM],MATCH(TableWRRanks[[#This Row],[RK]],TableWRCalcPts[RK],0)),"")</f>
        <v>BUF</v>
      </c>
      <c r="R57">
        <f>IFERROR(INDEX(TableWRCalcPts[BYE],MATCH(TableWRRanks[[#This Row],[RK]],TableWRCalcPts[RK],0)),"")</f>
        <v>12</v>
      </c>
      <c r="S57" s="57">
        <f>IFERROR(INDEX(TableWRCalcPts[Custom],MATCH(TableWRRanks[[#This Row],[RK]],TableWRCalcPts[RK],0)),"")</f>
        <v>147.77140943565098</v>
      </c>
      <c r="T57" s="125">
        <f>(((VLOOKUP(TableWRRanks[[#This Row],[Player]],'OVR &amp; VORP Ranks'!$P:$T,5,FALSE)))/('OVR &amp; VORP Ranks'!$BM$6))*(Settings!$E$10*TEAMS)</f>
        <v>0.2406394473257609</v>
      </c>
      <c r="V57">
        <v>56</v>
      </c>
      <c r="W57" t="str">
        <f>IFERROR(INDEX(TableTECalcPts[PLAYER],MATCH(TableTERanks[[#This Row],[RK]],TableTECalcPts[RK],0)),"")</f>
        <v>Pharaoh Brown</v>
      </c>
      <c r="X57" t="str">
        <f>IFERROR(INDEX(TableTECalcPts[TM],MATCH(TableTERanks[[#This Row],[RK]],TableTECalcPts[RK],0)),"")</f>
        <v>SEA</v>
      </c>
      <c r="Y57">
        <f>IFERROR(INDEX(TableTECalcPts[BYE],MATCH(TableTERanks[[#This Row],[RK]],TableTECalcPts[RK],0)),"")</f>
        <v>10</v>
      </c>
      <c r="Z57" s="57">
        <f>IFERROR(INDEX(TableTECalcPts[Custom],MATCH(TableTERanks[[#This Row],[RK]],TableTECalcPts[RK],0)),"")</f>
        <v>21.431073332560469</v>
      </c>
      <c r="AA57" s="125">
        <f>(((VLOOKUP(TableTERanks[[#This Row],[Player]],'OVR &amp; VORP Ranks'!$W:$AA,5,FALSE)))/('OVR &amp; VORP Ranks'!$BM$6))*(Settings!$E$10*TEAMS)</f>
        <v>-44.751221547201844</v>
      </c>
    </row>
    <row r="58" spans="1:27" x14ac:dyDescent="0.2">
      <c r="A58">
        <v>57</v>
      </c>
      <c r="B58" t="str">
        <f>IFERROR(INDEX(TableQBCalcPts[PLAYER],MATCH(TableQBRanks[[#This Row],[RK]],TableQBCalcPts[RK],0)),"")</f>
        <v>Hendon Hooker</v>
      </c>
      <c r="C58" t="str">
        <f>IFERROR(INDEX(TableQBCalcPts[TM],MATCH(TableQBRanks[[#This Row],[RK]],TableQBCalcPts[RK],0)),"")</f>
        <v>DET</v>
      </c>
      <c r="D58">
        <f>IFERROR(INDEX(TableQBCalcPts[BYE],MATCH(TableQBRanks[[#This Row],[RK]],TableQBCalcPts[RK],0)),"")</f>
        <v>5</v>
      </c>
      <c r="E58" s="57">
        <f>IFERROR(INDEX(TableQBCalcPts[Custom],MATCH(TableQBRanks[[#This Row],[RK]],TableQBCalcPts[RK],0)),"")</f>
        <v>4.9786844845606719</v>
      </c>
      <c r="F58" s="125">
        <f>(((VLOOKUP(TableQBRanks[[#This Row],[Player]],'OVR &amp; VORP Ranks'!$B:$F,5,FALSE)))/('OVR &amp; VORP Ranks'!$BM$6))*(Settings!$E$10*TEAMS)</f>
        <v>-59.232841057312648</v>
      </c>
      <c r="H58">
        <v>57</v>
      </c>
      <c r="I58" t="str">
        <f>IFERROR(INDEX(TableRBCalcPts[PLAYER],MATCH(TableRBRanks[[#This Row],[RK]],TableRBCalcPts[RK],0)),"")</f>
        <v>Cordarrelle Patterson</v>
      </c>
      <c r="J58" t="str">
        <f>IFERROR(INDEX(TableRBCalcPts[TM],MATCH(TableRBRanks[[#This Row],[RK]],TableRBCalcPts[RK],0)),"")</f>
        <v>PIT</v>
      </c>
      <c r="K58">
        <f>IFERROR(INDEX(TableRBCalcPts[BYE],MATCH(TableRBRanks[[#This Row],[RK]],TableRBCalcPts[RK],0)),"")</f>
        <v>9</v>
      </c>
      <c r="L58" s="57">
        <f>IFERROR(INDEX(TableRBCalcPts[Custom],MATCH(TableRBRanks[[#This Row],[RK]],TableRBCalcPts[RK],0)),"")</f>
        <v>79.44702930055405</v>
      </c>
      <c r="M58" s="125">
        <f>(((VLOOKUP(TableRBRanks[[#This Row],[Player]],'OVR &amp; VORP Ranks'!$I:$M,5,FALSE)))/('OVR &amp; VORP Ranks'!$BM$6))*(Settings!$E$10*TEAMS)</f>
        <v>-14.430767181728871</v>
      </c>
      <c r="O58">
        <v>57</v>
      </c>
      <c r="P58" t="str">
        <f>IFERROR(INDEX(TableWRCalcPts[PLAYER],MATCH(TableWRRanks[[#This Row],[RK]],TableWRCalcPts[RK],0)),"")</f>
        <v>Darnell Mooney</v>
      </c>
      <c r="Q58" t="str">
        <f>IFERROR(INDEX(TableWRCalcPts[TM],MATCH(TableWRRanks[[#This Row],[RK]],TableWRCalcPts[RK],0)),"")</f>
        <v>ATL</v>
      </c>
      <c r="R58">
        <f>IFERROR(INDEX(TableWRCalcPts[BYE],MATCH(TableWRRanks[[#This Row],[RK]],TableWRCalcPts[RK],0)),"")</f>
        <v>12</v>
      </c>
      <c r="S58" s="57">
        <f>IFERROR(INDEX(TableWRCalcPts[Custom],MATCH(TableWRRanks[[#This Row],[RK]],TableWRCalcPts[RK],0)),"")</f>
        <v>147.21911184250882</v>
      </c>
      <c r="T58" s="125">
        <f>(((VLOOKUP(TableWRRanks[[#This Row],[Player]],'OVR &amp; VORP Ranks'!$P:$T,5,FALSE)))/('OVR &amp; VORP Ranks'!$BM$6))*(Settings!$E$10*TEAMS)</f>
        <v>0</v>
      </c>
      <c r="V58">
        <v>57</v>
      </c>
      <c r="W58" t="str">
        <f>IFERROR(INDEX(TableTECalcPts[PLAYER],MATCH(TableTERanks[[#This Row],[RK]],TableTECalcPts[RK],0)),"")</f>
        <v>Jordan Akins</v>
      </c>
      <c r="X58" t="str">
        <f>IFERROR(INDEX(TableTECalcPts[TM],MATCH(TableTERanks[[#This Row],[RK]],TableTECalcPts[RK],0)),"")</f>
        <v>CLE</v>
      </c>
      <c r="Y58">
        <f>IFERROR(INDEX(TableTECalcPts[BYE],MATCH(TableTERanks[[#This Row],[RK]],TableTECalcPts[RK],0)),"")</f>
        <v>10</v>
      </c>
      <c r="Z58" s="57">
        <f>IFERROR(INDEX(TableTECalcPts[Custom],MATCH(TableTERanks[[#This Row],[RK]],TableTECalcPts[RK],0)),"")</f>
        <v>20.366298459374043</v>
      </c>
      <c r="AA58" s="125">
        <f>(((VLOOKUP(TableTERanks[[#This Row],[Player]],'OVR &amp; VORP Ranks'!$W:$AA,5,FALSE)))/('OVR &amp; VORP Ranks'!$BM$6))*(Settings!$E$10*TEAMS)</f>
        <v>-45.183585761636849</v>
      </c>
    </row>
    <row r="59" spans="1:27" x14ac:dyDescent="0.2">
      <c r="A59">
        <v>58</v>
      </c>
      <c r="B59" t="str">
        <f>IFERROR(INDEX(TableQBCalcPts[PLAYER],MATCH(TableQBRanks[[#This Row],[RK]],TableQBCalcPts[RK],0)),"")</f>
        <v>Tyson Bagent</v>
      </c>
      <c r="C59" t="str">
        <f>IFERROR(INDEX(TableQBCalcPts[TM],MATCH(TableQBRanks[[#This Row],[RK]],TableQBCalcPts[RK],0)),"")</f>
        <v>CHI</v>
      </c>
      <c r="D59">
        <f>IFERROR(INDEX(TableQBCalcPts[BYE],MATCH(TableQBRanks[[#This Row],[RK]],TableQBCalcPts[RK],0)),"")</f>
        <v>7</v>
      </c>
      <c r="E59" s="57">
        <f>IFERROR(INDEX(TableQBCalcPts[Custom],MATCH(TableQBRanks[[#This Row],[RK]],TableQBCalcPts[RK],0)),"")</f>
        <v>4.8038456617290173</v>
      </c>
      <c r="F59" s="125">
        <f>(((VLOOKUP(TableQBRanks[[#This Row],[Player]],'OVR &amp; VORP Ranks'!$B:$F,5,FALSE)))/('OVR &amp; VORP Ranks'!$BM$6))*(Settings!$E$10*TEAMS)</f>
        <v>-59.414054622265617</v>
      </c>
      <c r="H59">
        <v>58</v>
      </c>
      <c r="I59" t="str">
        <f>IFERROR(INDEX(TableRBCalcPts[PLAYER],MATCH(TableRBRanks[[#This Row],[RK]],TableRBCalcPts[RK],0)),"")</f>
        <v>Ray Davis</v>
      </c>
      <c r="J59" t="str">
        <f>IFERROR(INDEX(TableRBCalcPts[TM],MATCH(TableRBRanks[[#This Row],[RK]],TableRBCalcPts[RK],0)),"")</f>
        <v>BUF</v>
      </c>
      <c r="K59">
        <f>IFERROR(INDEX(TableRBCalcPts[BYE],MATCH(TableRBRanks[[#This Row],[RK]],TableRBCalcPts[RK],0)),"")</f>
        <v>12</v>
      </c>
      <c r="L59" s="57">
        <f>IFERROR(INDEX(TableRBCalcPts[Custom],MATCH(TableRBRanks[[#This Row],[RK]],TableRBCalcPts[RK],0)),"")</f>
        <v>78.474181064928302</v>
      </c>
      <c r="M59" s="125">
        <f>(((VLOOKUP(TableRBRanks[[#This Row],[Player]],'OVR &amp; VORP Ranks'!$I:$M,5,FALSE)))/('OVR &amp; VORP Ranks'!$BM$6))*(Settings!$E$10*TEAMS)</f>
        <v>-14.777700396433461</v>
      </c>
      <c r="O59">
        <v>58</v>
      </c>
      <c r="P59" t="str">
        <f>IFERROR(INDEX(TableWRCalcPts[PLAYER],MATCH(TableWRRanks[[#This Row],[RK]],TableWRCalcPts[RK],0)),"")</f>
        <v>Rashid Shaheed</v>
      </c>
      <c r="Q59" t="str">
        <f>IFERROR(INDEX(TableWRCalcPts[TM],MATCH(TableWRRanks[[#This Row],[RK]],TableWRCalcPts[RK],0)),"")</f>
        <v>NO</v>
      </c>
      <c r="R59">
        <f>IFERROR(INDEX(TableWRCalcPts[BYE],MATCH(TableWRRanks[[#This Row],[RK]],TableWRCalcPts[RK],0)),"")</f>
        <v>12</v>
      </c>
      <c r="S59" s="57">
        <f>IFERROR(INDEX(TableWRCalcPts[Custom],MATCH(TableWRRanks[[#This Row],[RK]],TableWRCalcPts[RK],0)),"")</f>
        <v>146.61073300360175</v>
      </c>
      <c r="T59" s="125">
        <f>(((VLOOKUP(TableWRRanks[[#This Row],[Player]],'OVR &amp; VORP Ranks'!$P:$T,5,FALSE)))/('OVR &amp; VORP Ranks'!$BM$6))*(Settings!$E$10*TEAMS)</f>
        <v>-0.26507438992514981</v>
      </c>
      <c r="V59">
        <v>58</v>
      </c>
      <c r="W59" t="str">
        <f>IFERROR(INDEX(TableTECalcPts[PLAYER],MATCH(TableTERanks[[#This Row],[RK]],TableTECalcPts[RK],0)),"")</f>
        <v>Grant Calcaterra</v>
      </c>
      <c r="X59" t="str">
        <f>IFERROR(INDEX(TableTECalcPts[TM],MATCH(TableTERanks[[#This Row],[RK]],TableTECalcPts[RK],0)),"")</f>
        <v>PHI</v>
      </c>
      <c r="Y59">
        <f>IFERROR(INDEX(TableTECalcPts[BYE],MATCH(TableTERanks[[#This Row],[RK]],TableTECalcPts[RK],0)),"")</f>
        <v>5</v>
      </c>
      <c r="Z59" s="57">
        <f>IFERROR(INDEX(TableTECalcPts[Custom],MATCH(TableTERanks[[#This Row],[RK]],TableTECalcPts[RK],0)),"")</f>
        <v>20.360312945280004</v>
      </c>
      <c r="AA59" s="125">
        <f>(((VLOOKUP(TableTERanks[[#This Row],[Player]],'OVR &amp; VORP Ranks'!$W:$AA,5,FALSE)))/('OVR &amp; VORP Ranks'!$BM$6))*(Settings!$E$10*TEAMS)</f>
        <v>-45.186016249211669</v>
      </c>
    </row>
    <row r="60" spans="1:27" x14ac:dyDescent="0.2">
      <c r="A60">
        <v>59</v>
      </c>
      <c r="B60" t="str">
        <f>IFERROR(INDEX(TableQBCalcPts[PLAYER],MATCH(TableQBRanks[[#This Row],[RK]],TableQBCalcPts[RK],0)),"")</f>
        <v>Josh Dobbs</v>
      </c>
      <c r="C60" t="str">
        <f>IFERROR(INDEX(TableQBCalcPts[TM],MATCH(TableQBRanks[[#This Row],[RK]],TableQBCalcPts[RK],0)),"")</f>
        <v>SF</v>
      </c>
      <c r="D60">
        <f>IFERROR(INDEX(TableQBCalcPts[BYE],MATCH(TableQBRanks[[#This Row],[RK]],TableQBCalcPts[RK],0)),"")</f>
        <v>9</v>
      </c>
      <c r="E60" s="57">
        <f>IFERROR(INDEX(TableQBCalcPts[Custom],MATCH(TableQBRanks[[#This Row],[RK]],TableQBCalcPts[RK],0)),"")</f>
        <v>4.1862129429456001</v>
      </c>
      <c r="F60" s="125">
        <f>(((VLOOKUP(TableQBRanks[[#This Row],[Player]],'OVR &amp; VORP Ranks'!$B:$F,5,FALSE)))/('OVR &amp; VORP Ranks'!$BM$6))*(Settings!$E$10*TEAMS)</f>
        <v>-60.161563121505012</v>
      </c>
      <c r="H60">
        <v>59</v>
      </c>
      <c r="I60" t="str">
        <f>IFERROR(INDEX(TableRBCalcPts[PLAYER],MATCH(TableRBRanks[[#This Row],[RK]],TableRBCalcPts[RK],0)),"")</f>
        <v>Jaylen Wright</v>
      </c>
      <c r="J60" t="str">
        <f>IFERROR(INDEX(TableRBCalcPts[TM],MATCH(TableRBRanks[[#This Row],[RK]],TableRBCalcPts[RK],0)),"")</f>
        <v>MIA</v>
      </c>
      <c r="K60">
        <f>IFERROR(INDEX(TableRBCalcPts[BYE],MATCH(TableRBRanks[[#This Row],[RK]],TableRBCalcPts[RK],0)),"")</f>
        <v>6</v>
      </c>
      <c r="L60" s="57">
        <f>IFERROR(INDEX(TableRBCalcPts[Custom],MATCH(TableRBRanks[[#This Row],[RK]],TableRBCalcPts[RK],0)),"")</f>
        <v>74.368530788872704</v>
      </c>
      <c r="M60" s="125">
        <f>(((VLOOKUP(TableRBRanks[[#This Row],[Player]],'OVR &amp; VORP Ranks'!$I:$M,5,FALSE)))/('OVR &amp; VORP Ranks'!$BM$6))*(Settings!$E$10*TEAMS)</f>
        <v>-16.241840841534426</v>
      </c>
      <c r="O60">
        <v>59</v>
      </c>
      <c r="P60" t="str">
        <f>IFERROR(INDEX(TableWRCalcPts[PLAYER],MATCH(TableWRRanks[[#This Row],[RK]],TableWRCalcPts[RK],0)),"")</f>
        <v>Jayden Reed</v>
      </c>
      <c r="Q60" t="str">
        <f>IFERROR(INDEX(TableWRCalcPts[TM],MATCH(TableWRRanks[[#This Row],[RK]],TableWRCalcPts[RK],0)),"")</f>
        <v>GB</v>
      </c>
      <c r="R60">
        <f>IFERROR(INDEX(TableWRCalcPts[BYE],MATCH(TableWRRanks[[#This Row],[RK]],TableWRCalcPts[RK],0)),"")</f>
        <v>10</v>
      </c>
      <c r="S60" s="57">
        <f>IFERROR(INDEX(TableWRCalcPts[Custom],MATCH(TableWRRanks[[#This Row],[RK]],TableWRCalcPts[RK],0)),"")</f>
        <v>145.49022396972001</v>
      </c>
      <c r="T60" s="125">
        <f>(((VLOOKUP(TableWRRanks[[#This Row],[Player]],'OVR &amp; VORP Ranks'!$P:$T,5,FALSE)))/('OVR &amp; VORP Ranks'!$BM$6))*(Settings!$E$10*TEAMS)</f>
        <v>-0.75328704553855697</v>
      </c>
      <c r="V60">
        <v>59</v>
      </c>
      <c r="W60" t="str">
        <f>IFERROR(INDEX(TableTECalcPts[PLAYER],MATCH(TableTERanks[[#This Row],[RK]],TableTECalcPts[RK],0)),"")</f>
        <v>James Mitchell</v>
      </c>
      <c r="X60" t="str">
        <f>IFERROR(INDEX(TableTECalcPts[TM],MATCH(TableTERanks[[#This Row],[RK]],TableTECalcPts[RK],0)),"")</f>
        <v>DET</v>
      </c>
      <c r="Y60">
        <f>IFERROR(INDEX(TableTECalcPts[BYE],MATCH(TableTERanks[[#This Row],[RK]],TableTECalcPts[RK],0)),"")</f>
        <v>5</v>
      </c>
      <c r="Z60" s="57">
        <f>IFERROR(INDEX(TableTECalcPts[Custom],MATCH(TableTERanks[[#This Row],[RK]],TableTECalcPts[RK],0)),"")</f>
        <v>18.454743522522669</v>
      </c>
      <c r="AA60" s="125">
        <f>(((VLOOKUP(TableTERanks[[#This Row],[Player]],'OVR &amp; VORP Ranks'!$W:$AA,5,FALSE)))/('OVR &amp; VORP Ranks'!$BM$6))*(Settings!$E$10*TEAMS)</f>
        <v>-45.959794864080983</v>
      </c>
    </row>
    <row r="61" spans="1:27" x14ac:dyDescent="0.2">
      <c r="A61">
        <v>60</v>
      </c>
      <c r="B61" t="str">
        <f>IFERROR(INDEX(TableQBCalcPts[PLAYER],MATCH(TableQBRanks[[#This Row],[RK]],TableQBCalcPts[RK],0)),"")</f>
        <v>Carson Wentz</v>
      </c>
      <c r="C61" t="str">
        <f>IFERROR(INDEX(TableQBCalcPts[TM],MATCH(TableQBRanks[[#This Row],[RK]],TableQBCalcPts[RK],0)),"")</f>
        <v>KC</v>
      </c>
      <c r="D61">
        <f>IFERROR(INDEX(TableQBCalcPts[BYE],MATCH(TableQBRanks[[#This Row],[RK]],TableQBCalcPts[RK],0)),"")</f>
        <v>6</v>
      </c>
      <c r="E61" s="57">
        <f>IFERROR(INDEX(TableQBCalcPts[Custom],MATCH(TableQBRanks[[#This Row],[RK]],TableQBCalcPts[RK],0)),"")</f>
        <v>2.8660399159420229</v>
      </c>
      <c r="F61" s="125">
        <f>(((VLOOKUP(TableQBRanks[[#This Row],[Player]],'OVR &amp; VORP Ranks'!$B:$F,5,FALSE)))/('OVR &amp; VORP Ranks'!$BM$6))*(Settings!$E$10*TEAMS)</f>
        <v>-60.787011840872914</v>
      </c>
      <c r="H61">
        <v>60</v>
      </c>
      <c r="I61" t="str">
        <f>IFERROR(INDEX(TableRBCalcPts[PLAYER],MATCH(TableRBRanks[[#This Row],[RK]],TableRBCalcPts[RK],0)),"")</f>
        <v>Samaje Perine</v>
      </c>
      <c r="J61" t="str">
        <f>IFERROR(INDEX(TableRBCalcPts[TM],MATCH(TableRBRanks[[#This Row],[RK]],TableRBCalcPts[RK],0)),"")</f>
        <v>KC</v>
      </c>
      <c r="K61">
        <f>IFERROR(INDEX(TableRBCalcPts[BYE],MATCH(TableRBRanks[[#This Row],[RK]],TableRBCalcPts[RK],0)),"")</f>
        <v>6</v>
      </c>
      <c r="L61" s="57">
        <f>IFERROR(INDEX(TableRBCalcPts[Custom],MATCH(TableRBRanks[[#This Row],[RK]],TableRBCalcPts[RK],0)),"")</f>
        <v>71.651809288191984</v>
      </c>
      <c r="M61" s="125">
        <f>(((VLOOKUP(TableRBRanks[[#This Row],[Player]],'OVR &amp; VORP Ranks'!$I:$M,5,FALSE)))/('OVR &amp; VORP Ranks'!$BM$6))*(Settings!$E$10*TEAMS)</f>
        <v>-17.210667107721779</v>
      </c>
      <c r="O61">
        <v>60</v>
      </c>
      <c r="P61" t="str">
        <f>IFERROR(INDEX(TableWRCalcPts[PLAYER],MATCH(TableWRRanks[[#This Row],[RK]],TableWRCalcPts[RK],0)),"")</f>
        <v>Brandin Cooks</v>
      </c>
      <c r="Q61" t="str">
        <f>IFERROR(INDEX(TableWRCalcPts[TM],MATCH(TableWRRanks[[#This Row],[RK]],TableWRCalcPts[RK],0)),"")</f>
        <v>DAL</v>
      </c>
      <c r="R61">
        <f>IFERROR(INDEX(TableWRCalcPts[BYE],MATCH(TableWRRanks[[#This Row],[RK]],TableWRCalcPts[RK],0)),"")</f>
        <v>7</v>
      </c>
      <c r="S61" s="57">
        <f>IFERROR(INDEX(TableWRCalcPts[Custom],MATCH(TableWRRanks[[#This Row],[RK]],TableWRCalcPts[RK],0)),"")</f>
        <v>143.24353207428095</v>
      </c>
      <c r="T61" s="125">
        <f>(((VLOOKUP(TableWRRanks[[#This Row],[Player]],'OVR &amp; VORP Ranks'!$P:$T,5,FALSE)))/('OVR &amp; VORP Ranks'!$BM$6))*(Settings!$E$10*TEAMS)</f>
        <v>-1.7321844782683855</v>
      </c>
      <c r="V61">
        <v>60</v>
      </c>
      <c r="W61" t="str">
        <f>IFERROR(INDEX(TableTECalcPts[PLAYER],MATCH(TableTERanks[[#This Row],[RK]],TableTECalcPts[RK],0)),"")</f>
        <v>Elijah Higgins</v>
      </c>
      <c r="X61" t="str">
        <f>IFERROR(INDEX(TableTECalcPts[TM],MATCH(TableTERanks[[#This Row],[RK]],TableTECalcPts[RK],0)),"")</f>
        <v>ARI</v>
      </c>
      <c r="Y61">
        <f>IFERROR(INDEX(TableTECalcPts[BYE],MATCH(TableTERanks[[#This Row],[RK]],TableTECalcPts[RK],0)),"")</f>
        <v>11</v>
      </c>
      <c r="Z61" s="57">
        <f>IFERROR(INDEX(TableTECalcPts[Custom],MATCH(TableTERanks[[#This Row],[RK]],TableTECalcPts[RK],0)),"")</f>
        <v>18.331703037823868</v>
      </c>
      <c r="AA61" s="125">
        <f>(((VLOOKUP(TableTERanks[[#This Row],[Player]],'OVR &amp; VORP Ranks'!$W:$AA,5,FALSE)))/('OVR &amp; VORP Ranks'!$BM$6))*(Settings!$E$10*TEAMS)</f>
        <v>-46.009756883142622</v>
      </c>
    </row>
    <row r="62" spans="1:27" x14ac:dyDescent="0.2">
      <c r="A62">
        <v>61</v>
      </c>
      <c r="B62" t="str">
        <f>IFERROR(INDEX(TableQBCalcPts[PLAYER],MATCH(TableQBRanks[[#This Row],[RK]],TableQBCalcPts[RK],0)),"")</f>
        <v>Sean Clifford</v>
      </c>
      <c r="C62" t="str">
        <f>IFERROR(INDEX(TableQBCalcPts[TM],MATCH(TableQBRanks[[#This Row],[RK]],TableQBCalcPts[RK],0)),"")</f>
        <v>GB</v>
      </c>
      <c r="D62">
        <f>IFERROR(INDEX(TableQBCalcPts[BYE],MATCH(TableQBRanks[[#This Row],[RK]],TableQBCalcPts[RK],0)),"")</f>
        <v>10</v>
      </c>
      <c r="E62" s="57">
        <f>IFERROR(INDEX(TableQBCalcPts[Custom],MATCH(TableQBRanks[[#This Row],[RK]],TableQBCalcPts[RK],0)),"")</f>
        <v>2.6511939708001879</v>
      </c>
      <c r="F62" s="125">
        <f>(((VLOOKUP(TableQBRanks[[#This Row],[Player]],'OVR &amp; VORP Ranks'!$B:$F,5,FALSE)))/('OVR &amp; VORP Ranks'!$BM$6))*(Settings!$E$10*TEAMS)</f>
        <v>-61.029240015123825</v>
      </c>
      <c r="H62">
        <v>61</v>
      </c>
      <c r="I62" t="str">
        <f>IFERROR(INDEX(TableRBCalcPts[PLAYER],MATCH(TableRBRanks[[#This Row],[RK]],TableRBCalcPts[RK],0)),"")</f>
        <v>Khalil Herbert</v>
      </c>
      <c r="J62" t="str">
        <f>IFERROR(INDEX(TableRBCalcPts[TM],MATCH(TableRBRanks[[#This Row],[RK]],TableRBCalcPts[RK],0)),"")</f>
        <v>CHI</v>
      </c>
      <c r="K62">
        <f>IFERROR(INDEX(TableRBCalcPts[BYE],MATCH(TableRBRanks[[#This Row],[RK]],TableRBCalcPts[RK],0)),"")</f>
        <v>7</v>
      </c>
      <c r="L62" s="57">
        <f>IFERROR(INDEX(TableRBCalcPts[Custom],MATCH(TableRBRanks[[#This Row],[RK]],TableRBCalcPts[RK],0)),"")</f>
        <v>70.334534427318147</v>
      </c>
      <c r="M62" s="125">
        <f>(((VLOOKUP(TableRBRanks[[#This Row],[Player]],'OVR &amp; VORP Ranks'!$I:$M,5,FALSE)))/('OVR &amp; VORP Ranks'!$BM$6))*(Settings!$E$10*TEAMS)</f>
        <v>-17.680428356595865</v>
      </c>
      <c r="O62">
        <v>61</v>
      </c>
      <c r="P62" t="str">
        <f>IFERROR(INDEX(TableWRCalcPts[PLAYER],MATCH(TableWRRanks[[#This Row],[RK]],TableWRCalcPts[RK],0)),"")</f>
        <v>Adam Thielen</v>
      </c>
      <c r="Q62" t="str">
        <f>IFERROR(INDEX(TableWRCalcPts[TM],MATCH(TableWRRanks[[#This Row],[RK]],TableWRCalcPts[RK],0)),"")</f>
        <v>CAR</v>
      </c>
      <c r="R62">
        <f>IFERROR(INDEX(TableWRCalcPts[BYE],MATCH(TableWRRanks[[#This Row],[RK]],TableWRCalcPts[RK],0)),"")</f>
        <v>11</v>
      </c>
      <c r="S62" s="57">
        <f>IFERROR(INDEX(TableWRCalcPts[Custom],MATCH(TableWRRanks[[#This Row],[RK]],TableWRCalcPts[RK],0)),"")</f>
        <v>136.73499170173079</v>
      </c>
      <c r="T62" s="125">
        <f>(((VLOOKUP(TableWRRanks[[#This Row],[Player]],'OVR &amp; VORP Ranks'!$P:$T,5,FALSE)))/('OVR &amp; VORP Ranks'!$BM$6))*(Settings!$E$10*TEAMS)</f>
        <v>-4.5679954207664473</v>
      </c>
      <c r="V62">
        <v>61</v>
      </c>
      <c r="W62" t="str">
        <f>IFERROR(INDEX(TableTECalcPts[PLAYER],MATCH(TableTERanks[[#This Row],[RK]],TableTECalcPts[RK],0)),"")</f>
        <v>Josh Whyle</v>
      </c>
      <c r="X62" t="str">
        <f>IFERROR(INDEX(TableTECalcPts[TM],MATCH(TableTERanks[[#This Row],[RK]],TableTECalcPts[RK],0)),"")</f>
        <v>TEN</v>
      </c>
      <c r="Y62">
        <f>IFERROR(INDEX(TableTECalcPts[BYE],MATCH(TableTERanks[[#This Row],[RK]],TableTECalcPts[RK],0)),"")</f>
        <v>5</v>
      </c>
      <c r="Z62" s="57">
        <f>IFERROR(INDEX(TableTECalcPts[Custom],MATCH(TableTERanks[[#This Row],[RK]],TableTECalcPts[RK],0)),"")</f>
        <v>18.05009058043116</v>
      </c>
      <c r="AA62" s="125">
        <f>(((VLOOKUP(TableTERanks[[#This Row],[Player]],'OVR &amp; VORP Ranks'!$W:$AA,5,FALSE)))/('OVR &amp; VORP Ranks'!$BM$6))*(Settings!$E$10*TEAMS)</f>
        <v>-46.124108894992169</v>
      </c>
    </row>
    <row r="63" spans="1:27" x14ac:dyDescent="0.2">
      <c r="A63">
        <v>62</v>
      </c>
      <c r="B63" t="str">
        <f>IFERROR(INDEX(TableQBCalcPts[PLAYER],MATCH(TableQBRanks[[#This Row],[RK]],TableQBCalcPts[RK],0)),"")</f>
        <v>Case Keenum</v>
      </c>
      <c r="C63" t="str">
        <f>IFERROR(INDEX(TableQBCalcPts[TM],MATCH(TableQBRanks[[#This Row],[RK]],TableQBCalcPts[RK],0)),"")</f>
        <v>HOU</v>
      </c>
      <c r="D63">
        <f>IFERROR(INDEX(TableQBCalcPts[BYE],MATCH(TableQBRanks[[#This Row],[RK]],TableQBCalcPts[RK],0)),"")</f>
        <v>14</v>
      </c>
      <c r="E63" s="57">
        <f>IFERROR(INDEX(TableQBCalcPts[Custom],MATCH(TableQBRanks[[#This Row],[RK]],TableQBCalcPts[RK],0)),"")</f>
        <v>2.601194169892628</v>
      </c>
      <c r="F63" s="125">
        <f>(((VLOOKUP(TableQBRanks[[#This Row],[Player]],'OVR &amp; VORP Ranks'!$B:$F,5,FALSE)))/('OVR &amp; VORP Ranks'!$BM$6))*(Settings!$E$10*TEAMS)</f>
        <v>-61.049504519448924</v>
      </c>
      <c r="H63">
        <v>62</v>
      </c>
      <c r="I63" t="str">
        <f>IFERROR(INDEX(TableRBCalcPts[PLAYER],MATCH(TableRBRanks[[#This Row],[RK]],TableRBCalcPts[RK],0)),"")</f>
        <v>Braelon Allen</v>
      </c>
      <c r="J63" t="str">
        <f>IFERROR(INDEX(TableRBCalcPts[TM],MATCH(TableRBRanks[[#This Row],[RK]],TableRBCalcPts[RK],0)),"")</f>
        <v>NYJ</v>
      </c>
      <c r="K63">
        <f>IFERROR(INDEX(TableRBCalcPts[BYE],MATCH(TableRBRanks[[#This Row],[RK]],TableRBCalcPts[RK],0)),"")</f>
        <v>12</v>
      </c>
      <c r="L63" s="57">
        <f>IFERROR(INDEX(TableRBCalcPts[Custom],MATCH(TableRBRanks[[#This Row],[RK]],TableRBCalcPts[RK],0)),"")</f>
        <v>70.252975679571662</v>
      </c>
      <c r="M63" s="125">
        <f>(((VLOOKUP(TableRBRanks[[#This Row],[Player]],'OVR &amp; VORP Ranks'!$I:$M,5,FALSE)))/('OVR &amp; VORP Ranks'!$BM$6))*(Settings!$E$10*TEAMS)</f>
        <v>-17.709513508325383</v>
      </c>
      <c r="O63">
        <v>62</v>
      </c>
      <c r="P63" t="str">
        <f>IFERROR(INDEX(TableWRCalcPts[PLAYER],MATCH(TableWRRanks[[#This Row],[RK]],TableWRCalcPts[RK],0)),"")</f>
        <v>Gabe Davis</v>
      </c>
      <c r="Q63" t="str">
        <f>IFERROR(INDEX(TableWRCalcPts[TM],MATCH(TableWRRanks[[#This Row],[RK]],TableWRCalcPts[RK],0)),"")</f>
        <v>JAX</v>
      </c>
      <c r="R63">
        <f>IFERROR(INDEX(TableWRCalcPts[BYE],MATCH(TableWRRanks[[#This Row],[RK]],TableWRCalcPts[RK],0)),"")</f>
        <v>12</v>
      </c>
      <c r="S63" s="57">
        <f>IFERROR(INDEX(TableWRCalcPts[Custom],MATCH(TableWRRanks[[#This Row],[RK]],TableWRCalcPts[RK],0)),"")</f>
        <v>132.40466047325438</v>
      </c>
      <c r="T63" s="125">
        <f>(((VLOOKUP(TableWRRanks[[#This Row],[Player]],'OVR &amp; VORP Ranks'!$P:$T,5,FALSE)))/('OVR &amp; VORP Ranks'!$BM$6))*(Settings!$E$10*TEAMS)</f>
        <v>-6.4547472851545873</v>
      </c>
      <c r="V63">
        <v>62</v>
      </c>
      <c r="W63" t="str">
        <f>IFERROR(INDEX(TableTECalcPts[PLAYER],MATCH(TableTERanks[[#This Row],[RK]],TableTECalcPts[RK],0)),"")</f>
        <v>Robert Tonyan</v>
      </c>
      <c r="X63" t="str">
        <f>IFERROR(INDEX(TableTECalcPts[TM],MATCH(TableTERanks[[#This Row],[RK]],TableTECalcPts[RK],0)),"")</f>
        <v>MIN</v>
      </c>
      <c r="Y63">
        <f>IFERROR(INDEX(TableTECalcPts[BYE],MATCH(TableTERanks[[#This Row],[RK]],TableTECalcPts[RK],0)),"")</f>
        <v>6</v>
      </c>
      <c r="Z63" s="57">
        <f>IFERROR(INDEX(TableTECalcPts[Custom],MATCH(TableTERanks[[#This Row],[RK]],TableTECalcPts[RK],0)),"")</f>
        <v>17.787149326799572</v>
      </c>
      <c r="AA63" s="125">
        <f>(((VLOOKUP(TableTERanks[[#This Row],[Player]],'OVR &amp; VORP Ranks'!$W:$AA,5,FALSE)))/('OVR &amp; VORP Ranks'!$BM$6))*(Settings!$E$10*TEAMS)</f>
        <v>-46.230879247516327</v>
      </c>
    </row>
    <row r="64" spans="1:27" x14ac:dyDescent="0.2">
      <c r="A64">
        <v>63</v>
      </c>
      <c r="B64" t="str">
        <f>IFERROR(INDEX(TableQBCalcPts[PLAYER],MATCH(TableQBRanks[[#This Row],[RK]],TableQBCalcPts[RK],0)),"")</f>
        <v>Mac Jones</v>
      </c>
      <c r="C64" t="str">
        <f>IFERROR(INDEX(TableQBCalcPts[TM],MATCH(TableQBRanks[[#This Row],[RK]],TableQBCalcPts[RK],0)),"")</f>
        <v>JAX</v>
      </c>
      <c r="D64">
        <f>IFERROR(INDEX(TableQBCalcPts[BYE],MATCH(TableQBRanks[[#This Row],[RK]],TableQBCalcPts[RK],0)),"")</f>
        <v>12</v>
      </c>
      <c r="E64" s="57">
        <f>IFERROR(INDEX(TableQBCalcPts[Custom],MATCH(TableQBRanks[[#This Row],[RK]],TableQBCalcPts[RK],0)),"")</f>
        <v>2.5560768646550009</v>
      </c>
      <c r="F64" s="125">
        <f>(((VLOOKUP(TableQBRanks[[#This Row],[Player]],'OVR &amp; VORP Ranks'!$B:$F,5,FALSE)))/('OVR &amp; VORP Ranks'!$BM$6))*(Settings!$E$10*TEAMS)</f>
        <v>-61.128523695853104</v>
      </c>
      <c r="H64">
        <v>63</v>
      </c>
      <c r="I64" t="str">
        <f>IFERROR(INDEX(TableRBCalcPts[PLAYER],MATCH(TableRBRanks[[#This Row],[RK]],TableRBCalcPts[RK],0)),"")</f>
        <v>Kenneth Gainwell</v>
      </c>
      <c r="J64" t="str">
        <f>IFERROR(INDEX(TableRBCalcPts[TM],MATCH(TableRBRanks[[#This Row],[RK]],TableRBCalcPts[RK],0)),"")</f>
        <v>PHI</v>
      </c>
      <c r="K64">
        <f>IFERROR(INDEX(TableRBCalcPts[BYE],MATCH(TableRBRanks[[#This Row],[RK]],TableRBCalcPts[RK],0)),"")</f>
        <v>5</v>
      </c>
      <c r="L64" s="57">
        <f>IFERROR(INDEX(TableRBCalcPts[Custom],MATCH(TableRBRanks[[#This Row],[RK]],TableRBCalcPts[RK],0)),"")</f>
        <v>69.800925458603601</v>
      </c>
      <c r="M64" s="125">
        <f>(((VLOOKUP(TableRBRanks[[#This Row],[Player]],'OVR &amp; VORP Ranks'!$I:$M,5,FALSE)))/('OVR &amp; VORP Ranks'!$BM$6))*(Settings!$E$10*TEAMS)</f>
        <v>-17.870721835200229</v>
      </c>
      <c r="O64">
        <v>63</v>
      </c>
      <c r="P64" t="str">
        <f>IFERROR(INDEX(TableWRCalcPts[PLAYER],MATCH(TableWRRanks[[#This Row],[RK]],TableWRCalcPts[RK],0)),"")</f>
        <v>Demarcus Robinson</v>
      </c>
      <c r="Q64" t="str">
        <f>IFERROR(INDEX(TableWRCalcPts[TM],MATCH(TableWRRanks[[#This Row],[RK]],TableWRCalcPts[RK],0)),"")</f>
        <v>LAR</v>
      </c>
      <c r="R64">
        <f>IFERROR(INDEX(TableWRCalcPts[BYE],MATCH(TableWRRanks[[#This Row],[RK]],TableWRCalcPts[RK],0)),"")</f>
        <v>6</v>
      </c>
      <c r="S64" s="57">
        <f>IFERROR(INDEX(TableWRCalcPts[Custom],MATCH(TableWRRanks[[#This Row],[RK]],TableWRCalcPts[RK],0)),"")</f>
        <v>130.31560834928999</v>
      </c>
      <c r="T64" s="125">
        <f>(((VLOOKUP(TableWRRanks[[#This Row],[Player]],'OVR &amp; VORP Ranks'!$P:$T,5,FALSE)))/('OVR &amp; VORP Ranks'!$BM$6))*(Settings!$E$10*TEAMS)</f>
        <v>-7.36496010300423</v>
      </c>
      <c r="V64">
        <v>63</v>
      </c>
      <c r="W64" t="str">
        <f>IFERROR(INDEX(TableTECalcPts[PLAYER],MATCH(TableTERanks[[#This Row],[RK]],TableTECalcPts[RK],0)),"")</f>
        <v>Erick All</v>
      </c>
      <c r="X64" t="str">
        <f>IFERROR(INDEX(TableTECalcPts[TM],MATCH(TableTERanks[[#This Row],[RK]],TableTECalcPts[RK],0)),"")</f>
        <v>CIN</v>
      </c>
      <c r="Y64">
        <f>IFERROR(INDEX(TableTECalcPts[BYE],MATCH(TableTERanks[[#This Row],[RK]],TableTECalcPts[RK],0)),"")</f>
        <v>12</v>
      </c>
      <c r="Z64" s="57">
        <f>IFERROR(INDEX(TableTECalcPts[Custom],MATCH(TableTERanks[[#This Row],[RK]],TableTECalcPts[RK],0)),"")</f>
        <v>17.628349629906413</v>
      </c>
      <c r="AA64" s="125">
        <f>(((VLOOKUP(TableTERanks[[#This Row],[Player]],'OVR &amp; VORP Ranks'!$W:$AA,5,FALSE)))/('OVR &amp; VORP Ranks'!$BM$6))*(Settings!$E$10*TEAMS)</f>
        <v>-46.29536171036245</v>
      </c>
    </row>
    <row r="65" spans="1:27" x14ac:dyDescent="0.2">
      <c r="A65">
        <v>64</v>
      </c>
      <c r="B65" t="str">
        <f>IFERROR(INDEX(TableQBCalcPts[PLAYER],MATCH(TableQBRanks[[#This Row],[RK]],TableQBCalcPts[RK],0)),"")</f>
        <v>Mitch Trubisky</v>
      </c>
      <c r="C65" t="str">
        <f>IFERROR(INDEX(TableQBCalcPts[TM],MATCH(TableQBRanks[[#This Row],[RK]],TableQBCalcPts[RK],0)),"")</f>
        <v>BUF</v>
      </c>
      <c r="D65">
        <f>IFERROR(INDEX(TableQBCalcPts[BYE],MATCH(TableQBRanks[[#This Row],[RK]],TableQBCalcPts[RK],0)),"")</f>
        <v>12</v>
      </c>
      <c r="E65" s="57">
        <f>IFERROR(INDEX(TableQBCalcPts[Custom],MATCH(TableQBRanks[[#This Row],[RK]],TableQBCalcPts[RK],0)),"")</f>
        <v>2.2217373057024021</v>
      </c>
      <c r="F65" s="125">
        <f>(((VLOOKUP(TableQBRanks[[#This Row],[Player]],'OVR &amp; VORP Ranks'!$B:$F,5,FALSE)))/('OVR &amp; VORP Ranks'!$BM$6))*(Settings!$E$10*TEAMS)</f>
        <v>-61.744207658347804</v>
      </c>
      <c r="H65">
        <v>64</v>
      </c>
      <c r="I65" t="str">
        <f>IFERROR(INDEX(TableRBCalcPts[PLAYER],MATCH(TableRBRanks[[#This Row],[RK]],TableRBCalcPts[RK],0)),"")</f>
        <v>Tyrone Tracy</v>
      </c>
      <c r="J65" t="str">
        <f>IFERROR(INDEX(TableRBCalcPts[TM],MATCH(TableRBRanks[[#This Row],[RK]],TableRBCalcPts[RK],0)),"")</f>
        <v>NYG</v>
      </c>
      <c r="K65">
        <f>IFERROR(INDEX(TableRBCalcPts[BYE],MATCH(TableRBRanks[[#This Row],[RK]],TableRBCalcPts[RK],0)),"")</f>
        <v>11</v>
      </c>
      <c r="L65" s="57">
        <f>IFERROR(INDEX(TableRBCalcPts[Custom],MATCH(TableRBRanks[[#This Row],[RK]],TableRBCalcPts[RK],0)),"")</f>
        <v>66.263362703752577</v>
      </c>
      <c r="M65" s="125">
        <f>(((VLOOKUP(TableRBRanks[[#This Row],[Player]],'OVR &amp; VORP Ranks'!$I:$M,5,FALSE)))/('OVR &amp; VORP Ranks'!$BM$6))*(Settings!$E$10*TEAMS)</f>
        <v>-19.132273199345214</v>
      </c>
      <c r="O65">
        <v>64</v>
      </c>
      <c r="P65" t="str">
        <f>IFERROR(INDEX(TableWRCalcPts[PLAYER],MATCH(TableWRRanks[[#This Row],[RK]],TableWRCalcPts[RK],0)),"")</f>
        <v>Demario Douglas</v>
      </c>
      <c r="Q65" t="str">
        <f>IFERROR(INDEX(TableWRCalcPts[TM],MATCH(TableWRRanks[[#This Row],[RK]],TableWRCalcPts[RK],0)),"")</f>
        <v>NE</v>
      </c>
      <c r="R65">
        <f>IFERROR(INDEX(TableWRCalcPts[BYE],MATCH(TableWRRanks[[#This Row],[RK]],TableWRCalcPts[RK],0)),"")</f>
        <v>14</v>
      </c>
      <c r="S65" s="57">
        <f>IFERROR(INDEX(TableWRCalcPts[Custom],MATCH(TableWRRanks[[#This Row],[RK]],TableWRCalcPts[RK],0)),"")</f>
        <v>127.43642317391996</v>
      </c>
      <c r="T65" s="125">
        <f>(((VLOOKUP(TableWRRanks[[#This Row],[Player]],'OVR &amp; VORP Ranks'!$P:$T,5,FALSE)))/('OVR &amp; VORP Ranks'!$BM$6))*(Settings!$E$10*TEAMS)</f>
        <v>-8.6194387354527215</v>
      </c>
      <c r="V65">
        <v>64</v>
      </c>
      <c r="W65" t="str">
        <f>IFERROR(INDEX(TableTECalcPts[PLAYER],MATCH(TableTERanks[[#This Row],[RK]],TableTECalcPts[RK],0)),"")</f>
        <v>Logan Thomas</v>
      </c>
      <c r="X65" t="str">
        <f>IFERROR(INDEX(TableTECalcPts[TM],MATCH(TableTERanks[[#This Row],[RK]],TableTECalcPts[RK],0)),"")</f>
        <v>SF</v>
      </c>
      <c r="Y65">
        <f>IFERROR(INDEX(TableTECalcPts[BYE],MATCH(TableTERanks[[#This Row],[RK]],TableTECalcPts[RK],0)),"")</f>
        <v>9</v>
      </c>
      <c r="Z65" s="57">
        <f>IFERROR(INDEX(TableTECalcPts[Custom],MATCH(TableTERanks[[#This Row],[RK]],TableTECalcPts[RK],0)),"")</f>
        <v>14.762780687885456</v>
      </c>
      <c r="AA65" s="125">
        <f>(((VLOOKUP(TableTERanks[[#This Row],[Player]],'OVR &amp; VORP Ranks'!$W:$AA,5,FALSE)))/('OVR &amp; VORP Ranks'!$BM$6))*(Settings!$E$10*TEAMS)</f>
        <v>-47.458959289274624</v>
      </c>
    </row>
    <row r="66" spans="1:27" x14ac:dyDescent="0.2">
      <c r="A66">
        <v>65</v>
      </c>
      <c r="B66" t="str">
        <f>IFERROR(INDEX(TableQBCalcPts[PLAYER],MATCH(TableQBRanks[[#This Row],[RK]],TableQBCalcPts[RK],0)),"")</f>
        <v/>
      </c>
      <c r="C66" t="str">
        <f>IFERROR(INDEX(TableQBCalcPts[TM],MATCH(TableQBRanks[[#This Row],[RK]],TableQBCalcPts[RK],0)),"")</f>
        <v/>
      </c>
      <c r="D66" t="str">
        <f>IFERROR(INDEX(TableQBCalcPts[BYE],MATCH(TableQBRanks[[#This Row],[RK]],TableQBCalcPts[RK],0)),"")</f>
        <v/>
      </c>
      <c r="E66" s="57" t="str">
        <f>IFERROR(INDEX(TableQBCalcPts[Custom],MATCH(TableQBRanks[[#This Row],[RK]],TableQBCalcPts[RK],0)),"")</f>
        <v/>
      </c>
      <c r="F66" s="125" t="e">
        <f>(((VLOOKUP(TableQBRanks[[#This Row],[Player]],'OVR &amp; VORP Ranks'!$B:$F,5,FALSE)))/('OVR &amp; VORP Ranks'!$BM$6))*(Settings!$E$10*TEAMS)</f>
        <v>#VALUE!</v>
      </c>
      <c r="H66">
        <v>65</v>
      </c>
      <c r="I66" t="str">
        <f>IFERROR(INDEX(TableRBCalcPts[PLAYER],MATCH(TableRBRanks[[#This Row],[RK]],TableRBCalcPts[RK],0)),"")</f>
        <v>Audric Estime</v>
      </c>
      <c r="J66" t="str">
        <f>IFERROR(INDEX(TableRBCalcPts[TM],MATCH(TableRBRanks[[#This Row],[RK]],TableRBCalcPts[RK],0)),"")</f>
        <v>DEN</v>
      </c>
      <c r="K66">
        <f>IFERROR(INDEX(TableRBCalcPts[BYE],MATCH(TableRBRanks[[#This Row],[RK]],TableRBCalcPts[RK],0)),"")</f>
        <v>14</v>
      </c>
      <c r="L66" s="57">
        <f>IFERROR(INDEX(TableRBCalcPts[Custom],MATCH(TableRBRanks[[#This Row],[RK]],TableRBCalcPts[RK],0)),"")</f>
        <v>64.324957412268304</v>
      </c>
      <c r="M66" s="125">
        <f>(((VLOOKUP(TableRBRanks[[#This Row],[Player]],'OVR &amp; VORP Ranks'!$I:$M,5,FALSE)))/('OVR &amp; VORP Ranks'!$BM$6))*(Settings!$E$10*TEAMS)</f>
        <v>-19.823539477628046</v>
      </c>
      <c r="O66">
        <v>65</v>
      </c>
      <c r="P66" t="str">
        <f>IFERROR(INDEX(TableWRCalcPts[PLAYER],MATCH(TableWRRanks[[#This Row],[RK]],TableWRCalcPts[RK],0)),"")</f>
        <v>Xavier Legette</v>
      </c>
      <c r="Q66" t="str">
        <f>IFERROR(INDEX(TableWRCalcPts[TM],MATCH(TableWRRanks[[#This Row],[RK]],TableWRCalcPts[RK],0)),"")</f>
        <v>CAR</v>
      </c>
      <c r="R66">
        <f>IFERROR(INDEX(TableWRCalcPts[BYE],MATCH(TableWRRanks[[#This Row],[RK]],TableWRCalcPts[RK],0)),"")</f>
        <v>11</v>
      </c>
      <c r="S66" s="57">
        <f>IFERROR(INDEX(TableWRCalcPts[Custom],MATCH(TableWRRanks[[#This Row],[RK]],TableWRCalcPts[RK],0)),"")</f>
        <v>126.21441605736145</v>
      </c>
      <c r="T66" s="125">
        <f>(((VLOOKUP(TableWRRanks[[#This Row],[Player]],'OVR &amp; VORP Ranks'!$P:$T,5,FALSE)))/('OVR &amp; VORP Ranks'!$BM$6))*(Settings!$E$10*TEAMS)</f>
        <v>-9.1518747279468968</v>
      </c>
      <c r="V66">
        <v>65</v>
      </c>
      <c r="W66" t="str">
        <f>IFERROR(INDEX(TableTECalcPts[PLAYER],MATCH(TableTERanks[[#This Row],[RK]],TableTECalcPts[RK],0)),"")</f>
        <v>Harrison Bryant</v>
      </c>
      <c r="X66" t="str">
        <f>IFERROR(INDEX(TableTECalcPts[TM],MATCH(TableTERanks[[#This Row],[RK]],TableTECalcPts[RK],0)),"")</f>
        <v>LV</v>
      </c>
      <c r="Y66">
        <f>IFERROR(INDEX(TableTECalcPts[BYE],MATCH(TableTERanks[[#This Row],[RK]],TableTECalcPts[RK],0)),"")</f>
        <v>10</v>
      </c>
      <c r="Z66" s="57">
        <f>IFERROR(INDEX(TableTECalcPts[Custom],MATCH(TableTERanks[[#This Row],[RK]],TableTECalcPts[RK],0)),"")</f>
        <v>13.931348290998656</v>
      </c>
      <c r="AA66" s="125">
        <f>(((VLOOKUP(TableTERanks[[#This Row],[Player]],'OVR &amp; VORP Ranks'!$W:$AA,5,FALSE)))/('OVR &amp; VORP Ranks'!$BM$6))*(Settings!$E$10*TEAMS)</f>
        <v>-47.796572078783818</v>
      </c>
    </row>
    <row r="67" spans="1:27" x14ac:dyDescent="0.2">
      <c r="A67">
        <v>66</v>
      </c>
      <c r="B67" t="str">
        <f>IFERROR(INDEX(TableQBCalcPts[PLAYER],MATCH(TableQBRanks[[#This Row],[RK]],TableQBCalcPts[RK],0)),"")</f>
        <v/>
      </c>
      <c r="C67" t="str">
        <f>IFERROR(INDEX(TableQBCalcPts[TM],MATCH(TableQBRanks[[#This Row],[RK]],TableQBCalcPts[RK],0)),"")</f>
        <v/>
      </c>
      <c r="D67" t="str">
        <f>IFERROR(INDEX(TableQBCalcPts[BYE],MATCH(TableQBRanks[[#This Row],[RK]],TableQBCalcPts[RK],0)),"")</f>
        <v/>
      </c>
      <c r="E67" s="57" t="str">
        <f>IFERROR(INDEX(TableQBCalcPts[Custom],MATCH(TableQBRanks[[#This Row],[RK]],TableQBCalcPts[RK],0)),"")</f>
        <v/>
      </c>
      <c r="F67" s="125" t="e">
        <f>(((VLOOKUP(TableQBRanks[[#This Row],[Player]],'OVR &amp; VORP Ranks'!$B:$F,5,FALSE)))/('OVR &amp; VORP Ranks'!$BM$6))*(Settings!$E$10*TEAMS)</f>
        <v>#VALUE!</v>
      </c>
      <c r="H67">
        <v>66</v>
      </c>
      <c r="I67" t="str">
        <f>IFERROR(INDEX(TableRBCalcPts[PLAYER],MATCH(TableRBRanks[[#This Row],[RK]],TableRBCalcPts[RK],0)),"")</f>
        <v>Tank Bigsby</v>
      </c>
      <c r="J67" t="str">
        <f>IFERROR(INDEX(TableRBCalcPts[TM],MATCH(TableRBRanks[[#This Row],[RK]],TableRBCalcPts[RK],0)),"")</f>
        <v>JAX</v>
      </c>
      <c r="K67">
        <f>IFERROR(INDEX(TableRBCalcPts[BYE],MATCH(TableRBRanks[[#This Row],[RK]],TableRBCalcPts[RK],0)),"")</f>
        <v>12</v>
      </c>
      <c r="L67" s="57">
        <f>IFERROR(INDEX(TableRBCalcPts[Custom],MATCH(TableRBRanks[[#This Row],[RK]],TableRBCalcPts[RK],0)),"")</f>
        <v>63.249476038763987</v>
      </c>
      <c r="M67" s="125">
        <f>(((VLOOKUP(TableRBRanks[[#This Row],[Player]],'OVR &amp; VORP Ranks'!$I:$M,5,FALSE)))/('OVR &amp; VORP Ranks'!$BM$6))*(Settings!$E$10*TEAMS)</f>
        <v>-20.207073308086983</v>
      </c>
      <c r="O67">
        <v>66</v>
      </c>
      <c r="P67" t="str">
        <f>IFERROR(INDEX(TableWRCalcPts[PLAYER],MATCH(TableWRRanks[[#This Row],[RK]],TableWRCalcPts[RK],0)),"")</f>
        <v>Wan'Dale Robinson</v>
      </c>
      <c r="Q67" t="str">
        <f>IFERROR(INDEX(TableWRCalcPts[TM],MATCH(TableWRRanks[[#This Row],[RK]],TableWRCalcPts[RK],0)),"")</f>
        <v>NYG</v>
      </c>
      <c r="R67">
        <f>IFERROR(INDEX(TableWRCalcPts[BYE],MATCH(TableWRRanks[[#This Row],[RK]],TableWRCalcPts[RK],0)),"")</f>
        <v>11</v>
      </c>
      <c r="S67" s="57">
        <f>IFERROR(INDEX(TableWRCalcPts[Custom],MATCH(TableWRRanks[[#This Row],[RK]],TableWRCalcPts[RK],0)),"")</f>
        <v>125.38100715896201</v>
      </c>
      <c r="T67" s="125">
        <f>(((VLOOKUP(TableWRRanks[[#This Row],[Player]],'OVR &amp; VORP Ranks'!$P:$T,5,FALSE)))/('OVR &amp; VORP Ranks'!$BM$6))*(Settings!$E$10*TEAMS)</f>
        <v>-9.5149960943939753</v>
      </c>
      <c r="V67">
        <v>66</v>
      </c>
      <c r="W67" t="str">
        <f>IFERROR(INDEX(TableTECalcPts[PLAYER],MATCH(TableTERanks[[#This Row],[RK]],TableTECalcPts[RK],0)),"")</f>
        <v>Brock Wright</v>
      </c>
      <c r="X67" t="str">
        <f>IFERROR(INDEX(TableTECalcPts[TM],MATCH(TableTERanks[[#This Row],[RK]],TableTECalcPts[RK],0)),"")</f>
        <v>DET</v>
      </c>
      <c r="Y67">
        <f>IFERROR(INDEX(TableTECalcPts[BYE],MATCH(TableTERanks[[#This Row],[RK]],TableTECalcPts[RK],0)),"")</f>
        <v>5</v>
      </c>
      <c r="Z67" s="57">
        <f>IFERROR(INDEX(TableTECalcPts[Custom],MATCH(TableTERanks[[#This Row],[RK]],TableTECalcPts[RK],0)),"")</f>
        <v>11.88556874619356</v>
      </c>
      <c r="AA67" s="125">
        <f>(((VLOOKUP(TableTERanks[[#This Row],[Player]],'OVR &amp; VORP Ranks'!$W:$AA,5,FALSE)))/('OVR &amp; VORP Ranks'!$BM$6))*(Settings!$E$10*TEAMS)</f>
        <v>-48.627284643543973</v>
      </c>
    </row>
    <row r="68" spans="1:27" x14ac:dyDescent="0.2">
      <c r="A68">
        <v>67</v>
      </c>
      <c r="B68" t="str">
        <f>IFERROR(INDEX(TableQBCalcPts[PLAYER],MATCH(TableQBRanks[[#This Row],[RK]],TableQBCalcPts[RK],0)),"")</f>
        <v/>
      </c>
      <c r="C68" t="str">
        <f>IFERROR(INDEX(TableQBCalcPts[TM],MATCH(TableQBRanks[[#This Row],[RK]],TableQBCalcPts[RK],0)),"")</f>
        <v/>
      </c>
      <c r="D68" t="str">
        <f>IFERROR(INDEX(TableQBCalcPts[BYE],MATCH(TableQBRanks[[#This Row],[RK]],TableQBCalcPts[RK],0)),"")</f>
        <v/>
      </c>
      <c r="E68" s="57" t="str">
        <f>IFERROR(INDEX(TableQBCalcPts[Custom],MATCH(TableQBRanks[[#This Row],[RK]],TableQBCalcPts[RK],0)),"")</f>
        <v/>
      </c>
      <c r="F68" s="125" t="e">
        <f>(((VLOOKUP(TableQBRanks[[#This Row],[Player]],'OVR &amp; VORP Ranks'!$B:$F,5,FALSE)))/('OVR &amp; VORP Ranks'!$BM$6))*(Settings!$E$10*TEAMS)</f>
        <v>#VALUE!</v>
      </c>
      <c r="H68">
        <v>67</v>
      </c>
      <c r="I68" t="str">
        <f>IFERROR(INDEX(TableRBCalcPts[PLAYER],MATCH(TableRBRanks[[#This Row],[RK]],TableRBCalcPts[RK],0)),"")</f>
        <v>Isaiah Davis</v>
      </c>
      <c r="J68" t="str">
        <f>IFERROR(INDEX(TableRBCalcPts[TM],MATCH(TableRBRanks[[#This Row],[RK]],TableRBCalcPts[RK],0)),"")</f>
        <v>NYJ</v>
      </c>
      <c r="K68">
        <f>IFERROR(INDEX(TableRBCalcPts[BYE],MATCH(TableRBRanks[[#This Row],[RK]],TableRBCalcPts[RK],0)),"")</f>
        <v>12</v>
      </c>
      <c r="L68" s="57">
        <f>IFERROR(INDEX(TableRBCalcPts[Custom],MATCH(TableRBRanks[[#This Row],[RK]],TableRBCalcPts[RK],0)),"")</f>
        <v>62.875623136388576</v>
      </c>
      <c r="M68" s="125">
        <f>(((VLOOKUP(TableRBRanks[[#This Row],[Player]],'OVR &amp; VORP Ranks'!$I:$M,5,FALSE)))/('OVR &amp; VORP Ranks'!$BM$6))*(Settings!$E$10*TEAMS)</f>
        <v>-20.340395222541936</v>
      </c>
      <c r="O68">
        <v>67</v>
      </c>
      <c r="P68" t="str">
        <f>IFERROR(INDEX(TableWRCalcPts[PLAYER],MATCH(TableWRRanks[[#This Row],[RK]],TableWRCalcPts[RK],0)),"")</f>
        <v>Jalen Tolbert</v>
      </c>
      <c r="Q68" t="str">
        <f>IFERROR(INDEX(TableWRCalcPts[TM],MATCH(TableWRRanks[[#This Row],[RK]],TableWRCalcPts[RK],0)),"")</f>
        <v>DAL</v>
      </c>
      <c r="R68">
        <f>IFERROR(INDEX(TableWRCalcPts[BYE],MATCH(TableWRRanks[[#This Row],[RK]],TableWRCalcPts[RK],0)),"")</f>
        <v>7</v>
      </c>
      <c r="S68" s="57">
        <f>IFERROR(INDEX(TableWRCalcPts[Custom],MATCH(TableWRRanks[[#This Row],[RK]],TableWRCalcPts[RK],0)),"")</f>
        <v>123.19600289357085</v>
      </c>
      <c r="T68" s="125">
        <f>(((VLOOKUP(TableWRRanks[[#This Row],[Player]],'OVR &amp; VORP Ranks'!$P:$T,5,FALSE)))/('OVR &amp; VORP Ranks'!$BM$6))*(Settings!$E$10*TEAMS)</f>
        <v>-10.467015848521026</v>
      </c>
      <c r="V68">
        <v>67</v>
      </c>
      <c r="W68" t="str">
        <f>IFERROR(INDEX(TableTECalcPts[PLAYER],MATCH(TableTERanks[[#This Row],[RK]],TableTECalcPts[RK],0)),"")</f>
        <v>Luke Farrell</v>
      </c>
      <c r="X68" t="str">
        <f>IFERROR(INDEX(TableTECalcPts[TM],MATCH(TableTERanks[[#This Row],[RK]],TableTECalcPts[RK],0)),"")</f>
        <v>JAX</v>
      </c>
      <c r="Y68">
        <f>IFERROR(INDEX(TableTECalcPts[BYE],MATCH(TableTERanks[[#This Row],[RK]],TableTECalcPts[RK],0)),"")</f>
        <v>12</v>
      </c>
      <c r="Z68" s="57">
        <f>IFERROR(INDEX(TableTECalcPts[Custom],MATCH(TableTERanks[[#This Row],[RK]],TableTECalcPts[RK],0)),"")</f>
        <v>11.845446054100696</v>
      </c>
      <c r="AA68" s="125">
        <f>(((VLOOKUP(TableTERanks[[#This Row],[Player]],'OVR &amp; VORP Ranks'!$W:$AA,5,FALSE)))/('OVR &amp; VORP Ranks'!$BM$6))*(Settings!$E$10*TEAMS)</f>
        <v>-48.643576929063286</v>
      </c>
    </row>
    <row r="69" spans="1:27" x14ac:dyDescent="0.2">
      <c r="A69">
        <v>68</v>
      </c>
      <c r="B69" t="str">
        <f>IFERROR(INDEX(TableQBCalcPts[PLAYER],MATCH(TableQBRanks[[#This Row],[RK]],TableQBCalcPts[RK],0)),"")</f>
        <v/>
      </c>
      <c r="C69" t="str">
        <f>IFERROR(INDEX(TableQBCalcPts[TM],MATCH(TableQBRanks[[#This Row],[RK]],TableQBCalcPts[RK],0)),"")</f>
        <v/>
      </c>
      <c r="D69" t="str">
        <f>IFERROR(INDEX(TableQBCalcPts[BYE],MATCH(TableQBRanks[[#This Row],[RK]],TableQBCalcPts[RK],0)),"")</f>
        <v/>
      </c>
      <c r="E69" s="57" t="str">
        <f>IFERROR(INDEX(TableQBCalcPts[Custom],MATCH(TableQBRanks[[#This Row],[RK]],TableQBCalcPts[RK],0)),"")</f>
        <v/>
      </c>
      <c r="F69" s="125" t="e">
        <f>(((VLOOKUP(TableQBRanks[[#This Row],[Player]],'OVR &amp; VORP Ranks'!$B:$F,5,FALSE)))/('OVR &amp; VORP Ranks'!$BM$6))*(Settings!$E$10*TEAMS)</f>
        <v>#VALUE!</v>
      </c>
      <c r="H69">
        <v>68</v>
      </c>
      <c r="I69" t="str">
        <f>IFERROR(INDEX(TableRBCalcPts[PLAYER],MATCH(TableRBRanks[[#This Row],[RK]],TableRBCalcPts[RK],0)),"")</f>
        <v>Eric Gray</v>
      </c>
      <c r="J69" t="str">
        <f>IFERROR(INDEX(TableRBCalcPts[TM],MATCH(TableRBRanks[[#This Row],[RK]],TableRBCalcPts[RK],0)),"")</f>
        <v>NYG</v>
      </c>
      <c r="K69">
        <f>IFERROR(INDEX(TableRBCalcPts[BYE],MATCH(TableRBRanks[[#This Row],[RK]],TableRBCalcPts[RK],0)),"")</f>
        <v>11</v>
      </c>
      <c r="L69" s="57">
        <f>IFERROR(INDEX(TableRBCalcPts[Custom],MATCH(TableRBRanks[[#This Row],[RK]],TableRBCalcPts[RK],0)),"")</f>
        <v>56.079180159279936</v>
      </c>
      <c r="M69" s="125">
        <f>(((VLOOKUP(TableRBRanks[[#This Row],[Player]],'OVR &amp; VORP Ranks'!$I:$M,5,FALSE)))/('OVR &amp; VORP Ranks'!$BM$6))*(Settings!$E$10*TEAMS)</f>
        <v>-22.764115309866874</v>
      </c>
      <c r="O69">
        <v>68</v>
      </c>
      <c r="P69" t="str">
        <f>IFERROR(INDEX(TableWRCalcPts[PLAYER],MATCH(TableWRRanks[[#This Row],[RK]],TableWRCalcPts[RK],0)),"")</f>
        <v>Jerry Jeudy</v>
      </c>
      <c r="Q69" t="str">
        <f>IFERROR(INDEX(TableWRCalcPts[TM],MATCH(TableWRRanks[[#This Row],[RK]],TableWRCalcPts[RK],0)),"")</f>
        <v>CLE</v>
      </c>
      <c r="R69">
        <f>IFERROR(INDEX(TableWRCalcPts[BYE],MATCH(TableWRRanks[[#This Row],[RK]],TableWRCalcPts[RK],0)),"")</f>
        <v>10</v>
      </c>
      <c r="S69" s="57">
        <f>IFERROR(INDEX(TableWRCalcPts[Custom],MATCH(TableWRRanks[[#This Row],[RK]],TableWRCalcPts[RK],0)),"")</f>
        <v>119.45643086477995</v>
      </c>
      <c r="T69" s="125">
        <f>(((VLOOKUP(TableWRRanks[[#This Row],[Player]],'OVR &amp; VORP Ranks'!$P:$T,5,FALSE)))/('OVR &amp; VORP Ranks'!$BM$6))*(Settings!$E$10*TEAMS)</f>
        <v>-12.096370307814302</v>
      </c>
      <c r="V69">
        <v>68</v>
      </c>
      <c r="W69" t="str">
        <f>IFERROR(INDEX(TableTECalcPts[PLAYER],MATCH(TableTERanks[[#This Row],[RK]],TableTECalcPts[RK],0)),"")</f>
        <v>Ian Thomas</v>
      </c>
      <c r="X69" t="str">
        <f>IFERROR(INDEX(TableTECalcPts[TM],MATCH(TableTERanks[[#This Row],[RK]],TableTECalcPts[RK],0)),"")</f>
        <v>CAR</v>
      </c>
      <c r="Y69">
        <f>IFERROR(INDEX(TableTECalcPts[BYE],MATCH(TableTERanks[[#This Row],[RK]],TableTECalcPts[RK],0)),"")</f>
        <v>11</v>
      </c>
      <c r="Z69" s="57">
        <f>IFERROR(INDEX(TableTECalcPts[Custom],MATCH(TableTERanks[[#This Row],[RK]],TableTECalcPts[RK],0)),"")</f>
        <v>11.009039341968327</v>
      </c>
      <c r="AA69" s="125">
        <f>(((VLOOKUP(TableTERanks[[#This Row],[Player]],'OVR &amp; VORP Ranks'!$W:$AA,5,FALSE)))/('OVR &amp; VORP Ranks'!$BM$6))*(Settings!$E$10*TEAMS)</f>
        <v>-48.98320959710049</v>
      </c>
    </row>
    <row r="70" spans="1:27" x14ac:dyDescent="0.2">
      <c r="A70">
        <v>69</v>
      </c>
      <c r="B70" t="str">
        <f>IFERROR(INDEX(TableQBCalcPts[PLAYER],MATCH(TableQBRanks[[#This Row],[RK]],TableQBCalcPts[RK],0)),"")</f>
        <v/>
      </c>
      <c r="C70" t="str">
        <f>IFERROR(INDEX(TableQBCalcPts[TM],MATCH(TableQBRanks[[#This Row],[RK]],TableQBCalcPts[RK],0)),"")</f>
        <v/>
      </c>
      <c r="D70" t="str">
        <f>IFERROR(INDEX(TableQBCalcPts[BYE],MATCH(TableQBRanks[[#This Row],[RK]],TableQBCalcPts[RK],0)),"")</f>
        <v/>
      </c>
      <c r="E70" s="57" t="str">
        <f>IFERROR(INDEX(TableQBCalcPts[Custom],MATCH(TableQBRanks[[#This Row],[RK]],TableQBCalcPts[RK],0)),"")</f>
        <v/>
      </c>
      <c r="F70" s="125" t="e">
        <f>(((VLOOKUP(TableQBRanks[[#This Row],[Player]],'OVR &amp; VORP Ranks'!$B:$F,5,FALSE)))/('OVR &amp; VORP Ranks'!$BM$6))*(Settings!$E$10*TEAMS)</f>
        <v>#VALUE!</v>
      </c>
      <c r="H70">
        <v>69</v>
      </c>
      <c r="I70" t="str">
        <f>IFERROR(INDEX(TableRBCalcPts[PLAYER],MATCH(TableRBRanks[[#This Row],[RK]],TableRBCalcPts[RK],0)),"")</f>
        <v>Cam Akers</v>
      </c>
      <c r="J70" t="str">
        <f>IFERROR(INDEX(TableRBCalcPts[TM],MATCH(TableRBRanks[[#This Row],[RK]],TableRBCalcPts[RK],0)),"")</f>
        <v>HOU</v>
      </c>
      <c r="K70">
        <f>IFERROR(INDEX(TableRBCalcPts[BYE],MATCH(TableRBRanks[[#This Row],[RK]],TableRBCalcPts[RK],0)),"")</f>
        <v>14</v>
      </c>
      <c r="L70" s="57">
        <f>IFERROR(INDEX(TableRBCalcPts[Custom],MATCH(TableRBRanks[[#This Row],[RK]],TableRBCalcPts[RK],0)),"")</f>
        <v>55.821044843199999</v>
      </c>
      <c r="M70" s="125">
        <f>(((VLOOKUP(TableRBRanks[[#This Row],[Player]],'OVR &amp; VORP Ranks'!$I:$M,5,FALSE)))/('OVR &amp; VORP Ranks'!$BM$6))*(Settings!$E$10*TEAMS)</f>
        <v>-22.856170485337074</v>
      </c>
      <c r="O70">
        <v>69</v>
      </c>
      <c r="P70" t="str">
        <f>IFERROR(INDEX(TableWRCalcPts[PLAYER],MATCH(TableWRRanks[[#This Row],[RK]],TableWRCalcPts[RK],0)),"")</f>
        <v>Josh Downs</v>
      </c>
      <c r="Q70" t="str">
        <f>IFERROR(INDEX(TableWRCalcPts[TM],MATCH(TableWRRanks[[#This Row],[RK]],TableWRCalcPts[RK],0)),"")</f>
        <v>IND</v>
      </c>
      <c r="R70">
        <f>IFERROR(INDEX(TableWRCalcPts[BYE],MATCH(TableWRRanks[[#This Row],[RK]],TableWRCalcPts[RK],0)),"")</f>
        <v>14</v>
      </c>
      <c r="S70" s="57">
        <f>IFERROR(INDEX(TableWRCalcPts[Custom],MATCH(TableWRRanks[[#This Row],[RK]],TableWRCalcPts[RK],0)),"")</f>
        <v>118.20034773366744</v>
      </c>
      <c r="T70" s="125">
        <f>(((VLOOKUP(TableWRRanks[[#This Row],[Player]],'OVR &amp; VORP Ranks'!$P:$T,5,FALSE)))/('OVR &amp; VORP Ranks'!$BM$6))*(Settings!$E$10*TEAMS)</f>
        <v>-12.643653428760881</v>
      </c>
      <c r="V70">
        <v>69</v>
      </c>
      <c r="W70" t="str">
        <f>IFERROR(INDEX(TableTECalcPts[PLAYER],MATCH(TableTERanks[[#This Row],[RK]],TableTECalcPts[RK],0)),"")</f>
        <v>Julian Hill</v>
      </c>
      <c r="X70" t="str">
        <f>IFERROR(INDEX(TableTECalcPts[TM],MATCH(TableTERanks[[#This Row],[RK]],TableTECalcPts[RK],0)),"")</f>
        <v>MIA</v>
      </c>
      <c r="Y70">
        <f>IFERROR(INDEX(TableTECalcPts[BYE],MATCH(TableTERanks[[#This Row],[RK]],TableTECalcPts[RK],0)),"")</f>
        <v>6</v>
      </c>
      <c r="Z70" s="57">
        <f>IFERROR(INDEX(TableTECalcPts[Custom],MATCH(TableTERanks[[#This Row],[RK]],TableTECalcPts[RK],0)),"")</f>
        <v>10.861141758436784</v>
      </c>
      <c r="AA70" s="125">
        <f>(((VLOOKUP(TableTERanks[[#This Row],[Player]],'OVR &amp; VORP Ranks'!$W:$AA,5,FALSE)))/('OVR &amp; VORP Ranks'!$BM$6))*(Settings!$E$10*TEAMS)</f>
        <v>-49.043265130087555</v>
      </c>
    </row>
    <row r="71" spans="1:27" x14ac:dyDescent="0.2">
      <c r="A71">
        <v>70</v>
      </c>
      <c r="B71" t="str">
        <f>IFERROR(INDEX(TableQBCalcPts[PLAYER],MATCH(TableQBRanks[[#This Row],[RK]],TableQBCalcPts[RK],0)),"")</f>
        <v/>
      </c>
      <c r="C71" t="str">
        <f>IFERROR(INDEX(TableQBCalcPts[TM],MATCH(TableQBRanks[[#This Row],[RK]],TableQBCalcPts[RK],0)),"")</f>
        <v/>
      </c>
      <c r="D71" t="str">
        <f>IFERROR(INDEX(TableQBCalcPts[BYE],MATCH(TableQBRanks[[#This Row],[RK]],TableQBCalcPts[RK],0)),"")</f>
        <v/>
      </c>
      <c r="E71" s="57" t="str">
        <f>IFERROR(INDEX(TableQBCalcPts[Custom],MATCH(TableQBRanks[[#This Row],[RK]],TableQBCalcPts[RK],0)),"")</f>
        <v/>
      </c>
      <c r="F71" s="125" t="e">
        <f>(((VLOOKUP(TableQBRanks[[#This Row],[Player]],'OVR &amp; VORP Ranks'!$B:$F,5,FALSE)))/('OVR &amp; VORP Ranks'!$BM$6))*(Settings!$E$10*TEAMS)</f>
        <v>#VALUE!</v>
      </c>
      <c r="H71">
        <v>70</v>
      </c>
      <c r="I71" t="str">
        <f>IFERROR(INDEX(TableRBCalcPts[PLAYER],MATCH(TableRBRanks[[#This Row],[RK]],TableRBCalcPts[RK],0)),"")</f>
        <v>Dylan Laube</v>
      </c>
      <c r="J71" t="str">
        <f>IFERROR(INDEX(TableRBCalcPts[TM],MATCH(TableRBRanks[[#This Row],[RK]],TableRBCalcPts[RK],0)),"")</f>
        <v>LV</v>
      </c>
      <c r="K71">
        <f>IFERROR(INDEX(TableRBCalcPts[BYE],MATCH(TableRBRanks[[#This Row],[RK]],TableRBCalcPts[RK],0)),"")</f>
        <v>10</v>
      </c>
      <c r="L71" s="57">
        <f>IFERROR(INDEX(TableRBCalcPts[Custom],MATCH(TableRBRanks[[#This Row],[RK]],TableRBCalcPts[RK],0)),"")</f>
        <v>53.447944614591705</v>
      </c>
      <c r="M71" s="125">
        <f>(((VLOOKUP(TableRBRanks[[#This Row],[Player]],'OVR &amp; VORP Ranks'!$I:$M,5,FALSE)))/('OVR &amp; VORP Ranks'!$BM$6))*(Settings!$E$10*TEAMS)</f>
        <v>-23.702455919156787</v>
      </c>
      <c r="O71">
        <v>70</v>
      </c>
      <c r="P71" t="str">
        <f>IFERROR(INDEX(TableWRCalcPts[PLAYER],MATCH(TableWRRanks[[#This Row],[RK]],TableWRCalcPts[RK],0)),"")</f>
        <v>Dontayvion Wicks</v>
      </c>
      <c r="Q71" t="str">
        <f>IFERROR(INDEX(TableWRCalcPts[TM],MATCH(TableWRRanks[[#This Row],[RK]],TableWRCalcPts[RK],0)),"")</f>
        <v>GB</v>
      </c>
      <c r="R71">
        <f>IFERROR(INDEX(TableWRCalcPts[BYE],MATCH(TableWRRanks[[#This Row],[RK]],TableWRCalcPts[RK],0)),"")</f>
        <v>10</v>
      </c>
      <c r="S71" s="57">
        <f>IFERROR(INDEX(TableWRCalcPts[Custom],MATCH(TableWRRanks[[#This Row],[RK]],TableWRCalcPts[RK],0)),"")</f>
        <v>116.82642108095868</v>
      </c>
      <c r="T71" s="125">
        <f>(((VLOOKUP(TableWRRanks[[#This Row],[Player]],'OVR &amp; VORP Ranks'!$P:$T,5,FALSE)))/('OVR &amp; VORP Ranks'!$BM$6))*(Settings!$E$10*TEAMS)</f>
        <v>-13.242281694535109</v>
      </c>
      <c r="V71">
        <v>70</v>
      </c>
      <c r="W71" t="str">
        <f>IFERROR(INDEX(TableTECalcPts[PLAYER],MATCH(TableTERanks[[#This Row],[RK]],TableTECalcPts[RK],0)),"")</f>
        <v>Durham Smythe</v>
      </c>
      <c r="X71" t="str">
        <f>IFERROR(INDEX(TableTECalcPts[TM],MATCH(TableTERanks[[#This Row],[RK]],TableTECalcPts[RK],0)),"")</f>
        <v>MIA</v>
      </c>
      <c r="Y71">
        <f>IFERROR(INDEX(TableTECalcPts[BYE],MATCH(TableTERanks[[#This Row],[RK]],TableTECalcPts[RK],0)),"")</f>
        <v>6</v>
      </c>
      <c r="Z71" s="57">
        <f>IFERROR(INDEX(TableTECalcPts[Custom],MATCH(TableTERanks[[#This Row],[RK]],TableTECalcPts[RK],0)),"")</f>
        <v>9.7230845072298351</v>
      </c>
      <c r="AA71" s="125">
        <f>(((VLOOKUP(TableTERanks[[#This Row],[Player]],'OVR &amp; VORP Ranks'!$W:$AA,5,FALSE)))/('OVR &amp; VORP Ranks'!$BM$6))*(Settings!$E$10*TEAMS)</f>
        <v>-49.50538650596831</v>
      </c>
    </row>
    <row r="72" spans="1:27" x14ac:dyDescent="0.2">
      <c r="A72">
        <v>71</v>
      </c>
      <c r="B72" t="str">
        <f>IFERROR(INDEX(TableQBCalcPts[PLAYER],MATCH(TableQBRanks[[#This Row],[RK]],TableQBCalcPts[RK],0)),"")</f>
        <v/>
      </c>
      <c r="C72" t="str">
        <f>IFERROR(INDEX(TableQBCalcPts[TM],MATCH(TableQBRanks[[#This Row],[RK]],TableQBCalcPts[RK],0)),"")</f>
        <v/>
      </c>
      <c r="D72" t="str">
        <f>IFERROR(INDEX(TableQBCalcPts[BYE],MATCH(TableQBRanks[[#This Row],[RK]],TableQBCalcPts[RK],0)),"")</f>
        <v/>
      </c>
      <c r="E72" s="57" t="str">
        <f>IFERROR(INDEX(TableQBCalcPts[Custom],MATCH(TableQBRanks[[#This Row],[RK]],TableQBCalcPts[RK],0)),"")</f>
        <v/>
      </c>
      <c r="F72" s="125" t="e">
        <f>(((VLOOKUP(TableQBRanks[[#This Row],[Player]],'OVR &amp; VORP Ranks'!$B:$F,5,FALSE)))/('OVR &amp; VORP Ranks'!$BM$6))*(Settings!$E$10*TEAMS)</f>
        <v>#VALUE!</v>
      </c>
      <c r="H72">
        <v>71</v>
      </c>
      <c r="I72" t="str">
        <f>IFERROR(INDEX(TableRBCalcPts[PLAYER],MATCH(TableRBRanks[[#This Row],[RK]],TableRBCalcPts[RK],0)),"")</f>
        <v>Kendre Miller</v>
      </c>
      <c r="J72" t="str">
        <f>IFERROR(INDEX(TableRBCalcPts[TM],MATCH(TableRBRanks[[#This Row],[RK]],TableRBCalcPts[RK],0)),"")</f>
        <v>NO</v>
      </c>
      <c r="K72">
        <f>IFERROR(INDEX(TableRBCalcPts[BYE],MATCH(TableRBRanks[[#This Row],[RK]],TableRBCalcPts[RK],0)),"")</f>
        <v>12</v>
      </c>
      <c r="L72" s="57">
        <f>IFERROR(INDEX(TableRBCalcPts[Custom],MATCH(TableRBRanks[[#This Row],[RK]],TableRBCalcPts[RK],0)),"")</f>
        <v>50.418412403374404</v>
      </c>
      <c r="M72" s="125">
        <f>(((VLOOKUP(TableRBRanks[[#This Row],[Player]],'OVR &amp; VORP Ranks'!$I:$M,5,FALSE)))/('OVR &amp; VORP Ranks'!$BM$6))*(Settings!$E$10*TEAMS)</f>
        <v>-24.782835479502786</v>
      </c>
      <c r="O72">
        <v>71</v>
      </c>
      <c r="P72" t="str">
        <f>IFERROR(INDEX(TableWRCalcPts[PLAYER],MATCH(TableWRRanks[[#This Row],[RK]],TableWRCalcPts[RK],0)),"")</f>
        <v>Josh Reynolds</v>
      </c>
      <c r="Q72" t="str">
        <f>IFERROR(INDEX(TableWRCalcPts[TM],MATCH(TableWRRanks[[#This Row],[RK]],TableWRCalcPts[RK],0)),"")</f>
        <v>DEN</v>
      </c>
      <c r="R72">
        <f>IFERROR(INDEX(TableWRCalcPts[BYE],MATCH(TableWRRanks[[#This Row],[RK]],TableWRCalcPts[RK],0)),"")</f>
        <v>14</v>
      </c>
      <c r="S72" s="57">
        <f>IFERROR(INDEX(TableWRCalcPts[Custom],MATCH(TableWRRanks[[#This Row],[RK]],TableWRCalcPts[RK],0)),"")</f>
        <v>115.87277082752136</v>
      </c>
      <c r="T72" s="125">
        <f>(((VLOOKUP(TableWRRanks[[#This Row],[Player]],'OVR &amp; VORP Ranks'!$P:$T,5,FALSE)))/('OVR &amp; VORP Ranks'!$BM$6))*(Settings!$E$10*TEAMS)</f>
        <v>-13.657792956540845</v>
      </c>
      <c r="V72">
        <v>71</v>
      </c>
      <c r="W72" t="str">
        <f>IFERROR(INDEX(TableTECalcPts[PLAYER],MATCH(TableTERanks[[#This Row],[RK]],TableTECalcPts[RK],0)),"")</f>
        <v>Chris Manhertz</v>
      </c>
      <c r="X72" t="str">
        <f>IFERROR(INDEX(TableTECalcPts[TM],MATCH(TableTERanks[[#This Row],[RK]],TableTECalcPts[RK],0)),"")</f>
        <v>NYG</v>
      </c>
      <c r="Y72">
        <f>IFERROR(INDEX(TableTECalcPts[BYE],MATCH(TableTERanks[[#This Row],[RK]],TableTECalcPts[RK],0)),"")</f>
        <v>11</v>
      </c>
      <c r="Z72" s="57">
        <f>IFERROR(INDEX(TableTECalcPts[Custom],MATCH(TableTERanks[[#This Row],[RK]],TableTECalcPts[RK],0)),"")</f>
        <v>8.4511644931076084</v>
      </c>
      <c r="AA72" s="125">
        <f>(((VLOOKUP(TableTERanks[[#This Row],[Player]],'OVR &amp; VORP Ranks'!$W:$AA,5,FALSE)))/('OVR &amp; VORP Ranks'!$BM$6))*(Settings!$E$10*TEAMS)</f>
        <v>-50.021864412781042</v>
      </c>
    </row>
    <row r="73" spans="1:27" x14ac:dyDescent="0.2">
      <c r="A73">
        <v>72</v>
      </c>
      <c r="B73" t="str">
        <f>IFERROR(INDEX(TableQBCalcPts[PLAYER],MATCH(TableQBRanks[[#This Row],[RK]],TableQBCalcPts[RK],0)),"")</f>
        <v/>
      </c>
      <c r="C73" t="str">
        <f>IFERROR(INDEX(TableQBCalcPts[TM],MATCH(TableQBRanks[[#This Row],[RK]],TableQBCalcPts[RK],0)),"")</f>
        <v/>
      </c>
      <c r="D73" t="str">
        <f>IFERROR(INDEX(TableQBCalcPts[BYE],MATCH(TableQBRanks[[#This Row],[RK]],TableQBCalcPts[RK],0)),"")</f>
        <v/>
      </c>
      <c r="E73" s="57" t="str">
        <f>IFERROR(INDEX(TableQBCalcPts[Custom],MATCH(TableQBRanks[[#This Row],[RK]],TableQBCalcPts[RK],0)),"")</f>
        <v/>
      </c>
      <c r="F73" s="125" t="e">
        <f>(((VLOOKUP(TableQBRanks[[#This Row],[Player]],'OVR &amp; VORP Ranks'!$B:$F,5,FALSE)))/('OVR &amp; VORP Ranks'!$BM$6))*(Settings!$E$10*TEAMS)</f>
        <v>#VALUE!</v>
      </c>
      <c r="H73">
        <v>72</v>
      </c>
      <c r="I73" t="str">
        <f>IFERROR(INDEX(TableRBCalcPts[PLAYER],MATCH(TableRBRanks[[#This Row],[RK]],TableRBCalcPts[RK],0)),"")</f>
        <v>Sean Tucker</v>
      </c>
      <c r="J73" t="str">
        <f>IFERROR(INDEX(TableRBCalcPts[TM],MATCH(TableRBRanks[[#This Row],[RK]],TableRBCalcPts[RK],0)),"")</f>
        <v>TB</v>
      </c>
      <c r="K73">
        <f>IFERROR(INDEX(TableRBCalcPts[BYE],MATCH(TableRBRanks[[#This Row],[RK]],TableRBCalcPts[RK],0)),"")</f>
        <v>11</v>
      </c>
      <c r="L73" s="57">
        <f>IFERROR(INDEX(TableRBCalcPts[Custom],MATCH(TableRBRanks[[#This Row],[RK]],TableRBCalcPts[RK],0)),"")</f>
        <v>43.954561520048074</v>
      </c>
      <c r="M73" s="125">
        <f>(((VLOOKUP(TableRBRanks[[#This Row],[Player]],'OVR &amp; VORP Ranks'!$I:$M,5,FALSE)))/('OVR &amp; VORP Ranks'!$BM$6))*(Settings!$E$10*TEAMS)</f>
        <v>-27.087947915545918</v>
      </c>
      <c r="O73">
        <v>72</v>
      </c>
      <c r="P73" t="str">
        <f>IFERROR(INDEX(TableWRCalcPts[PLAYER],MATCH(TableWRRanks[[#This Row],[RK]],TableWRCalcPts[RK],0)),"")</f>
        <v>Greg Dortch</v>
      </c>
      <c r="Q73" t="str">
        <f>IFERROR(INDEX(TableWRCalcPts[TM],MATCH(TableWRRanks[[#This Row],[RK]],TableWRCalcPts[RK],0)),"")</f>
        <v>ARI</v>
      </c>
      <c r="R73">
        <f>IFERROR(INDEX(TableWRCalcPts[BYE],MATCH(TableWRRanks[[#This Row],[RK]],TableWRCalcPts[RK],0)),"")</f>
        <v>11</v>
      </c>
      <c r="S73" s="57">
        <f>IFERROR(INDEX(TableWRCalcPts[Custom],MATCH(TableWRRanks[[#This Row],[RK]],TableWRCalcPts[RK],0)),"")</f>
        <v>114.91314586095427</v>
      </c>
      <c r="T73" s="125">
        <f>(((VLOOKUP(TableWRRanks[[#This Row],[Player]],'OVR &amp; VORP Ranks'!$P:$T,5,FALSE)))/('OVR &amp; VORP Ranks'!$BM$6))*(Settings!$E$10*TEAMS)</f>
        <v>-14.075907437686645</v>
      </c>
      <c r="V73">
        <v>72</v>
      </c>
      <c r="W73" t="str">
        <f>IFERROR(INDEX(TableTECalcPts[PLAYER],MATCH(TableTERanks[[#This Row],[RK]],TableTECalcPts[RK],0)),"")</f>
        <v>Brevin Jordan</v>
      </c>
      <c r="X73" t="str">
        <f>IFERROR(INDEX(TableTECalcPts[TM],MATCH(TableTERanks[[#This Row],[RK]],TableTECalcPts[RK],0)),"")</f>
        <v>HOU</v>
      </c>
      <c r="Y73">
        <f>IFERROR(INDEX(TableTECalcPts[BYE],MATCH(TableTERanks[[#This Row],[RK]],TableTECalcPts[RK],0)),"")</f>
        <v>14</v>
      </c>
      <c r="Z73" s="57">
        <f>IFERROR(INDEX(TableTECalcPts[Custom],MATCH(TableTERanks[[#This Row],[RK]],TableTECalcPts[RK],0)),"")</f>
        <v>8.445582617471997</v>
      </c>
      <c r="AA73" s="125">
        <f>(((VLOOKUP(TableTERanks[[#This Row],[Player]],'OVR &amp; VORP Ranks'!$W:$AA,5,FALSE)))/('OVR &amp; VORP Ranks'!$BM$6))*(Settings!$E$10*TEAMS)</f>
        <v>-50.024130998267829</v>
      </c>
    </row>
    <row r="74" spans="1:27" x14ac:dyDescent="0.2">
      <c r="A74">
        <v>73</v>
      </c>
      <c r="B74" t="str">
        <f>IFERROR(INDEX(TableQBCalcPts[PLAYER],MATCH(TableQBRanks[[#This Row],[RK]],TableQBCalcPts[RK],0)),"")</f>
        <v/>
      </c>
      <c r="C74" t="str">
        <f>IFERROR(INDEX(TableQBCalcPts[TM],MATCH(TableQBRanks[[#This Row],[RK]],TableQBCalcPts[RK],0)),"")</f>
        <v/>
      </c>
      <c r="D74" t="str">
        <f>IFERROR(INDEX(TableQBCalcPts[BYE],MATCH(TableQBRanks[[#This Row],[RK]],TableQBCalcPts[RK],0)),"")</f>
        <v/>
      </c>
      <c r="E74" s="57" t="str">
        <f>IFERROR(INDEX(TableQBCalcPts[Custom],MATCH(TableQBRanks[[#This Row],[RK]],TableQBCalcPts[RK],0)),"")</f>
        <v/>
      </c>
      <c r="F74" s="125" t="e">
        <f>(((VLOOKUP(TableQBRanks[[#This Row],[Player]],'OVR &amp; VORP Ranks'!$B:$F,5,FALSE)))/('OVR &amp; VORP Ranks'!$BM$6))*(Settings!$E$10*TEAMS)</f>
        <v>#VALUE!</v>
      </c>
      <c r="H74">
        <v>73</v>
      </c>
      <c r="I74" t="str">
        <f>IFERROR(INDEX(TableRBCalcPts[PLAYER],MATCH(TableRBRanks[[#This Row],[RK]],TableRBCalcPts[RK],0)),"")</f>
        <v>Dameon Pierce</v>
      </c>
      <c r="J74" t="str">
        <f>IFERROR(INDEX(TableRBCalcPts[TM],MATCH(TableRBRanks[[#This Row],[RK]],TableRBCalcPts[RK],0)),"")</f>
        <v>HOU</v>
      </c>
      <c r="K74">
        <f>IFERROR(INDEX(TableRBCalcPts[BYE],MATCH(TableRBRanks[[#This Row],[RK]],TableRBCalcPts[RK],0)),"")</f>
        <v>14</v>
      </c>
      <c r="L74" s="57">
        <f>IFERROR(INDEX(TableRBCalcPts[Custom],MATCH(TableRBRanks[[#This Row],[RK]],TableRBCalcPts[RK],0)),"")</f>
        <v>43.444613605393208</v>
      </c>
      <c r="M74" s="125">
        <f>(((VLOOKUP(TableRBRanks[[#This Row],[Player]],'OVR &amp; VORP Ranks'!$I:$M,5,FALSE)))/('OVR &amp; VORP Ranks'!$BM$6))*(Settings!$E$10*TEAMS)</f>
        <v>-27.269803484466511</v>
      </c>
      <c r="O74">
        <v>73</v>
      </c>
      <c r="P74" t="str">
        <f>IFERROR(INDEX(TableWRCalcPts[PLAYER],MATCH(TableWRRanks[[#This Row],[RK]],TableWRCalcPts[RK],0)),"")</f>
        <v>Marvin Mims</v>
      </c>
      <c r="Q74" t="str">
        <f>IFERROR(INDEX(TableWRCalcPts[TM],MATCH(TableWRRanks[[#This Row],[RK]],TableWRCalcPts[RK],0)),"")</f>
        <v>DEN</v>
      </c>
      <c r="R74">
        <f>IFERROR(INDEX(TableWRCalcPts[BYE],MATCH(TableWRRanks[[#This Row],[RK]],TableWRCalcPts[RK],0)),"")</f>
        <v>14</v>
      </c>
      <c r="S74" s="57">
        <f>IFERROR(INDEX(TableWRCalcPts[Custom],MATCH(TableWRRanks[[#This Row],[RK]],TableWRCalcPts[RK],0)),"")</f>
        <v>113.95181857055516</v>
      </c>
      <c r="T74" s="125">
        <f>(((VLOOKUP(TableWRRanks[[#This Row],[Player]],'OVR &amp; VORP Ranks'!$P:$T,5,FALSE)))/('OVR &amp; VORP Ranks'!$BM$6))*(Settings!$E$10*TEAMS)</f>
        <v>-14.494763631762559</v>
      </c>
      <c r="V74">
        <v>73</v>
      </c>
      <c r="W74" t="str">
        <f>IFERROR(INDEX(TableTECalcPts[PLAYER],MATCH(TableTERanks[[#This Row],[RK]],TableTECalcPts[RK],0)),"")</f>
        <v>Tanner Hudson</v>
      </c>
      <c r="X74" t="str">
        <f>IFERROR(INDEX(TableTECalcPts[TM],MATCH(TableTERanks[[#This Row],[RK]],TableTECalcPts[RK],0)),"")</f>
        <v>CIN</v>
      </c>
      <c r="Y74">
        <f>IFERROR(INDEX(TableTECalcPts[BYE],MATCH(TableTERanks[[#This Row],[RK]],TableTECalcPts[RK],0)),"")</f>
        <v>12</v>
      </c>
      <c r="Z74" s="57">
        <f>IFERROR(INDEX(TableTECalcPts[Custom],MATCH(TableTERanks[[#This Row],[RK]],TableTECalcPts[RK],0)),"")</f>
        <v>8.400592059036688</v>
      </c>
      <c r="AA74" s="125">
        <f>(((VLOOKUP(TableTERanks[[#This Row],[Player]],'OVR &amp; VORP Ranks'!$W:$AA,5,FALSE)))/('OVR &amp; VORP Ranks'!$BM$6))*(Settings!$E$10*TEAMS)</f>
        <v>-50.042399937500647</v>
      </c>
    </row>
    <row r="75" spans="1:27" x14ac:dyDescent="0.2">
      <c r="A75">
        <v>74</v>
      </c>
      <c r="B75" t="str">
        <f>IFERROR(INDEX(TableQBCalcPts[PLAYER],MATCH(TableQBRanks[[#This Row],[RK]],TableQBCalcPts[RK],0)),"")</f>
        <v/>
      </c>
      <c r="C75" t="str">
        <f>IFERROR(INDEX(TableQBCalcPts[TM],MATCH(TableQBRanks[[#This Row],[RK]],TableQBCalcPts[RK],0)),"")</f>
        <v/>
      </c>
      <c r="D75" t="str">
        <f>IFERROR(INDEX(TableQBCalcPts[BYE],MATCH(TableQBRanks[[#This Row],[RK]],TableQBCalcPts[RK],0)),"")</f>
        <v/>
      </c>
      <c r="E75" s="57" t="str">
        <f>IFERROR(INDEX(TableQBCalcPts[Custom],MATCH(TableQBRanks[[#This Row],[RK]],TableQBCalcPts[RK],0)),"")</f>
        <v/>
      </c>
      <c r="F75" s="125" t="e">
        <f>(((VLOOKUP(TableQBRanks[[#This Row],[Player]],'OVR &amp; VORP Ranks'!$B:$F,5,FALSE)))/('OVR &amp; VORP Ranks'!$BM$6))*(Settings!$E$10*TEAMS)</f>
        <v>#VALUE!</v>
      </c>
      <c r="H75">
        <v>74</v>
      </c>
      <c r="I75" t="str">
        <f>IFERROR(INDEX(TableRBCalcPts[PLAYER],MATCH(TableRBRanks[[#This Row],[RK]],TableRBCalcPts[RK],0)),"")</f>
        <v>Rasheen Ali</v>
      </c>
      <c r="J75" t="str">
        <f>IFERROR(INDEX(TableRBCalcPts[TM],MATCH(TableRBRanks[[#This Row],[RK]],TableRBCalcPts[RK],0)),"")</f>
        <v>BAL</v>
      </c>
      <c r="K75">
        <f>IFERROR(INDEX(TableRBCalcPts[BYE],MATCH(TableRBRanks[[#This Row],[RK]],TableRBCalcPts[RK],0)),"")</f>
        <v>14</v>
      </c>
      <c r="L75" s="57">
        <f>IFERROR(INDEX(TableRBCalcPts[Custom],MATCH(TableRBRanks[[#This Row],[RK]],TableRBCalcPts[RK],0)),"")</f>
        <v>42.6438278951981</v>
      </c>
      <c r="M75" s="125">
        <f>(((VLOOKUP(TableRBRanks[[#This Row],[Player]],'OVR &amp; VORP Ranks'!$I:$M,5,FALSE)))/('OVR &amp; VORP Ranks'!$BM$6))*(Settings!$E$10*TEAMS)</f>
        <v>-27.555376455207206</v>
      </c>
      <c r="O75">
        <v>74</v>
      </c>
      <c r="P75" t="str">
        <f>IFERROR(INDEX(TableWRCalcPts[PLAYER],MATCH(TableWRRanks[[#This Row],[RK]],TableWRCalcPts[RK],0)),"")</f>
        <v>Michael Wilson</v>
      </c>
      <c r="Q75" t="str">
        <f>IFERROR(INDEX(TableWRCalcPts[TM],MATCH(TableWRRanks[[#This Row],[RK]],TableWRCalcPts[RK],0)),"")</f>
        <v>ARI</v>
      </c>
      <c r="R75">
        <f>IFERROR(INDEX(TableWRCalcPts[BYE],MATCH(TableWRRanks[[#This Row],[RK]],TableWRCalcPts[RK],0)),"")</f>
        <v>11</v>
      </c>
      <c r="S75" s="57">
        <f>IFERROR(INDEX(TableWRCalcPts[Custom],MATCH(TableWRRanks[[#This Row],[RK]],TableWRCalcPts[RK],0)),"")</f>
        <v>109.27077006195002</v>
      </c>
      <c r="T75" s="125">
        <f>(((VLOOKUP(TableWRRanks[[#This Row],[Player]],'OVR &amp; VORP Ranks'!$P:$T,5,FALSE)))/('OVR &amp; VORP Ranks'!$BM$6))*(Settings!$E$10*TEAMS)</f>
        <v>-16.534325165259737</v>
      </c>
      <c r="V75">
        <v>74</v>
      </c>
      <c r="W75" t="str">
        <f>IFERROR(INDEX(TableTECalcPts[PLAYER],MATCH(TableTERanks[[#This Row],[RK]],TableTECalcPts[RK],0)),"")</f>
        <v>Foster Moreau</v>
      </c>
      <c r="X75" t="str">
        <f>IFERROR(INDEX(TableTECalcPts[TM],MATCH(TableTERanks[[#This Row],[RK]],TableTECalcPts[RK],0)),"")</f>
        <v>NO</v>
      </c>
      <c r="Y75">
        <f>IFERROR(INDEX(TableTECalcPts[BYE],MATCH(TableTERanks[[#This Row],[RK]],TableTECalcPts[RK],0)),"")</f>
        <v>12</v>
      </c>
      <c r="Z75" s="57">
        <f>IFERROR(INDEX(TableTECalcPts[Custom],MATCH(TableTERanks[[#This Row],[RK]],TableTECalcPts[RK],0)),"")</f>
        <v>8.164501865644608</v>
      </c>
      <c r="AA75" s="125">
        <f>(((VLOOKUP(TableTERanks[[#This Row],[Player]],'OVR &amp; VORP Ranks'!$W:$AA,5,FALSE)))/('OVR &amp; VORP Ranks'!$BM$6))*(Settings!$E$10*TEAMS)</f>
        <v>-50.138267104891909</v>
      </c>
    </row>
    <row r="76" spans="1:27" x14ac:dyDescent="0.2">
      <c r="A76">
        <v>75</v>
      </c>
      <c r="B76" t="str">
        <f>IFERROR(INDEX(TableQBCalcPts[PLAYER],MATCH(TableQBRanks[[#This Row],[RK]],TableQBCalcPts[RK],0)),"")</f>
        <v/>
      </c>
      <c r="C76" t="str">
        <f>IFERROR(INDEX(TableQBCalcPts[TM],MATCH(TableQBRanks[[#This Row],[RK]],TableQBCalcPts[RK],0)),"")</f>
        <v/>
      </c>
      <c r="D76" t="str">
        <f>IFERROR(INDEX(TableQBCalcPts[BYE],MATCH(TableQBRanks[[#This Row],[RK]],TableQBCalcPts[RK],0)),"")</f>
        <v/>
      </c>
      <c r="E76" s="57" t="str">
        <f>IFERROR(INDEX(TableQBCalcPts[Custom],MATCH(TableQBRanks[[#This Row],[RK]],TableQBCalcPts[RK],0)),"")</f>
        <v/>
      </c>
      <c r="F76" s="125" t="e">
        <f>(((VLOOKUP(TableQBRanks[[#This Row],[Player]],'OVR &amp; VORP Ranks'!$B:$F,5,FALSE)))/('OVR &amp; VORP Ranks'!$BM$6))*(Settings!$E$10*TEAMS)</f>
        <v>#VALUE!</v>
      </c>
      <c r="H76">
        <v>75</v>
      </c>
      <c r="I76" t="str">
        <f>IFERROR(INDEX(TableRBCalcPts[PLAYER],MATCH(TableRBRanks[[#This Row],[RK]],TableRBCalcPts[RK],0)),"")</f>
        <v>Trey Sermon</v>
      </c>
      <c r="J76" t="str">
        <f>IFERROR(INDEX(TableRBCalcPts[TM],MATCH(TableRBRanks[[#This Row],[RK]],TableRBCalcPts[RK],0)),"")</f>
        <v>IND</v>
      </c>
      <c r="K76">
        <f>IFERROR(INDEX(TableRBCalcPts[BYE],MATCH(TableRBRanks[[#This Row],[RK]],TableRBCalcPts[RK],0)),"")</f>
        <v>14</v>
      </c>
      <c r="L76" s="57">
        <f>IFERROR(INDEX(TableRBCalcPts[Custom],MATCH(TableRBRanks[[#This Row],[RK]],TableRBCalcPts[RK],0)),"")</f>
        <v>41.264535512141364</v>
      </c>
      <c r="M76" s="125">
        <f>(((VLOOKUP(TableRBRanks[[#This Row],[Player]],'OVR &amp; VORP Ranks'!$I:$M,5,FALSE)))/('OVR &amp; VORP Ranks'!$BM$6))*(Settings!$E$10*TEAMS)</f>
        <v>-28.047254142751804</v>
      </c>
      <c r="O76">
        <v>75</v>
      </c>
      <c r="P76" t="str">
        <f>IFERROR(INDEX(TableWRCalcPts[PLAYER],MATCH(TableWRRanks[[#This Row],[RK]],TableWRCalcPts[RK],0)),"")</f>
        <v>Jalen McMillan</v>
      </c>
      <c r="Q76" t="str">
        <f>IFERROR(INDEX(TableWRCalcPts[TM],MATCH(TableWRRanks[[#This Row],[RK]],TableWRCalcPts[RK],0)),"")</f>
        <v>TB</v>
      </c>
      <c r="R76">
        <f>IFERROR(INDEX(TableWRCalcPts[BYE],MATCH(TableWRRanks[[#This Row],[RK]],TableWRCalcPts[RK],0)),"")</f>
        <v>11</v>
      </c>
      <c r="S76" s="57">
        <f>IFERROR(INDEX(TableWRCalcPts[Custom],MATCH(TableWRRanks[[#This Row],[RK]],TableWRCalcPts[RK],0)),"")</f>
        <v>109.11603627591739</v>
      </c>
      <c r="T76" s="125">
        <f>(((VLOOKUP(TableWRRanks[[#This Row],[Player]],'OVR &amp; VORP Ranks'!$P:$T,5,FALSE)))/('OVR &amp; VORP Ranks'!$BM$6))*(Settings!$E$10*TEAMS)</f>
        <v>-16.601743624466984</v>
      </c>
      <c r="V76">
        <v>75</v>
      </c>
      <c r="W76" t="str">
        <f>IFERROR(INDEX(TableTECalcPts[PLAYER],MATCH(TableTERanks[[#This Row],[RK]],TableTECalcPts[RK],0)),"")</f>
        <v>Drew Ogletree</v>
      </c>
      <c r="X76" t="str">
        <f>IFERROR(INDEX(TableTECalcPts[TM],MATCH(TableTERanks[[#This Row],[RK]],TableTECalcPts[RK],0)),"")</f>
        <v>IND</v>
      </c>
      <c r="Y76">
        <f>IFERROR(INDEX(TableTECalcPts[BYE],MATCH(TableTERanks[[#This Row],[RK]],TableTECalcPts[RK],0)),"")</f>
        <v>14</v>
      </c>
      <c r="Z76" s="57">
        <f>IFERROR(INDEX(TableTECalcPts[Custom],MATCH(TableTERanks[[#This Row],[RK]],TableTECalcPts[RK],0)),"")</f>
        <v>8.1134607937152001</v>
      </c>
      <c r="AA76" s="125">
        <f>(((VLOOKUP(TableTERanks[[#This Row],[Player]],'OVR &amp; VORP Ranks'!$W:$AA,5,FALSE)))/('OVR &amp; VORP Ranks'!$BM$6))*(Settings!$E$10*TEAMS)</f>
        <v>-50.158992925461511</v>
      </c>
    </row>
    <row r="77" spans="1:27" x14ac:dyDescent="0.2">
      <c r="A77">
        <v>76</v>
      </c>
      <c r="B77" t="str">
        <f>IFERROR(INDEX(TableQBCalcPts[PLAYER],MATCH(TableQBRanks[[#This Row],[RK]],TableQBCalcPts[RK],0)),"")</f>
        <v/>
      </c>
      <c r="C77" t="str">
        <f>IFERROR(INDEX(TableQBCalcPts[TM],MATCH(TableQBRanks[[#This Row],[RK]],TableQBCalcPts[RK],0)),"")</f>
        <v/>
      </c>
      <c r="D77" t="str">
        <f>IFERROR(INDEX(TableQBCalcPts[BYE],MATCH(TableQBRanks[[#This Row],[RK]],TableQBCalcPts[RK],0)),"")</f>
        <v/>
      </c>
      <c r="E77" s="57" t="str">
        <f>IFERROR(INDEX(TableQBCalcPts[Custom],MATCH(TableQBRanks[[#This Row],[RK]],TableQBCalcPts[RK],0)),"")</f>
        <v/>
      </c>
      <c r="F77" s="125" t="e">
        <f>(((VLOOKUP(TableQBRanks[[#This Row],[Player]],'OVR &amp; VORP Ranks'!$B:$F,5,FALSE)))/('OVR &amp; VORP Ranks'!$BM$6))*(Settings!$E$10*TEAMS)</f>
        <v>#VALUE!</v>
      </c>
      <c r="H77">
        <v>76</v>
      </c>
      <c r="I77" t="str">
        <f>IFERROR(INDEX(TableRBCalcPts[PLAYER],MATCH(TableRBRanks[[#This Row],[RK]],TableRBCalcPts[RK],0)),"")</f>
        <v>Keaton Mitchell</v>
      </c>
      <c r="J77" t="str">
        <f>IFERROR(INDEX(TableRBCalcPts[TM],MATCH(TableRBRanks[[#This Row],[RK]],TableRBCalcPts[RK],0)),"")</f>
        <v>BAL</v>
      </c>
      <c r="K77">
        <f>IFERROR(INDEX(TableRBCalcPts[BYE],MATCH(TableRBRanks[[#This Row],[RK]],TableRBCalcPts[RK],0)),"")</f>
        <v>14</v>
      </c>
      <c r="L77" s="57">
        <f>IFERROR(INDEX(TableRBCalcPts[Custom],MATCH(TableRBRanks[[#This Row],[RK]],TableRBCalcPts[RK],0)),"")</f>
        <v>40.286818812425665</v>
      </c>
      <c r="M77" s="125">
        <f>(((VLOOKUP(TableRBRanks[[#This Row],[Player]],'OVR &amp; VORP Ranks'!$I:$M,5,FALSE)))/('OVR &amp; VORP Ranks'!$BM$6))*(Settings!$E$10*TEAMS)</f>
        <v>-28.3959235294877</v>
      </c>
      <c r="O77">
        <v>76</v>
      </c>
      <c r="P77" t="str">
        <f>IFERROR(INDEX(TableWRCalcPts[PLAYER],MATCH(TableWRRanks[[#This Row],[RK]],TableWRCalcPts[RK],0)),"")</f>
        <v>Rashod Bateman</v>
      </c>
      <c r="Q77" t="str">
        <f>IFERROR(INDEX(TableWRCalcPts[TM],MATCH(TableWRRanks[[#This Row],[RK]],TableWRCalcPts[RK],0)),"")</f>
        <v>BAL</v>
      </c>
      <c r="R77">
        <f>IFERROR(INDEX(TableWRCalcPts[BYE],MATCH(TableWRRanks[[#This Row],[RK]],TableWRCalcPts[RK],0)),"")</f>
        <v>14</v>
      </c>
      <c r="S77" s="57">
        <f>IFERROR(INDEX(TableWRCalcPts[Custom],MATCH(TableWRRanks[[#This Row],[RK]],TableWRCalcPts[RK],0)),"")</f>
        <v>104.43680487103371</v>
      </c>
      <c r="T77" s="125">
        <f>(((VLOOKUP(TableWRRanks[[#This Row],[Player]],'OVR &amp; VORP Ranks'!$P:$T,5,FALSE)))/('OVR &amp; VORP Ranks'!$BM$6))*(Settings!$E$10*TEAMS)</f>
        <v>-18.640513434732529</v>
      </c>
      <c r="V77">
        <v>76</v>
      </c>
      <c r="W77" t="str">
        <f>IFERROR(INDEX(TableTECalcPts[PLAYER],MATCH(TableTERanks[[#This Row],[RK]],TableTECalcPts[RK],0)),"")</f>
        <v>Quintin Morris</v>
      </c>
      <c r="X77" t="str">
        <f>IFERROR(INDEX(TableTECalcPts[TM],MATCH(TableTERanks[[#This Row],[RK]],TableTECalcPts[RK],0)),"")</f>
        <v>BUF</v>
      </c>
      <c r="Y77">
        <f>IFERROR(INDEX(TableTECalcPts[BYE],MATCH(TableTERanks[[#This Row],[RK]],TableTECalcPts[RK],0)),"")</f>
        <v>12</v>
      </c>
      <c r="Z77" s="57">
        <f>IFERROR(INDEX(TableTECalcPts[Custom],MATCH(TableTERanks[[#This Row],[RK]],TableTECalcPts[RK],0)),"")</f>
        <v>7.6552101834066537</v>
      </c>
      <c r="AA77" s="125">
        <f>(((VLOOKUP(TableTERanks[[#This Row],[Player]],'OVR &amp; VORP Ranks'!$W:$AA,5,FALSE)))/('OVR &amp; VORP Ranks'!$BM$6))*(Settings!$E$10*TEAMS)</f>
        <v>-50.345070912583331</v>
      </c>
    </row>
    <row r="78" spans="1:27" x14ac:dyDescent="0.2">
      <c r="A78">
        <v>77</v>
      </c>
      <c r="B78" t="str">
        <f>IFERROR(INDEX(TableQBCalcPts[PLAYER],MATCH(TableQBRanks[[#This Row],[RK]],TableQBCalcPts[RK],0)),"")</f>
        <v/>
      </c>
      <c r="C78" t="str">
        <f>IFERROR(INDEX(TableQBCalcPts[TM],MATCH(TableQBRanks[[#This Row],[RK]],TableQBCalcPts[RK],0)),"")</f>
        <v/>
      </c>
      <c r="D78" t="str">
        <f>IFERROR(INDEX(TableQBCalcPts[BYE],MATCH(TableQBRanks[[#This Row],[RK]],TableQBCalcPts[RK],0)),"")</f>
        <v/>
      </c>
      <c r="E78" s="57" t="str">
        <f>IFERROR(INDEX(TableQBCalcPts[Custom],MATCH(TableQBRanks[[#This Row],[RK]],TableQBCalcPts[RK],0)),"")</f>
        <v/>
      </c>
      <c r="F78" s="125" t="e">
        <f>(((VLOOKUP(TableQBRanks[[#This Row],[Player]],'OVR &amp; VORP Ranks'!$B:$F,5,FALSE)))/('OVR &amp; VORP Ranks'!$BM$6))*(Settings!$E$10*TEAMS)</f>
        <v>#VALUE!</v>
      </c>
      <c r="H78">
        <v>77</v>
      </c>
      <c r="I78" t="str">
        <f>IFERROR(INDEX(TableRBCalcPts[PLAYER],MATCH(TableRBRanks[[#This Row],[RK]],TableRBCalcPts[RK],0)),"")</f>
        <v>Will Shipley</v>
      </c>
      <c r="J78" t="str">
        <f>IFERROR(INDEX(TableRBCalcPts[TM],MATCH(TableRBRanks[[#This Row],[RK]],TableRBCalcPts[RK],0)),"")</f>
        <v>PHI</v>
      </c>
      <c r="K78">
        <f>IFERROR(INDEX(TableRBCalcPts[BYE],MATCH(TableRBRanks[[#This Row],[RK]],TableRBCalcPts[RK],0)),"")</f>
        <v>5</v>
      </c>
      <c r="L78" s="57">
        <f>IFERROR(INDEX(TableRBCalcPts[Custom],MATCH(TableRBRanks[[#This Row],[RK]],TableRBCalcPts[RK],0)),"")</f>
        <v>36.098389367547966</v>
      </c>
      <c r="M78" s="125">
        <f>(((VLOOKUP(TableRBRanks[[#This Row],[Player]],'OVR &amp; VORP Ranks'!$I:$M,5,FALSE)))/('OVR &amp; VORP Ranks'!$BM$6))*(Settings!$E$10*TEAMS)</f>
        <v>-29.889584347960721</v>
      </c>
      <c r="O78">
        <v>77</v>
      </c>
      <c r="P78" t="str">
        <f>IFERROR(INDEX(TableWRCalcPts[PLAYER],MATCH(TableWRRanks[[#This Row],[RK]],TableWRCalcPts[RK],0)),"")</f>
        <v>Malachi Corley</v>
      </c>
      <c r="Q78" t="str">
        <f>IFERROR(INDEX(TableWRCalcPts[TM],MATCH(TableWRRanks[[#This Row],[RK]],TableWRCalcPts[RK],0)),"")</f>
        <v>NYJ</v>
      </c>
      <c r="R78">
        <f>IFERROR(INDEX(TableWRCalcPts[BYE],MATCH(TableWRRanks[[#This Row],[RK]],TableWRCalcPts[RK],0)),"")</f>
        <v>12</v>
      </c>
      <c r="S78" s="57">
        <f>IFERROR(INDEX(TableWRCalcPts[Custom],MATCH(TableWRRanks[[#This Row],[RK]],TableWRCalcPts[RK],0)),"")</f>
        <v>103.06146196052893</v>
      </c>
      <c r="T78" s="125">
        <f>(((VLOOKUP(TableWRRanks[[#This Row],[Player]],'OVR &amp; VORP Ranks'!$P:$T,5,FALSE)))/('OVR &amp; VORP Ranks'!$BM$6))*(Settings!$E$10*TEAMS)</f>
        <v>-19.239758772711195</v>
      </c>
      <c r="V78">
        <v>77</v>
      </c>
      <c r="W78" t="str">
        <f>IFERROR(INDEX(TableTECalcPts[PLAYER],MATCH(TableTERanks[[#This Row],[RK]],TableTECalcPts[RK],0)),"")</f>
        <v>AJ Barner</v>
      </c>
      <c r="X78" t="str">
        <f>IFERROR(INDEX(TableTECalcPts[TM],MATCH(TableTERanks[[#This Row],[RK]],TableTECalcPts[RK],0)),"")</f>
        <v>SEA</v>
      </c>
      <c r="Y78">
        <f>IFERROR(INDEX(TableTECalcPts[BYE],MATCH(TableTERanks[[#This Row],[RK]],TableTECalcPts[RK],0)),"")</f>
        <v>10</v>
      </c>
      <c r="Z78" s="57">
        <f>IFERROR(INDEX(TableTECalcPts[Custom],MATCH(TableTERanks[[#This Row],[RK]],TableTECalcPts[RK],0)),"")</f>
        <v>7.5622302815145783</v>
      </c>
      <c r="AA78" s="125">
        <f>(((VLOOKUP(TableTERanks[[#This Row],[Player]],'OVR &amp; VORP Ranks'!$W:$AA,5,FALSE)))/('OVR &amp; VORP Ranks'!$BM$6))*(Settings!$E$10*TEAMS)</f>
        <v>-50.382826482565463</v>
      </c>
    </row>
    <row r="79" spans="1:27" x14ac:dyDescent="0.2">
      <c r="A79">
        <v>78</v>
      </c>
      <c r="B79" t="str">
        <f>IFERROR(INDEX(TableQBCalcPts[PLAYER],MATCH(TableQBRanks[[#This Row],[RK]],TableQBCalcPts[RK],0)),"")</f>
        <v/>
      </c>
      <c r="C79" t="str">
        <f>IFERROR(INDEX(TableQBCalcPts[TM],MATCH(TableQBRanks[[#This Row],[RK]],TableQBCalcPts[RK],0)),"")</f>
        <v/>
      </c>
      <c r="D79" t="str">
        <f>IFERROR(INDEX(TableQBCalcPts[BYE],MATCH(TableQBRanks[[#This Row],[RK]],TableQBCalcPts[RK],0)),"")</f>
        <v/>
      </c>
      <c r="E79" s="57" t="str">
        <f>IFERROR(INDEX(TableQBCalcPts[Custom],MATCH(TableQBRanks[[#This Row],[RK]],TableQBCalcPts[RK],0)),"")</f>
        <v/>
      </c>
      <c r="F79" s="125" t="e">
        <f>(((VLOOKUP(TableQBRanks[[#This Row],[Player]],'OVR &amp; VORP Ranks'!$B:$F,5,FALSE)))/('OVR &amp; VORP Ranks'!$BM$6))*(Settings!$E$10*TEAMS)</f>
        <v>#VALUE!</v>
      </c>
      <c r="H79">
        <v>78</v>
      </c>
      <c r="I79" t="str">
        <f>IFERROR(INDEX(TableRBCalcPts[PLAYER],MATCH(TableRBRanks[[#This Row],[RK]],TableRBCalcPts[RK],0)),"")</f>
        <v>Justice Hill</v>
      </c>
      <c r="J79" t="str">
        <f>IFERROR(INDEX(TableRBCalcPts[TM],MATCH(TableRBRanks[[#This Row],[RK]],TableRBCalcPts[RK],0)),"")</f>
        <v>BAL</v>
      </c>
      <c r="K79">
        <f>IFERROR(INDEX(TableRBCalcPts[BYE],MATCH(TableRBRanks[[#This Row],[RK]],TableRBCalcPts[RK],0)),"")</f>
        <v>14</v>
      </c>
      <c r="L79" s="57">
        <f>IFERROR(INDEX(TableRBCalcPts[Custom],MATCH(TableRBRanks[[#This Row],[RK]],TableRBCalcPts[RK],0)),"")</f>
        <v>30.430215348149698</v>
      </c>
      <c r="M79" s="125">
        <f>(((VLOOKUP(TableRBRanks[[#This Row],[Player]],'OVR &amp; VORP Ranks'!$I:$M,5,FALSE)))/('OVR &amp; VORP Ranks'!$BM$6))*(Settings!$E$10*TEAMS)</f>
        <v>-31.910945709417099</v>
      </c>
      <c r="O79">
        <v>78</v>
      </c>
      <c r="P79" t="str">
        <f>IFERROR(INDEX(TableWRCalcPts[PLAYER],MATCH(TableWRRanks[[#This Row],[RK]],TableWRCalcPts[RK],0)),"")</f>
        <v>Elijah Moore</v>
      </c>
      <c r="Q79" t="str">
        <f>IFERROR(INDEX(TableWRCalcPts[TM],MATCH(TableWRRanks[[#This Row],[RK]],TableWRCalcPts[RK],0)),"")</f>
        <v>CLE</v>
      </c>
      <c r="R79">
        <f>IFERROR(INDEX(TableWRCalcPts[BYE],MATCH(TableWRRanks[[#This Row],[RK]],TableWRCalcPts[RK],0)),"")</f>
        <v>10</v>
      </c>
      <c r="S79" s="57">
        <f>IFERROR(INDEX(TableWRCalcPts[Custom],MATCH(TableWRRanks[[#This Row],[RK]],TableWRCalcPts[RK],0)),"")</f>
        <v>102.86910659024997</v>
      </c>
      <c r="T79" s="125">
        <f>(((VLOOKUP(TableWRRanks[[#This Row],[Player]],'OVR &amp; VORP Ranks'!$P:$T,5,FALSE)))/('OVR &amp; VORP Ranks'!$BM$6))*(Settings!$E$10*TEAMS)</f>
        <v>-19.32356918682277</v>
      </c>
      <c r="V79">
        <v>78</v>
      </c>
      <c r="W79" t="str">
        <f>IFERROR(INDEX(TableTECalcPts[PLAYER],MATCH(TableTERanks[[#This Row],[RK]],TableTECalcPts[RK],0)),"")</f>
        <v>Charlie Kolar</v>
      </c>
      <c r="X79" t="str">
        <f>IFERROR(INDEX(TableTECalcPts[TM],MATCH(TableTERanks[[#This Row],[RK]],TableTECalcPts[RK],0)),"")</f>
        <v>BAL</v>
      </c>
      <c r="Y79">
        <f>IFERROR(INDEX(TableTECalcPts[BYE],MATCH(TableTERanks[[#This Row],[RK]],TableTECalcPts[RK],0)),"")</f>
        <v>14</v>
      </c>
      <c r="Z79" s="57">
        <f>IFERROR(INDEX(TableTECalcPts[Custom],MATCH(TableTERanks[[#This Row],[RK]],TableTECalcPts[RK],0)),"")</f>
        <v>7.5544888352407575</v>
      </c>
      <c r="AA79" s="125">
        <f>(((VLOOKUP(TableTERanks[[#This Row],[Player]],'OVR &amp; VORP Ranks'!$W:$AA,5,FALSE)))/('OVR &amp; VORP Ranks'!$BM$6))*(Settings!$E$10*TEAMS)</f>
        <v>-50.385969986813222</v>
      </c>
    </row>
    <row r="80" spans="1:27" x14ac:dyDescent="0.2">
      <c r="A80">
        <v>79</v>
      </c>
      <c r="B80" t="str">
        <f>IFERROR(INDEX(TableQBCalcPts[PLAYER],MATCH(TableQBRanks[[#This Row],[RK]],TableQBCalcPts[RK],0)),"")</f>
        <v/>
      </c>
      <c r="C80" t="str">
        <f>IFERROR(INDEX(TableQBCalcPts[TM],MATCH(TableQBRanks[[#This Row],[RK]],TableQBCalcPts[RK],0)),"")</f>
        <v/>
      </c>
      <c r="D80" t="str">
        <f>IFERROR(INDEX(TableQBCalcPts[BYE],MATCH(TableQBRanks[[#This Row],[RK]],TableQBCalcPts[RK],0)),"")</f>
        <v/>
      </c>
      <c r="E80" s="57" t="str">
        <f>IFERROR(INDEX(TableQBCalcPts[Custom],MATCH(TableQBRanks[[#This Row],[RK]],TableQBCalcPts[RK],0)),"")</f>
        <v/>
      </c>
      <c r="F80" s="125" t="e">
        <f>(((VLOOKUP(TableQBRanks[[#This Row],[Player]],'OVR &amp; VORP Ranks'!$B:$F,5,FALSE)))/('OVR &amp; VORP Ranks'!$BM$6))*(Settings!$E$10*TEAMS)</f>
        <v>#VALUE!</v>
      </c>
      <c r="H80">
        <v>79</v>
      </c>
      <c r="I80" t="str">
        <f>IFERROR(INDEX(TableRBCalcPts[PLAYER],MATCH(TableRBRanks[[#This Row],[RK]],TableRBCalcPts[RK],0)),"")</f>
        <v>Jaret Patterson</v>
      </c>
      <c r="J80" t="str">
        <f>IFERROR(INDEX(TableRBCalcPts[TM],MATCH(TableRBRanks[[#This Row],[RK]],TableRBCalcPts[RK],0)),"")</f>
        <v>LAC</v>
      </c>
      <c r="K80">
        <f>IFERROR(INDEX(TableRBCalcPts[BYE],MATCH(TableRBRanks[[#This Row],[RK]],TableRBCalcPts[RK],0)),"")</f>
        <v>5</v>
      </c>
      <c r="L80" s="57">
        <f>IFERROR(INDEX(TableRBCalcPts[Custom],MATCH(TableRBRanks[[#This Row],[RK]],TableRBCalcPts[RK],0)),"")</f>
        <v>29.588984625290436</v>
      </c>
      <c r="M80" s="125">
        <f>(((VLOOKUP(TableRBRanks[[#This Row],[Player]],'OVR &amp; VORP Ranks'!$I:$M,5,FALSE)))/('OVR &amp; VORP Ranks'!$BM$6))*(Settings!$E$10*TEAMS)</f>
        <v>-32.210942017476505</v>
      </c>
      <c r="O80">
        <v>79</v>
      </c>
      <c r="P80" t="str">
        <f>IFERROR(INDEX(TableWRCalcPts[PLAYER],MATCH(TableWRRanks[[#This Row],[RK]],TableWRCalcPts[RK],0)),"")</f>
        <v>Roman Wilson</v>
      </c>
      <c r="Q80" t="str">
        <f>IFERROR(INDEX(TableWRCalcPts[TM],MATCH(TableWRRanks[[#This Row],[RK]],TableWRCalcPts[RK],0)),"")</f>
        <v>PIT</v>
      </c>
      <c r="R80">
        <f>IFERROR(INDEX(TableWRCalcPts[BYE],MATCH(TableWRRanks[[#This Row],[RK]],TableWRCalcPts[RK],0)),"")</f>
        <v>9</v>
      </c>
      <c r="S80" s="57">
        <f>IFERROR(INDEX(TableWRCalcPts[Custom],MATCH(TableWRRanks[[#This Row],[RK]],TableWRCalcPts[RK],0)),"")</f>
        <v>100.98603118800001</v>
      </c>
      <c r="T80" s="125">
        <f>(((VLOOKUP(TableWRRanks[[#This Row],[Player]],'OVR &amp; VORP Ranks'!$P:$T,5,FALSE)))/('OVR &amp; VORP Ranks'!$BM$6))*(Settings!$E$10*TEAMS)</f>
        <v>-20.144036684231416</v>
      </c>
      <c r="V80">
        <v>79</v>
      </c>
      <c r="W80" t="str">
        <f>IFERROR(INDEX(TableTECalcPts[PLAYER],MATCH(TableTERanks[[#This Row],[RK]],TableTECalcPts[RK],0)),"")</f>
        <v>Tip Reiman</v>
      </c>
      <c r="X80" t="str">
        <f>IFERROR(INDEX(TableTECalcPts[TM],MATCH(TableTERanks[[#This Row],[RK]],TableTECalcPts[RK],0)),"")</f>
        <v>ARI</v>
      </c>
      <c r="Y80">
        <f>IFERROR(INDEX(TableTECalcPts[BYE],MATCH(TableTERanks[[#This Row],[RK]],TableTECalcPts[RK],0)),"")</f>
        <v>11</v>
      </c>
      <c r="Z80" s="57">
        <f>IFERROR(INDEX(TableTECalcPts[Custom],MATCH(TableTERanks[[#This Row],[RK]],TableTECalcPts[RK],0)),"")</f>
        <v>7.3577361734200606</v>
      </c>
      <c r="AA80" s="125">
        <f>(((VLOOKUP(TableTERanks[[#This Row],[Player]],'OVR &amp; VORP Ranks'!$W:$AA,5,FALSE)))/('OVR &amp; VORP Ranks'!$BM$6))*(Settings!$E$10*TEAMS)</f>
        <v>-50.46586369224179</v>
      </c>
    </row>
    <row r="81" spans="8:27" x14ac:dyDescent="0.2">
      <c r="H81">
        <v>80</v>
      </c>
      <c r="I81" t="str">
        <f>IFERROR(INDEX(TableRBCalcPts[PLAYER],MATCH(TableRBRanks[[#This Row],[RK]],TableRBCalcPts[RK],0)),"")</f>
        <v>Isaac Guerendo</v>
      </c>
      <c r="J81" t="str">
        <f>IFERROR(INDEX(TableRBCalcPts[TM],MATCH(TableRBRanks[[#This Row],[RK]],TableRBCalcPts[RK],0)),"")</f>
        <v>SF</v>
      </c>
      <c r="K81">
        <f>IFERROR(INDEX(TableRBCalcPts[BYE],MATCH(TableRBRanks[[#This Row],[RK]],TableRBCalcPts[RK],0)),"")</f>
        <v>9</v>
      </c>
      <c r="L81" s="57">
        <f>IFERROR(INDEX(TableRBCalcPts[Custom],MATCH(TableRBRanks[[#This Row],[RK]],TableRBCalcPts[RK],0)),"")</f>
        <v>28.83727157398889</v>
      </c>
      <c r="M81" s="125">
        <f>(((VLOOKUP(TableRBRanks[[#This Row],[Player]],'OVR &amp; VORP Ranks'!$I:$M,5,FALSE)))/('OVR &amp; VORP Ranks'!$BM$6))*(Settings!$E$10*TEAMS)</f>
        <v>-32.479014894491797</v>
      </c>
      <c r="O81">
        <v>80</v>
      </c>
      <c r="P81" t="str">
        <f>IFERROR(INDEX(TableWRCalcPts[PLAYER],MATCH(TableWRRanks[[#This Row],[RK]],TableWRCalcPts[RK],0)),"")</f>
        <v>Van Jefferson</v>
      </c>
      <c r="Q81" t="str">
        <f>IFERROR(INDEX(TableWRCalcPts[TM],MATCH(TableWRRanks[[#This Row],[RK]],TableWRCalcPts[RK],0)),"")</f>
        <v>PIT</v>
      </c>
      <c r="R81">
        <f>IFERROR(INDEX(TableWRCalcPts[BYE],MATCH(TableWRRanks[[#This Row],[RK]],TableWRCalcPts[RK],0)),"")</f>
        <v>9</v>
      </c>
      <c r="S81" s="57">
        <f>IFERROR(INDEX(TableWRCalcPts[Custom],MATCH(TableWRRanks[[#This Row],[RK]],TableWRCalcPts[RK],0)),"")</f>
        <v>100.70653692455998</v>
      </c>
      <c r="T81" s="125">
        <f>(((VLOOKUP(TableWRRanks[[#This Row],[Player]],'OVR &amp; VORP Ranks'!$P:$T,5,FALSE)))/('OVR &amp; VORP Ranks'!$BM$6))*(Settings!$E$10*TEAMS)</f>
        <v>-20.265814048319289</v>
      </c>
      <c r="V81">
        <v>80</v>
      </c>
      <c r="W81" t="str">
        <f>IFERROR(INDEX(TableTECalcPts[PLAYER],MATCH(TableTERanks[[#This Row],[RK]],TableTECalcPts[RK],0)),"")</f>
        <v>Payne Durham</v>
      </c>
      <c r="X81" t="str">
        <f>IFERROR(INDEX(TableTECalcPts[TM],MATCH(TableTERanks[[#This Row],[RK]],TableTECalcPts[RK],0)),"")</f>
        <v>TB</v>
      </c>
      <c r="Y81">
        <f>IFERROR(INDEX(TableTECalcPts[BYE],MATCH(TableTERanks[[#This Row],[RK]],TableTECalcPts[RK],0)),"")</f>
        <v>11</v>
      </c>
      <c r="Z81" s="57">
        <f>IFERROR(INDEX(TableTECalcPts[Custom],MATCH(TableTERanks[[#This Row],[RK]],TableTECalcPts[RK],0)),"")</f>
        <v>7.1511440444958074</v>
      </c>
      <c r="AA81" s="125">
        <f>(((VLOOKUP(TableTERanks[[#This Row],[Player]],'OVR &amp; VORP Ranks'!$W:$AA,5,FALSE)))/('OVR &amp; VORP Ranks'!$BM$6))*(Settings!$E$10*TEAMS)</f>
        <v>-50.549752827663895</v>
      </c>
    </row>
    <row r="82" spans="8:27" x14ac:dyDescent="0.2">
      <c r="H82">
        <v>81</v>
      </c>
      <c r="I82" t="str">
        <f>IFERROR(INDEX(TableRBCalcPts[PLAYER],MATCH(TableRBRanks[[#This Row],[RK]],TableRBCalcPts[RK],0)),"")</f>
        <v>Kenny McIntosh</v>
      </c>
      <c r="J82" t="str">
        <f>IFERROR(INDEX(TableRBCalcPts[TM],MATCH(TableRBRanks[[#This Row],[RK]],TableRBCalcPts[RK],0)),"")</f>
        <v>SEA</v>
      </c>
      <c r="K82">
        <f>IFERROR(INDEX(TableRBCalcPts[BYE],MATCH(TableRBRanks[[#This Row],[RK]],TableRBCalcPts[RK],0)),"")</f>
        <v>10</v>
      </c>
      <c r="L82" s="57">
        <f>IFERROR(INDEX(TableRBCalcPts[Custom],MATCH(TableRBRanks[[#This Row],[RK]],TableRBCalcPts[RK],0)),"")</f>
        <v>28.385205661229314</v>
      </c>
      <c r="M82" s="125">
        <f>(((VLOOKUP(TableRBRanks[[#This Row],[Player]],'OVR &amp; VORP Ranks'!$I:$M,5,FALSE)))/('OVR &amp; VORP Ranks'!$BM$6))*(Settings!$E$10*TEAMS)</f>
        <v>-32.640228817310053</v>
      </c>
      <c r="O82">
        <v>81</v>
      </c>
      <c r="P82" t="str">
        <f>IFERROR(INDEX(TableWRCalcPts[PLAYER],MATCH(TableWRRanks[[#This Row],[RK]],TableWRCalcPts[RK],0)),"")</f>
        <v>Andrei Iosivas</v>
      </c>
      <c r="Q82" t="str">
        <f>IFERROR(INDEX(TableWRCalcPts[TM],MATCH(TableWRRanks[[#This Row],[RK]],TableWRCalcPts[RK],0)),"")</f>
        <v>CIN</v>
      </c>
      <c r="R82">
        <f>IFERROR(INDEX(TableWRCalcPts[BYE],MATCH(TableWRRanks[[#This Row],[RK]],TableWRCalcPts[RK],0)),"")</f>
        <v>12</v>
      </c>
      <c r="S82" s="57">
        <f>IFERROR(INDEX(TableWRCalcPts[Custom],MATCH(TableWRRanks[[#This Row],[RK]],TableWRCalcPts[RK],0)),"")</f>
        <v>100.65472719338064</v>
      </c>
      <c r="T82" s="125">
        <f>(((VLOOKUP(TableWRRanks[[#This Row],[Player]],'OVR &amp; VORP Ranks'!$P:$T,5,FALSE)))/('OVR &amp; VORP Ranks'!$BM$6))*(Settings!$E$10*TEAMS)</f>
        <v>-20.288387865826195</v>
      </c>
      <c r="V82">
        <v>81</v>
      </c>
      <c r="W82" t="str">
        <f>IFERROR(INDEX(TableTECalcPts[PLAYER],MATCH(TableTERanks[[#This Row],[RK]],TableTECalcPts[RK],0)),"")</f>
        <v>Albert Okwuegbunam</v>
      </c>
      <c r="X82" t="str">
        <f>IFERROR(INDEX(TableTECalcPts[TM],MATCH(TableTERanks[[#This Row],[RK]],TableTECalcPts[RK],0)),"")</f>
        <v>PHI</v>
      </c>
      <c r="Y82">
        <f>IFERROR(INDEX(TableTECalcPts[BYE],MATCH(TableTERanks[[#This Row],[RK]],TableTECalcPts[RK],0)),"")</f>
        <v>5</v>
      </c>
      <c r="Z82" s="57">
        <f>IFERROR(INDEX(TableTECalcPts[Custom],MATCH(TableTERanks[[#This Row],[RK]],TableTECalcPts[RK],0)),"")</f>
        <v>7.0925050169705255</v>
      </c>
      <c r="AA82" s="125">
        <f>(((VLOOKUP(TableTERanks[[#This Row],[Player]],'OVR &amp; VORP Ranks'!$W:$AA,5,FALSE)))/('OVR &amp; VORP Ranks'!$BM$6))*(Settings!$E$10*TEAMS)</f>
        <v>-50.573563886423514</v>
      </c>
    </row>
    <row r="83" spans="8:27" x14ac:dyDescent="0.2">
      <c r="H83">
        <v>82</v>
      </c>
      <c r="I83" t="str">
        <f>IFERROR(INDEX(TableRBCalcPts[PLAYER],MATCH(TableRBRanks[[#This Row],[RK]],TableRBCalcPts[RK],0)),"")</f>
        <v>Jase McClellan</v>
      </c>
      <c r="J83" t="str">
        <f>IFERROR(INDEX(TableRBCalcPts[TM],MATCH(TableRBRanks[[#This Row],[RK]],TableRBCalcPts[RK],0)),"")</f>
        <v>ATL</v>
      </c>
      <c r="K83">
        <f>IFERROR(INDEX(TableRBCalcPts[BYE],MATCH(TableRBRanks[[#This Row],[RK]],TableRBCalcPts[RK],0)),"")</f>
        <v>12</v>
      </c>
      <c r="L83" s="57">
        <f>IFERROR(INDEX(TableRBCalcPts[Custom],MATCH(TableRBRanks[[#This Row],[RK]],TableRBCalcPts[RK],0)),"")</f>
        <v>25.914417596898272</v>
      </c>
      <c r="M83" s="125">
        <f>(((VLOOKUP(TableRBRanks[[#This Row],[Player]],'OVR &amp; VORP Ranks'!$I:$M,5,FALSE)))/('OVR &amp; VORP Ranks'!$BM$6))*(Settings!$E$10*TEAMS)</f>
        <v>-33.521351293171612</v>
      </c>
      <c r="O83">
        <v>82</v>
      </c>
      <c r="P83" t="str">
        <f>IFERROR(INDEX(TableWRCalcPts[PLAYER],MATCH(TableWRRanks[[#This Row],[RK]],TableWRCalcPts[RK],0)),"")</f>
        <v>Jermaine Burton</v>
      </c>
      <c r="Q83" t="str">
        <f>IFERROR(INDEX(TableWRCalcPts[TM],MATCH(TableWRRanks[[#This Row],[RK]],TableWRCalcPts[RK],0)),"")</f>
        <v>CIN</v>
      </c>
      <c r="R83">
        <f>IFERROR(INDEX(TableWRCalcPts[BYE],MATCH(TableWRRanks[[#This Row],[RK]],TableWRCalcPts[RK],0)),"")</f>
        <v>12</v>
      </c>
      <c r="S83" s="57">
        <f>IFERROR(INDEX(TableWRCalcPts[Custom],MATCH(TableWRRanks[[#This Row],[RK]],TableWRCalcPts[RK],0)),"")</f>
        <v>100.29711087656065</v>
      </c>
      <c r="T83" s="125">
        <f>(((VLOOKUP(TableWRRanks[[#This Row],[Player]],'OVR &amp; VORP Ranks'!$P:$T,5,FALSE)))/('OVR &amp; VORP Ranks'!$BM$6))*(Settings!$E$10*TEAMS)</f>
        <v>-20.444203487517822</v>
      </c>
      <c r="V83">
        <v>82</v>
      </c>
      <c r="W83" t="str">
        <f>IFERROR(INDEX(TableTECalcPts[PLAYER],MATCH(TableTERanks[[#This Row],[RK]],TableTECalcPts[RK],0)),"")</f>
        <v/>
      </c>
      <c r="X83" t="str">
        <f>IFERROR(INDEX(TableTECalcPts[TM],MATCH(TableTERanks[[#This Row],[RK]],TableTECalcPts[RK],0)),"")</f>
        <v/>
      </c>
      <c r="Y83" t="str">
        <f>IFERROR(INDEX(TableTECalcPts[BYE],MATCH(TableTERanks[[#This Row],[RK]],TableTECalcPts[RK],0)),"")</f>
        <v/>
      </c>
      <c r="Z83" s="57" t="str">
        <f>IFERROR(INDEX(TableTECalcPts[Custom],MATCH(TableTERanks[[#This Row],[RK]],TableTECalcPts[RK],0)),"")</f>
        <v/>
      </c>
      <c r="AA83" s="125" t="e">
        <f>(((VLOOKUP(TableTERanks[[#This Row],[Player]],'OVR &amp; VORP Ranks'!$W:$AA,5,FALSE)))/('OVR &amp; VORP Ranks'!$BM$6))*(Settings!$E$10*TEAMS)</f>
        <v>#VALUE!</v>
      </c>
    </row>
    <row r="84" spans="8:27" x14ac:dyDescent="0.2">
      <c r="H84">
        <v>83</v>
      </c>
      <c r="I84" t="str">
        <f>IFERROR(INDEX(TableRBCalcPts[PLAYER],MATCH(TableRBRanks[[#This Row],[RK]],TableRBCalcPts[RK],0)),"")</f>
        <v>D'Ernest Johnson</v>
      </c>
      <c r="J84" t="str">
        <f>IFERROR(INDEX(TableRBCalcPts[TM],MATCH(TableRBRanks[[#This Row],[RK]],TableRBCalcPts[RK],0)),"")</f>
        <v>JAX</v>
      </c>
      <c r="K84">
        <f>IFERROR(INDEX(TableRBCalcPts[BYE],MATCH(TableRBRanks[[#This Row],[RK]],TableRBCalcPts[RK],0)),"")</f>
        <v>12</v>
      </c>
      <c r="L84" s="57">
        <f>IFERROR(INDEX(TableRBCalcPts[Custom],MATCH(TableRBRanks[[#This Row],[RK]],TableRBCalcPts[RK],0)),"")</f>
        <v>25.442433227514666</v>
      </c>
      <c r="M84" s="125">
        <f>(((VLOOKUP(TableRBRanks[[#This Row],[Player]],'OVR &amp; VORP Ranks'!$I:$M,5,FALSE)))/('OVR &amp; VORP Ranks'!$BM$6))*(Settings!$E$10*TEAMS)</f>
        <v>-33.689668455668439</v>
      </c>
      <c r="O84">
        <v>83</v>
      </c>
      <c r="P84" t="str">
        <f>IFERROR(INDEX(TableWRCalcPts[PLAYER],MATCH(TableWRRanks[[#This Row],[RK]],TableWRCalcPts[RK],0)),"")</f>
        <v>Darius Slayton</v>
      </c>
      <c r="Q84" t="str">
        <f>IFERROR(INDEX(TableWRCalcPts[TM],MATCH(TableWRRanks[[#This Row],[RK]],TableWRCalcPts[RK],0)),"")</f>
        <v>NYG</v>
      </c>
      <c r="R84">
        <f>IFERROR(INDEX(TableWRCalcPts[BYE],MATCH(TableWRRanks[[#This Row],[RK]],TableWRCalcPts[RK],0)),"")</f>
        <v>11</v>
      </c>
      <c r="S84" s="57">
        <f>IFERROR(INDEX(TableWRCalcPts[Custom],MATCH(TableWRRanks[[#This Row],[RK]],TableWRCalcPts[RK],0)),"")</f>
        <v>99.733947802944002</v>
      </c>
      <c r="T84" s="125">
        <f>(((VLOOKUP(TableWRRanks[[#This Row],[Player]],'OVR &amp; VORP Ranks'!$P:$T,5,FALSE)))/('OVR &amp; VORP Ranks'!$BM$6))*(Settings!$E$10*TEAMS)</f>
        <v>-20.689577091299771</v>
      </c>
      <c r="V84">
        <v>83</v>
      </c>
      <c r="W84" t="str">
        <f>IFERROR(INDEX(TableTECalcPts[PLAYER],MATCH(TableTERanks[[#This Row],[RK]],TableTECalcPts[RK],0)),"")</f>
        <v/>
      </c>
      <c r="X84" t="str">
        <f>IFERROR(INDEX(TableTECalcPts[TM],MATCH(TableTERanks[[#This Row],[RK]],TableTECalcPts[RK],0)),"")</f>
        <v/>
      </c>
      <c r="Y84" t="str">
        <f>IFERROR(INDEX(TableTECalcPts[BYE],MATCH(TableTERanks[[#This Row],[RK]],TableTECalcPts[RK],0)),"")</f>
        <v/>
      </c>
      <c r="Z84" s="57" t="str">
        <f>IFERROR(INDEX(TableTECalcPts[Custom],MATCH(TableTERanks[[#This Row],[RK]],TableTECalcPts[RK],0)),"")</f>
        <v/>
      </c>
      <c r="AA84" s="125" t="e">
        <f>(((VLOOKUP(TableTERanks[[#This Row],[Player]],'OVR &amp; VORP Ranks'!$W:$AA,5,FALSE)))/('OVR &amp; VORP Ranks'!$BM$6))*(Settings!$E$10*TEAMS)</f>
        <v>#VALUE!</v>
      </c>
    </row>
    <row r="85" spans="8:27" x14ac:dyDescent="0.2">
      <c r="H85">
        <v>84</v>
      </c>
      <c r="I85" t="str">
        <f>IFERROR(INDEX(TableRBCalcPts[PLAYER],MATCH(TableRBRanks[[#This Row],[RK]],TableRBCalcPts[RK],0)),"")</f>
        <v>Kimani Vidal</v>
      </c>
      <c r="J85" t="str">
        <f>IFERROR(INDEX(TableRBCalcPts[TM],MATCH(TableRBRanks[[#This Row],[RK]],TableRBCalcPts[RK],0)),"")</f>
        <v>LAC</v>
      </c>
      <c r="K85">
        <f>IFERROR(INDEX(TableRBCalcPts[BYE],MATCH(TableRBRanks[[#This Row],[RK]],TableRBCalcPts[RK],0)),"")</f>
        <v>5</v>
      </c>
      <c r="L85" s="57">
        <f>IFERROR(INDEX(TableRBCalcPts[Custom],MATCH(TableRBRanks[[#This Row],[RK]],TableRBCalcPts[RK],0)),"")</f>
        <v>22.870970628816636</v>
      </c>
      <c r="M85" s="125">
        <f>(((VLOOKUP(TableRBRanks[[#This Row],[Player]],'OVR &amp; VORP Ranks'!$I:$M,5,FALSE)))/('OVR &amp; VORP Ranks'!$BM$6))*(Settings!$E$10*TEAMS)</f>
        <v>-34.606693077998258</v>
      </c>
      <c r="O85">
        <v>84</v>
      </c>
      <c r="P85" t="str">
        <f>IFERROR(INDEX(TableWRCalcPts[PLAYER],MATCH(TableWRRanks[[#This Row],[RK]],TableWRCalcPts[RK],0)),"")</f>
        <v>Dyami Brown</v>
      </c>
      <c r="Q85" t="str">
        <f>IFERROR(INDEX(TableWRCalcPts[TM],MATCH(TableWRRanks[[#This Row],[RK]],TableWRCalcPts[RK],0)),"")</f>
        <v>WSH</v>
      </c>
      <c r="R85">
        <f>IFERROR(INDEX(TableWRCalcPts[BYE],MATCH(TableWRRanks[[#This Row],[RK]],TableWRCalcPts[RK],0)),"")</f>
        <v>14</v>
      </c>
      <c r="S85" s="57">
        <f>IFERROR(INDEX(TableWRCalcPts[Custom],MATCH(TableWRRanks[[#This Row],[RK]],TableWRCalcPts[RK],0)),"")</f>
        <v>99.25364432662559</v>
      </c>
      <c r="T85" s="125">
        <f>(((VLOOKUP(TableWRRanks[[#This Row],[Player]],'OVR &amp; VORP Ranks'!$P:$T,5,FALSE)))/('OVR &amp; VORP Ranks'!$BM$6))*(Settings!$E$10*TEAMS)</f>
        <v>-20.898848260548114</v>
      </c>
      <c r="V85">
        <v>84</v>
      </c>
      <c r="W85" t="str">
        <f>IFERROR(INDEX(TableTECalcPts[PLAYER],MATCH(TableTERanks[[#This Row],[RK]],TableTECalcPts[RK],0)),"")</f>
        <v/>
      </c>
      <c r="X85" t="str">
        <f>IFERROR(INDEX(TableTECalcPts[TM],MATCH(TableTERanks[[#This Row],[RK]],TableTECalcPts[RK],0)),"")</f>
        <v/>
      </c>
      <c r="Y85" t="str">
        <f>IFERROR(INDEX(TableTECalcPts[BYE],MATCH(TableTERanks[[#This Row],[RK]],TableTECalcPts[RK],0)),"")</f>
        <v/>
      </c>
      <c r="Z85" s="57" t="str">
        <f>IFERROR(INDEX(TableTECalcPts[Custom],MATCH(TableTERanks[[#This Row],[RK]],TableTECalcPts[RK],0)),"")</f>
        <v/>
      </c>
      <c r="AA85" s="125" t="e">
        <f>(((VLOOKUP(TableTERanks[[#This Row],[Player]],'OVR &amp; VORP Ranks'!$W:$AA,5,FALSE)))/('OVR &amp; VORP Ranks'!$BM$6))*(Settings!$E$10*TEAMS)</f>
        <v>#VALUE!</v>
      </c>
    </row>
    <row r="86" spans="8:27" x14ac:dyDescent="0.2">
      <c r="H86">
        <v>85</v>
      </c>
      <c r="I86" t="str">
        <f>IFERROR(INDEX(TableRBCalcPts[PLAYER],MATCH(TableRBRanks[[#This Row],[RK]],TableRBCalcPts[RK],0)),"")</f>
        <v>Miles Sanders</v>
      </c>
      <c r="J86" t="str">
        <f>IFERROR(INDEX(TableRBCalcPts[TM],MATCH(TableRBRanks[[#This Row],[RK]],TableRBCalcPts[RK],0)),"")</f>
        <v>CAR</v>
      </c>
      <c r="K86">
        <f>IFERROR(INDEX(TableRBCalcPts[BYE],MATCH(TableRBRanks[[#This Row],[RK]],TableRBCalcPts[RK],0)),"")</f>
        <v>11</v>
      </c>
      <c r="L86" s="57">
        <f>IFERROR(INDEX(TableRBCalcPts[Custom],MATCH(TableRBRanks[[#This Row],[RK]],TableRBCalcPts[RK],0)),"")</f>
        <v>22.254131037480178</v>
      </c>
      <c r="M86" s="125">
        <f>(((VLOOKUP(TableRBRanks[[#This Row],[Player]],'OVR &amp; VORP Ranks'!$I:$M,5,FALSE)))/('OVR &amp; VORP Ranks'!$BM$6))*(Settings!$E$10*TEAMS)</f>
        <v>-34.826667925608255</v>
      </c>
      <c r="O86">
        <v>85</v>
      </c>
      <c r="P86" t="str">
        <f>IFERROR(INDEX(TableWRCalcPts[PLAYER],MATCH(TableWRRanks[[#This Row],[RK]],TableWRCalcPts[RK],0)),"")</f>
        <v>K.J. Osborn</v>
      </c>
      <c r="Q86" t="str">
        <f>IFERROR(INDEX(TableWRCalcPts[TM],MATCH(TableWRRanks[[#This Row],[RK]],TableWRCalcPts[RK],0)),"")</f>
        <v>NE</v>
      </c>
      <c r="R86">
        <f>IFERROR(INDEX(TableWRCalcPts[BYE],MATCH(TableWRRanks[[#This Row],[RK]],TableWRCalcPts[RK],0)),"")</f>
        <v>14</v>
      </c>
      <c r="S86" s="57">
        <f>IFERROR(INDEX(TableWRCalcPts[Custom],MATCH(TableWRRanks[[#This Row],[RK]],TableWRCalcPts[RK],0)),"")</f>
        <v>93.985026112107334</v>
      </c>
      <c r="T86" s="125">
        <f>(((VLOOKUP(TableWRRanks[[#This Row],[Player]],'OVR &amp; VORP Ranks'!$P:$T,5,FALSE)))/('OVR &amp; VORP Ranks'!$BM$6))*(Settings!$E$10*TEAMS)</f>
        <v>-23.19441751714956</v>
      </c>
      <c r="V86">
        <v>85</v>
      </c>
      <c r="W86" t="str">
        <f>IFERROR(INDEX(TableTECalcPts[PLAYER],MATCH(TableTERanks[[#This Row],[RK]],TableTECalcPts[RK],0)),"")</f>
        <v/>
      </c>
      <c r="X86" t="str">
        <f>IFERROR(INDEX(TableTECalcPts[TM],MATCH(TableTERanks[[#This Row],[RK]],TableTECalcPts[RK],0)),"")</f>
        <v/>
      </c>
      <c r="Y86" t="str">
        <f>IFERROR(INDEX(TableTECalcPts[BYE],MATCH(TableTERanks[[#This Row],[RK]],TableTECalcPts[RK],0)),"")</f>
        <v/>
      </c>
      <c r="Z86" s="57" t="str">
        <f>IFERROR(INDEX(TableTECalcPts[Custom],MATCH(TableTERanks[[#This Row],[RK]],TableTECalcPts[RK],0)),"")</f>
        <v/>
      </c>
      <c r="AA86" s="125" t="e">
        <f>(((VLOOKUP(TableTERanks[[#This Row],[Player]],'OVR &amp; VORP Ranks'!$W:$AA,5,FALSE)))/('OVR &amp; VORP Ranks'!$BM$6))*(Settings!$E$10*TEAMS)</f>
        <v>#VALUE!</v>
      </c>
    </row>
    <row r="87" spans="8:27" x14ac:dyDescent="0.2">
      <c r="H87">
        <v>86</v>
      </c>
      <c r="I87" t="str">
        <f>IFERROR(INDEX(TableRBCalcPts[PLAYER],MATCH(TableRBRanks[[#This Row],[RK]],TableRBCalcPts[RK],0)),"")</f>
        <v>Tyler Goodson</v>
      </c>
      <c r="J87" t="str">
        <f>IFERROR(INDEX(TableRBCalcPts[TM],MATCH(TableRBRanks[[#This Row],[RK]],TableRBCalcPts[RK],0)),"")</f>
        <v>IND</v>
      </c>
      <c r="K87">
        <f>IFERROR(INDEX(TableRBCalcPts[BYE],MATCH(TableRBRanks[[#This Row],[RK]],TableRBCalcPts[RK],0)),"")</f>
        <v>14</v>
      </c>
      <c r="L87" s="57">
        <f>IFERROR(INDEX(TableRBCalcPts[Custom],MATCH(TableRBRanks[[#This Row],[RK]],TableRBCalcPts[RK],0)),"")</f>
        <v>21.431914367906273</v>
      </c>
      <c r="M87" s="125">
        <f>(((VLOOKUP(TableRBRanks[[#This Row],[Player]],'OVR &amp; VORP Ranks'!$I:$M,5,FALSE)))/('OVR &amp; VORP Ranks'!$BM$6))*(Settings!$E$10*TEAMS)</f>
        <v>-35.11988351866065</v>
      </c>
      <c r="O87">
        <v>86</v>
      </c>
      <c r="P87" t="str">
        <f>IFERROR(INDEX(TableWRCalcPts[PLAYER],MATCH(TableWRRanks[[#This Row],[RK]],TableWRCalcPts[RK],0)),"")</f>
        <v>Ja'Lynn Polk</v>
      </c>
      <c r="Q87" t="str">
        <f>IFERROR(INDEX(TableWRCalcPts[TM],MATCH(TableWRRanks[[#This Row],[RK]],TableWRCalcPts[RK],0)),"")</f>
        <v>NE</v>
      </c>
      <c r="R87">
        <f>IFERROR(INDEX(TableWRCalcPts[BYE],MATCH(TableWRRanks[[#This Row],[RK]],TableWRCalcPts[RK],0)),"")</f>
        <v>14</v>
      </c>
      <c r="S87" s="57">
        <f>IFERROR(INDEX(TableWRCalcPts[Custom],MATCH(TableWRRanks[[#This Row],[RK]],TableWRCalcPts[RK],0)),"")</f>
        <v>92.520147055073906</v>
      </c>
      <c r="T87" s="125">
        <f>(((VLOOKUP(TableWRRanks[[#This Row],[Player]],'OVR &amp; VORP Ranks'!$P:$T,5,FALSE)))/('OVR &amp; VORP Ranks'!$BM$6))*(Settings!$E$10*TEAMS)</f>
        <v>-23.832674303093718</v>
      </c>
      <c r="V87">
        <v>86</v>
      </c>
      <c r="W87" t="str">
        <f>IFERROR(INDEX(TableTECalcPts[PLAYER],MATCH(TableTERanks[[#This Row],[RK]],TableTECalcPts[RK],0)),"")</f>
        <v/>
      </c>
      <c r="X87" t="str">
        <f>IFERROR(INDEX(TableTECalcPts[TM],MATCH(TableTERanks[[#This Row],[RK]],TableTECalcPts[RK],0)),"")</f>
        <v/>
      </c>
      <c r="Y87" t="str">
        <f>IFERROR(INDEX(TableTECalcPts[BYE],MATCH(TableTERanks[[#This Row],[RK]],TableTECalcPts[RK],0)),"")</f>
        <v/>
      </c>
      <c r="Z87" s="57" t="str">
        <f>IFERROR(INDEX(TableTECalcPts[Custom],MATCH(TableTERanks[[#This Row],[RK]],TableTECalcPts[RK],0)),"")</f>
        <v/>
      </c>
      <c r="AA87" s="125" t="e">
        <f>(((VLOOKUP(TableTERanks[[#This Row],[Player]],'OVR &amp; VORP Ranks'!$W:$AA,5,FALSE)))/('OVR &amp; VORP Ranks'!$BM$6))*(Settings!$E$10*TEAMS)</f>
        <v>#VALUE!</v>
      </c>
    </row>
    <row r="88" spans="8:27" x14ac:dyDescent="0.2">
      <c r="H88">
        <v>87</v>
      </c>
      <c r="I88" t="str">
        <f>IFERROR(INDEX(TableRBCalcPts[PLAYER],MATCH(TableRBRanks[[#This Row],[RK]],TableRBCalcPts[RK],0)),"")</f>
        <v>Clyde Edwards-Helaire</v>
      </c>
      <c r="J88" t="str">
        <f>IFERROR(INDEX(TableRBCalcPts[TM],MATCH(TableRBRanks[[#This Row],[RK]],TableRBCalcPts[RK],0)),"")</f>
        <v>KC</v>
      </c>
      <c r="K88">
        <f>IFERROR(INDEX(TableRBCalcPts[BYE],MATCH(TableRBRanks[[#This Row],[RK]],TableRBCalcPts[RK],0)),"")</f>
        <v>6</v>
      </c>
      <c r="L88" s="57">
        <f>IFERROR(INDEX(TableRBCalcPts[Custom],MATCH(TableRBRanks[[#This Row],[RK]],TableRBCalcPts[RK],0)),"")</f>
        <v>19.953388884589188</v>
      </c>
      <c r="M88" s="125">
        <f>(((VLOOKUP(TableRBRanks[[#This Row],[Player]],'OVR &amp; VORP Ranks'!$I:$M,5,FALSE)))/('OVR &amp; VORP Ranks'!$BM$6))*(Settings!$E$10*TEAMS)</f>
        <v>-35.647149314255088</v>
      </c>
      <c r="O88">
        <v>87</v>
      </c>
      <c r="P88" t="str">
        <f>IFERROR(INDEX(TableWRCalcPts[PLAYER],MATCH(TableWRRanks[[#This Row],[RK]],TableWRCalcPts[RK],0)),"")</f>
        <v>Nelson Agholor</v>
      </c>
      <c r="Q88" t="str">
        <f>IFERROR(INDEX(TableWRCalcPts[TM],MATCH(TableWRRanks[[#This Row],[RK]],TableWRCalcPts[RK],0)),"")</f>
        <v>BAL</v>
      </c>
      <c r="R88">
        <f>IFERROR(INDEX(TableWRCalcPts[BYE],MATCH(TableWRRanks[[#This Row],[RK]],TableWRCalcPts[RK],0)),"")</f>
        <v>14</v>
      </c>
      <c r="S88" s="57">
        <f>IFERROR(INDEX(TableWRCalcPts[Custom],MATCH(TableWRRanks[[#This Row],[RK]],TableWRCalcPts[RK],0)),"")</f>
        <v>88.344267554403842</v>
      </c>
      <c r="T88" s="125">
        <f>(((VLOOKUP(TableWRRanks[[#This Row],[Player]],'OVR &amp; VORP Ranks'!$P:$T,5,FALSE)))/('OVR &amp; VORP Ranks'!$BM$6))*(Settings!$E$10*TEAMS)</f>
        <v>-25.652130602773028</v>
      </c>
      <c r="V88">
        <v>87</v>
      </c>
      <c r="W88" t="str">
        <f>IFERROR(INDEX(TableTECalcPts[PLAYER],MATCH(TableTERanks[[#This Row],[RK]],TableTECalcPts[RK],0)),"")</f>
        <v/>
      </c>
      <c r="X88" t="str">
        <f>IFERROR(INDEX(TableTECalcPts[TM],MATCH(TableTERanks[[#This Row],[RK]],TableTECalcPts[RK],0)),"")</f>
        <v/>
      </c>
      <c r="Y88" t="str">
        <f>IFERROR(INDEX(TableTECalcPts[BYE],MATCH(TableTERanks[[#This Row],[RK]],TableTECalcPts[RK],0)),"")</f>
        <v/>
      </c>
      <c r="Z88" s="57" t="str">
        <f>IFERROR(INDEX(TableTECalcPts[Custom],MATCH(TableTERanks[[#This Row],[RK]],TableTECalcPts[RK],0)),"")</f>
        <v/>
      </c>
      <c r="AA88" s="125" t="e">
        <f>(((VLOOKUP(TableTERanks[[#This Row],[Player]],'OVR &amp; VORP Ranks'!$W:$AA,5,FALSE)))/('OVR &amp; VORP Ranks'!$BM$6))*(Settings!$E$10*TEAMS)</f>
        <v>#VALUE!</v>
      </c>
    </row>
    <row r="89" spans="8:27" x14ac:dyDescent="0.2">
      <c r="H89">
        <v>88</v>
      </c>
      <c r="I89" t="str">
        <f>IFERROR(INDEX(TableRBCalcPts[PLAYER],MATCH(TableRBRanks[[#This Row],[RK]],TableRBCalcPts[RK],0)),"")</f>
        <v>Craig Reynolds</v>
      </c>
      <c r="J89" t="str">
        <f>IFERROR(INDEX(TableRBCalcPts[TM],MATCH(TableRBRanks[[#This Row],[RK]],TableRBCalcPts[RK],0)),"")</f>
        <v>DET</v>
      </c>
      <c r="K89">
        <f>IFERROR(INDEX(TableRBCalcPts[BYE],MATCH(TableRBRanks[[#This Row],[RK]],TableRBCalcPts[RK],0)),"")</f>
        <v>5</v>
      </c>
      <c r="L89" s="57">
        <f>IFERROR(INDEX(TableRBCalcPts[Custom],MATCH(TableRBRanks[[#This Row],[RK]],TableRBCalcPts[RK],0)),"")</f>
        <v>19.745636094954225</v>
      </c>
      <c r="M89" s="125">
        <f>(((VLOOKUP(TableRBRanks[[#This Row],[Player]],'OVR &amp; VORP Ranks'!$I:$M,5,FALSE)))/('OVR &amp; VORP Ranks'!$BM$6))*(Settings!$E$10*TEAMS)</f>
        <v>-35.72123727631584</v>
      </c>
      <c r="O89">
        <v>88</v>
      </c>
      <c r="P89" t="str">
        <f>IFERROR(INDEX(TableWRCalcPts[PLAYER],MATCH(TableWRRanks[[#This Row],[RK]],TableWRCalcPts[RK],0)),"")</f>
        <v>Ray-Ray McCloud</v>
      </c>
      <c r="Q89" t="str">
        <f>IFERROR(INDEX(TableWRCalcPts[TM],MATCH(TableWRRanks[[#This Row],[RK]],TableWRCalcPts[RK],0)),"")</f>
        <v>ATL</v>
      </c>
      <c r="R89">
        <f>IFERROR(INDEX(TableWRCalcPts[BYE],MATCH(TableWRRanks[[#This Row],[RK]],TableWRCalcPts[RK],0)),"")</f>
        <v>12</v>
      </c>
      <c r="S89" s="57">
        <f>IFERROR(INDEX(TableWRCalcPts[Custom],MATCH(TableWRRanks[[#This Row],[RK]],TableWRCalcPts[RK],0)),"")</f>
        <v>84.228861685020107</v>
      </c>
      <c r="T89" s="125">
        <f>(((VLOOKUP(TableWRRanks[[#This Row],[Player]],'OVR &amp; VORP Ranks'!$P:$T,5,FALSE)))/('OVR &amp; VORP Ranks'!$BM$6))*(Settings!$E$10*TEAMS)</f>
        <v>-27.445238170552692</v>
      </c>
      <c r="V89">
        <v>88</v>
      </c>
      <c r="W89" t="str">
        <f>IFERROR(INDEX(TableTECalcPts[PLAYER],MATCH(TableTERanks[[#This Row],[RK]],TableTECalcPts[RK],0)),"")</f>
        <v/>
      </c>
      <c r="X89" t="str">
        <f>IFERROR(INDEX(TableTECalcPts[TM],MATCH(TableTERanks[[#This Row],[RK]],TableTECalcPts[RK],0)),"")</f>
        <v/>
      </c>
      <c r="Y89" t="str">
        <f>IFERROR(INDEX(TableTECalcPts[BYE],MATCH(TableTERanks[[#This Row],[RK]],TableTECalcPts[RK],0)),"")</f>
        <v/>
      </c>
      <c r="Z89" s="57" t="str">
        <f>IFERROR(INDEX(TableTECalcPts[Custom],MATCH(TableTERanks[[#This Row],[RK]],TableTECalcPts[RK],0)),"")</f>
        <v/>
      </c>
      <c r="AA89" s="125" t="e">
        <f>(((VLOOKUP(TableTERanks[[#This Row],[Player]],'OVR &amp; VORP Ranks'!$W:$AA,5,FALSE)))/('OVR &amp; VORP Ranks'!$BM$6))*(Settings!$E$10*TEAMS)</f>
        <v>#VALUE!</v>
      </c>
    </row>
    <row r="90" spans="8:27" x14ac:dyDescent="0.2">
      <c r="H90">
        <v>89</v>
      </c>
      <c r="I90" t="str">
        <f>IFERROR(INDEX(TableRBCalcPts[PLAYER],MATCH(TableRBRanks[[#This Row],[RK]],TableRBCalcPts[RK],0)),"")</f>
        <v>JaMycal Hasty</v>
      </c>
      <c r="J90" t="str">
        <f>IFERROR(INDEX(TableRBCalcPts[TM],MATCH(TableRBRanks[[#This Row],[RK]],TableRBCalcPts[RK],0)),"")</f>
        <v>NE</v>
      </c>
      <c r="K90">
        <f>IFERROR(INDEX(TableRBCalcPts[BYE],MATCH(TableRBRanks[[#This Row],[RK]],TableRBCalcPts[RK],0)),"")</f>
        <v>14</v>
      </c>
      <c r="L90" s="57">
        <f>IFERROR(INDEX(TableRBCalcPts[Custom],MATCH(TableRBRanks[[#This Row],[RK]],TableRBCalcPts[RK],0)),"")</f>
        <v>19.737978312410934</v>
      </c>
      <c r="M90" s="125">
        <f>(((VLOOKUP(TableRBRanks[[#This Row],[Player]],'OVR &amp; VORP Ranks'!$I:$M,5,FALSE)))/('OVR &amp; VORP Ranks'!$BM$6))*(Settings!$E$10*TEAMS)</f>
        <v>-35.723968163845839</v>
      </c>
      <c r="O90">
        <v>89</v>
      </c>
      <c r="P90" t="str">
        <f>IFERROR(INDEX(TableWRCalcPts[PLAYER],MATCH(TableWRRanks[[#This Row],[RK]],TableWRCalcPts[RK],0)),"")</f>
        <v>Tyler Boyd</v>
      </c>
      <c r="Q90" t="str">
        <f>IFERROR(INDEX(TableWRCalcPts[TM],MATCH(TableWRRanks[[#This Row],[RK]],TableWRCalcPts[RK],0)),"")</f>
        <v>TEN</v>
      </c>
      <c r="R90">
        <f>IFERROR(INDEX(TableWRCalcPts[BYE],MATCH(TableWRRanks[[#This Row],[RK]],TableWRCalcPts[RK],0)),"")</f>
        <v>5</v>
      </c>
      <c r="S90" s="57">
        <f>IFERROR(INDEX(TableWRCalcPts[Custom],MATCH(TableWRRanks[[#This Row],[RK]],TableWRCalcPts[RK],0)),"")</f>
        <v>81.555692015345855</v>
      </c>
      <c r="T90" s="125">
        <f>(((VLOOKUP(TableWRRanks[[#This Row],[Player]],'OVR &amp; VORP Ranks'!$P:$T,5,FALSE)))/('OVR &amp; VORP Ranks'!$BM$6))*(Settings!$E$10*TEAMS)</f>
        <v>-28.609954584141743</v>
      </c>
      <c r="V90">
        <v>89</v>
      </c>
      <c r="W90" t="str">
        <f>IFERROR(INDEX(TableTECalcPts[PLAYER],MATCH(TableTERanks[[#This Row],[RK]],TableTECalcPts[RK],0)),"")</f>
        <v/>
      </c>
      <c r="X90" t="str">
        <f>IFERROR(INDEX(TableTECalcPts[TM],MATCH(TableTERanks[[#This Row],[RK]],TableTECalcPts[RK],0)),"")</f>
        <v/>
      </c>
      <c r="Y90" t="str">
        <f>IFERROR(INDEX(TableTECalcPts[BYE],MATCH(TableTERanks[[#This Row],[RK]],TableTECalcPts[RK],0)),"")</f>
        <v/>
      </c>
      <c r="Z90" s="57" t="str">
        <f>IFERROR(INDEX(TableTECalcPts[Custom],MATCH(TableTERanks[[#This Row],[RK]],TableTECalcPts[RK],0)),"")</f>
        <v/>
      </c>
      <c r="AA90" s="125" t="e">
        <f>(((VLOOKUP(TableTERanks[[#This Row],[Player]],'OVR &amp; VORP Ranks'!$W:$AA,5,FALSE)))/('OVR &amp; VORP Ranks'!$BM$6))*(Settings!$E$10*TEAMS)</f>
        <v>#VALUE!</v>
      </c>
    </row>
    <row r="91" spans="8:27" x14ac:dyDescent="0.2">
      <c r="H91">
        <v>90</v>
      </c>
      <c r="I91" t="str">
        <f>IFERROR(INDEX(TableRBCalcPts[PLAYER],MATCH(TableRBRanks[[#This Row],[RK]],TableRBCalcPts[RK],0)),"")</f>
        <v>Pierre Strong</v>
      </c>
      <c r="J91" t="str">
        <f>IFERROR(INDEX(TableRBCalcPts[TM],MATCH(TableRBRanks[[#This Row],[RK]],TableRBCalcPts[RK],0)),"")</f>
        <v>CLE</v>
      </c>
      <c r="K91">
        <f>IFERROR(INDEX(TableRBCalcPts[BYE],MATCH(TableRBRanks[[#This Row],[RK]],TableRBCalcPts[RK],0)),"")</f>
        <v>10</v>
      </c>
      <c r="L91" s="57">
        <f>IFERROR(INDEX(TableRBCalcPts[Custom],MATCH(TableRBRanks[[#This Row],[RK]],TableRBCalcPts[RK],0)),"")</f>
        <v>18.346231257200003</v>
      </c>
      <c r="M91" s="125">
        <f>(((VLOOKUP(TableRBRanks[[#This Row],[Player]],'OVR &amp; VORP Ranks'!$I:$M,5,FALSE)))/('OVR &amp; VORP Ranks'!$BM$6))*(Settings!$E$10*TEAMS)</f>
        <v>-36.220287386349646</v>
      </c>
      <c r="O91">
        <v>90</v>
      </c>
      <c r="P91" t="str">
        <f>IFERROR(INDEX(TableWRCalcPts[PLAYER],MATCH(TableWRRanks[[#This Row],[RK]],TableWRCalcPts[RK],0)),"")</f>
        <v>Jalin Hyatt</v>
      </c>
      <c r="Q91" t="str">
        <f>IFERROR(INDEX(TableWRCalcPts[TM],MATCH(TableWRRanks[[#This Row],[RK]],TableWRCalcPts[RK],0)),"")</f>
        <v>NYG</v>
      </c>
      <c r="R91">
        <f>IFERROR(INDEX(TableWRCalcPts[BYE],MATCH(TableWRRanks[[#This Row],[RK]],TableWRCalcPts[RK],0)),"")</f>
        <v>11</v>
      </c>
      <c r="S91" s="57">
        <f>IFERROR(INDEX(TableWRCalcPts[Custom],MATCH(TableWRRanks[[#This Row],[RK]],TableWRCalcPts[RK],0)),"")</f>
        <v>78.840212767144308</v>
      </c>
      <c r="T91" s="125">
        <f>(((VLOOKUP(TableWRRanks[[#This Row],[Player]],'OVR &amp; VORP Ranks'!$P:$T,5,FALSE)))/('OVR &amp; VORP Ranks'!$BM$6))*(Settings!$E$10*TEAMS)</f>
        <v>-29.79310554048422</v>
      </c>
      <c r="V91">
        <v>90</v>
      </c>
      <c r="W91" t="str">
        <f>IFERROR(INDEX(TableTECalcPts[PLAYER],MATCH(TableTERanks[[#This Row],[RK]],TableTECalcPts[RK],0)),"")</f>
        <v/>
      </c>
      <c r="X91" t="str">
        <f>IFERROR(INDEX(TableTECalcPts[TM],MATCH(TableTERanks[[#This Row],[RK]],TableTECalcPts[RK],0)),"")</f>
        <v/>
      </c>
      <c r="Y91" t="str">
        <f>IFERROR(INDEX(TableTECalcPts[BYE],MATCH(TableTERanks[[#This Row],[RK]],TableTECalcPts[RK],0)),"")</f>
        <v/>
      </c>
      <c r="Z91" s="57" t="str">
        <f>IFERROR(INDEX(TableTECalcPts[Custom],MATCH(TableTERanks[[#This Row],[RK]],TableTECalcPts[RK],0)),"")</f>
        <v/>
      </c>
      <c r="AA91" s="125" t="e">
        <f>(((VLOOKUP(TableTERanks[[#This Row],[Player]],'OVR &amp; VORP Ranks'!$W:$AA,5,FALSE)))/('OVR &amp; VORP Ranks'!$BM$6))*(Settings!$E$10*TEAMS)</f>
        <v>#VALUE!</v>
      </c>
    </row>
    <row r="92" spans="8:27" x14ac:dyDescent="0.2">
      <c r="H92">
        <v>91</v>
      </c>
      <c r="I92" t="str">
        <f>IFERROR(INDEX(TableRBCalcPts[PLAYER],MATCH(TableRBRanks[[#This Row],[RK]],TableRBCalcPts[RK],0)),"")</f>
        <v>Israel Abanikanda</v>
      </c>
      <c r="J92" t="str">
        <f>IFERROR(INDEX(TableRBCalcPts[TM],MATCH(TableRBRanks[[#This Row],[RK]],TableRBCalcPts[RK],0)),"")</f>
        <v>NYJ</v>
      </c>
      <c r="K92">
        <f>IFERROR(INDEX(TableRBCalcPts[BYE],MATCH(TableRBRanks[[#This Row],[RK]],TableRBCalcPts[RK],0)),"")</f>
        <v>12</v>
      </c>
      <c r="L92" s="57">
        <f>IFERROR(INDEX(TableRBCalcPts[Custom],MATCH(TableRBRanks[[#This Row],[RK]],TableRBCalcPts[RK],0)),"")</f>
        <v>17.414630244290926</v>
      </c>
      <c r="M92" s="125">
        <f>(((VLOOKUP(TableRBRanks[[#This Row],[Player]],'OVR &amp; VORP Ranks'!$I:$M,5,FALSE)))/('OVR &amp; VORP Ranks'!$BM$6))*(Settings!$E$10*TEAMS)</f>
        <v>-36.552511182821576</v>
      </c>
      <c r="O92">
        <v>91</v>
      </c>
      <c r="P92" t="str">
        <f>IFERROR(INDEX(TableWRCalcPts[PLAYER],MATCH(TableWRRanks[[#This Row],[RK]],TableWRCalcPts[RK],0)),"")</f>
        <v>Troy Franklin</v>
      </c>
      <c r="Q92" t="str">
        <f>IFERROR(INDEX(TableWRCalcPts[TM],MATCH(TableWRRanks[[#This Row],[RK]],TableWRCalcPts[RK],0)),"")</f>
        <v>DEN</v>
      </c>
      <c r="R92">
        <f>IFERROR(INDEX(TableWRCalcPts[BYE],MATCH(TableWRRanks[[#This Row],[RK]],TableWRCalcPts[RK],0)),"")</f>
        <v>14</v>
      </c>
      <c r="S92" s="57">
        <f>IFERROR(INDEX(TableWRCalcPts[Custom],MATCH(TableWRRanks[[#This Row],[RK]],TableWRCalcPts[RK],0)),"")</f>
        <v>77.840978498808838</v>
      </c>
      <c r="T92" s="125">
        <f>(((VLOOKUP(TableWRRanks[[#This Row],[Player]],'OVR &amp; VORP Ranks'!$P:$T,5,FALSE)))/('OVR &amp; VORP Ranks'!$BM$6))*(Settings!$E$10*TEAMS)</f>
        <v>-30.228478037244894</v>
      </c>
      <c r="V92">
        <v>91</v>
      </c>
      <c r="W92" t="str">
        <f>IFERROR(INDEX(TableTECalcPts[PLAYER],MATCH(TableTERanks[[#This Row],[RK]],TableTECalcPts[RK],0)),"")</f>
        <v/>
      </c>
      <c r="X92" t="str">
        <f>IFERROR(INDEX(TableTECalcPts[TM],MATCH(TableTERanks[[#This Row],[RK]],TableTECalcPts[RK],0)),"")</f>
        <v/>
      </c>
      <c r="Y92" t="str">
        <f>IFERROR(INDEX(TableTECalcPts[BYE],MATCH(TableTERanks[[#This Row],[RK]],TableTECalcPts[RK],0)),"")</f>
        <v/>
      </c>
      <c r="Z92" s="57" t="str">
        <f>IFERROR(INDEX(TableTECalcPts[Custom],MATCH(TableTERanks[[#This Row],[RK]],TableTECalcPts[RK],0)),"")</f>
        <v/>
      </c>
      <c r="AA92" s="125" t="e">
        <f>(((VLOOKUP(TableTERanks[[#This Row],[Player]],'OVR &amp; VORP Ranks'!$W:$AA,5,FALSE)))/('OVR &amp; VORP Ranks'!$BM$6))*(Settings!$E$10*TEAMS)</f>
        <v>#VALUE!</v>
      </c>
    </row>
    <row r="93" spans="8:27" x14ac:dyDescent="0.2">
      <c r="H93">
        <v>92</v>
      </c>
      <c r="I93" t="str">
        <f>IFERROR(INDEX(TableRBCalcPts[PLAYER],MATCH(TableRBRanks[[#This Row],[RK]],TableRBCalcPts[RK],0)),"")</f>
        <v>Keillan Robinson</v>
      </c>
      <c r="J93" t="str">
        <f>IFERROR(INDEX(TableRBCalcPts[TM],MATCH(TableRBRanks[[#This Row],[RK]],TableRBCalcPts[RK],0)),"")</f>
        <v>JAX</v>
      </c>
      <c r="K93">
        <f>IFERROR(INDEX(TableRBCalcPts[BYE],MATCH(TableRBRanks[[#This Row],[RK]],TableRBCalcPts[RK],0)),"")</f>
        <v>12</v>
      </c>
      <c r="L93" s="57">
        <f>IFERROR(INDEX(TableRBCalcPts[Custom],MATCH(TableRBRanks[[#This Row],[RK]],TableRBCalcPts[RK],0)),"")</f>
        <v>16.817457293879201</v>
      </c>
      <c r="M93" s="125">
        <f>(((VLOOKUP(TableRBRanks[[#This Row],[Player]],'OVR &amp; VORP Ranks'!$I:$M,5,FALSE)))/('OVR &amp; VORP Ranks'!$BM$6))*(Settings!$E$10*TEAMS)</f>
        <v>-36.765472592252209</v>
      </c>
      <c r="O93">
        <v>92</v>
      </c>
      <c r="P93" t="str">
        <f>IFERROR(INDEX(TableWRCalcPts[PLAYER],MATCH(TableWRRanks[[#This Row],[RK]],TableWRCalcPts[RK],0)),"")</f>
        <v>Kalif Raymond</v>
      </c>
      <c r="Q93" t="str">
        <f>IFERROR(INDEX(TableWRCalcPts[TM],MATCH(TableWRRanks[[#This Row],[RK]],TableWRCalcPts[RK],0)),"")</f>
        <v>DET</v>
      </c>
      <c r="R93">
        <f>IFERROR(INDEX(TableWRCalcPts[BYE],MATCH(TableWRRanks[[#This Row],[RK]],TableWRCalcPts[RK],0)),"")</f>
        <v>5</v>
      </c>
      <c r="S93" s="57">
        <f>IFERROR(INDEX(TableWRCalcPts[Custom],MATCH(TableWRRanks[[#This Row],[RK]],TableWRCalcPts[RK],0)),"")</f>
        <v>75.815283346782593</v>
      </c>
      <c r="T93" s="125">
        <f>(((VLOOKUP(TableWRRanks[[#This Row],[Player]],'OVR &amp; VORP Ranks'!$P:$T,5,FALSE)))/('OVR &amp; VORP Ranks'!$BM$6))*(Settings!$E$10*TEAMS)</f>
        <v>-31.111085833995872</v>
      </c>
      <c r="V93">
        <v>92</v>
      </c>
      <c r="W93" t="str">
        <f>IFERROR(INDEX(TableTECalcPts[PLAYER],MATCH(TableTERanks[[#This Row],[RK]],TableTECalcPts[RK],0)),"")</f>
        <v/>
      </c>
      <c r="X93" t="str">
        <f>IFERROR(INDEX(TableTECalcPts[TM],MATCH(TableTERanks[[#This Row],[RK]],TableTECalcPts[RK],0)),"")</f>
        <v/>
      </c>
      <c r="Y93" t="str">
        <f>IFERROR(INDEX(TableTECalcPts[BYE],MATCH(TableTERanks[[#This Row],[RK]],TableTECalcPts[RK],0)),"")</f>
        <v/>
      </c>
      <c r="Z93" s="57" t="str">
        <f>IFERROR(INDEX(TableTECalcPts[Custom],MATCH(TableTERanks[[#This Row],[RK]],TableTECalcPts[RK],0)),"")</f>
        <v/>
      </c>
      <c r="AA93" s="125" t="e">
        <f>(((VLOOKUP(TableTERanks[[#This Row],[Player]],'OVR &amp; VORP Ranks'!$W:$AA,5,FALSE)))/('OVR &amp; VORP Ranks'!$BM$6))*(Settings!$E$10*TEAMS)</f>
        <v>#VALUE!</v>
      </c>
    </row>
    <row r="94" spans="8:27" x14ac:dyDescent="0.2">
      <c r="H94">
        <v>93</v>
      </c>
      <c r="I94" t="str">
        <f>IFERROR(INDEX(TableRBCalcPts[PLAYER],MATCH(TableRBRanks[[#This Row],[RK]],TableRBCalcPts[RK],0)),"")</f>
        <v>Hassan Haskins</v>
      </c>
      <c r="J94" t="str">
        <f>IFERROR(INDEX(TableRBCalcPts[TM],MATCH(TableRBRanks[[#This Row],[RK]],TableRBCalcPts[RK],0)),"")</f>
        <v>TEN</v>
      </c>
      <c r="K94">
        <f>IFERROR(INDEX(TableRBCalcPts[BYE],MATCH(TableRBRanks[[#This Row],[RK]],TableRBCalcPts[RK],0)),"")</f>
        <v>5</v>
      </c>
      <c r="L94" s="57">
        <f>IFERROR(INDEX(TableRBCalcPts[Custom],MATCH(TableRBRanks[[#This Row],[RK]],TableRBCalcPts[RK],0)),"")</f>
        <v>15.651052764334191</v>
      </c>
      <c r="M94" s="125">
        <f>(((VLOOKUP(TableRBRanks[[#This Row],[Player]],'OVR &amp; VORP Ranks'!$I:$M,5,FALSE)))/('OVR &amp; VORP Ranks'!$BM$6))*(Settings!$E$10*TEAMS)</f>
        <v>-37.181431071963864</v>
      </c>
      <c r="O94">
        <v>93</v>
      </c>
      <c r="P94" t="str">
        <f>IFERROR(INDEX(TableWRCalcPts[PLAYER],MATCH(TableWRRanks[[#This Row],[RK]],TableWRCalcPts[RK],0)),"")</f>
        <v>DJ Chark</v>
      </c>
      <c r="Q94" t="str">
        <f>IFERROR(INDEX(TableWRCalcPts[TM],MATCH(TableWRRanks[[#This Row],[RK]],TableWRCalcPts[RK],0)),"")</f>
        <v>LAC</v>
      </c>
      <c r="R94">
        <f>IFERROR(INDEX(TableWRCalcPts[BYE],MATCH(TableWRRanks[[#This Row],[RK]],TableWRCalcPts[RK],0)),"")</f>
        <v>5</v>
      </c>
      <c r="S94" s="57">
        <f>IFERROR(INDEX(TableWRCalcPts[Custom],MATCH(TableWRRanks[[#This Row],[RK]],TableWRCalcPts[RK],0)),"")</f>
        <v>74.74853649727298</v>
      </c>
      <c r="T94" s="125">
        <f>(((VLOOKUP(TableWRRanks[[#This Row],[Player]],'OVR &amp; VORP Ranks'!$P:$T,5,FALSE)))/('OVR &amp; VORP Ranks'!$BM$6))*(Settings!$E$10*TEAMS)</f>
        <v>-31.575873976276291</v>
      </c>
      <c r="V94">
        <v>93</v>
      </c>
      <c r="W94" t="str">
        <f>IFERROR(INDEX(TableTECalcPts[PLAYER],MATCH(TableTERanks[[#This Row],[RK]],TableTECalcPts[RK],0)),"")</f>
        <v/>
      </c>
      <c r="X94" t="str">
        <f>IFERROR(INDEX(TableTECalcPts[TM],MATCH(TableTERanks[[#This Row],[RK]],TableTECalcPts[RK],0)),"")</f>
        <v/>
      </c>
      <c r="Y94" t="str">
        <f>IFERROR(INDEX(TableTECalcPts[BYE],MATCH(TableTERanks[[#This Row],[RK]],TableTECalcPts[RK],0)),"")</f>
        <v/>
      </c>
      <c r="Z94" s="57" t="str">
        <f>IFERROR(INDEX(TableTECalcPts[Custom],MATCH(TableTERanks[[#This Row],[RK]],TableTECalcPts[RK],0)),"")</f>
        <v/>
      </c>
      <c r="AA94" s="125" t="e">
        <f>(((VLOOKUP(TableTERanks[[#This Row],[Player]],'OVR &amp; VORP Ranks'!$W:$AA,5,FALSE)))/('OVR &amp; VORP Ranks'!$BM$6))*(Settings!$E$10*TEAMS)</f>
        <v>#VALUE!</v>
      </c>
    </row>
    <row r="95" spans="8:27" x14ac:dyDescent="0.2">
      <c r="H95">
        <v>94</v>
      </c>
      <c r="I95" t="str">
        <f>IFERROR(INDEX(TableRBCalcPts[PLAYER],MATCH(TableRBRanks[[#This Row],[RK]],TableRBCalcPts[RK],0)),"")</f>
        <v>Emanuel Wilson</v>
      </c>
      <c r="J95" t="str">
        <f>IFERROR(INDEX(TableRBCalcPts[TM],MATCH(TableRBRanks[[#This Row],[RK]],TableRBCalcPts[RK],0)),"")</f>
        <v>GB</v>
      </c>
      <c r="K95">
        <f>IFERROR(INDEX(TableRBCalcPts[BYE],MATCH(TableRBRanks[[#This Row],[RK]],TableRBCalcPts[RK],0)),"")</f>
        <v>10</v>
      </c>
      <c r="L95" s="57">
        <f>IFERROR(INDEX(TableRBCalcPts[Custom],MATCH(TableRBRanks[[#This Row],[RK]],TableRBCalcPts[RK],0)),"")</f>
        <v>14.378845048288003</v>
      </c>
      <c r="M95" s="125">
        <f>(((VLOOKUP(TableRBRanks[[#This Row],[Player]],'OVR &amp; VORP Ranks'!$I:$M,5,FALSE)))/('OVR &amp; VORP Ranks'!$BM$6))*(Settings!$E$10*TEAMS)</f>
        <v>-37.635120657386203</v>
      </c>
      <c r="O95">
        <v>94</v>
      </c>
      <c r="P95" t="str">
        <f>IFERROR(INDEX(TableWRCalcPts[PLAYER],MATCH(TableWRRanks[[#This Row],[RK]],TableWRCalcPts[RK],0)),"")</f>
        <v>Luke McCaffrey</v>
      </c>
      <c r="Q95" t="str">
        <f>IFERROR(INDEX(TableWRCalcPts[TM],MATCH(TableWRRanks[[#This Row],[RK]],TableWRCalcPts[RK],0)),"")</f>
        <v>WSH</v>
      </c>
      <c r="R95">
        <f>IFERROR(INDEX(TableWRCalcPts[BYE],MATCH(TableWRRanks[[#This Row],[RK]],TableWRCalcPts[RK],0)),"")</f>
        <v>14</v>
      </c>
      <c r="S95" s="57">
        <f>IFERROR(INDEX(TableWRCalcPts[Custom],MATCH(TableWRRanks[[#This Row],[RK]],TableWRCalcPts[RK],0)),"")</f>
        <v>71.775430096650027</v>
      </c>
      <c r="T95" s="125">
        <f>(((VLOOKUP(TableWRRanks[[#This Row],[Player]],'OVR &amp; VORP Ranks'!$P:$T,5,FALSE)))/('OVR &amp; VORP Ranks'!$BM$6))*(Settings!$E$10*TEAMS)</f>
        <v>-32.871274662374226</v>
      </c>
      <c r="V95">
        <v>94</v>
      </c>
      <c r="W95" t="str">
        <f>IFERROR(INDEX(TableTECalcPts[PLAYER],MATCH(TableTERanks[[#This Row],[RK]],TableTECalcPts[RK],0)),"")</f>
        <v/>
      </c>
      <c r="X95" t="str">
        <f>IFERROR(INDEX(TableTECalcPts[TM],MATCH(TableTERanks[[#This Row],[RK]],TableTECalcPts[RK],0)),"")</f>
        <v/>
      </c>
      <c r="Y95" t="str">
        <f>IFERROR(INDEX(TableTECalcPts[BYE],MATCH(TableTERanks[[#This Row],[RK]],TableTECalcPts[RK],0)),"")</f>
        <v/>
      </c>
      <c r="Z95" s="57" t="str">
        <f>IFERROR(INDEX(TableTECalcPts[Custom],MATCH(TableTERanks[[#This Row],[RK]],TableTECalcPts[RK],0)),"")</f>
        <v/>
      </c>
      <c r="AA95" s="125" t="e">
        <f>(((VLOOKUP(TableTERanks[[#This Row],[Player]],'OVR &amp; VORP Ranks'!$W:$AA,5,FALSE)))/('OVR &amp; VORP Ranks'!$BM$6))*(Settings!$E$10*TEAMS)</f>
        <v>#VALUE!</v>
      </c>
    </row>
    <row r="96" spans="8:27" x14ac:dyDescent="0.2">
      <c r="H96">
        <v>95</v>
      </c>
      <c r="I96" t="str">
        <f>IFERROR(INDEX(TableRBCalcPts[PLAYER],MATCH(TableRBRanks[[#This Row],[RK]],TableRBCalcPts[RK],0)),"")</f>
        <v>Ronnie Rivers</v>
      </c>
      <c r="J96" t="str">
        <f>IFERROR(INDEX(TableRBCalcPts[TM],MATCH(TableRBRanks[[#This Row],[RK]],TableRBCalcPts[RK],0)),"")</f>
        <v>LAR</v>
      </c>
      <c r="K96">
        <f>IFERROR(INDEX(TableRBCalcPts[BYE],MATCH(TableRBRanks[[#This Row],[RK]],TableRBCalcPts[RK],0)),"")</f>
        <v>6</v>
      </c>
      <c r="L96" s="57">
        <f>IFERROR(INDEX(TableRBCalcPts[Custom],MATCH(TableRBRanks[[#This Row],[RK]],TableRBCalcPts[RK],0)),"")</f>
        <v>14.014172186551225</v>
      </c>
      <c r="M96" s="125">
        <f>(((VLOOKUP(TableRBRanks[[#This Row],[Player]],'OVR &amp; VORP Ranks'!$I:$M,5,FALSE)))/('OVR &amp; VORP Ranks'!$BM$6))*(Settings!$E$10*TEAMS)</f>
        <v>-37.765168822767805</v>
      </c>
      <c r="O96">
        <v>95</v>
      </c>
      <c r="P96" t="str">
        <f>IFERROR(INDEX(TableWRCalcPts[PLAYER],MATCH(TableWRRanks[[#This Row],[RK]],TableWRCalcPts[RK],0)),"")</f>
        <v>Kendrick Bourne</v>
      </c>
      <c r="Q96" t="str">
        <f>IFERROR(INDEX(TableWRCalcPts[TM],MATCH(TableWRRanks[[#This Row],[RK]],TableWRCalcPts[RK],0)),"")</f>
        <v>NE</v>
      </c>
      <c r="R96">
        <f>IFERROR(INDEX(TableWRCalcPts[BYE],MATCH(TableWRRanks[[#This Row],[RK]],TableWRCalcPts[RK],0)),"")</f>
        <v>14</v>
      </c>
      <c r="S96" s="57">
        <f>IFERROR(INDEX(TableWRCalcPts[Custom],MATCH(TableWRRanks[[#This Row],[RK]],TableWRCalcPts[RK],0)),"")</f>
        <v>70.699840083387201</v>
      </c>
      <c r="T96" s="125">
        <f>(((VLOOKUP(TableWRRanks[[#This Row],[Player]],'OVR &amp; VORP Ranks'!$P:$T,5,FALSE)))/('OVR &amp; VORP Ranks'!$BM$6))*(Settings!$E$10*TEAMS)</f>
        <v>-33.339915825317071</v>
      </c>
      <c r="V96">
        <v>95</v>
      </c>
      <c r="W96" t="str">
        <f>IFERROR(INDEX(TableTECalcPts[PLAYER],MATCH(TableTERanks[[#This Row],[RK]],TableTECalcPts[RK],0)),"")</f>
        <v/>
      </c>
      <c r="X96" t="str">
        <f>IFERROR(INDEX(TableTECalcPts[TM],MATCH(TableTERanks[[#This Row],[RK]],TableTECalcPts[RK],0)),"")</f>
        <v/>
      </c>
      <c r="Y96" t="str">
        <f>IFERROR(INDEX(TableTECalcPts[BYE],MATCH(TableTERanks[[#This Row],[RK]],TableTECalcPts[RK],0)),"")</f>
        <v/>
      </c>
      <c r="Z96" s="57" t="str">
        <f>IFERROR(INDEX(TableTECalcPts[Custom],MATCH(TableTERanks[[#This Row],[RK]],TableTECalcPts[RK],0)),"")</f>
        <v/>
      </c>
      <c r="AA96" s="125" t="e">
        <f>(((VLOOKUP(TableTERanks[[#This Row],[Player]],'OVR &amp; VORP Ranks'!$W:$AA,5,FALSE)))/('OVR &amp; VORP Ranks'!$BM$6))*(Settings!$E$10*TEAMS)</f>
        <v>#VALUE!</v>
      </c>
    </row>
    <row r="97" spans="8:27" x14ac:dyDescent="0.2">
      <c r="H97">
        <v>96</v>
      </c>
      <c r="I97" t="str">
        <f>IFERROR(INDEX(TableRBCalcPts[PLAYER],MATCH(TableRBRanks[[#This Row],[RK]],TableRBCalcPts[RK],0)),"")</f>
        <v>Trayveon Williams</v>
      </c>
      <c r="J97" t="str">
        <f>IFERROR(INDEX(TableRBCalcPts[TM],MATCH(TableRBRanks[[#This Row],[RK]],TableRBCalcPts[RK],0)),"")</f>
        <v>CIN</v>
      </c>
      <c r="K97">
        <f>IFERROR(INDEX(TableRBCalcPts[BYE],MATCH(TableRBRanks[[#This Row],[RK]],TableRBCalcPts[RK],0)),"")</f>
        <v>12</v>
      </c>
      <c r="L97" s="57">
        <f>IFERROR(INDEX(TableRBCalcPts[Custom],MATCH(TableRBRanks[[#This Row],[RK]],TableRBCalcPts[RK],0)),"")</f>
        <v>13.785328291377642</v>
      </c>
      <c r="M97" s="125">
        <f>(((VLOOKUP(TableRBRanks[[#This Row],[Player]],'OVR &amp; VORP Ranks'!$I:$M,5,FALSE)))/('OVR &amp; VORP Ranks'!$BM$6))*(Settings!$E$10*TEAMS)</f>
        <v>-37.846778209834248</v>
      </c>
      <c r="O97">
        <v>96</v>
      </c>
      <c r="P97" t="str">
        <f>IFERROR(INDEX(TableWRCalcPts[PLAYER],MATCH(TableWRRanks[[#This Row],[RK]],TableWRCalcPts[RK],0)),"")</f>
        <v>Brenden Rice</v>
      </c>
      <c r="Q97" t="str">
        <f>IFERROR(INDEX(TableWRCalcPts[TM],MATCH(TableWRRanks[[#This Row],[RK]],TableWRCalcPts[RK],0)),"")</f>
        <v>LAC</v>
      </c>
      <c r="R97">
        <f>IFERROR(INDEX(TableWRCalcPts[BYE],MATCH(TableWRRanks[[#This Row],[RK]],TableWRCalcPts[RK],0)),"")</f>
        <v>5</v>
      </c>
      <c r="S97" s="57">
        <f>IFERROR(INDEX(TableWRCalcPts[Custom],MATCH(TableWRRanks[[#This Row],[RK]],TableWRCalcPts[RK],0)),"")</f>
        <v>65.713634104769312</v>
      </c>
      <c r="T97" s="125">
        <f>(((VLOOKUP(TableWRRanks[[#This Row],[Player]],'OVR &amp; VORP Ranks'!$P:$T,5,FALSE)))/('OVR &amp; VORP Ranks'!$BM$6))*(Settings!$E$10*TEAMS)</f>
        <v>-35.51243633934034</v>
      </c>
      <c r="V97">
        <v>96</v>
      </c>
      <c r="W97" t="str">
        <f>IFERROR(INDEX(TableTECalcPts[PLAYER],MATCH(TableTERanks[[#This Row],[RK]],TableTECalcPts[RK],0)),"")</f>
        <v/>
      </c>
      <c r="X97" t="str">
        <f>IFERROR(INDEX(TableTECalcPts[TM],MATCH(TableTERanks[[#This Row],[RK]],TableTECalcPts[RK],0)),"")</f>
        <v/>
      </c>
      <c r="Y97" t="str">
        <f>IFERROR(INDEX(TableTECalcPts[BYE],MATCH(TableTERanks[[#This Row],[RK]],TableTECalcPts[RK],0)),"")</f>
        <v/>
      </c>
      <c r="Z97" s="57" t="str">
        <f>IFERROR(INDEX(TableTECalcPts[Custom],MATCH(TableTERanks[[#This Row],[RK]],TableTECalcPts[RK],0)),"")</f>
        <v/>
      </c>
      <c r="AA97" s="125" t="e">
        <f>(((VLOOKUP(TableTERanks[[#This Row],[Player]],'OVR &amp; VORP Ranks'!$W:$AA,5,FALSE)))/('OVR &amp; VORP Ranks'!$BM$6))*(Settings!$E$10*TEAMS)</f>
        <v>#VALUE!</v>
      </c>
    </row>
    <row r="98" spans="8:27" x14ac:dyDescent="0.2">
      <c r="H98">
        <v>97</v>
      </c>
      <c r="I98" t="str">
        <f>IFERROR(INDEX(TableRBCalcPts[PLAYER],MATCH(TableRBRanks[[#This Row],[RK]],TableRBCalcPts[RK],0)),"")</f>
        <v>Ty Johnson</v>
      </c>
      <c r="J98" t="str">
        <f>IFERROR(INDEX(TableRBCalcPts[TM],MATCH(TableRBRanks[[#This Row],[RK]],TableRBCalcPts[RK],0)),"")</f>
        <v>BUF</v>
      </c>
      <c r="K98">
        <f>IFERROR(INDEX(TableRBCalcPts[BYE],MATCH(TableRBRanks[[#This Row],[RK]],TableRBCalcPts[RK],0)),"")</f>
        <v>12</v>
      </c>
      <c r="L98" s="57">
        <f>IFERROR(INDEX(TableRBCalcPts[Custom],MATCH(TableRBRanks[[#This Row],[RK]],TableRBCalcPts[RK],0)),"")</f>
        <v>13.759009396897017</v>
      </c>
      <c r="M98" s="125">
        <f>(((VLOOKUP(TableRBRanks[[#This Row],[Player]],'OVR &amp; VORP Ranks'!$I:$M,5,FALSE)))/('OVR &amp; VORP Ranks'!$BM$6))*(Settings!$E$10*TEAMS)</f>
        <v>-37.856163947850995</v>
      </c>
      <c r="O98">
        <v>97</v>
      </c>
      <c r="P98" t="str">
        <f>IFERROR(INDEX(TableWRCalcPts[PLAYER],MATCH(TableWRRanks[[#This Row],[RK]],TableWRCalcPts[RK],0)),"")</f>
        <v>Jalen Nailor</v>
      </c>
      <c r="Q98" t="str">
        <f>IFERROR(INDEX(TableWRCalcPts[TM],MATCH(TableWRRanks[[#This Row],[RK]],TableWRCalcPts[RK],0)),"")</f>
        <v>MIN</v>
      </c>
      <c r="R98">
        <f>IFERROR(INDEX(TableWRCalcPts[BYE],MATCH(TableWRRanks[[#This Row],[RK]],TableWRCalcPts[RK],0)),"")</f>
        <v>6</v>
      </c>
      <c r="S98" s="57">
        <f>IFERROR(INDEX(TableWRCalcPts[Custom],MATCH(TableWRRanks[[#This Row],[RK]],TableWRCalcPts[RK],0)),"")</f>
        <v>64.716988902047987</v>
      </c>
      <c r="T98" s="125">
        <f>(((VLOOKUP(TableWRRanks[[#This Row],[Player]],'OVR &amp; VORP Ranks'!$P:$T,5,FALSE)))/('OVR &amp; VORP Ranks'!$BM$6))*(Settings!$E$10*TEAMS)</f>
        <v>-35.946680764340037</v>
      </c>
      <c r="V98">
        <v>97</v>
      </c>
      <c r="W98" t="str">
        <f>IFERROR(INDEX(TableTECalcPts[PLAYER],MATCH(TableTERanks[[#This Row],[RK]],TableTECalcPts[RK],0)),"")</f>
        <v/>
      </c>
      <c r="X98" t="str">
        <f>IFERROR(INDEX(TableTECalcPts[TM],MATCH(TableTERanks[[#This Row],[RK]],TableTECalcPts[RK],0)),"")</f>
        <v/>
      </c>
      <c r="Y98" t="str">
        <f>IFERROR(INDEX(TableTECalcPts[BYE],MATCH(TableTERanks[[#This Row],[RK]],TableTECalcPts[RK],0)),"")</f>
        <v/>
      </c>
      <c r="Z98" s="57" t="str">
        <f>IFERROR(INDEX(TableTECalcPts[Custom],MATCH(TableTERanks[[#This Row],[RK]],TableTECalcPts[RK],0)),"")</f>
        <v/>
      </c>
      <c r="AA98" s="125" t="e">
        <f>(((VLOOKUP(TableTERanks[[#This Row],[Player]],'OVR &amp; VORP Ranks'!$W:$AA,5,FALSE)))/('OVR &amp; VORP Ranks'!$BM$6))*(Settings!$E$10*TEAMS)</f>
        <v>#VALUE!</v>
      </c>
    </row>
    <row r="99" spans="8:27" x14ac:dyDescent="0.2">
      <c r="H99">
        <v>98</v>
      </c>
      <c r="I99" t="str">
        <f>IFERROR(INDEX(TableRBCalcPts[PLAYER],MATCH(TableRBRanks[[#This Row],[RK]],TableRBCalcPts[RK],0)),"")</f>
        <v>Deuce Vaughn</v>
      </c>
      <c r="J99" t="str">
        <f>IFERROR(INDEX(TableRBCalcPts[TM],MATCH(TableRBRanks[[#This Row],[RK]],TableRBCalcPts[RK],0)),"")</f>
        <v>DAL</v>
      </c>
      <c r="K99">
        <f>IFERROR(INDEX(TableRBCalcPts[BYE],MATCH(TableRBRanks[[#This Row],[RK]],TableRBCalcPts[RK],0)),"")</f>
        <v>7</v>
      </c>
      <c r="L99" s="57">
        <f>IFERROR(INDEX(TableRBCalcPts[Custom],MATCH(TableRBRanks[[#This Row],[RK]],TableRBCalcPts[RK],0)),"")</f>
        <v>13.132523562740179</v>
      </c>
      <c r="M99" s="125">
        <f>(((VLOOKUP(TableRBRanks[[#This Row],[Player]],'OVR &amp; VORP Ranks'!$I:$M,5,FALSE)))/('OVR &amp; VORP Ranks'!$BM$6))*(Settings!$E$10*TEAMS)</f>
        <v>-38.079578799676383</v>
      </c>
      <c r="O99">
        <v>98</v>
      </c>
      <c r="P99" t="str">
        <f>IFERROR(INDEX(TableWRCalcPts[PLAYER],MATCH(TableWRRanks[[#This Row],[RK]],TableWRCalcPts[RK],0)),"")</f>
        <v>Ricky Pearsall</v>
      </c>
      <c r="Q99" t="str">
        <f>IFERROR(INDEX(TableWRCalcPts[TM],MATCH(TableWRRanks[[#This Row],[RK]],TableWRCalcPts[RK],0)),"")</f>
        <v>SF</v>
      </c>
      <c r="R99">
        <f>IFERROR(INDEX(TableWRCalcPts[BYE],MATCH(TableWRRanks[[#This Row],[RK]],TableWRCalcPts[RK],0)),"")</f>
        <v>9</v>
      </c>
      <c r="S99" s="57">
        <f>IFERROR(INDEX(TableWRCalcPts[Custom],MATCH(TableWRRanks[[#This Row],[RK]],TableWRCalcPts[RK],0)),"")</f>
        <v>64.515491200216616</v>
      </c>
      <c r="T99" s="125">
        <f>(((VLOOKUP(TableWRRanks[[#This Row],[Player]],'OVR &amp; VORP Ranks'!$P:$T,5,FALSE)))/('OVR &amp; VORP Ranks'!$BM$6))*(Settings!$E$10*TEAMS)</f>
        <v>-36.034474548358268</v>
      </c>
      <c r="V99">
        <v>98</v>
      </c>
      <c r="W99" t="str">
        <f>IFERROR(INDEX(TableTECalcPts[PLAYER],MATCH(TableTERanks[[#This Row],[RK]],TableTECalcPts[RK],0)),"")</f>
        <v/>
      </c>
      <c r="X99" t="str">
        <f>IFERROR(INDEX(TableTECalcPts[TM],MATCH(TableTERanks[[#This Row],[RK]],TableTECalcPts[RK],0)),"")</f>
        <v/>
      </c>
      <c r="Y99" t="str">
        <f>IFERROR(INDEX(TableTECalcPts[BYE],MATCH(TableTERanks[[#This Row],[RK]],TableTECalcPts[RK],0)),"")</f>
        <v/>
      </c>
      <c r="Z99" s="57" t="str">
        <f>IFERROR(INDEX(TableTECalcPts[Custom],MATCH(TableTERanks[[#This Row],[RK]],TableTECalcPts[RK],0)),"")</f>
        <v/>
      </c>
      <c r="AA99" s="125" t="e">
        <f>(((VLOOKUP(TableTERanks[[#This Row],[Player]],'OVR &amp; VORP Ranks'!$W:$AA,5,FALSE)))/('OVR &amp; VORP Ranks'!$BM$6))*(Settings!$E$10*TEAMS)</f>
        <v>#VALUE!</v>
      </c>
    </row>
    <row r="100" spans="8:27" x14ac:dyDescent="0.2">
      <c r="H100">
        <v>99</v>
      </c>
      <c r="I100" t="str">
        <f>IFERROR(INDEX(TableRBCalcPts[PLAYER],MATCH(TableRBRanks[[#This Row],[RK]],TableRBCalcPts[RK],0)),"")</f>
        <v>Raheem Blackshear</v>
      </c>
      <c r="J100" t="str">
        <f>IFERROR(INDEX(TableRBCalcPts[TM],MATCH(TableRBRanks[[#This Row],[RK]],TableRBCalcPts[RK],0)),"")</f>
        <v>CAR</v>
      </c>
      <c r="K100">
        <f>IFERROR(INDEX(TableRBCalcPts[BYE],MATCH(TableRBRanks[[#This Row],[RK]],TableRBCalcPts[RK],0)),"")</f>
        <v>11</v>
      </c>
      <c r="L100" s="57">
        <f>IFERROR(INDEX(TableRBCalcPts[Custom],MATCH(TableRBRanks[[#This Row],[RK]],TableRBCalcPts[RK],0)),"")</f>
        <v>13.006320665241072</v>
      </c>
      <c r="M100" s="125">
        <f>(((VLOOKUP(TableRBRanks[[#This Row],[Player]],'OVR &amp; VORP Ranks'!$I:$M,5,FALSE)))/('OVR &amp; VORP Ranks'!$BM$6))*(Settings!$E$10*TEAMS)</f>
        <v>-38.124584768059769</v>
      </c>
      <c r="O100">
        <v>99</v>
      </c>
      <c r="P100" t="str">
        <f>IFERROR(INDEX(TableWRCalcPts[PLAYER],MATCH(TableWRRanks[[#This Row],[RK]],TableWRCalcPts[RK],0)),"")</f>
        <v>Cedrick Wilson</v>
      </c>
      <c r="Q100" t="str">
        <f>IFERROR(INDEX(TableWRCalcPts[TM],MATCH(TableWRRanks[[#This Row],[RK]],TableWRCalcPts[RK],0)),"")</f>
        <v>NO</v>
      </c>
      <c r="R100">
        <f>IFERROR(INDEX(TableWRCalcPts[BYE],MATCH(TableWRRanks[[#This Row],[RK]],TableWRCalcPts[RK],0)),"")</f>
        <v>12</v>
      </c>
      <c r="S100" s="57">
        <f>IFERROR(INDEX(TableWRCalcPts[Custom],MATCH(TableWRRanks[[#This Row],[RK]],TableWRCalcPts[RK],0)),"")</f>
        <v>63.135295687497305</v>
      </c>
      <c r="T100" s="125">
        <f>(((VLOOKUP(TableWRRanks[[#This Row],[Player]],'OVR &amp; VORP Ranks'!$P:$T,5,FALSE)))/('OVR &amp; VORP Ranks'!$BM$6))*(Settings!$E$10*TEAMS)</f>
        <v>-36.635834194871848</v>
      </c>
      <c r="V100">
        <v>99</v>
      </c>
      <c r="W100" t="str">
        <f>IFERROR(INDEX(TableTECalcPts[PLAYER],MATCH(TableTERanks[[#This Row],[RK]],TableTECalcPts[RK],0)),"")</f>
        <v/>
      </c>
      <c r="X100" t="str">
        <f>IFERROR(INDEX(TableTECalcPts[TM],MATCH(TableTERanks[[#This Row],[RK]],TableTECalcPts[RK],0)),"")</f>
        <v/>
      </c>
      <c r="Y100" t="str">
        <f>IFERROR(INDEX(TableTECalcPts[BYE],MATCH(TableTERanks[[#This Row],[RK]],TableTECalcPts[RK],0)),"")</f>
        <v/>
      </c>
      <c r="Z100" s="57" t="str">
        <f>IFERROR(INDEX(TableTECalcPts[Custom],MATCH(TableTERanks[[#This Row],[RK]],TableTECalcPts[RK],0)),"")</f>
        <v/>
      </c>
      <c r="AA100" s="125" t="e">
        <f>(((VLOOKUP(TableTERanks[[#This Row],[Player]],'OVR &amp; VORP Ranks'!$W:$AA,5,FALSE)))/('OVR &amp; VORP Ranks'!$BM$6))*(Settings!$E$10*TEAMS)</f>
        <v>#VALUE!</v>
      </c>
    </row>
    <row r="101" spans="8:27" x14ac:dyDescent="0.2">
      <c r="H101">
        <v>100</v>
      </c>
      <c r="I101" t="str">
        <f>IFERROR(INDEX(TableRBCalcPts[PLAYER],MATCH(TableRBRanks[[#This Row],[RK]],TableRBCalcPts[RK],0)),"")</f>
        <v>Jeremy McNichols</v>
      </c>
      <c r="J101" t="str">
        <f>IFERROR(INDEX(TableRBCalcPts[TM],MATCH(TableRBRanks[[#This Row],[RK]],TableRBCalcPts[RK],0)),"")</f>
        <v>WSH</v>
      </c>
      <c r="K101">
        <f>IFERROR(INDEX(TableRBCalcPts[BYE],MATCH(TableRBRanks[[#This Row],[RK]],TableRBCalcPts[RK],0)),"")</f>
        <v>14</v>
      </c>
      <c r="L101" s="57">
        <f>IFERROR(INDEX(TableRBCalcPts[Custom],MATCH(TableRBRanks[[#This Row],[RK]],TableRBCalcPts[RK],0)),"")</f>
        <v>12.903486134583991</v>
      </c>
      <c r="M101" s="125">
        <f>(((VLOOKUP(TableRBRanks[[#This Row],[Player]],'OVR &amp; VORP Ranks'!$I:$M,5,FALSE)))/('OVR &amp; VORP Ranks'!$BM$6))*(Settings!$E$10*TEAMS)</f>
        <v>-38.16125720369466</v>
      </c>
      <c r="O101">
        <v>100</v>
      </c>
      <c r="P101" t="str">
        <f>IFERROR(INDEX(TableWRCalcPts[PLAYER],MATCH(TableWRRanks[[#This Row],[RK]],TableWRCalcPts[RK],0)),"")</f>
        <v>Tyquan Thornton</v>
      </c>
      <c r="Q101" t="str">
        <f>IFERROR(INDEX(TableWRCalcPts[TM],MATCH(TableWRRanks[[#This Row],[RK]],TableWRCalcPts[RK],0)),"")</f>
        <v>NE</v>
      </c>
      <c r="R101">
        <f>IFERROR(INDEX(TableWRCalcPts[BYE],MATCH(TableWRRanks[[#This Row],[RK]],TableWRCalcPts[RK],0)),"")</f>
        <v>14</v>
      </c>
      <c r="S101" s="57">
        <f>IFERROR(INDEX(TableWRCalcPts[Custom],MATCH(TableWRRanks[[#This Row],[RK]],TableWRCalcPts[RK],0)),"")</f>
        <v>63.087701683529595</v>
      </c>
      <c r="T101" s="125">
        <f>(((VLOOKUP(TableWRRanks[[#This Row],[Player]],'OVR &amp; VORP Ranks'!$P:$T,5,FALSE)))/('OVR &amp; VORP Ranks'!$BM$6))*(Settings!$E$10*TEAMS)</f>
        <v>-36.656571194187116</v>
      </c>
      <c r="V101">
        <v>100</v>
      </c>
      <c r="W101" t="str">
        <f>IFERROR(INDEX(TableTECalcPts[PLAYER],MATCH(TableTERanks[[#This Row],[RK]],TableTECalcPts[RK],0)),"")</f>
        <v/>
      </c>
      <c r="X101" t="str">
        <f>IFERROR(INDEX(TableTECalcPts[TM],MATCH(TableTERanks[[#This Row],[RK]],TableTECalcPts[RK],0)),"")</f>
        <v/>
      </c>
      <c r="Y101" t="str">
        <f>IFERROR(INDEX(TableTECalcPts[BYE],MATCH(TableTERanks[[#This Row],[RK]],TableTECalcPts[RK],0)),"")</f>
        <v/>
      </c>
      <c r="Z101" s="57" t="str">
        <f>IFERROR(INDEX(TableTECalcPts[Custom],MATCH(TableTERanks[[#This Row],[RK]],TableTECalcPts[RK],0)),"")</f>
        <v/>
      </c>
      <c r="AA101" s="125" t="e">
        <f>(((VLOOKUP(TableTERanks[[#This Row],[Player]],'OVR &amp; VORP Ranks'!$W:$AA,5,FALSE)))/('OVR &amp; VORP Ranks'!$BM$6))*(Settings!$E$10*TEAMS)</f>
        <v>#VALUE!</v>
      </c>
    </row>
    <row r="102" spans="8:27" x14ac:dyDescent="0.2">
      <c r="H102">
        <v>101</v>
      </c>
      <c r="I102" t="str">
        <f>IFERROR(INDEX(TableRBCalcPts[PLAYER],MATCH(TableRBRanks[[#This Row],[RK]],TableRBCalcPts[RK],0)),"")</f>
        <v>DeeJay Dallas</v>
      </c>
      <c r="J102" t="str">
        <f>IFERROR(INDEX(TableRBCalcPts[TM],MATCH(TableRBRanks[[#This Row],[RK]],TableRBCalcPts[RK],0)),"")</f>
        <v>ARI</v>
      </c>
      <c r="K102">
        <f>IFERROR(INDEX(TableRBCalcPts[BYE],MATCH(TableRBRanks[[#This Row],[RK]],TableRBCalcPts[RK],0)),"")</f>
        <v>11</v>
      </c>
      <c r="L102" s="57">
        <f>IFERROR(INDEX(TableRBCalcPts[Custom],MATCH(TableRBRanks[[#This Row],[RK]],TableRBCalcPts[RK],0)),"")</f>
        <v>11.824381621633211</v>
      </c>
      <c r="M102" s="125">
        <f>(((VLOOKUP(TableRBRanks[[#This Row],[Player]],'OVR &amp; VORP Ranks'!$I:$M,5,FALSE)))/('OVR &amp; VORP Ranks'!$BM$6))*(Settings!$E$10*TEAMS)</f>
        <v>-38.546083103532403</v>
      </c>
      <c r="O102">
        <v>101</v>
      </c>
      <c r="P102" t="str">
        <f>IFERROR(INDEX(TableWRCalcPts[PLAYER],MATCH(TableWRRanks[[#This Row],[RK]],TableWRCalcPts[RK],0)),"")</f>
        <v>Jauan Jennings</v>
      </c>
      <c r="Q102" t="str">
        <f>IFERROR(INDEX(TableWRCalcPts[TM],MATCH(TableWRRanks[[#This Row],[RK]],TableWRCalcPts[RK],0)),"")</f>
        <v>SF</v>
      </c>
      <c r="R102">
        <f>IFERROR(INDEX(TableWRCalcPts[BYE],MATCH(TableWRRanks[[#This Row],[RK]],TableWRCalcPts[RK],0)),"")</f>
        <v>9</v>
      </c>
      <c r="S102" s="57">
        <f>IFERROR(INDEX(TableWRCalcPts[Custom],MATCH(TableWRRanks[[#This Row],[RK]],TableWRCalcPts[RK],0)),"")</f>
        <v>60.696683892896807</v>
      </c>
      <c r="T102" s="125">
        <f>(((VLOOKUP(TableWRRanks[[#This Row],[Player]],'OVR &amp; VORP Ranks'!$P:$T,5,FALSE)))/('OVR &amp; VORP Ranks'!$BM$6))*(Settings!$E$10*TEAMS)</f>
        <v>-37.698352304277591</v>
      </c>
    </row>
    <row r="103" spans="8:27" x14ac:dyDescent="0.2">
      <c r="H103">
        <v>102</v>
      </c>
      <c r="I103" t="str">
        <f>IFERROR(INDEX(TableRBCalcPts[PLAYER],MATCH(TableRBRanks[[#This Row],[RK]],TableRBCalcPts[RK],0)),"")</f>
        <v>Jeff Wilson</v>
      </c>
      <c r="J103" t="str">
        <f>IFERROR(INDEX(TableRBCalcPts[TM],MATCH(TableRBRanks[[#This Row],[RK]],TableRBCalcPts[RK],0)),"")</f>
        <v>MIA</v>
      </c>
      <c r="K103">
        <f>IFERROR(INDEX(TableRBCalcPts[BYE],MATCH(TableRBRanks[[#This Row],[RK]],TableRBCalcPts[RK],0)),"")</f>
        <v>6</v>
      </c>
      <c r="L103" s="57">
        <f>IFERROR(INDEX(TableRBCalcPts[Custom],MATCH(TableRBRanks[[#This Row],[RK]],TableRBCalcPts[RK],0)),"")</f>
        <v>11.265283336619294</v>
      </c>
      <c r="M103" s="125">
        <f>(((VLOOKUP(TableRBRanks[[#This Row],[Player]],'OVR &amp; VORP Ranks'!$I:$M,5,FALSE)))/('OVR &amp; VORP Ranks'!$BM$6))*(Settings!$E$10*TEAMS)</f>
        <v>-38.745466479327845</v>
      </c>
      <c r="O103">
        <v>102</v>
      </c>
      <c r="P103" t="str">
        <f>IFERROR(INDEX(TableWRCalcPts[PLAYER],MATCH(TableWRRanks[[#This Row],[RK]],TableWRCalcPts[RK],0)),"")</f>
        <v>Jonathan Mingo</v>
      </c>
      <c r="Q103" t="str">
        <f>IFERROR(INDEX(TableWRCalcPts[TM],MATCH(TableWRRanks[[#This Row],[RK]],TableWRCalcPts[RK],0)),"")</f>
        <v>CAR</v>
      </c>
      <c r="R103">
        <f>IFERROR(INDEX(TableWRCalcPts[BYE],MATCH(TableWRRanks[[#This Row],[RK]],TableWRCalcPts[RK],0)),"")</f>
        <v>11</v>
      </c>
      <c r="S103" s="57">
        <f>IFERROR(INDEX(TableWRCalcPts[Custom],MATCH(TableWRRanks[[#This Row],[RK]],TableWRCalcPts[RK],0)),"")</f>
        <v>58.748444769088849</v>
      </c>
      <c r="T103" s="125">
        <f>(((VLOOKUP(TableWRRanks[[#This Row],[Player]],'OVR &amp; VORP Ranks'!$P:$T,5,FALSE)))/('OVR &amp; VORP Ranks'!$BM$6))*(Settings!$E$10*TEAMS)</f>
        <v>-38.547212034670984</v>
      </c>
    </row>
    <row r="104" spans="8:27" x14ac:dyDescent="0.2">
      <c r="H104">
        <v>103</v>
      </c>
      <c r="I104" t="str">
        <f>IFERROR(INDEX(TableRBCalcPts[PLAYER],MATCH(TableRBRanks[[#This Row],[RK]],TableRBCalcPts[RK],0)),"")</f>
        <v>Emari Demercado</v>
      </c>
      <c r="J104" t="str">
        <f>IFERROR(INDEX(TableRBCalcPts[TM],MATCH(TableRBRanks[[#This Row],[RK]],TableRBCalcPts[RK],0)),"")</f>
        <v>ARI</v>
      </c>
      <c r="K104">
        <f>IFERROR(INDEX(TableRBCalcPts[BYE],MATCH(TableRBRanks[[#This Row],[RK]],TableRBCalcPts[RK],0)),"")</f>
        <v>11</v>
      </c>
      <c r="L104" s="57">
        <f>IFERROR(INDEX(TableRBCalcPts[Custom],MATCH(TableRBRanks[[#This Row],[RK]],TableRBCalcPts[RK],0)),"")</f>
        <v>10.454307677100001</v>
      </c>
      <c r="M104" s="125">
        <f>(((VLOOKUP(TableRBRanks[[#This Row],[Player]],'OVR &amp; VORP Ranks'!$I:$M,5,FALSE)))/('OVR &amp; VORP Ranks'!$BM$6))*(Settings!$E$10*TEAMS)</f>
        <v>-39.034673348704793</v>
      </c>
      <c r="O104">
        <v>103</v>
      </c>
      <c r="P104" t="str">
        <f>IFERROR(INDEX(TableWRCalcPts[PLAYER],MATCH(TableWRRanks[[#This Row],[RK]],TableWRCalcPts[RK],0)),"")</f>
        <v>Calvin Austin</v>
      </c>
      <c r="Q104" t="str">
        <f>IFERROR(INDEX(TableWRCalcPts[TM],MATCH(TableWRRanks[[#This Row],[RK]],TableWRCalcPts[RK],0)),"")</f>
        <v>PIT</v>
      </c>
      <c r="R104">
        <f>IFERROR(INDEX(TableWRCalcPts[BYE],MATCH(TableWRRanks[[#This Row],[RK]],TableWRCalcPts[RK],0)),"")</f>
        <v>9</v>
      </c>
      <c r="S104" s="57">
        <f>IFERROR(INDEX(TableWRCalcPts[Custom],MATCH(TableWRRanks[[#This Row],[RK]],TableWRCalcPts[RK],0)),"")</f>
        <v>58.376500767336978</v>
      </c>
      <c r="T104" s="125">
        <f>(((VLOOKUP(TableWRRanks[[#This Row],[Player]],'OVR &amp; VORP Ranks'!$P:$T,5,FALSE)))/('OVR &amp; VORP Ranks'!$BM$6))*(Settings!$E$10*TEAMS)</f>
        <v>-38.709270316526762</v>
      </c>
    </row>
    <row r="105" spans="8:27" x14ac:dyDescent="0.2">
      <c r="H105">
        <v>104</v>
      </c>
      <c r="I105" t="str">
        <f>IFERROR(INDEX(TableRBCalcPts[PLAYER],MATCH(TableRBRanks[[#This Row],[RK]],TableRBCalcPts[RK],0)),"")</f>
        <v>Carson Steele</v>
      </c>
      <c r="J105" t="str">
        <f>IFERROR(INDEX(TableRBCalcPts[TM],MATCH(TableRBRanks[[#This Row],[RK]],TableRBCalcPts[RK],0)),"")</f>
        <v>KC</v>
      </c>
      <c r="K105">
        <f>IFERROR(INDEX(TableRBCalcPts[BYE],MATCH(TableRBRanks[[#This Row],[RK]],TableRBCalcPts[RK],0)),"")</f>
        <v>6</v>
      </c>
      <c r="L105" s="57">
        <f>IFERROR(INDEX(TableRBCalcPts[Custom],MATCH(TableRBRanks[[#This Row],[RK]],TableRBCalcPts[RK],0)),"")</f>
        <v>9.9794258962344884</v>
      </c>
      <c r="M105" s="125">
        <f>(((VLOOKUP(TableRBRanks[[#This Row],[Player]],'OVR &amp; VORP Ranks'!$I:$M,5,FALSE)))/('OVR &amp; VORP Ranks'!$BM$6))*(Settings!$E$10*TEAMS)</f>
        <v>-39.20402377440027</v>
      </c>
      <c r="O105">
        <v>104</v>
      </c>
      <c r="P105" t="str">
        <f>IFERROR(INDEX(TableWRCalcPts[PLAYER],MATCH(TableWRRanks[[#This Row],[RK]],TableWRCalcPts[RK],0)),"")</f>
        <v>Malik Washington</v>
      </c>
      <c r="Q105" t="str">
        <f>IFERROR(INDEX(TableWRCalcPts[TM],MATCH(TableWRRanks[[#This Row],[RK]],TableWRCalcPts[RK],0)),"")</f>
        <v>MIA</v>
      </c>
      <c r="R105">
        <f>IFERROR(INDEX(TableWRCalcPts[BYE],MATCH(TableWRRanks[[#This Row],[RK]],TableWRCalcPts[RK],0)),"")</f>
        <v>6</v>
      </c>
      <c r="S105" s="57">
        <f>IFERROR(INDEX(TableWRCalcPts[Custom],MATCH(TableWRRanks[[#This Row],[RK]],TableWRCalcPts[RK],0)),"")</f>
        <v>56.740369681564793</v>
      </c>
      <c r="T105" s="125">
        <f>(((VLOOKUP(TableWRRanks[[#This Row],[Player]],'OVR &amp; VORP Ranks'!$P:$T,5,FALSE)))/('OVR &amp; VORP Ranks'!$BM$6))*(Settings!$E$10*TEAMS)</f>
        <v>-39.422142661294302</v>
      </c>
    </row>
    <row r="106" spans="8:27" x14ac:dyDescent="0.2">
      <c r="H106">
        <v>105</v>
      </c>
      <c r="I106" t="str">
        <f>IFERROR(INDEX(TableRBCalcPts[PLAYER],MATCH(TableRBRanks[[#This Row],[RK]],TableRBCalcPts[RK],0)),"")</f>
        <v>D'Onta Foreman</v>
      </c>
      <c r="J106" t="str">
        <f>IFERROR(INDEX(TableRBCalcPts[TM],MATCH(TableRBRanks[[#This Row],[RK]],TableRBCalcPts[RK],0)),"")</f>
        <v>CLE</v>
      </c>
      <c r="K106">
        <f>IFERROR(INDEX(TableRBCalcPts[BYE],MATCH(TableRBRanks[[#This Row],[RK]],TableRBCalcPts[RK],0)),"")</f>
        <v>10</v>
      </c>
      <c r="L106" s="57">
        <f>IFERROR(INDEX(TableRBCalcPts[Custom],MATCH(TableRBRanks[[#This Row],[RK]],TableRBCalcPts[RK],0)),"")</f>
        <v>9.0113961572249988</v>
      </c>
      <c r="M106" s="125">
        <f>(((VLOOKUP(TableRBRanks[[#This Row],[Player]],'OVR &amp; VORP Ranks'!$I:$M,5,FALSE)))/('OVR &amp; VORP Ranks'!$BM$6))*(Settings!$E$10*TEAMS)</f>
        <v>-39.549238636272527</v>
      </c>
      <c r="O106">
        <v>105</v>
      </c>
      <c r="P106" t="str">
        <f>IFERROR(INDEX(TableWRCalcPts[PLAYER],MATCH(TableWRRanks[[#This Row],[RK]],TableWRCalcPts[RK],0)),"")</f>
        <v>Jordan Whittington</v>
      </c>
      <c r="Q106" t="str">
        <f>IFERROR(INDEX(TableWRCalcPts[TM],MATCH(TableWRRanks[[#This Row],[RK]],TableWRCalcPts[RK],0)),"")</f>
        <v>LAR</v>
      </c>
      <c r="R106">
        <f>IFERROR(INDEX(TableWRCalcPts[BYE],MATCH(TableWRRanks[[#This Row],[RK]],TableWRCalcPts[RK],0)),"")</f>
        <v>6</v>
      </c>
      <c r="S106" s="57">
        <f>IFERROR(INDEX(TableWRCalcPts[Custom],MATCH(TableWRRanks[[#This Row],[RK]],TableWRCalcPts[RK],0)),"")</f>
        <v>55.873140032859624</v>
      </c>
      <c r="T106" s="125">
        <f>(((VLOOKUP(TableWRRanks[[#This Row],[Player]],'OVR &amp; VORP Ranks'!$P:$T,5,FALSE)))/('OVR &amp; VORP Ranks'!$BM$6))*(Settings!$E$10*TEAMS)</f>
        <v>-39.799999935995864</v>
      </c>
    </row>
    <row r="107" spans="8:27" x14ac:dyDescent="0.2">
      <c r="H107">
        <v>106</v>
      </c>
      <c r="I107" t="str">
        <f>IFERROR(INDEX(TableRBCalcPts[PLAYER],MATCH(TableRBRanks[[#This Row],[RK]],TableRBCalcPts[RK],0)),"")</f>
        <v>Jordan Mims</v>
      </c>
      <c r="J107" t="str">
        <f>IFERROR(INDEX(TableRBCalcPts[TM],MATCH(TableRBRanks[[#This Row],[RK]],TableRBCalcPts[RK],0)),"")</f>
        <v>NO</v>
      </c>
      <c r="K107">
        <f>IFERROR(INDEX(TableRBCalcPts[BYE],MATCH(TableRBRanks[[#This Row],[RK]],TableRBCalcPts[RK],0)),"")</f>
        <v>12</v>
      </c>
      <c r="L107" s="57">
        <f>IFERROR(INDEX(TableRBCalcPts[Custom],MATCH(TableRBRanks[[#This Row],[RK]],TableRBCalcPts[RK],0)),"")</f>
        <v>8.9331071860877618</v>
      </c>
      <c r="M107" s="125">
        <f>(((VLOOKUP(TableRBRanks[[#This Row],[Player]],'OVR &amp; VORP Ranks'!$I:$M,5,FALSE)))/('OVR &amp; VORP Ranks'!$BM$6))*(Settings!$E$10*TEAMS)</f>
        <v>-39.577157733453276</v>
      </c>
      <c r="O107">
        <v>106</v>
      </c>
      <c r="P107" t="str">
        <f>IFERROR(INDEX(TableWRCalcPts[PLAYER],MATCH(TableWRRanks[[#This Row],[RK]],TableWRCalcPts[RK],0)),"")</f>
        <v>Quentin Johnston</v>
      </c>
      <c r="Q107" t="str">
        <f>IFERROR(INDEX(TableWRCalcPts[TM],MATCH(TableWRRanks[[#This Row],[RK]],TableWRCalcPts[RK],0)),"")</f>
        <v>LAC</v>
      </c>
      <c r="R107">
        <f>IFERROR(INDEX(TableWRCalcPts[BYE],MATCH(TableWRRanks[[#This Row],[RK]],TableWRCalcPts[RK],0)),"")</f>
        <v>5</v>
      </c>
      <c r="S107" s="57">
        <f>IFERROR(INDEX(TableWRCalcPts[Custom],MATCH(TableWRRanks[[#This Row],[RK]],TableWRCalcPts[RK],0)),"")</f>
        <v>55.174368621131777</v>
      </c>
      <c r="T107" s="125">
        <f>(((VLOOKUP(TableWRRanks[[#This Row],[Player]],'OVR &amp; VORP Ranks'!$P:$T,5,FALSE)))/('OVR &amp; VORP Ranks'!$BM$6))*(Settings!$E$10*TEAMS)</f>
        <v>-40.10445892407251</v>
      </c>
    </row>
    <row r="108" spans="8:27" x14ac:dyDescent="0.2">
      <c r="H108">
        <v>107</v>
      </c>
      <c r="I108" t="str">
        <f>IFERROR(INDEX(TableRBCalcPts[PLAYER],MATCH(TableRBRanks[[#This Row],[RK]],TableRBCalcPts[RK],0)),"")</f>
        <v/>
      </c>
      <c r="J108" t="str">
        <f>IFERROR(INDEX(TableRBCalcPts[TM],MATCH(TableRBRanks[[#This Row],[RK]],TableRBCalcPts[RK],0)),"")</f>
        <v/>
      </c>
      <c r="K108" t="str">
        <f>IFERROR(INDEX(TableRBCalcPts[BYE],MATCH(TableRBRanks[[#This Row],[RK]],TableRBCalcPts[RK],0)),"")</f>
        <v/>
      </c>
      <c r="L108" s="57" t="str">
        <f>IFERROR(INDEX(TableRBCalcPts[Custom],MATCH(TableRBRanks[[#This Row],[RK]],TableRBCalcPts[RK],0)),"")</f>
        <v/>
      </c>
      <c r="M108" s="125" t="e">
        <f>(((VLOOKUP(TableRBRanks[[#This Row],[Player]],'OVR &amp; VORP Ranks'!$I:$M,5,FALSE)))/('OVR &amp; VORP Ranks'!$BM$6))*(Settings!$E$10*TEAMS)</f>
        <v>#VALUE!</v>
      </c>
      <c r="O108">
        <v>107</v>
      </c>
      <c r="P108" t="str">
        <f>IFERROR(INDEX(TableWRCalcPts[PLAYER],MATCH(TableWRRanks[[#This Row],[RK]],TableWRCalcPts[RK],0)),"")</f>
        <v>Olamide Zaccheaus</v>
      </c>
      <c r="Q108" t="str">
        <f>IFERROR(INDEX(TableWRCalcPts[TM],MATCH(TableWRRanks[[#This Row],[RK]],TableWRCalcPts[RK],0)),"")</f>
        <v>WSH</v>
      </c>
      <c r="R108">
        <f>IFERROR(INDEX(TableWRCalcPts[BYE],MATCH(TableWRRanks[[#This Row],[RK]],TableWRCalcPts[RK],0)),"")</f>
        <v>14</v>
      </c>
      <c r="S108" s="57">
        <f>IFERROR(INDEX(TableWRCalcPts[Custom],MATCH(TableWRRanks[[#This Row],[RK]],TableWRCalcPts[RK],0)),"")</f>
        <v>49.709316936787211</v>
      </c>
      <c r="T108" s="125">
        <f>(((VLOOKUP(TableWRRanks[[#This Row],[Player]],'OVR &amp; VORP Ranks'!$P:$T,5,FALSE)))/('OVR &amp; VORP Ranks'!$BM$6))*(Settings!$E$10*TEAMS)</f>
        <v>-42.48561544776009</v>
      </c>
    </row>
    <row r="109" spans="8:27" x14ac:dyDescent="0.2">
      <c r="H109">
        <v>108</v>
      </c>
      <c r="I109" t="str">
        <f>IFERROR(INDEX(TableRBCalcPts[PLAYER],MATCH(TableRBRanks[[#This Row],[RK]],TableRBCalcPts[RK],0)),"")</f>
        <v/>
      </c>
      <c r="J109" t="str">
        <f>IFERROR(INDEX(TableRBCalcPts[TM],MATCH(TableRBRanks[[#This Row],[RK]],TableRBCalcPts[RK],0)),"")</f>
        <v/>
      </c>
      <c r="K109" t="str">
        <f>IFERROR(INDEX(TableRBCalcPts[BYE],MATCH(TableRBRanks[[#This Row],[RK]],TableRBCalcPts[RK],0)),"")</f>
        <v/>
      </c>
      <c r="L109" s="57" t="str">
        <f>IFERROR(INDEX(TableRBCalcPts[Custom],MATCH(TableRBRanks[[#This Row],[RK]],TableRBCalcPts[RK],0)),"")</f>
        <v/>
      </c>
      <c r="M109" s="125" t="e">
        <f>(((VLOOKUP(TableRBRanks[[#This Row],[Player]],'OVR &amp; VORP Ranks'!$I:$M,5,FALSE)))/('OVR &amp; VORP Ranks'!$BM$6))*(Settings!$E$10*TEAMS)</f>
        <v>#VALUE!</v>
      </c>
      <c r="O109">
        <v>108</v>
      </c>
      <c r="P109" t="str">
        <f>IFERROR(INDEX(TableWRCalcPts[PLAYER],MATCH(TableWRRanks[[#This Row],[RK]],TableWRCalcPts[RK],0)),"")</f>
        <v>Jahan Dotson</v>
      </c>
      <c r="Q109" t="str">
        <f>IFERROR(INDEX(TableWRCalcPts[TM],MATCH(TableWRRanks[[#This Row],[RK]],TableWRCalcPts[RK],0)),"")</f>
        <v>PHI</v>
      </c>
      <c r="R109">
        <f>IFERROR(INDEX(TableWRCalcPts[BYE],MATCH(TableWRRanks[[#This Row],[RK]],TableWRCalcPts[RK],0)),"")</f>
        <v>5</v>
      </c>
      <c r="S109" s="57">
        <f>IFERROR(INDEX(TableWRCalcPts[Custom],MATCH(TableWRRanks[[#This Row],[RK]],TableWRCalcPts[RK],0)),"")</f>
        <v>48.684252861175672</v>
      </c>
      <c r="T109" s="125">
        <f>(((VLOOKUP(TableWRRanks[[#This Row],[Player]],'OVR &amp; VORP Ranks'!$P:$T,5,FALSE)))/('OVR &amp; VORP Ranks'!$BM$6))*(Settings!$E$10*TEAMS)</f>
        <v>-42.932242149906806</v>
      </c>
    </row>
    <row r="110" spans="8:27" x14ac:dyDescent="0.2">
      <c r="H110">
        <v>109</v>
      </c>
      <c r="I110" t="str">
        <f>IFERROR(INDEX(TableRBCalcPts[PLAYER],MATCH(TableRBRanks[[#This Row],[RK]],TableRBCalcPts[RK],0)),"")</f>
        <v/>
      </c>
      <c r="J110" t="str">
        <f>IFERROR(INDEX(TableRBCalcPts[TM],MATCH(TableRBRanks[[#This Row],[RK]],TableRBCalcPts[RK],0)),"")</f>
        <v/>
      </c>
      <c r="K110" t="str">
        <f>IFERROR(INDEX(TableRBCalcPts[BYE],MATCH(TableRBRanks[[#This Row],[RK]],TableRBCalcPts[RK],0)),"")</f>
        <v/>
      </c>
      <c r="L110" s="57" t="str">
        <f>IFERROR(INDEX(TableRBCalcPts[Custom],MATCH(TableRBRanks[[#This Row],[RK]],TableRBCalcPts[RK],0)),"")</f>
        <v/>
      </c>
      <c r="M110" s="125" t="e">
        <f>(((VLOOKUP(TableRBRanks[[#This Row],[Player]],'OVR &amp; VORP Ranks'!$I:$M,5,FALSE)))/('OVR &amp; VORP Ranks'!$BM$6))*(Settings!$E$10*TEAMS)</f>
        <v>#VALUE!</v>
      </c>
      <c r="O110">
        <v>109</v>
      </c>
      <c r="P110" t="str">
        <f>IFERROR(INDEX(TableWRCalcPts[PLAYER],MATCH(TableWRRanks[[#This Row],[RK]],TableWRCalcPts[RK],0)),"")</f>
        <v>Trey Palmer</v>
      </c>
      <c r="Q110" t="str">
        <f>IFERROR(INDEX(TableWRCalcPts[TM],MATCH(TableWRRanks[[#This Row],[RK]],TableWRCalcPts[RK],0)),"")</f>
        <v>TB</v>
      </c>
      <c r="R110">
        <f>IFERROR(INDEX(TableWRCalcPts[BYE],MATCH(TableWRRanks[[#This Row],[RK]],TableWRCalcPts[RK],0)),"")</f>
        <v>11</v>
      </c>
      <c r="S110" s="57">
        <f>IFERROR(INDEX(TableWRCalcPts[Custom],MATCH(TableWRRanks[[#This Row],[RK]],TableWRCalcPts[RK],0)),"")</f>
        <v>48.394842908874082</v>
      </c>
      <c r="T110" s="125">
        <f>(((VLOOKUP(TableWRRanks[[#This Row],[Player]],'OVR &amp; VORP Ranks'!$P:$T,5,FALSE)))/('OVR &amp; VORP Ranks'!$BM$6))*(Settings!$E$10*TEAMS)</f>
        <v>-43.058339840422192</v>
      </c>
    </row>
    <row r="111" spans="8:27" x14ac:dyDescent="0.2">
      <c r="H111">
        <v>110</v>
      </c>
      <c r="I111" t="str">
        <f>IFERROR(INDEX(TableRBCalcPts[PLAYER],MATCH(TableRBRanks[[#This Row],[RK]],TableRBCalcPts[RK],0)),"")</f>
        <v/>
      </c>
      <c r="J111" t="str">
        <f>IFERROR(INDEX(TableRBCalcPts[TM],MATCH(TableRBRanks[[#This Row],[RK]],TableRBCalcPts[RK],0)),"")</f>
        <v/>
      </c>
      <c r="K111" t="str">
        <f>IFERROR(INDEX(TableRBCalcPts[BYE],MATCH(TableRBRanks[[#This Row],[RK]],TableRBCalcPts[RK],0)),"")</f>
        <v/>
      </c>
      <c r="L111" s="57" t="str">
        <f>IFERROR(INDEX(TableRBCalcPts[Custom],MATCH(TableRBRanks[[#This Row],[RK]],TableRBCalcPts[RK],0)),"")</f>
        <v/>
      </c>
      <c r="M111" s="125" t="e">
        <f>(((VLOOKUP(TableRBRanks[[#This Row],[Player]],'OVR &amp; VORP Ranks'!$I:$M,5,FALSE)))/('OVR &amp; VORP Ranks'!$BM$6))*(Settings!$E$10*TEAMS)</f>
        <v>#VALUE!</v>
      </c>
      <c r="O111">
        <v>110</v>
      </c>
      <c r="P111" t="str">
        <f>IFERROR(INDEX(TableWRCalcPts[PLAYER],MATCH(TableWRRanks[[#This Row],[RK]],TableWRCalcPts[RK],0)),"")</f>
        <v>Tre Tucker</v>
      </c>
      <c r="Q111" t="str">
        <f>IFERROR(INDEX(TableWRCalcPts[TM],MATCH(TableWRRanks[[#This Row],[RK]],TableWRCalcPts[RK],0)),"")</f>
        <v>LV</v>
      </c>
      <c r="R111">
        <f>IFERROR(INDEX(TableWRCalcPts[BYE],MATCH(TableWRRanks[[#This Row],[RK]],TableWRCalcPts[RK],0)),"")</f>
        <v>10</v>
      </c>
      <c r="S111" s="57">
        <f>IFERROR(INDEX(TableWRCalcPts[Custom],MATCH(TableWRRanks[[#This Row],[RK]],TableWRCalcPts[RK],0)),"")</f>
        <v>46.554964034031769</v>
      </c>
      <c r="T111" s="125">
        <f>(((VLOOKUP(TableWRRanks[[#This Row],[Player]],'OVR &amp; VORP Ranks'!$P:$T,5,FALSE)))/('OVR &amp; VORP Ranks'!$BM$6))*(Settings!$E$10*TEAMS)</f>
        <v>-43.85998634601259</v>
      </c>
    </row>
    <row r="112" spans="8:27" x14ac:dyDescent="0.2">
      <c r="H112">
        <v>111</v>
      </c>
      <c r="I112" t="str">
        <f>IFERROR(INDEX(TableRBCalcPts[PLAYER],MATCH(TableRBRanks[[#This Row],[RK]],TableRBCalcPts[RK],0)),"")</f>
        <v/>
      </c>
      <c r="J112" t="str">
        <f>IFERROR(INDEX(TableRBCalcPts[TM],MATCH(TableRBRanks[[#This Row],[RK]],TableRBCalcPts[RK],0)),"")</f>
        <v/>
      </c>
      <c r="K112" t="str">
        <f>IFERROR(INDEX(TableRBCalcPts[BYE],MATCH(TableRBRanks[[#This Row],[RK]],TableRBCalcPts[RK],0)),"")</f>
        <v/>
      </c>
      <c r="L112" s="57" t="str">
        <f>IFERROR(INDEX(TableRBCalcPts[Custom],MATCH(TableRBRanks[[#This Row],[RK]],TableRBCalcPts[RK],0)),"")</f>
        <v/>
      </c>
      <c r="M112" s="125" t="e">
        <f>(((VLOOKUP(TableRBRanks[[#This Row],[Player]],'OVR &amp; VORP Ranks'!$I:$M,5,FALSE)))/('OVR &amp; VORP Ranks'!$BM$6))*(Settings!$E$10*TEAMS)</f>
        <v>#VALUE!</v>
      </c>
      <c r="O112">
        <v>111</v>
      </c>
      <c r="P112" t="str">
        <f>IFERROR(INDEX(TableWRCalcPts[PLAYER],MATCH(TableWRRanks[[#This Row],[RK]],TableWRCalcPts[RK],0)),"")</f>
        <v>A.T. Perry</v>
      </c>
      <c r="Q112" t="str">
        <f>IFERROR(INDEX(TableWRCalcPts[TM],MATCH(TableWRRanks[[#This Row],[RK]],TableWRCalcPts[RK],0)),"")</f>
        <v>NO</v>
      </c>
      <c r="R112">
        <f>IFERROR(INDEX(TableWRCalcPts[BYE],MATCH(TableWRRanks[[#This Row],[RK]],TableWRCalcPts[RK],0)),"")</f>
        <v>12</v>
      </c>
      <c r="S112" s="57">
        <f>IFERROR(INDEX(TableWRCalcPts[Custom],MATCH(TableWRRanks[[#This Row],[RK]],TableWRCalcPts[RK],0)),"")</f>
        <v>45.789766470240522</v>
      </c>
      <c r="T112" s="125">
        <f>(((VLOOKUP(TableWRRanks[[#This Row],[Player]],'OVR &amp; VORP Ranks'!$P:$T,5,FALSE)))/('OVR &amp; VORP Ranks'!$BM$6))*(Settings!$E$10*TEAMS)</f>
        <v>-44.193387615784829</v>
      </c>
    </row>
    <row r="113" spans="8:20" x14ac:dyDescent="0.2">
      <c r="H113">
        <v>112</v>
      </c>
      <c r="I113" t="str">
        <f>IFERROR(INDEX(TableRBCalcPts[PLAYER],MATCH(TableRBRanks[[#This Row],[RK]],TableRBCalcPts[RK],0)),"")</f>
        <v/>
      </c>
      <c r="J113" t="str">
        <f>IFERROR(INDEX(TableRBCalcPts[TM],MATCH(TableRBRanks[[#This Row],[RK]],TableRBCalcPts[RK],0)),"")</f>
        <v/>
      </c>
      <c r="K113" t="str">
        <f>IFERROR(INDEX(TableRBCalcPts[BYE],MATCH(TableRBRanks[[#This Row],[RK]],TableRBCalcPts[RK],0)),"")</f>
        <v/>
      </c>
      <c r="L113" s="57" t="str">
        <f>IFERROR(INDEX(TableRBCalcPts[Custom],MATCH(TableRBRanks[[#This Row],[RK]],TableRBCalcPts[RK],0)),"")</f>
        <v/>
      </c>
      <c r="M113" s="125" t="e">
        <f>(((VLOOKUP(TableRBRanks[[#This Row],[Player]],'OVR &amp; VORP Ranks'!$I:$M,5,FALSE)))/('OVR &amp; VORP Ranks'!$BM$6))*(Settings!$E$10*TEAMS)</f>
        <v>#VALUE!</v>
      </c>
      <c r="O113">
        <v>112</v>
      </c>
      <c r="P113" t="str">
        <f>IFERROR(INDEX(TableWRCalcPts[PLAYER],MATCH(TableWRRanks[[#This Row],[RK]],TableWRCalcPts[RK],0)),"")</f>
        <v>Odell Beckham</v>
      </c>
      <c r="Q113" t="str">
        <f>IFERROR(INDEX(TableWRCalcPts[TM],MATCH(TableWRRanks[[#This Row],[RK]],TableWRCalcPts[RK],0)),"")</f>
        <v>MIA</v>
      </c>
      <c r="R113">
        <f>IFERROR(INDEX(TableWRCalcPts[BYE],MATCH(TableWRRanks[[#This Row],[RK]],TableWRCalcPts[RK],0)),"")</f>
        <v>6</v>
      </c>
      <c r="S113" s="57">
        <f>IFERROR(INDEX(TableWRCalcPts[Custom],MATCH(TableWRRanks[[#This Row],[RK]],TableWRCalcPts[RK],0)),"")</f>
        <v>43.144873904039258</v>
      </c>
      <c r="T113" s="125">
        <f>(((VLOOKUP(TableWRRanks[[#This Row],[Player]],'OVR &amp; VORP Ranks'!$P:$T,5,FALSE)))/('OVR &amp; VORP Ranks'!$BM$6))*(Settings!$E$10*TEAMS)</f>
        <v>-45.345783522031091</v>
      </c>
    </row>
    <row r="114" spans="8:20" x14ac:dyDescent="0.2">
      <c r="H114">
        <v>113</v>
      </c>
      <c r="I114" t="str">
        <f>IFERROR(INDEX(TableRBCalcPts[PLAYER],MATCH(TableRBRanks[[#This Row],[RK]],TableRBCalcPts[RK],0)),"")</f>
        <v/>
      </c>
      <c r="J114" t="str">
        <f>IFERROR(INDEX(TableRBCalcPts[TM],MATCH(TableRBRanks[[#This Row],[RK]],TableRBCalcPts[RK],0)),"")</f>
        <v/>
      </c>
      <c r="K114" t="str">
        <f>IFERROR(INDEX(TableRBCalcPts[BYE],MATCH(TableRBRanks[[#This Row],[RK]],TableRBCalcPts[RK],0)),"")</f>
        <v/>
      </c>
      <c r="L114" s="57" t="str">
        <f>IFERROR(INDEX(TableRBCalcPts[Custom],MATCH(TableRBRanks[[#This Row],[RK]],TableRBCalcPts[RK],0)),"")</f>
        <v/>
      </c>
      <c r="M114" s="125" t="e">
        <f>(((VLOOKUP(TableRBRanks[[#This Row],[Player]],'OVR &amp; VORP Ranks'!$I:$M,5,FALSE)))/('OVR &amp; VORP Ranks'!$BM$6))*(Settings!$E$10*TEAMS)</f>
        <v>#VALUE!</v>
      </c>
      <c r="O114">
        <v>113</v>
      </c>
      <c r="P114" t="str">
        <f>IFERROR(INDEX(TableWRCalcPts[PLAYER],MATCH(TableWRRanks[[#This Row],[RK]],TableWRCalcPts[RK],0)),"")</f>
        <v>Cedric Tillman</v>
      </c>
      <c r="Q114" t="str">
        <f>IFERROR(INDEX(TableWRCalcPts[TM],MATCH(TableWRRanks[[#This Row],[RK]],TableWRCalcPts[RK],0)),"")</f>
        <v>CLE</v>
      </c>
      <c r="R114">
        <f>IFERROR(INDEX(TableWRCalcPts[BYE],MATCH(TableWRRanks[[#This Row],[RK]],TableWRCalcPts[RK],0)),"")</f>
        <v>10</v>
      </c>
      <c r="S114" s="57">
        <f>IFERROR(INDEX(TableWRCalcPts[Custom],MATCH(TableWRRanks[[#This Row],[RK]],TableWRCalcPts[RK],0)),"")</f>
        <v>42.801082616668182</v>
      </c>
      <c r="T114" s="125">
        <f>(((VLOOKUP(TableWRRanks[[#This Row],[Player]],'OVR &amp; VORP Ranks'!$P:$T,5,FALSE)))/('OVR &amp; VORP Ranks'!$BM$6))*(Settings!$E$10*TEAMS)</f>
        <v>-45.495575493634142</v>
      </c>
    </row>
    <row r="115" spans="8:20" x14ac:dyDescent="0.2">
      <c r="H115">
        <v>114</v>
      </c>
      <c r="I115" t="str">
        <f>IFERROR(INDEX(TableRBCalcPts[PLAYER],MATCH(TableRBRanks[[#This Row],[RK]],TableRBCalcPts[RK],0)),"")</f>
        <v/>
      </c>
      <c r="J115" t="str">
        <f>IFERROR(INDEX(TableRBCalcPts[TM],MATCH(TableRBRanks[[#This Row],[RK]],TableRBCalcPts[RK],0)),"")</f>
        <v/>
      </c>
      <c r="K115" t="str">
        <f>IFERROR(INDEX(TableRBCalcPts[BYE],MATCH(TableRBRanks[[#This Row],[RK]],TableRBCalcPts[RK],0)),"")</f>
        <v/>
      </c>
      <c r="L115" s="57" t="str">
        <f>IFERROR(INDEX(TableRBCalcPts[Custom],MATCH(TableRBRanks[[#This Row],[RK]],TableRBCalcPts[RK],0)),"")</f>
        <v/>
      </c>
      <c r="M115" s="125" t="e">
        <f>(((VLOOKUP(TableRBRanks[[#This Row],[Player]],'OVR &amp; VORP Ranks'!$I:$M,5,FALSE)))/('OVR &amp; VORP Ranks'!$BM$6))*(Settings!$E$10*TEAMS)</f>
        <v>#VALUE!</v>
      </c>
      <c r="O115">
        <v>114</v>
      </c>
      <c r="P115" t="str">
        <f>IFERROR(INDEX(TableWRCalcPts[PLAYER],MATCH(TableWRRanks[[#This Row],[RK]],TableWRCalcPts[RK],0)),"")</f>
        <v>Allen Lazard</v>
      </c>
      <c r="Q115" t="str">
        <f>IFERROR(INDEX(TableWRCalcPts[TM],MATCH(TableWRRanks[[#This Row],[RK]],TableWRCalcPts[RK],0)),"")</f>
        <v>NYJ</v>
      </c>
      <c r="R115">
        <f>IFERROR(INDEX(TableWRCalcPts[BYE],MATCH(TableWRRanks[[#This Row],[RK]],TableWRCalcPts[RK],0)),"")</f>
        <v>12</v>
      </c>
      <c r="S115" s="57">
        <f>IFERROR(INDEX(TableWRCalcPts[Custom],MATCH(TableWRRanks[[#This Row],[RK]],TableWRCalcPts[RK],0)),"")</f>
        <v>42.460357713573167</v>
      </c>
      <c r="T115" s="125">
        <f>(((VLOOKUP(TableWRRanks[[#This Row],[Player]],'OVR &amp; VORP Ranks'!$P:$T,5,FALSE)))/('OVR &amp; VORP Ranks'!$BM$6))*(Settings!$E$10*TEAMS)</f>
        <v>-45.644031422808915</v>
      </c>
    </row>
    <row r="116" spans="8:20" x14ac:dyDescent="0.2">
      <c r="H116">
        <v>115</v>
      </c>
      <c r="I116" t="str">
        <f>IFERROR(INDEX(TableRBCalcPts[PLAYER],MATCH(TableRBRanks[[#This Row],[RK]],TableRBCalcPts[RK],0)),"")</f>
        <v/>
      </c>
      <c r="J116" t="str">
        <f>IFERROR(INDEX(TableRBCalcPts[TM],MATCH(TableRBRanks[[#This Row],[RK]],TableRBCalcPts[RK],0)),"")</f>
        <v/>
      </c>
      <c r="K116" t="str">
        <f>IFERROR(INDEX(TableRBCalcPts[BYE],MATCH(TableRBRanks[[#This Row],[RK]],TableRBCalcPts[RK],0)),"")</f>
        <v/>
      </c>
      <c r="L116" s="57" t="str">
        <f>IFERROR(INDEX(TableRBCalcPts[Custom],MATCH(TableRBRanks[[#This Row],[RK]],TableRBCalcPts[RK],0)),"")</f>
        <v/>
      </c>
      <c r="M116" s="125" t="e">
        <f>(((VLOOKUP(TableRBRanks[[#This Row],[Player]],'OVR &amp; VORP Ranks'!$I:$M,5,FALSE)))/('OVR &amp; VORP Ranks'!$BM$6))*(Settings!$E$10*TEAMS)</f>
        <v>#VALUE!</v>
      </c>
      <c r="O116">
        <v>115</v>
      </c>
      <c r="P116" t="str">
        <f>IFERROR(INDEX(TableWRCalcPts[PLAYER],MATCH(TableWRRanks[[#This Row],[RK]],TableWRCalcPts[RK],0)),"")</f>
        <v>Mack Hollins</v>
      </c>
      <c r="Q116" t="str">
        <f>IFERROR(INDEX(TableWRCalcPts[TM],MATCH(TableWRRanks[[#This Row],[RK]],TableWRCalcPts[RK],0)),"")</f>
        <v>BUF</v>
      </c>
      <c r="R116">
        <f>IFERROR(INDEX(TableWRCalcPts[BYE],MATCH(TableWRRanks[[#This Row],[RK]],TableWRCalcPts[RK],0)),"")</f>
        <v>12</v>
      </c>
      <c r="S116" s="57">
        <f>IFERROR(INDEX(TableWRCalcPts[Custom],MATCH(TableWRRanks[[#This Row],[RK]],TableWRCalcPts[RK],0)),"")</f>
        <v>38.947801670303662</v>
      </c>
      <c r="T116" s="125">
        <f>(((VLOOKUP(TableWRRanks[[#This Row],[Player]],'OVR &amp; VORP Ranks'!$P:$T,5,FALSE)))/('OVR &amp; VORP Ranks'!$BM$6))*(Settings!$E$10*TEAMS)</f>
        <v>-47.174473625434217</v>
      </c>
    </row>
    <row r="117" spans="8:20" x14ac:dyDescent="0.2">
      <c r="H117">
        <v>116</v>
      </c>
      <c r="I117" t="str">
        <f>IFERROR(INDEX(TableRBCalcPts[PLAYER],MATCH(TableRBRanks[[#This Row],[RK]],TableRBCalcPts[RK],0)),"")</f>
        <v/>
      </c>
      <c r="J117" t="str">
        <f>IFERROR(INDEX(TableRBCalcPts[TM],MATCH(TableRBRanks[[#This Row],[RK]],TableRBCalcPts[RK],0)),"")</f>
        <v/>
      </c>
      <c r="K117" t="str">
        <f>IFERROR(INDEX(TableRBCalcPts[BYE],MATCH(TableRBRanks[[#This Row],[RK]],TableRBCalcPts[RK],0)),"")</f>
        <v/>
      </c>
      <c r="L117" s="57" t="str">
        <f>IFERROR(INDEX(TableRBCalcPts[Custom],MATCH(TableRBRanks[[#This Row],[RK]],TableRBCalcPts[RK],0)),"")</f>
        <v/>
      </c>
      <c r="M117" s="125" t="e">
        <f>(((VLOOKUP(TableRBRanks[[#This Row],[Player]],'OVR &amp; VORP Ranks'!$I:$M,5,FALSE)))/('OVR &amp; VORP Ranks'!$BM$6))*(Settings!$E$10*TEAMS)</f>
        <v>#VALUE!</v>
      </c>
      <c r="O117">
        <v>116</v>
      </c>
      <c r="P117" t="str">
        <f>IFERROR(INDEX(TableWRCalcPts[PLAYER],MATCH(TableWRRanks[[#This Row],[RK]],TableWRCalcPts[RK],0)),"")</f>
        <v>Noah Brown</v>
      </c>
      <c r="Q117" t="str">
        <f>IFERROR(INDEX(TableWRCalcPts[TM],MATCH(TableWRRanks[[#This Row],[RK]],TableWRCalcPts[RK],0)),"")</f>
        <v>WSH</v>
      </c>
      <c r="R117">
        <f>IFERROR(INDEX(TableWRCalcPts[BYE],MATCH(TableWRRanks[[#This Row],[RK]],TableWRCalcPts[RK],0)),"")</f>
        <v>14</v>
      </c>
      <c r="S117" s="57">
        <f>IFERROR(INDEX(TableWRCalcPts[Custom],MATCH(TableWRRanks[[#This Row],[RK]],TableWRCalcPts[RK],0)),"")</f>
        <v>38.679942155400006</v>
      </c>
      <c r="T117" s="125">
        <f>(((VLOOKUP(TableWRRanks[[#This Row],[Player]],'OVR &amp; VORP Ranks'!$P:$T,5,FALSE)))/('OVR &amp; VORP Ranks'!$BM$6))*(Settings!$E$10*TEAMS)</f>
        <v>-47.291181658255155</v>
      </c>
    </row>
    <row r="118" spans="8:20" x14ac:dyDescent="0.2">
      <c r="H118">
        <v>117</v>
      </c>
      <c r="I118" t="str">
        <f>IFERROR(INDEX(TableRBCalcPts[PLAYER],MATCH(TableRBRanks[[#This Row],[RK]],TableRBCalcPts[RK],0)),"")</f>
        <v/>
      </c>
      <c r="J118" t="str">
        <f>IFERROR(INDEX(TableRBCalcPts[TM],MATCH(TableRBRanks[[#This Row],[RK]],TableRBCalcPts[RK],0)),"")</f>
        <v/>
      </c>
      <c r="K118" t="str">
        <f>IFERROR(INDEX(TableRBCalcPts[BYE],MATCH(TableRBRanks[[#This Row],[RK]],TableRBCalcPts[RK],0)),"")</f>
        <v/>
      </c>
      <c r="L118" s="57" t="str">
        <f>IFERROR(INDEX(TableRBCalcPts[Custom],MATCH(TableRBRanks[[#This Row],[RK]],TableRBCalcPts[RK],0)),"")</f>
        <v/>
      </c>
      <c r="M118" s="125" t="e">
        <f>(((VLOOKUP(TableRBRanks[[#This Row],[Player]],'OVR &amp; VORP Ranks'!$I:$M,5,FALSE)))/('OVR &amp; VORP Ranks'!$BM$6))*(Settings!$E$10*TEAMS)</f>
        <v>#VALUE!</v>
      </c>
      <c r="O118">
        <v>117</v>
      </c>
      <c r="P118" t="str">
        <f>IFERROR(INDEX(TableWRCalcPts[PLAYER],MATCH(TableWRRanks[[#This Row],[RK]],TableWRCalcPts[RK],0)),"")</f>
        <v>Zay Jones</v>
      </c>
      <c r="Q118" t="str">
        <f>IFERROR(INDEX(TableWRCalcPts[TM],MATCH(TableWRRanks[[#This Row],[RK]],TableWRCalcPts[RK],0)),"")</f>
        <v>ARI</v>
      </c>
      <c r="R118">
        <f>IFERROR(INDEX(TableWRCalcPts[BYE],MATCH(TableWRRanks[[#This Row],[RK]],TableWRCalcPts[RK],0)),"")</f>
        <v>11</v>
      </c>
      <c r="S118" s="57">
        <f>IFERROR(INDEX(TableWRCalcPts[Custom],MATCH(TableWRRanks[[#This Row],[RK]],TableWRCalcPts[RK],0)),"")</f>
        <v>34.491975864600278</v>
      </c>
      <c r="T118" s="125">
        <f>(((VLOOKUP(TableWRRanks[[#This Row],[Player]],'OVR &amp; VORP Ranks'!$P:$T,5,FALSE)))/('OVR &amp; VORP Ranks'!$BM$6))*(Settings!$E$10*TEAMS)</f>
        <v>-49.115904246494949</v>
      </c>
    </row>
    <row r="119" spans="8:20" x14ac:dyDescent="0.2">
      <c r="H119">
        <v>118</v>
      </c>
      <c r="I119" t="str">
        <f>IFERROR(INDEX(TableRBCalcPts[PLAYER],MATCH(TableRBRanks[[#This Row],[RK]],TableRBCalcPts[RK],0)),"")</f>
        <v/>
      </c>
      <c r="J119" t="str">
        <f>IFERROR(INDEX(TableRBCalcPts[TM],MATCH(TableRBRanks[[#This Row],[RK]],TableRBCalcPts[RK],0)),"")</f>
        <v/>
      </c>
      <c r="K119" t="str">
        <f>IFERROR(INDEX(TableRBCalcPts[BYE],MATCH(TableRBRanks[[#This Row],[RK]],TableRBCalcPts[RK],0)),"")</f>
        <v/>
      </c>
      <c r="L119" s="57" t="str">
        <f>IFERROR(INDEX(TableRBCalcPts[Custom],MATCH(TableRBRanks[[#This Row],[RK]],TableRBCalcPts[RK],0)),"")</f>
        <v/>
      </c>
      <c r="M119" s="125" t="e">
        <f>(((VLOOKUP(TableRBRanks[[#This Row],[Player]],'OVR &amp; VORP Ranks'!$I:$M,5,FALSE)))/('OVR &amp; VORP Ranks'!$BM$6))*(Settings!$E$10*TEAMS)</f>
        <v>#VALUE!</v>
      </c>
      <c r="O119">
        <v>118</v>
      </c>
      <c r="P119" t="str">
        <f>IFERROR(INDEX(TableWRCalcPts[PLAYER],MATCH(TableWRRanks[[#This Row],[RK]],TableWRCalcPts[RK],0)),"")</f>
        <v>Jake Bobo</v>
      </c>
      <c r="Q119" t="str">
        <f>IFERROR(INDEX(TableWRCalcPts[TM],MATCH(TableWRRanks[[#This Row],[RK]],TableWRCalcPts[RK],0)),"")</f>
        <v>SEA</v>
      </c>
      <c r="R119">
        <f>IFERROR(INDEX(TableWRCalcPts[BYE],MATCH(TableWRRanks[[#This Row],[RK]],TableWRCalcPts[RK],0)),"")</f>
        <v>10</v>
      </c>
      <c r="S119" s="57">
        <f>IFERROR(INDEX(TableWRCalcPts[Custom],MATCH(TableWRRanks[[#This Row],[RK]],TableWRCalcPts[RK],0)),"")</f>
        <v>34.341331834367637</v>
      </c>
      <c r="T119" s="125">
        <f>(((VLOOKUP(TableWRRanks[[#This Row],[Player]],'OVR &amp; VORP Ranks'!$P:$T,5,FALSE)))/('OVR &amp; VORP Ranks'!$BM$6))*(Settings!$E$10*TEAMS)</f>
        <v>-49.181540774026899</v>
      </c>
    </row>
    <row r="120" spans="8:20" x14ac:dyDescent="0.2">
      <c r="H120">
        <v>119</v>
      </c>
      <c r="I120" t="str">
        <f>IFERROR(INDEX(TableRBCalcPts[PLAYER],MATCH(TableRBRanks[[#This Row],[RK]],TableRBCalcPts[RK],0)),"")</f>
        <v/>
      </c>
      <c r="J120" t="str">
        <f>IFERROR(INDEX(TableRBCalcPts[TM],MATCH(TableRBRanks[[#This Row],[RK]],TableRBCalcPts[RK],0)),"")</f>
        <v/>
      </c>
      <c r="K120" t="str">
        <f>IFERROR(INDEX(TableRBCalcPts[BYE],MATCH(TableRBRanks[[#This Row],[RK]],TableRBCalcPts[RK],0)),"")</f>
        <v/>
      </c>
      <c r="L120" s="57" t="str">
        <f>IFERROR(INDEX(TableRBCalcPts[Custom],MATCH(TableRBRanks[[#This Row],[RK]],TableRBCalcPts[RK],0)),"")</f>
        <v/>
      </c>
      <c r="M120" s="125" t="e">
        <f>(((VLOOKUP(TableRBRanks[[#This Row],[Player]],'OVR &amp; VORP Ranks'!$I:$M,5,FALSE)))/('OVR &amp; VORP Ranks'!$BM$6))*(Settings!$E$10*TEAMS)</f>
        <v>#VALUE!</v>
      </c>
      <c r="O120">
        <v>119</v>
      </c>
      <c r="P120" t="str">
        <f>IFERROR(INDEX(TableWRCalcPts[PLAYER],MATCH(TableWRRanks[[#This Row],[RK]],TableWRCalcPts[RK],0)),"")</f>
        <v>Deonte Harty</v>
      </c>
      <c r="Q120" t="str">
        <f>IFERROR(INDEX(TableWRCalcPts[TM],MATCH(TableWRRanks[[#This Row],[RK]],TableWRCalcPts[RK],0)),"")</f>
        <v>BAL</v>
      </c>
      <c r="R120">
        <f>IFERROR(INDEX(TableWRCalcPts[BYE],MATCH(TableWRRanks[[#This Row],[RK]],TableWRCalcPts[RK],0)),"")</f>
        <v>14</v>
      </c>
      <c r="S120" s="57">
        <f>IFERROR(INDEX(TableWRCalcPts[Custom],MATCH(TableWRRanks[[#This Row],[RK]],TableWRCalcPts[RK],0)),"")</f>
        <v>33.714169441945884</v>
      </c>
      <c r="T120" s="125">
        <f>(((VLOOKUP(TableWRRanks[[#This Row],[Player]],'OVR &amp; VORP Ranks'!$P:$T,5,FALSE)))/('OVR &amp; VORP Ranks'!$BM$6))*(Settings!$E$10*TEAMS)</f>
        <v>-49.454799273375514</v>
      </c>
    </row>
    <row r="121" spans="8:20" x14ac:dyDescent="0.2">
      <c r="H121">
        <v>120</v>
      </c>
      <c r="I121" t="str">
        <f>IFERROR(INDEX(TableRBCalcPts[PLAYER],MATCH(TableRBRanks[[#This Row],[RK]],TableRBCalcPts[RK],0)),"")</f>
        <v/>
      </c>
      <c r="J121" t="str">
        <f>IFERROR(INDEX(TableRBCalcPts[TM],MATCH(TableRBRanks[[#This Row],[RK]],TableRBCalcPts[RK],0)),"")</f>
        <v/>
      </c>
      <c r="K121" t="str">
        <f>IFERROR(INDEX(TableRBCalcPts[BYE],MATCH(TableRBRanks[[#This Row],[RK]],TableRBCalcPts[RK],0)),"")</f>
        <v/>
      </c>
      <c r="L121" s="57" t="str">
        <f>IFERROR(INDEX(TableRBCalcPts[Custom],MATCH(TableRBRanks[[#This Row],[RK]],TableRBCalcPts[RK],0)),"")</f>
        <v/>
      </c>
      <c r="M121" s="125" t="e">
        <f>(((VLOOKUP(TableRBRanks[[#This Row],[Player]],'OVR &amp; VORP Ranks'!$I:$M,5,FALSE)))/('OVR &amp; VORP Ranks'!$BM$6))*(Settings!$E$10*TEAMS)</f>
        <v>#VALUE!</v>
      </c>
      <c r="O121">
        <v>120</v>
      </c>
      <c r="P121" t="str">
        <f>IFERROR(INDEX(TableWRCalcPts[PLAYER],MATCH(TableWRRanks[[#This Row],[RK]],TableWRCalcPts[RK],0)),"")</f>
        <v>JuJu Smith-Schuster</v>
      </c>
      <c r="Q121" t="str">
        <f>IFERROR(INDEX(TableWRCalcPts[TM],MATCH(TableWRRanks[[#This Row],[RK]],TableWRCalcPts[RK],0)),"")</f>
        <v>KC</v>
      </c>
      <c r="R121">
        <f>IFERROR(INDEX(TableWRCalcPts[BYE],MATCH(TableWRRanks[[#This Row],[RK]],TableWRCalcPts[RK],0)),"")</f>
        <v>6</v>
      </c>
      <c r="S121" s="57">
        <f>IFERROR(INDEX(TableWRCalcPts[Custom],MATCH(TableWRRanks[[#This Row],[RK]],TableWRCalcPts[RK],0)),"")</f>
        <v>32.587761034751999</v>
      </c>
      <c r="T121" s="125">
        <f>(((VLOOKUP(TableWRRanks[[#This Row],[Player]],'OVR &amp; VORP Ranks'!$P:$T,5,FALSE)))/('OVR &amp; VORP Ranks'!$BM$6))*(Settings!$E$10*TEAMS)</f>
        <v>-49.945582322108557</v>
      </c>
    </row>
    <row r="122" spans="8:20" x14ac:dyDescent="0.2">
      <c r="H122">
        <v>121</v>
      </c>
      <c r="I122" t="str">
        <f>IFERROR(INDEX(TableRBCalcPts[PLAYER],MATCH(TableRBRanks[[#This Row],[RK]],TableRBCalcPts[RK],0)),"")</f>
        <v/>
      </c>
      <c r="J122" t="str">
        <f>IFERROR(INDEX(TableRBCalcPts[TM],MATCH(TableRBRanks[[#This Row],[RK]],TableRBCalcPts[RK],0)),"")</f>
        <v/>
      </c>
      <c r="K122" t="str">
        <f>IFERROR(INDEX(TableRBCalcPts[BYE],MATCH(TableRBRanks[[#This Row],[RK]],TableRBCalcPts[RK],0)),"")</f>
        <v/>
      </c>
      <c r="L122" s="57" t="str">
        <f>IFERROR(INDEX(TableRBCalcPts[Custom],MATCH(TableRBRanks[[#This Row],[RK]],TableRBCalcPts[RK],0)),"")</f>
        <v/>
      </c>
      <c r="M122" s="125" t="e">
        <f>(((VLOOKUP(TableRBRanks[[#This Row],[Player]],'OVR &amp; VORP Ranks'!$I:$M,5,FALSE)))/('OVR &amp; VORP Ranks'!$BM$6))*(Settings!$E$10*TEAMS)</f>
        <v>#VALUE!</v>
      </c>
      <c r="O122">
        <v>121</v>
      </c>
      <c r="P122" t="str">
        <f>IFERROR(INDEX(TableWRCalcPts[PLAYER],MATCH(TableWRRanks[[#This Row],[RK]],TableWRCalcPts[RK],0)),"")</f>
        <v>John Metchie</v>
      </c>
      <c r="Q122" t="str">
        <f>IFERROR(INDEX(TableWRCalcPts[TM],MATCH(TableWRRanks[[#This Row],[RK]],TableWRCalcPts[RK],0)),"")</f>
        <v>HOU</v>
      </c>
      <c r="R122">
        <f>IFERROR(INDEX(TableWRCalcPts[BYE],MATCH(TableWRRanks[[#This Row],[RK]],TableWRCalcPts[RK],0)),"")</f>
        <v>14</v>
      </c>
      <c r="S122" s="57">
        <f>IFERROR(INDEX(TableWRCalcPts[Custom],MATCH(TableWRRanks[[#This Row],[RK]],TableWRCalcPts[RK],0)),"")</f>
        <v>31.120723425792004</v>
      </c>
      <c r="T122" s="125">
        <f>(((VLOOKUP(TableWRRanks[[#This Row],[Player]],'OVR &amp; VORP Ranks'!$P:$T,5,FALSE)))/('OVR &amp; VORP Ranks'!$BM$6))*(Settings!$E$10*TEAMS)</f>
        <v>-50.584779602360626</v>
      </c>
    </row>
    <row r="123" spans="8:20" x14ac:dyDescent="0.2">
      <c r="H123">
        <v>122</v>
      </c>
      <c r="I123" t="str">
        <f>IFERROR(INDEX(TableRBCalcPts[PLAYER],MATCH(TableRBRanks[[#This Row],[RK]],TableRBCalcPts[RK],0)),"")</f>
        <v/>
      </c>
      <c r="J123" t="str">
        <f>IFERROR(INDEX(TableRBCalcPts[TM],MATCH(TableRBRanks[[#This Row],[RK]],TableRBCalcPts[RK],0)),"")</f>
        <v/>
      </c>
      <c r="K123" t="str">
        <f>IFERROR(INDEX(TableRBCalcPts[BYE],MATCH(TableRBRanks[[#This Row],[RK]],TableRBCalcPts[RK],0)),"")</f>
        <v/>
      </c>
      <c r="L123" s="57" t="str">
        <f>IFERROR(INDEX(TableRBCalcPts[Custom],MATCH(TableRBRanks[[#This Row],[RK]],TableRBCalcPts[RK],0)),"")</f>
        <v/>
      </c>
      <c r="M123" s="125" t="e">
        <f>(((VLOOKUP(TableRBRanks[[#This Row],[Player]],'OVR &amp; VORP Ranks'!$I:$M,5,FALSE)))/('OVR &amp; VORP Ranks'!$BM$6))*(Settings!$E$10*TEAMS)</f>
        <v>#VALUE!</v>
      </c>
      <c r="O123">
        <v>122</v>
      </c>
      <c r="P123" t="str">
        <f>IFERROR(INDEX(TableWRCalcPts[PLAYER],MATCH(TableWRRanks[[#This Row],[RK]],TableWRCalcPts[RK],0)),"")</f>
        <v>Devaughn Vele</v>
      </c>
      <c r="Q123" t="str">
        <f>IFERROR(INDEX(TableWRCalcPts[TM],MATCH(TableWRRanks[[#This Row],[RK]],TableWRCalcPts[RK],0)),"")</f>
        <v>DEN</v>
      </c>
      <c r="R123">
        <f>IFERROR(INDEX(TableWRCalcPts[BYE],MATCH(TableWRRanks[[#This Row],[RK]],TableWRCalcPts[RK],0)),"")</f>
        <v>14</v>
      </c>
      <c r="S123" s="57">
        <f>IFERROR(INDEX(TableWRCalcPts[Custom],MATCH(TableWRRanks[[#This Row],[RK]],TableWRCalcPts[RK],0)),"")</f>
        <v>30.025220415601204</v>
      </c>
      <c r="T123" s="125">
        <f>(((VLOOKUP(TableWRRanks[[#This Row],[Player]],'OVR &amp; VORP Ranks'!$P:$T,5,FALSE)))/('OVR &amp; VORP Ranks'!$BM$6))*(Settings!$E$10*TEAMS)</f>
        <v>-51.062096980146421</v>
      </c>
    </row>
    <row r="124" spans="8:20" x14ac:dyDescent="0.2">
      <c r="H124">
        <v>123</v>
      </c>
      <c r="I124" t="str">
        <f>IFERROR(INDEX(TableRBCalcPts[PLAYER],MATCH(TableRBRanks[[#This Row],[RK]],TableRBCalcPts[RK],0)),"")</f>
        <v/>
      </c>
      <c r="J124" t="str">
        <f>IFERROR(INDEX(TableRBCalcPts[TM],MATCH(TableRBRanks[[#This Row],[RK]],TableRBCalcPts[RK],0)),"")</f>
        <v/>
      </c>
      <c r="K124" t="str">
        <f>IFERROR(INDEX(TableRBCalcPts[BYE],MATCH(TableRBRanks[[#This Row],[RK]],TableRBCalcPts[RK],0)),"")</f>
        <v/>
      </c>
      <c r="L124" s="57" t="str">
        <f>IFERROR(INDEX(TableRBCalcPts[Custom],MATCH(TableRBRanks[[#This Row],[RK]],TableRBCalcPts[RK],0)),"")</f>
        <v/>
      </c>
      <c r="M124" s="125" t="e">
        <f>(((VLOOKUP(TableRBRanks[[#This Row],[Player]],'OVR &amp; VORP Ranks'!$I:$M,5,FALSE)))/('OVR &amp; VORP Ranks'!$BM$6))*(Settings!$E$10*TEAMS)</f>
        <v>#VALUE!</v>
      </c>
      <c r="O124">
        <v>123</v>
      </c>
      <c r="P124" t="str">
        <f>IFERROR(INDEX(TableWRCalcPts[PLAYER],MATCH(TableWRRanks[[#This Row],[RK]],TableWRCalcPts[RK],0)),"")</f>
        <v>Robert Woods</v>
      </c>
      <c r="Q124" t="str">
        <f>IFERROR(INDEX(TableWRCalcPts[TM],MATCH(TableWRRanks[[#This Row],[RK]],TableWRCalcPts[RK],0)),"")</f>
        <v>HOU</v>
      </c>
      <c r="R124">
        <f>IFERROR(INDEX(TableWRCalcPts[BYE],MATCH(TableWRRanks[[#This Row],[RK]],TableWRCalcPts[RK],0)),"")</f>
        <v>14</v>
      </c>
      <c r="S124" s="57">
        <f>IFERROR(INDEX(TableWRCalcPts[Custom],MATCH(TableWRRanks[[#This Row],[RK]],TableWRCalcPts[RK],0)),"")</f>
        <v>29.421431565209236</v>
      </c>
      <c r="T124" s="125">
        <f>(((VLOOKUP(TableWRRanks[[#This Row],[Player]],'OVR &amp; VORP Ranks'!$P:$T,5,FALSE)))/('OVR &amp; VORP Ranks'!$BM$6))*(Settings!$E$10*TEAMS)</f>
        <v>-51.32517148393552</v>
      </c>
    </row>
    <row r="125" spans="8:20" x14ac:dyDescent="0.2">
      <c r="H125">
        <v>124</v>
      </c>
      <c r="I125" t="str">
        <f>IFERROR(INDEX(TableRBCalcPts[PLAYER],MATCH(TableRBRanks[[#This Row],[RK]],TableRBCalcPts[RK],0)),"")</f>
        <v/>
      </c>
      <c r="J125" t="str">
        <f>IFERROR(INDEX(TableRBCalcPts[TM],MATCH(TableRBRanks[[#This Row],[RK]],TableRBCalcPts[RK],0)),"")</f>
        <v/>
      </c>
      <c r="K125" t="str">
        <f>IFERROR(INDEX(TableRBCalcPts[BYE],MATCH(TableRBRanks[[#This Row],[RK]],TableRBCalcPts[RK],0)),"")</f>
        <v/>
      </c>
      <c r="L125" s="57" t="str">
        <f>IFERROR(INDEX(TableRBCalcPts[Custom],MATCH(TableRBRanks[[#This Row],[RK]],TableRBCalcPts[RK],0)),"")</f>
        <v/>
      </c>
      <c r="M125" s="125" t="e">
        <f>(((VLOOKUP(TableRBRanks[[#This Row],[Player]],'OVR &amp; VORP Ranks'!$I:$M,5,FALSE)))/('OVR &amp; VORP Ranks'!$BM$6))*(Settings!$E$10*TEAMS)</f>
        <v>#VALUE!</v>
      </c>
      <c r="O125">
        <v>124</v>
      </c>
      <c r="P125" t="str">
        <f>IFERROR(INDEX(TableWRCalcPts[PLAYER],MATCH(TableWRRanks[[#This Row],[RK]],TableWRCalcPts[RK],0)),"")</f>
        <v>Tim Patrick</v>
      </c>
      <c r="Q125" t="str">
        <f>IFERROR(INDEX(TableWRCalcPts[TM],MATCH(TableWRRanks[[#This Row],[RK]],TableWRCalcPts[RK],0)),"")</f>
        <v>DET</v>
      </c>
      <c r="R125">
        <f>IFERROR(INDEX(TableWRCalcPts[BYE],MATCH(TableWRRanks[[#This Row],[RK]],TableWRCalcPts[RK],0)),"")</f>
        <v>5</v>
      </c>
      <c r="S125" s="57">
        <f>IFERROR(INDEX(TableWRCalcPts[Custom],MATCH(TableWRRanks[[#This Row],[RK]],TableWRCalcPts[RK],0)),"")</f>
        <v>29.408646755318752</v>
      </c>
      <c r="T125" s="125">
        <f>(((VLOOKUP(TableWRRanks[[#This Row],[Player]],'OVR &amp; VORP Ranks'!$P:$T,5,FALSE)))/('OVR &amp; VORP Ranks'!$BM$6))*(Settings!$E$10*TEAMS)</f>
        <v>-51.330741903985164</v>
      </c>
    </row>
    <row r="126" spans="8:20" x14ac:dyDescent="0.2">
      <c r="H126">
        <v>125</v>
      </c>
      <c r="I126" t="str">
        <f>IFERROR(INDEX(TableRBCalcPts[PLAYER],MATCH(TableRBRanks[[#This Row],[RK]],TableRBCalcPts[RK],0)),"")</f>
        <v/>
      </c>
      <c r="J126" t="str">
        <f>IFERROR(INDEX(TableRBCalcPts[TM],MATCH(TableRBRanks[[#This Row],[RK]],TableRBCalcPts[RK],0)),"")</f>
        <v/>
      </c>
      <c r="K126" t="str">
        <f>IFERROR(INDEX(TableRBCalcPts[BYE],MATCH(TableRBRanks[[#This Row],[RK]],TableRBCalcPts[RK],0)),"")</f>
        <v/>
      </c>
      <c r="L126" s="57" t="str">
        <f>IFERROR(INDEX(TableRBCalcPts[Custom],MATCH(TableRBRanks[[#This Row],[RK]],TableRBCalcPts[RK],0)),"")</f>
        <v/>
      </c>
      <c r="M126" s="125" t="e">
        <f>(((VLOOKUP(TableRBRanks[[#This Row],[Player]],'OVR &amp; VORP Ranks'!$I:$M,5,FALSE)))/('OVR &amp; VORP Ranks'!$BM$6))*(Settings!$E$10*TEAMS)</f>
        <v>#VALUE!</v>
      </c>
      <c r="O126">
        <v>125</v>
      </c>
      <c r="P126" t="str">
        <f>IFERROR(INDEX(TableWRCalcPts[PLAYER],MATCH(TableWRRanks[[#This Row],[RK]],TableWRCalcPts[RK],0)),"")</f>
        <v>Treylon Burks</v>
      </c>
      <c r="Q126" t="str">
        <f>IFERROR(INDEX(TableWRCalcPts[TM],MATCH(TableWRRanks[[#This Row],[RK]],TableWRCalcPts[RK],0)),"")</f>
        <v>TEN</v>
      </c>
      <c r="R126">
        <f>IFERROR(INDEX(TableWRCalcPts[BYE],MATCH(TableWRRanks[[#This Row],[RK]],TableWRCalcPts[RK],0)),"")</f>
        <v>5</v>
      </c>
      <c r="S126" s="57">
        <f>IFERROR(INDEX(TableWRCalcPts[Custom],MATCH(TableWRRanks[[#This Row],[RK]],TableWRCalcPts[RK],0)),"")</f>
        <v>28.738155331311248</v>
      </c>
      <c r="T126" s="125">
        <f>(((VLOOKUP(TableWRRanks[[#This Row],[Player]],'OVR &amp; VORP Ranks'!$P:$T,5,FALSE)))/('OVR &amp; VORP Ranks'!$BM$6))*(Settings!$E$10*TEAMS)</f>
        <v>-51.622879128034768</v>
      </c>
    </row>
    <row r="127" spans="8:20" x14ac:dyDescent="0.2">
      <c r="H127">
        <v>126</v>
      </c>
      <c r="I127" t="str">
        <f>IFERROR(INDEX(TableRBCalcPts[PLAYER],MATCH(TableRBRanks[[#This Row],[RK]],TableRBCalcPts[RK],0)),"")</f>
        <v/>
      </c>
      <c r="J127" t="str">
        <f>IFERROR(INDEX(TableRBCalcPts[TM],MATCH(TableRBRanks[[#This Row],[RK]],TableRBCalcPts[RK],0)),"")</f>
        <v/>
      </c>
      <c r="K127" t="str">
        <f>IFERROR(INDEX(TableRBCalcPts[BYE],MATCH(TableRBRanks[[#This Row],[RK]],TableRBCalcPts[RK],0)),"")</f>
        <v/>
      </c>
      <c r="L127" s="57" t="str">
        <f>IFERROR(INDEX(TableRBCalcPts[Custom],MATCH(TableRBRanks[[#This Row],[RK]],TableRBCalcPts[RK],0)),"")</f>
        <v/>
      </c>
      <c r="M127" s="125" t="e">
        <f>(((VLOOKUP(TableRBRanks[[#This Row],[Player]],'OVR &amp; VORP Ranks'!$I:$M,5,FALSE)))/('OVR &amp; VORP Ranks'!$BM$6))*(Settings!$E$10*TEAMS)</f>
        <v>#VALUE!</v>
      </c>
      <c r="O127">
        <v>126</v>
      </c>
      <c r="P127" t="str">
        <f>IFERROR(INDEX(TableWRCalcPts[PLAYER],MATCH(TableWRRanks[[#This Row],[RK]],TableWRCalcPts[RK],0)),"")</f>
        <v>KhaDarel Hodge</v>
      </c>
      <c r="Q127" t="str">
        <f>IFERROR(INDEX(TableWRCalcPts[TM],MATCH(TableWRRanks[[#This Row],[RK]],TableWRCalcPts[RK],0)),"")</f>
        <v>ATL</v>
      </c>
      <c r="R127">
        <f>IFERROR(INDEX(TableWRCalcPts[BYE],MATCH(TableWRRanks[[#This Row],[RK]],TableWRCalcPts[RK],0)),"")</f>
        <v>12</v>
      </c>
      <c r="S127" s="57">
        <f>IFERROR(INDEX(TableWRCalcPts[Custom],MATCH(TableWRRanks[[#This Row],[RK]],TableWRCalcPts[RK],0)),"")</f>
        <v>28.719195128877054</v>
      </c>
      <c r="T127" s="125">
        <f>(((VLOOKUP(TableWRRanks[[#This Row],[Player]],'OVR &amp; VORP Ranks'!$P:$T,5,FALSE)))/('OVR &amp; VORP Ranks'!$BM$6))*(Settings!$E$10*TEAMS)</f>
        <v>-51.631140204475443</v>
      </c>
    </row>
    <row r="128" spans="8:20" x14ac:dyDescent="0.2">
      <c r="H128">
        <v>127</v>
      </c>
      <c r="I128" t="str">
        <f>IFERROR(INDEX(TableRBCalcPts[PLAYER],MATCH(TableRBRanks[[#This Row],[RK]],TableRBCalcPts[RK],0)),"")</f>
        <v/>
      </c>
      <c r="J128" t="str">
        <f>IFERROR(INDEX(TableRBCalcPts[TM],MATCH(TableRBRanks[[#This Row],[RK]],TableRBCalcPts[RK],0)),"")</f>
        <v/>
      </c>
      <c r="K128" t="str">
        <f>IFERROR(INDEX(TableRBCalcPts[BYE],MATCH(TableRBRanks[[#This Row],[RK]],TableRBCalcPts[RK],0)),"")</f>
        <v/>
      </c>
      <c r="L128" s="57" t="str">
        <f>IFERROR(INDEX(TableRBCalcPts[Custom],MATCH(TableRBRanks[[#This Row],[RK]],TableRBCalcPts[RK],0)),"")</f>
        <v/>
      </c>
      <c r="M128" s="125" t="e">
        <f>(((VLOOKUP(TableRBRanks[[#This Row],[Player]],'OVR &amp; VORP Ranks'!$I:$M,5,FALSE)))/('OVR &amp; VORP Ranks'!$BM$6))*(Settings!$E$10*TEAMS)</f>
        <v>#VALUE!</v>
      </c>
      <c r="O128">
        <v>127</v>
      </c>
      <c r="P128" t="str">
        <f>IFERROR(INDEX(TableWRCalcPts[PLAYER],MATCH(TableWRRanks[[#This Row],[RK]],TableWRCalcPts[RK],0)),"")</f>
        <v>Anthony Gould</v>
      </c>
      <c r="Q128" t="str">
        <f>IFERROR(INDEX(TableWRCalcPts[TM],MATCH(TableWRRanks[[#This Row],[RK]],TableWRCalcPts[RK],0)),"")</f>
        <v>IND</v>
      </c>
      <c r="R128">
        <f>IFERROR(INDEX(TableWRCalcPts[BYE],MATCH(TableWRRanks[[#This Row],[RK]],TableWRCalcPts[RK],0)),"")</f>
        <v>14</v>
      </c>
      <c r="S128" s="57">
        <f>IFERROR(INDEX(TableWRCalcPts[Custom],MATCH(TableWRRanks[[#This Row],[RK]],TableWRCalcPts[RK],0)),"")</f>
        <v>28.099560916257602</v>
      </c>
      <c r="T128" s="125">
        <f>(((VLOOKUP(TableWRRanks[[#This Row],[Player]],'OVR &amp; VORP Ranks'!$P:$T,5,FALSE)))/('OVR &amp; VORP Ranks'!$BM$6))*(Settings!$E$10*TEAMS)</f>
        <v>-51.901118629730867</v>
      </c>
    </row>
    <row r="129" spans="8:20" x14ac:dyDescent="0.2">
      <c r="H129">
        <v>128</v>
      </c>
      <c r="I129" t="str">
        <f>IFERROR(INDEX(TableRBCalcPts[PLAYER],MATCH(TableRBRanks[[#This Row],[RK]],TableRBCalcPts[RK],0)),"")</f>
        <v/>
      </c>
      <c r="J129" t="str">
        <f>IFERROR(INDEX(TableRBCalcPts[TM],MATCH(TableRBRanks[[#This Row],[RK]],TableRBCalcPts[RK],0)),"")</f>
        <v/>
      </c>
      <c r="K129" t="str">
        <f>IFERROR(INDEX(TableRBCalcPts[BYE],MATCH(TableRBRanks[[#This Row],[RK]],TableRBCalcPts[RK],0)),"")</f>
        <v/>
      </c>
      <c r="L129" s="57" t="str">
        <f>IFERROR(INDEX(TableRBCalcPts[Custom],MATCH(TableRBRanks[[#This Row],[RK]],TableRBCalcPts[RK],0)),"")</f>
        <v/>
      </c>
      <c r="M129" s="125" t="e">
        <f>(((VLOOKUP(TableRBRanks[[#This Row],[Player]],'OVR &amp; VORP Ranks'!$I:$M,5,FALSE)))/('OVR &amp; VORP Ranks'!$BM$6))*(Settings!$E$10*TEAMS)</f>
        <v>#VALUE!</v>
      </c>
      <c r="O129">
        <v>128</v>
      </c>
      <c r="P129" t="str">
        <f>IFERROR(INDEX(TableWRCalcPts[PLAYER],MATCH(TableWRRanks[[#This Row],[RK]],TableWRCalcPts[RK],0)),"")</f>
        <v>Xavier Gipson</v>
      </c>
      <c r="Q129" t="str">
        <f>IFERROR(INDEX(TableWRCalcPts[TM],MATCH(TableWRRanks[[#This Row],[RK]],TableWRCalcPts[RK],0)),"")</f>
        <v>NYJ</v>
      </c>
      <c r="R129">
        <f>IFERROR(INDEX(TableWRCalcPts[BYE],MATCH(TableWRRanks[[#This Row],[RK]],TableWRCalcPts[RK],0)),"")</f>
        <v>12</v>
      </c>
      <c r="S129" s="57">
        <f>IFERROR(INDEX(TableWRCalcPts[Custom],MATCH(TableWRRanks[[#This Row],[RK]],TableWRCalcPts[RK],0)),"")</f>
        <v>27.628995709029127</v>
      </c>
      <c r="T129" s="125">
        <f>(((VLOOKUP(TableWRRanks[[#This Row],[Player]],'OVR &amp; VORP Ranks'!$P:$T,5,FALSE)))/('OVR &amp; VORP Ranks'!$BM$6))*(Settings!$E$10*TEAMS)</f>
        <v>-52.106146775433913</v>
      </c>
    </row>
    <row r="130" spans="8:20" x14ac:dyDescent="0.2">
      <c r="H130">
        <v>129</v>
      </c>
      <c r="I130" t="str">
        <f>IFERROR(INDEX(TableRBCalcPts[PLAYER],MATCH(TableRBRanks[[#This Row],[RK]],TableRBCalcPts[RK],0)),"")</f>
        <v/>
      </c>
      <c r="J130" t="str">
        <f>IFERROR(INDEX(TableRBCalcPts[TM],MATCH(TableRBRanks[[#This Row],[RK]],TableRBCalcPts[RK],0)),"")</f>
        <v/>
      </c>
      <c r="K130" t="str">
        <f>IFERROR(INDEX(TableRBCalcPts[BYE],MATCH(TableRBRanks[[#This Row],[RK]],TableRBCalcPts[RK],0)),"")</f>
        <v/>
      </c>
      <c r="L130" s="57" t="str">
        <f>IFERROR(INDEX(TableRBCalcPts[Custom],MATCH(TableRBRanks[[#This Row],[RK]],TableRBCalcPts[RK],0)),"")</f>
        <v/>
      </c>
      <c r="M130" s="125" t="e">
        <f>(((VLOOKUP(TableRBRanks[[#This Row],[Player]],'OVR &amp; VORP Ranks'!$I:$M,5,FALSE)))/('OVR &amp; VORP Ranks'!$BM$6))*(Settings!$E$10*TEAMS)</f>
        <v>#VALUE!</v>
      </c>
      <c r="O130">
        <v>129</v>
      </c>
      <c r="P130" t="str">
        <f>IFERROR(INDEX(TableWRCalcPts[PLAYER],MATCH(TableWRRanks[[#This Row],[RK]],TableWRCalcPts[RK],0)),"")</f>
        <v>Johnny Wilson</v>
      </c>
      <c r="Q130" t="str">
        <f>IFERROR(INDEX(TableWRCalcPts[TM],MATCH(TableWRRanks[[#This Row],[RK]],TableWRCalcPts[RK],0)),"")</f>
        <v>PHI</v>
      </c>
      <c r="R130">
        <f>IFERROR(INDEX(TableWRCalcPts[BYE],MATCH(TableWRRanks[[#This Row],[RK]],TableWRCalcPts[RK],0)),"")</f>
        <v>5</v>
      </c>
      <c r="S130" s="57">
        <f>IFERROR(INDEX(TableWRCalcPts[Custom],MATCH(TableWRRanks[[#This Row],[RK]],TableWRCalcPts[RK],0)),"")</f>
        <v>25.767407778456288</v>
      </c>
      <c r="T130" s="125">
        <f>(((VLOOKUP(TableWRRanks[[#This Row],[Player]],'OVR &amp; VORP Ranks'!$P:$T,5,FALSE)))/('OVR &amp; VORP Ranks'!$BM$6))*(Settings!$E$10*TEAMS)</f>
        <v>-52.917252049698703</v>
      </c>
    </row>
    <row r="131" spans="8:20" x14ac:dyDescent="0.2">
      <c r="H131">
        <v>130</v>
      </c>
      <c r="I131" t="str">
        <f>IFERROR(INDEX(TableRBCalcPts[PLAYER],MATCH(TableRBRanks[[#This Row],[RK]],TableRBCalcPts[RK],0)),"")</f>
        <v/>
      </c>
      <c r="J131" t="str">
        <f>IFERROR(INDEX(TableRBCalcPts[TM],MATCH(TableRBRanks[[#This Row],[RK]],TableRBCalcPts[RK],0)),"")</f>
        <v/>
      </c>
      <c r="K131" t="str">
        <f>IFERROR(INDEX(TableRBCalcPts[BYE],MATCH(TableRBRanks[[#This Row],[RK]],TableRBCalcPts[RK],0)),"")</f>
        <v/>
      </c>
      <c r="L131" s="57" t="str">
        <f>IFERROR(INDEX(TableRBCalcPts[Custom],MATCH(TableRBRanks[[#This Row],[RK]],TableRBCalcPts[RK],0)),"")</f>
        <v/>
      </c>
      <c r="M131" s="125" t="e">
        <f>(((VLOOKUP(TableRBRanks[[#This Row],[Player]],'OVR &amp; VORP Ranks'!$I:$M,5,FALSE)))/('OVR &amp; VORP Ranks'!$BM$6))*(Settings!$E$10*TEAMS)</f>
        <v>#VALUE!</v>
      </c>
      <c r="O131">
        <v>130</v>
      </c>
      <c r="P131" t="str">
        <f>IFERROR(INDEX(TableWRCalcPts[PLAYER],MATCH(TableWRRanks[[#This Row],[RK]],TableWRCalcPts[RK],0)),"")</f>
        <v>Alec Pierce</v>
      </c>
      <c r="Q131" t="str">
        <f>IFERROR(INDEX(TableWRCalcPts[TM],MATCH(TableWRRanks[[#This Row],[RK]],TableWRCalcPts[RK],0)),"")</f>
        <v>IND</v>
      </c>
      <c r="R131">
        <f>IFERROR(INDEX(TableWRCalcPts[BYE],MATCH(TableWRRanks[[#This Row],[RK]],TableWRCalcPts[RK],0)),"")</f>
        <v>14</v>
      </c>
      <c r="S131" s="57">
        <f>IFERROR(INDEX(TableWRCalcPts[Custom],MATCH(TableWRRanks[[#This Row],[RK]],TableWRCalcPts[RK],0)),"")</f>
        <v>25.049826099296304</v>
      </c>
      <c r="T131" s="125">
        <f>(((VLOOKUP(TableWRRanks[[#This Row],[Player]],'OVR &amp; VORP Ranks'!$P:$T,5,FALSE)))/('OVR &amp; VORP Ranks'!$BM$6))*(Settings!$E$10*TEAMS)</f>
        <v>-53.229906786616418</v>
      </c>
    </row>
    <row r="132" spans="8:20" x14ac:dyDescent="0.2">
      <c r="H132">
        <v>131</v>
      </c>
      <c r="I132" t="str">
        <f>IFERROR(INDEX(TableRBCalcPts[PLAYER],MATCH(TableRBRanks[[#This Row],[RK]],TableRBCalcPts[RK],0)),"")</f>
        <v/>
      </c>
      <c r="J132" t="str">
        <f>IFERROR(INDEX(TableRBCalcPts[TM],MATCH(TableRBRanks[[#This Row],[RK]],TableRBCalcPts[RK],0)),"")</f>
        <v/>
      </c>
      <c r="K132" t="str">
        <f>IFERROR(INDEX(TableRBCalcPts[BYE],MATCH(TableRBRanks[[#This Row],[RK]],TableRBCalcPts[RK],0)),"")</f>
        <v/>
      </c>
      <c r="L132" s="57" t="str">
        <f>IFERROR(INDEX(TableRBCalcPts[Custom],MATCH(TableRBRanks[[#This Row],[RK]],TableRBCalcPts[RK],0)),"")</f>
        <v/>
      </c>
      <c r="M132" s="125" t="e">
        <f>(((VLOOKUP(TableRBRanks[[#This Row],[Player]],'OVR &amp; VORP Ranks'!$I:$M,5,FALSE)))/('OVR &amp; VORP Ranks'!$BM$6))*(Settings!$E$10*TEAMS)</f>
        <v>#VALUE!</v>
      </c>
      <c r="O132">
        <v>131</v>
      </c>
      <c r="P132" t="str">
        <f>IFERROR(INDEX(TableWRCalcPts[PLAYER],MATCH(TableWRRanks[[#This Row],[RK]],TableWRCalcPts[RK],0)),"")</f>
        <v>Justin Watson</v>
      </c>
      <c r="Q132" t="str">
        <f>IFERROR(INDEX(TableWRCalcPts[TM],MATCH(TableWRRanks[[#This Row],[RK]],TableWRCalcPts[RK],0)),"")</f>
        <v>KC</v>
      </c>
      <c r="R132">
        <f>IFERROR(INDEX(TableWRCalcPts[BYE],MATCH(TableWRRanks[[#This Row],[RK]],TableWRCalcPts[RK],0)),"")</f>
        <v>6</v>
      </c>
      <c r="S132" s="57">
        <f>IFERROR(INDEX(TableWRCalcPts[Custom],MATCH(TableWRRanks[[#This Row],[RK]],TableWRCalcPts[RK],0)),"")</f>
        <v>24.945080751359992</v>
      </c>
      <c r="T132" s="125">
        <f>(((VLOOKUP(TableWRRanks[[#This Row],[Player]],'OVR &amp; VORP Ranks'!$P:$T,5,FALSE)))/('OVR &amp; VORP Ranks'!$BM$6))*(Settings!$E$10*TEAMS)</f>
        <v>-53.275544976878919</v>
      </c>
    </row>
    <row r="133" spans="8:20" x14ac:dyDescent="0.2">
      <c r="H133">
        <v>132</v>
      </c>
      <c r="I133" t="str">
        <f>IFERROR(INDEX(TableRBCalcPts[PLAYER],MATCH(TableRBRanks[[#This Row],[RK]],TableRBCalcPts[RK],0)),"")</f>
        <v/>
      </c>
      <c r="J133" t="str">
        <f>IFERROR(INDEX(TableRBCalcPts[TM],MATCH(TableRBRanks[[#This Row],[RK]],TableRBCalcPts[RK],0)),"")</f>
        <v/>
      </c>
      <c r="K133" t="str">
        <f>IFERROR(INDEX(TableRBCalcPts[BYE],MATCH(TableRBRanks[[#This Row],[RK]],TableRBCalcPts[RK],0)),"")</f>
        <v/>
      </c>
      <c r="L133" s="57" t="str">
        <f>IFERROR(INDEX(TableRBCalcPts[Custom],MATCH(TableRBRanks[[#This Row],[RK]],TableRBCalcPts[RK],0)),"")</f>
        <v/>
      </c>
      <c r="M133" s="125" t="e">
        <f>(((VLOOKUP(TableRBRanks[[#This Row],[Player]],'OVR &amp; VORP Ranks'!$I:$M,5,FALSE)))/('OVR &amp; VORP Ranks'!$BM$6))*(Settings!$E$10*TEAMS)</f>
        <v>#VALUE!</v>
      </c>
      <c r="O133">
        <v>132</v>
      </c>
      <c r="P133" t="str">
        <f>IFERROR(INDEX(TableWRCalcPts[PLAYER],MATCH(TableWRRanks[[#This Row],[RK]],TableWRCalcPts[RK],0)),"")</f>
        <v>Brandon Powell</v>
      </c>
      <c r="Q133" t="str">
        <f>IFERROR(INDEX(TableWRCalcPts[TM],MATCH(TableWRRanks[[#This Row],[RK]],TableWRCalcPts[RK],0)),"")</f>
        <v>MIN</v>
      </c>
      <c r="R133">
        <f>IFERROR(INDEX(TableWRCalcPts[BYE],MATCH(TableWRRanks[[#This Row],[RK]],TableWRCalcPts[RK],0)),"")</f>
        <v>6</v>
      </c>
      <c r="S133" s="57">
        <f>IFERROR(INDEX(TableWRCalcPts[Custom],MATCH(TableWRRanks[[#This Row],[RK]],TableWRCalcPts[RK],0)),"")</f>
        <v>24.407091129565359</v>
      </c>
      <c r="T133" s="125">
        <f>(((VLOOKUP(TableWRRanks[[#This Row],[Player]],'OVR &amp; VORP Ranks'!$P:$T,5,FALSE)))/('OVR &amp; VORP Ranks'!$BM$6))*(Settings!$E$10*TEAMS)</f>
        <v>-53.509950353370094</v>
      </c>
    </row>
    <row r="134" spans="8:20" x14ac:dyDescent="0.2">
      <c r="H134">
        <v>133</v>
      </c>
      <c r="I134" t="str">
        <f>IFERROR(INDEX(TableRBCalcPts[PLAYER],MATCH(TableRBRanks[[#This Row],[RK]],TableRBCalcPts[RK],0)),"")</f>
        <v/>
      </c>
      <c r="J134" t="str">
        <f>IFERROR(INDEX(TableRBCalcPts[TM],MATCH(TableRBRanks[[#This Row],[RK]],TableRBCalcPts[RK],0)),"")</f>
        <v/>
      </c>
      <c r="K134" t="str">
        <f>IFERROR(INDEX(TableRBCalcPts[BYE],MATCH(TableRBRanks[[#This Row],[RK]],TableRBCalcPts[RK],0)),"")</f>
        <v/>
      </c>
      <c r="L134" s="57" t="str">
        <f>IFERROR(INDEX(TableRBCalcPts[Custom],MATCH(TableRBRanks[[#This Row],[RK]],TableRBCalcPts[RK],0)),"")</f>
        <v/>
      </c>
      <c r="M134" s="125" t="e">
        <f>(((VLOOKUP(TableRBRanks[[#This Row],[Player]],'OVR &amp; VORP Ranks'!$I:$M,5,FALSE)))/('OVR &amp; VORP Ranks'!$BM$6))*(Settings!$E$10*TEAMS)</f>
        <v>#VALUE!</v>
      </c>
      <c r="O134">
        <v>133</v>
      </c>
      <c r="P134" t="str">
        <f>IFERROR(INDEX(TableWRCalcPts[PLAYER],MATCH(TableWRRanks[[#This Row],[RK]],TableWRCalcPts[RK],0)),"")</f>
        <v>David Moore</v>
      </c>
      <c r="Q134" t="str">
        <f>IFERROR(INDEX(TableWRCalcPts[TM],MATCH(TableWRRanks[[#This Row],[RK]],TableWRCalcPts[RK],0)),"")</f>
        <v>CAR</v>
      </c>
      <c r="R134">
        <f>IFERROR(INDEX(TableWRCalcPts[BYE],MATCH(TableWRRanks[[#This Row],[RK]],TableWRCalcPts[RK],0)),"")</f>
        <v>11</v>
      </c>
      <c r="S134" s="57">
        <f>IFERROR(INDEX(TableWRCalcPts[Custom],MATCH(TableWRRanks[[#This Row],[RK]],TableWRCalcPts[RK],0)),"")</f>
        <v>22.838399236688442</v>
      </c>
      <c r="T134" s="125">
        <f>(((VLOOKUP(TableWRRanks[[#This Row],[Player]],'OVR &amp; VORP Ranks'!$P:$T,5,FALSE)))/('OVR &amp; VORP Ranks'!$BM$6))*(Settings!$E$10*TEAMS)</f>
        <v>-54.193439028340904</v>
      </c>
    </row>
    <row r="135" spans="8:20" x14ac:dyDescent="0.2">
      <c r="H135">
        <v>134</v>
      </c>
      <c r="I135" t="str">
        <f>IFERROR(INDEX(TableRBCalcPts[PLAYER],MATCH(TableRBRanks[[#This Row],[RK]],TableRBCalcPts[RK],0)),"")</f>
        <v/>
      </c>
      <c r="J135" t="str">
        <f>IFERROR(INDEX(TableRBCalcPts[TM],MATCH(TableRBRanks[[#This Row],[RK]],TableRBCalcPts[RK],0)),"")</f>
        <v/>
      </c>
      <c r="K135" t="str">
        <f>IFERROR(INDEX(TableRBCalcPts[BYE],MATCH(TableRBRanks[[#This Row],[RK]],TableRBCalcPts[RK],0)),"")</f>
        <v/>
      </c>
      <c r="L135" s="57" t="str">
        <f>IFERROR(INDEX(TableRBCalcPts[Custom],MATCH(TableRBRanks[[#This Row],[RK]],TableRBCalcPts[RK],0)),"")</f>
        <v/>
      </c>
      <c r="M135" s="125" t="e">
        <f>(((VLOOKUP(TableRBRanks[[#This Row],[Player]],'OVR &amp; VORP Ranks'!$I:$M,5,FALSE)))/('OVR &amp; VORP Ranks'!$BM$6))*(Settings!$E$10*TEAMS)</f>
        <v>#VALUE!</v>
      </c>
      <c r="O135">
        <v>134</v>
      </c>
      <c r="P135" t="str">
        <f>IFERROR(INDEX(TableWRCalcPts[PLAYER],MATCH(TableWRRanks[[#This Row],[RK]],TableWRCalcPts[RK],0)),"")</f>
        <v>Casey Washington</v>
      </c>
      <c r="Q135" t="str">
        <f>IFERROR(INDEX(TableWRCalcPts[TM],MATCH(TableWRRanks[[#This Row],[RK]],TableWRCalcPts[RK],0)),"")</f>
        <v>ATL</v>
      </c>
      <c r="R135">
        <f>IFERROR(INDEX(TableWRCalcPts[BYE],MATCH(TableWRRanks[[#This Row],[RK]],TableWRCalcPts[RK],0)),"")</f>
        <v>12</v>
      </c>
      <c r="S135" s="57">
        <f>IFERROR(INDEX(TableWRCalcPts[Custom],MATCH(TableWRRanks[[#This Row],[RK]],TableWRCalcPts[RK],0)),"")</f>
        <v>22.563065964479041</v>
      </c>
      <c r="T135" s="125">
        <f>(((VLOOKUP(TableWRRanks[[#This Row],[Player]],'OVR &amp; VORP Ranks'!$P:$T,5,FALSE)))/('OVR &amp; VORP Ranks'!$BM$6))*(Settings!$E$10*TEAMS)</f>
        <v>-54.313403423039638</v>
      </c>
    </row>
    <row r="136" spans="8:20" x14ac:dyDescent="0.2">
      <c r="H136">
        <v>135</v>
      </c>
      <c r="I136" t="str">
        <f>IFERROR(INDEX(TableRBCalcPts[PLAYER],MATCH(TableRBRanks[[#This Row],[RK]],TableRBCalcPts[RK],0)),"")</f>
        <v/>
      </c>
      <c r="J136" t="str">
        <f>IFERROR(INDEX(TableRBCalcPts[TM],MATCH(TableRBRanks[[#This Row],[RK]],TableRBCalcPts[RK],0)),"")</f>
        <v/>
      </c>
      <c r="K136" t="str">
        <f>IFERROR(INDEX(TableRBCalcPts[BYE],MATCH(TableRBRanks[[#This Row],[RK]],TableRBCalcPts[RK],0)),"")</f>
        <v/>
      </c>
      <c r="L136" s="57" t="str">
        <f>IFERROR(INDEX(TableRBCalcPts[Custom],MATCH(TableRBRanks[[#This Row],[RK]],TableRBCalcPts[RK],0)),"")</f>
        <v/>
      </c>
      <c r="M136" s="125" t="e">
        <f>(((VLOOKUP(TableRBRanks[[#This Row],[Player]],'OVR &amp; VORP Ranks'!$I:$M,5,FALSE)))/('OVR &amp; VORP Ranks'!$BM$6))*(Settings!$E$10*TEAMS)</f>
        <v>#VALUE!</v>
      </c>
      <c r="O136">
        <v>135</v>
      </c>
      <c r="P136" t="str">
        <f>IFERROR(INDEX(TableWRCalcPts[PLAYER],MATCH(TableWRRanks[[#This Row],[RK]],TableWRCalcPts[RK],0)),"")</f>
        <v>DJ Turner</v>
      </c>
      <c r="Q136" t="str">
        <f>IFERROR(INDEX(TableWRCalcPts[TM],MATCH(TableWRRanks[[#This Row],[RK]],TableWRCalcPts[RK],0)),"")</f>
        <v>LV</v>
      </c>
      <c r="R136">
        <f>IFERROR(INDEX(TableWRCalcPts[BYE],MATCH(TableWRRanks[[#This Row],[RK]],TableWRCalcPts[RK],0)),"")</f>
        <v>10</v>
      </c>
      <c r="S136" s="57">
        <f>IFERROR(INDEX(TableWRCalcPts[Custom],MATCH(TableWRRanks[[#This Row],[RK]],TableWRCalcPts[RK],0)),"")</f>
        <v>22.294969913999999</v>
      </c>
      <c r="T136" s="125">
        <f>(((VLOOKUP(TableWRRanks[[#This Row],[Player]],'OVR &amp; VORP Ranks'!$P:$T,5,FALSE)))/('OVR &amp; VORP Ranks'!$BM$6))*(Settings!$E$10*TEAMS)</f>
        <v>-54.430214515860911</v>
      </c>
    </row>
    <row r="137" spans="8:20" x14ac:dyDescent="0.2">
      <c r="H137">
        <v>136</v>
      </c>
      <c r="I137" t="str">
        <f>IFERROR(INDEX(TableRBCalcPts[PLAYER],MATCH(TableRBRanks[[#This Row],[RK]],TableRBCalcPts[RK],0)),"")</f>
        <v/>
      </c>
      <c r="J137" t="str">
        <f>IFERROR(INDEX(TableRBCalcPts[TM],MATCH(TableRBRanks[[#This Row],[RK]],TableRBCalcPts[RK],0)),"")</f>
        <v/>
      </c>
      <c r="K137" t="str">
        <f>IFERROR(INDEX(TableRBCalcPts[BYE],MATCH(TableRBRanks[[#This Row],[RK]],TableRBCalcPts[RK],0)),"")</f>
        <v/>
      </c>
      <c r="L137" s="57" t="str">
        <f>IFERROR(INDEX(TableRBCalcPts[Custom],MATCH(TableRBRanks[[#This Row],[RK]],TableRBCalcPts[RK],0)),"")</f>
        <v/>
      </c>
      <c r="M137" s="125" t="e">
        <f>(((VLOOKUP(TableRBRanks[[#This Row],[Player]],'OVR &amp; VORP Ranks'!$I:$M,5,FALSE)))/('OVR &amp; VORP Ranks'!$BM$6))*(Settings!$E$10*TEAMS)</f>
        <v>#VALUE!</v>
      </c>
      <c r="O137">
        <v>136</v>
      </c>
      <c r="P137" t="str">
        <f>IFERROR(INDEX(TableWRCalcPts[PLAYER],MATCH(TableWRRanks[[#This Row],[RK]],TableWRCalcPts[RK],0)),"")</f>
        <v>Parker Washington</v>
      </c>
      <c r="Q137" t="str">
        <f>IFERROR(INDEX(TableWRCalcPts[TM],MATCH(TableWRRanks[[#This Row],[RK]],TableWRCalcPts[RK],0)),"")</f>
        <v>JAX</v>
      </c>
      <c r="R137">
        <f>IFERROR(INDEX(TableWRCalcPts[BYE],MATCH(TableWRRanks[[#This Row],[RK]],TableWRCalcPts[RK],0)),"")</f>
        <v>12</v>
      </c>
      <c r="S137" s="57">
        <f>IFERROR(INDEX(TableWRCalcPts[Custom],MATCH(TableWRRanks[[#This Row],[RK]],TableWRCalcPts[RK],0)),"")</f>
        <v>22.072144527232805</v>
      </c>
      <c r="T137" s="125">
        <f>(((VLOOKUP(TableWRRanks[[#This Row],[Player]],'OVR &amp; VORP Ranks'!$P:$T,5,FALSE)))/('OVR &amp; VORP Ranks'!$BM$6))*(Settings!$E$10*TEAMS)</f>
        <v>-54.527300902960199</v>
      </c>
    </row>
    <row r="138" spans="8:20" x14ac:dyDescent="0.2">
      <c r="H138">
        <v>137</v>
      </c>
      <c r="I138" t="str">
        <f>IFERROR(INDEX(TableRBCalcPts[PLAYER],MATCH(TableRBRanks[[#This Row],[RK]],TableRBCalcPts[RK],0)),"")</f>
        <v/>
      </c>
      <c r="J138" t="str">
        <f>IFERROR(INDEX(TableRBCalcPts[TM],MATCH(TableRBRanks[[#This Row],[RK]],TableRBCalcPts[RK],0)),"")</f>
        <v/>
      </c>
      <c r="K138" t="str">
        <f>IFERROR(INDEX(TableRBCalcPts[BYE],MATCH(TableRBRanks[[#This Row],[RK]],TableRBCalcPts[RK],0)),"")</f>
        <v/>
      </c>
      <c r="L138" s="57" t="str">
        <f>IFERROR(INDEX(TableRBCalcPts[Custom],MATCH(TableRBRanks[[#This Row],[RK]],TableRBCalcPts[RK],0)),"")</f>
        <v/>
      </c>
      <c r="M138" s="125" t="e">
        <f>(((VLOOKUP(TableRBRanks[[#This Row],[Player]],'OVR &amp; VORP Ranks'!$I:$M,5,FALSE)))/('OVR &amp; VORP Ranks'!$BM$6))*(Settings!$E$10*TEAMS)</f>
        <v>#VALUE!</v>
      </c>
      <c r="O138">
        <v>137</v>
      </c>
      <c r="P138" t="str">
        <f>IFERROR(INDEX(TableWRCalcPts[PLAYER],MATCH(TableWRRanks[[#This Row],[RK]],TableWRCalcPts[RK],0)),"")</f>
        <v>KaVontae Turpin</v>
      </c>
      <c r="Q138" t="str">
        <f>IFERROR(INDEX(TableWRCalcPts[TM],MATCH(TableWRRanks[[#This Row],[RK]],TableWRCalcPts[RK],0)),"")</f>
        <v>DAL</v>
      </c>
      <c r="R138">
        <f>IFERROR(INDEX(TableWRCalcPts[BYE],MATCH(TableWRRanks[[#This Row],[RK]],TableWRCalcPts[RK],0)),"")</f>
        <v>7</v>
      </c>
      <c r="S138" s="57">
        <f>IFERROR(INDEX(TableWRCalcPts[Custom],MATCH(TableWRRanks[[#This Row],[RK]],TableWRCalcPts[RK],0)),"")</f>
        <v>21.958836132368511</v>
      </c>
      <c r="T138" s="125">
        <f>(((VLOOKUP(TableWRRanks[[#This Row],[Player]],'OVR &amp; VORP Ranks'!$P:$T,5,FALSE)))/('OVR &amp; VORP Ranks'!$BM$6))*(Settings!$E$10*TEAMS)</f>
        <v>-54.576670065267045</v>
      </c>
    </row>
    <row r="139" spans="8:20" x14ac:dyDescent="0.2">
      <c r="H139">
        <v>138</v>
      </c>
      <c r="I139" t="str">
        <f>IFERROR(INDEX(TableRBCalcPts[PLAYER],MATCH(TableRBRanks[[#This Row],[RK]],TableRBCalcPts[RK],0)),"")</f>
        <v/>
      </c>
      <c r="J139" t="str">
        <f>IFERROR(INDEX(TableRBCalcPts[TM],MATCH(TableRBRanks[[#This Row],[RK]],TableRBCalcPts[RK],0)),"")</f>
        <v/>
      </c>
      <c r="K139" t="str">
        <f>IFERROR(INDEX(TableRBCalcPts[BYE],MATCH(TableRBRanks[[#This Row],[RK]],TableRBCalcPts[RK],0)),"")</f>
        <v/>
      </c>
      <c r="L139" s="57" t="str">
        <f>IFERROR(INDEX(TableRBCalcPts[Custom],MATCH(TableRBRanks[[#This Row],[RK]],TableRBCalcPts[RK],0)),"")</f>
        <v/>
      </c>
      <c r="M139" s="125" t="e">
        <f>(((VLOOKUP(TableRBRanks[[#This Row],[Player]],'OVR &amp; VORP Ranks'!$I:$M,5,FALSE)))/('OVR &amp; VORP Ranks'!$BM$6))*(Settings!$E$10*TEAMS)</f>
        <v>#VALUE!</v>
      </c>
      <c r="O139">
        <v>138</v>
      </c>
      <c r="P139" t="str">
        <f>IFERROR(INDEX(TableWRCalcPts[PLAYER],MATCH(TableWRRanks[[#This Row],[RK]],TableWRCalcPts[RK],0)),"")</f>
        <v>Tyler Scott</v>
      </c>
      <c r="Q139" t="str">
        <f>IFERROR(INDEX(TableWRCalcPts[TM],MATCH(TableWRRanks[[#This Row],[RK]],TableWRCalcPts[RK],0)),"")</f>
        <v>CHI</v>
      </c>
      <c r="R139">
        <f>IFERROR(INDEX(TableWRCalcPts[BYE],MATCH(TableWRRanks[[#This Row],[RK]],TableWRCalcPts[RK],0)),"")</f>
        <v>7</v>
      </c>
      <c r="S139" s="57">
        <f>IFERROR(INDEX(TableWRCalcPts[Custom],MATCH(TableWRRanks[[#This Row],[RK]],TableWRCalcPts[RK],0)),"")</f>
        <v>21.409501478856473</v>
      </c>
      <c r="T139" s="125">
        <f>(((VLOOKUP(TableWRRanks[[#This Row],[Player]],'OVR &amp; VORP Ranks'!$P:$T,5,FALSE)))/('OVR &amp; VORP Ranks'!$BM$6))*(Settings!$E$10*TEAMS)</f>
        <v>-54.816018541630939</v>
      </c>
    </row>
    <row r="140" spans="8:20" x14ac:dyDescent="0.2">
      <c r="H140">
        <v>139</v>
      </c>
      <c r="I140" t="str">
        <f>IFERROR(INDEX(TableRBCalcPts[PLAYER],MATCH(TableRBRanks[[#This Row],[RK]],TableRBCalcPts[RK],0)),"")</f>
        <v/>
      </c>
      <c r="J140" t="str">
        <f>IFERROR(INDEX(TableRBCalcPts[TM],MATCH(TableRBRanks[[#This Row],[RK]],TableRBCalcPts[RK],0)),"")</f>
        <v/>
      </c>
      <c r="K140" t="str">
        <f>IFERROR(INDEX(TableRBCalcPts[BYE],MATCH(TableRBRanks[[#This Row],[RK]],TableRBCalcPts[RK],0)),"")</f>
        <v/>
      </c>
      <c r="L140" s="57" t="str">
        <f>IFERROR(INDEX(TableRBCalcPts[Custom],MATCH(TableRBRanks[[#This Row],[RK]],TableRBCalcPts[RK],0)),"")</f>
        <v/>
      </c>
      <c r="M140" s="125" t="e">
        <f>(((VLOOKUP(TableRBRanks[[#This Row],[Player]],'OVR &amp; VORP Ranks'!$I:$M,5,FALSE)))/('OVR &amp; VORP Ranks'!$BM$6))*(Settings!$E$10*TEAMS)</f>
        <v>#VALUE!</v>
      </c>
      <c r="O140">
        <v>139</v>
      </c>
      <c r="P140" t="str">
        <f>IFERROR(INDEX(TableWRCalcPts[PLAYER],MATCH(TableWRRanks[[#This Row],[RK]],TableWRCalcPts[RK],0)),"")</f>
        <v>Tutu Atwell</v>
      </c>
      <c r="Q140" t="str">
        <f>IFERROR(INDEX(TableWRCalcPts[TM],MATCH(TableWRRanks[[#This Row],[RK]],TableWRCalcPts[RK],0)),"")</f>
        <v>LAR</v>
      </c>
      <c r="R140">
        <f>IFERROR(INDEX(TableWRCalcPts[BYE],MATCH(TableWRRanks[[#This Row],[RK]],TableWRCalcPts[RK],0)),"")</f>
        <v>6</v>
      </c>
      <c r="S140" s="57">
        <f>IFERROR(INDEX(TableWRCalcPts[Custom],MATCH(TableWRRanks[[#This Row],[RK]],TableWRCalcPts[RK],0)),"")</f>
        <v>21.022461117950055</v>
      </c>
      <c r="T140" s="125">
        <f>(((VLOOKUP(TableWRRanks[[#This Row],[Player]],'OVR &amp; VORP Ranks'!$P:$T,5,FALSE)))/('OVR &amp; VORP Ranks'!$BM$6))*(Settings!$E$10*TEAMS)</f>
        <v>-54.984654399722245</v>
      </c>
    </row>
    <row r="141" spans="8:20" x14ac:dyDescent="0.2">
      <c r="H141">
        <v>140</v>
      </c>
      <c r="I141" t="str">
        <f>IFERROR(INDEX(TableRBCalcPts[PLAYER],MATCH(TableRBRanks[[#This Row],[RK]],TableRBCalcPts[RK],0)),"")</f>
        <v/>
      </c>
      <c r="J141" t="str">
        <f>IFERROR(INDEX(TableRBCalcPts[TM],MATCH(TableRBRanks[[#This Row],[RK]],TableRBCalcPts[RK],0)),"")</f>
        <v/>
      </c>
      <c r="K141" t="str">
        <f>IFERROR(INDEX(TableRBCalcPts[BYE],MATCH(TableRBRanks[[#This Row],[RK]],TableRBCalcPts[RK],0)),"")</f>
        <v/>
      </c>
      <c r="L141" s="57" t="str">
        <f>IFERROR(INDEX(TableRBCalcPts[Custom],MATCH(TableRBRanks[[#This Row],[RK]],TableRBCalcPts[RK],0)),"")</f>
        <v/>
      </c>
      <c r="M141" s="125" t="e">
        <f>(((VLOOKUP(TableRBRanks[[#This Row],[Player]],'OVR &amp; VORP Ranks'!$I:$M,5,FALSE)))/('OVR &amp; VORP Ranks'!$BM$6))*(Settings!$E$10*TEAMS)</f>
        <v>#VALUE!</v>
      </c>
      <c r="O141">
        <v>140</v>
      </c>
      <c r="P141" t="str">
        <f>IFERROR(INDEX(TableWRCalcPts[PLAYER],MATCH(TableWRRanks[[#This Row],[RK]],TableWRCalcPts[RK],0)),"")</f>
        <v>Skyy Moore</v>
      </c>
      <c r="Q141" t="str">
        <f>IFERROR(INDEX(TableWRCalcPts[TM],MATCH(TableWRRanks[[#This Row],[RK]],TableWRCalcPts[RK],0)),"")</f>
        <v>KC</v>
      </c>
      <c r="R141">
        <f>IFERROR(INDEX(TableWRCalcPts[BYE],MATCH(TableWRRanks[[#This Row],[RK]],TableWRCalcPts[RK],0)),"")</f>
        <v>6</v>
      </c>
      <c r="S141" s="57">
        <f>IFERROR(INDEX(TableWRCalcPts[Custom],MATCH(TableWRRanks[[#This Row],[RK]],TableWRCalcPts[RK],0)),"")</f>
        <v>19.594242808998718</v>
      </c>
      <c r="T141" s="125">
        <f>(((VLOOKUP(TableWRRanks[[#This Row],[Player]],'OVR &amp; VORP Ranks'!$P:$T,5,FALSE)))/('OVR &amp; VORP Ranks'!$BM$6))*(Settings!$E$10*TEAMS)</f>
        <v>-55.606937872969453</v>
      </c>
    </row>
    <row r="142" spans="8:20" x14ac:dyDescent="0.2">
      <c r="H142">
        <v>141</v>
      </c>
      <c r="I142" t="str">
        <f>IFERROR(INDEX(TableRBCalcPts[PLAYER],MATCH(TableRBRanks[[#This Row],[RK]],TableRBCalcPts[RK],0)),"")</f>
        <v/>
      </c>
      <c r="J142" t="str">
        <f>IFERROR(INDEX(TableRBCalcPts[TM],MATCH(TableRBRanks[[#This Row],[RK]],TableRBCalcPts[RK],0)),"")</f>
        <v/>
      </c>
      <c r="K142" t="str">
        <f>IFERROR(INDEX(TableRBCalcPts[BYE],MATCH(TableRBRanks[[#This Row],[RK]],TableRBCalcPts[RK],0)),"")</f>
        <v/>
      </c>
      <c r="L142" s="57" t="str">
        <f>IFERROR(INDEX(TableRBCalcPts[Custom],MATCH(TableRBRanks[[#This Row],[RK]],TableRBCalcPts[RK],0)),"")</f>
        <v/>
      </c>
      <c r="M142" s="125" t="e">
        <f>(((VLOOKUP(TableRBRanks[[#This Row],[Player]],'OVR &amp; VORP Ranks'!$I:$M,5,FALSE)))/('OVR &amp; VORP Ranks'!$BM$6))*(Settings!$E$10*TEAMS)</f>
        <v>#VALUE!</v>
      </c>
      <c r="O142">
        <v>141</v>
      </c>
      <c r="P142" t="str">
        <f>IFERROR(INDEX(TableWRCalcPts[PLAYER],MATCH(TableWRRanks[[#This Row],[RK]],TableWRCalcPts[RK],0)),"")</f>
        <v>Bub Means</v>
      </c>
      <c r="Q142" t="str">
        <f>IFERROR(INDEX(TableWRCalcPts[TM],MATCH(TableWRRanks[[#This Row],[RK]],TableWRCalcPts[RK],0)),"")</f>
        <v>NO</v>
      </c>
      <c r="R142">
        <f>IFERROR(INDEX(TableWRCalcPts[BYE],MATCH(TableWRRanks[[#This Row],[RK]],TableWRCalcPts[RK],0)),"")</f>
        <v>12</v>
      </c>
      <c r="S142" s="57">
        <f>IFERROR(INDEX(TableWRCalcPts[Custom],MATCH(TableWRRanks[[#This Row],[RK]],TableWRCalcPts[RK],0)),"")</f>
        <v>19.239112264455407</v>
      </c>
      <c r="T142" s="125">
        <f>(((VLOOKUP(TableWRRanks[[#This Row],[Player]],'OVR &amp; VORP Ranks'!$P:$T,5,FALSE)))/('OVR &amp; VORP Ranks'!$BM$6))*(Settings!$E$10*TEAMS)</f>
        <v>-55.761670428440517</v>
      </c>
    </row>
    <row r="143" spans="8:20" x14ac:dyDescent="0.2">
      <c r="H143">
        <v>142</v>
      </c>
      <c r="I143" t="str">
        <f>IFERROR(INDEX(TableRBCalcPts[PLAYER],MATCH(TableRBRanks[[#This Row],[RK]],TableRBCalcPts[RK],0)),"")</f>
        <v/>
      </c>
      <c r="J143" t="str">
        <f>IFERROR(INDEX(TableRBCalcPts[TM],MATCH(TableRBRanks[[#This Row],[RK]],TableRBCalcPts[RK],0)),"")</f>
        <v/>
      </c>
      <c r="K143" t="str">
        <f>IFERROR(INDEX(TableRBCalcPts[BYE],MATCH(TableRBRanks[[#This Row],[RK]],TableRBCalcPts[RK],0)),"")</f>
        <v/>
      </c>
      <c r="L143" s="57" t="str">
        <f>IFERROR(INDEX(TableRBCalcPts[Custom],MATCH(TableRBRanks[[#This Row],[RK]],TableRBCalcPts[RK],0)),"")</f>
        <v/>
      </c>
      <c r="M143" s="125" t="e">
        <f>(((VLOOKUP(TableRBRanks[[#This Row],[Player]],'OVR &amp; VORP Ranks'!$I:$M,5,FALSE)))/('OVR &amp; VORP Ranks'!$BM$6))*(Settings!$E$10*TEAMS)</f>
        <v>#VALUE!</v>
      </c>
      <c r="O143">
        <v>142</v>
      </c>
      <c r="P143" t="str">
        <f>IFERROR(INDEX(TableWRCalcPts[PLAYER],MATCH(TableWRRanks[[#This Row],[RK]],TableWRCalcPts[RK],0)),"")</f>
        <v>Nick Westbrook-Ikhine</v>
      </c>
      <c r="Q143" t="str">
        <f>IFERROR(INDEX(TableWRCalcPts[TM],MATCH(TableWRRanks[[#This Row],[RK]],TableWRCalcPts[RK],0)),"")</f>
        <v>TEN</v>
      </c>
      <c r="R143">
        <f>IFERROR(INDEX(TableWRCalcPts[BYE],MATCH(TableWRRanks[[#This Row],[RK]],TableWRCalcPts[RK],0)),"")</f>
        <v>5</v>
      </c>
      <c r="S143" s="57">
        <f>IFERROR(INDEX(TableWRCalcPts[Custom],MATCH(TableWRRanks[[#This Row],[RK]],TableWRCalcPts[RK],0)),"")</f>
        <v>18.661396136836288</v>
      </c>
      <c r="T143" s="125">
        <f>(((VLOOKUP(TableWRRanks[[#This Row],[Player]],'OVR &amp; VORP Ranks'!$P:$T,5,FALSE)))/('OVR &amp; VORP Ranks'!$BM$6))*(Settings!$E$10*TEAMS)</f>
        <v>-56.013384887072341</v>
      </c>
    </row>
    <row r="144" spans="8:20" x14ac:dyDescent="0.2">
      <c r="H144">
        <v>143</v>
      </c>
      <c r="I144" t="str">
        <f>IFERROR(INDEX(TableRBCalcPts[PLAYER],MATCH(TableRBRanks[[#This Row],[RK]],TableRBCalcPts[RK],0)),"")</f>
        <v/>
      </c>
      <c r="J144" t="str">
        <f>IFERROR(INDEX(TableRBCalcPts[TM],MATCH(TableRBRanks[[#This Row],[RK]],TableRBCalcPts[RK],0)),"")</f>
        <v/>
      </c>
      <c r="K144" t="str">
        <f>IFERROR(INDEX(TableRBCalcPts[BYE],MATCH(TableRBRanks[[#This Row],[RK]],TableRBCalcPts[RK],0)),"")</f>
        <v/>
      </c>
      <c r="L144" s="57" t="str">
        <f>IFERROR(INDEX(TableRBCalcPts[Custom],MATCH(TableRBRanks[[#This Row],[RK]],TableRBCalcPts[RK],0)),"")</f>
        <v/>
      </c>
      <c r="M144" s="125" t="e">
        <f>(((VLOOKUP(TableRBRanks[[#This Row],[Player]],'OVR &amp; VORP Ranks'!$I:$M,5,FALSE)))/('OVR &amp; VORP Ranks'!$BM$6))*(Settings!$E$10*TEAMS)</f>
        <v>#VALUE!</v>
      </c>
      <c r="O144">
        <v>143</v>
      </c>
      <c r="P144" t="str">
        <f>IFERROR(INDEX(TableWRCalcPts[PLAYER],MATCH(TableWRRanks[[#This Row],[RK]],TableWRCalcPts[RK],0)),"")</f>
        <v>Jason Brownlee</v>
      </c>
      <c r="Q144" t="str">
        <f>IFERROR(INDEX(TableWRCalcPts[TM],MATCH(TableWRRanks[[#This Row],[RK]],TableWRCalcPts[RK],0)),"")</f>
        <v>NYJ</v>
      </c>
      <c r="R144">
        <f>IFERROR(INDEX(TableWRCalcPts[BYE],MATCH(TableWRRanks[[#This Row],[RK]],TableWRCalcPts[RK],0)),"")</f>
        <v>12</v>
      </c>
      <c r="S144" s="57">
        <f>IFERROR(INDEX(TableWRCalcPts[Custom],MATCH(TableWRRanks[[#This Row],[RK]],TableWRCalcPts[RK],0)),"")</f>
        <v>17.408112710446087</v>
      </c>
      <c r="T144" s="125">
        <f>(((VLOOKUP(TableWRRanks[[#This Row],[Player]],'OVR &amp; VORP Ranks'!$P:$T,5,FALSE)))/('OVR &amp; VORP Ranks'!$BM$6))*(Settings!$E$10*TEAMS)</f>
        <v>-56.559448159507156</v>
      </c>
    </row>
    <row r="145" spans="8:20" x14ac:dyDescent="0.2">
      <c r="H145">
        <v>144</v>
      </c>
      <c r="I145" t="str">
        <f>IFERROR(INDEX(TableRBCalcPts[PLAYER],MATCH(TableRBRanks[[#This Row],[RK]],TableRBCalcPts[RK],0)),"")</f>
        <v/>
      </c>
      <c r="J145" t="str">
        <f>IFERROR(INDEX(TableRBCalcPts[TM],MATCH(TableRBRanks[[#This Row],[RK]],TableRBCalcPts[RK],0)),"")</f>
        <v/>
      </c>
      <c r="K145" t="str">
        <f>IFERROR(INDEX(TableRBCalcPts[BYE],MATCH(TableRBRanks[[#This Row],[RK]],TableRBCalcPts[RK],0)),"")</f>
        <v/>
      </c>
      <c r="L145" s="57" t="str">
        <f>IFERROR(INDEX(TableRBCalcPts[Custom],MATCH(TableRBRanks[[#This Row],[RK]],TableRBCalcPts[RK],0)),"")</f>
        <v/>
      </c>
      <c r="M145" s="125" t="e">
        <f>(((VLOOKUP(TableRBRanks[[#This Row],[Player]],'OVR &amp; VORP Ranks'!$I:$M,5,FALSE)))/('OVR &amp; VORP Ranks'!$BM$6))*(Settings!$E$10*TEAMS)</f>
        <v>#VALUE!</v>
      </c>
      <c r="O145">
        <v>144</v>
      </c>
      <c r="P145" t="str">
        <f>IFERROR(INDEX(TableWRCalcPts[PLAYER],MATCH(TableWRRanks[[#This Row],[RK]],TableWRCalcPts[RK],0)),"")</f>
        <v>Devontez Walker</v>
      </c>
      <c r="Q145" t="str">
        <f>IFERROR(INDEX(TableWRCalcPts[TM],MATCH(TableWRRanks[[#This Row],[RK]],TableWRCalcPts[RK],0)),"")</f>
        <v>BAL</v>
      </c>
      <c r="R145">
        <f>IFERROR(INDEX(TableWRCalcPts[BYE],MATCH(TableWRRanks[[#This Row],[RK]],TableWRCalcPts[RK],0)),"")</f>
        <v>14</v>
      </c>
      <c r="S145" s="57">
        <f>IFERROR(INDEX(TableWRCalcPts[Custom],MATCH(TableWRRanks[[#This Row],[RK]],TableWRCalcPts[RK],0)),"")</f>
        <v>16.825698512797491</v>
      </c>
      <c r="T145" s="125">
        <f>(((VLOOKUP(TableWRRanks[[#This Row],[Player]],'OVR &amp; VORP Ranks'!$P:$T,5,FALSE)))/('OVR &amp; VORP Ranks'!$BM$6))*(Settings!$E$10*TEAMS)</f>
        <v>-56.81320959605349</v>
      </c>
    </row>
    <row r="146" spans="8:20" x14ac:dyDescent="0.2">
      <c r="H146">
        <v>145</v>
      </c>
      <c r="I146" t="str">
        <f>IFERROR(INDEX(TableRBCalcPts[PLAYER],MATCH(TableRBRanks[[#This Row],[RK]],TableRBCalcPts[RK],0)),"")</f>
        <v/>
      </c>
      <c r="J146" t="str">
        <f>IFERROR(INDEX(TableRBCalcPts[TM],MATCH(TableRBRanks[[#This Row],[RK]],TableRBCalcPts[RK],0)),"")</f>
        <v/>
      </c>
      <c r="K146" t="str">
        <f>IFERROR(INDEX(TableRBCalcPts[BYE],MATCH(TableRBRanks[[#This Row],[RK]],TableRBCalcPts[RK],0)),"")</f>
        <v/>
      </c>
      <c r="L146" s="57" t="str">
        <f>IFERROR(INDEX(TableRBCalcPts[Custom],MATCH(TableRBRanks[[#This Row],[RK]],TableRBCalcPts[RK],0)),"")</f>
        <v/>
      </c>
      <c r="M146" s="125" t="e">
        <f>(((VLOOKUP(TableRBRanks[[#This Row],[Player]],'OVR &amp; VORP Ranks'!$I:$M,5,FALSE)))/('OVR &amp; VORP Ranks'!$BM$6))*(Settings!$E$10*TEAMS)</f>
        <v>#VALUE!</v>
      </c>
      <c r="O146">
        <v>145</v>
      </c>
      <c r="P146" t="str">
        <f>IFERROR(INDEX(TableWRCalcPts[PLAYER],MATCH(TableWRRanks[[#This Row],[RK]],TableWRCalcPts[RK],0)),"")</f>
        <v>Javon Baker</v>
      </c>
      <c r="Q146" t="str">
        <f>IFERROR(INDEX(TableWRCalcPts[TM],MATCH(TableWRRanks[[#This Row],[RK]],TableWRCalcPts[RK],0)),"")</f>
        <v>NE</v>
      </c>
      <c r="R146">
        <f>IFERROR(INDEX(TableWRCalcPts[BYE],MATCH(TableWRRanks[[#This Row],[RK]],TableWRCalcPts[RK],0)),"")</f>
        <v>14</v>
      </c>
      <c r="S146" s="57">
        <f>IFERROR(INDEX(TableWRCalcPts[Custom],MATCH(TableWRRanks[[#This Row],[RK]],TableWRCalcPts[RK],0)),"")</f>
        <v>16.660263898414083</v>
      </c>
      <c r="T146" s="125">
        <f>(((VLOOKUP(TableWRRanks[[#This Row],[Player]],'OVR &amp; VORP Ranks'!$P:$T,5,FALSE)))/('OVR &amp; VORP Ranks'!$BM$6))*(Settings!$E$10*TEAMS)</f>
        <v>-56.885290471777168</v>
      </c>
    </row>
    <row r="147" spans="8:20" x14ac:dyDescent="0.2">
      <c r="H147">
        <v>146</v>
      </c>
      <c r="I147" t="str">
        <f>IFERROR(INDEX(TableRBCalcPts[PLAYER],MATCH(TableRBRanks[[#This Row],[RK]],TableRBCalcPts[RK],0)),"")</f>
        <v/>
      </c>
      <c r="J147" t="str">
        <f>IFERROR(INDEX(TableRBCalcPts[TM],MATCH(TableRBRanks[[#This Row],[RK]],TableRBCalcPts[RK],0)),"")</f>
        <v/>
      </c>
      <c r="K147" t="str">
        <f>IFERROR(INDEX(TableRBCalcPts[BYE],MATCH(TableRBRanks[[#This Row],[RK]],TableRBCalcPts[RK],0)),"")</f>
        <v/>
      </c>
      <c r="L147" s="57" t="str">
        <f>IFERROR(INDEX(TableRBCalcPts[Custom],MATCH(TableRBRanks[[#This Row],[RK]],TableRBCalcPts[RK],0)),"")</f>
        <v/>
      </c>
      <c r="M147" s="125" t="e">
        <f>(((VLOOKUP(TableRBRanks[[#This Row],[Player]],'OVR &amp; VORP Ranks'!$I:$M,5,FALSE)))/('OVR &amp; VORP Ranks'!$BM$6))*(Settings!$E$10*TEAMS)</f>
        <v>#VALUE!</v>
      </c>
      <c r="O147">
        <v>146</v>
      </c>
      <c r="P147" t="str">
        <f>IFERROR(INDEX(TableWRCalcPts[PLAYER],MATCH(TableWRRanks[[#This Row],[RK]],TableWRCalcPts[RK],0)),"")</f>
        <v>Bo Melton</v>
      </c>
      <c r="Q147" t="str">
        <f>IFERROR(INDEX(TableWRCalcPts[TM],MATCH(TableWRRanks[[#This Row],[RK]],TableWRCalcPts[RK],0)),"")</f>
        <v>GB</v>
      </c>
      <c r="R147">
        <f>IFERROR(INDEX(TableWRCalcPts[BYE],MATCH(TableWRRanks[[#This Row],[RK]],TableWRCalcPts[RK],0)),"")</f>
        <v>10</v>
      </c>
      <c r="S147" s="57">
        <f>IFERROR(INDEX(TableWRCalcPts[Custom],MATCH(TableWRRanks[[#This Row],[RK]],TableWRCalcPts[RK],0)),"")</f>
        <v>15.792781181632</v>
      </c>
      <c r="T147" s="125">
        <f>(((VLOOKUP(TableWRRanks[[#This Row],[Player]],'OVR &amp; VORP Ranks'!$P:$T,5,FALSE)))/('OVR &amp; VORP Ranks'!$BM$6))*(Settings!$E$10*TEAMS)</f>
        <v>-57.263258009791343</v>
      </c>
    </row>
    <row r="148" spans="8:20" x14ac:dyDescent="0.2">
      <c r="H148">
        <v>147</v>
      </c>
      <c r="I148" t="str">
        <f>IFERROR(INDEX(TableRBCalcPts[PLAYER],MATCH(TableRBRanks[[#This Row],[RK]],TableRBCalcPts[RK],0)),"")</f>
        <v/>
      </c>
      <c r="J148" t="str">
        <f>IFERROR(INDEX(TableRBCalcPts[TM],MATCH(TableRBRanks[[#This Row],[RK]],TableRBCalcPts[RK],0)),"")</f>
        <v/>
      </c>
      <c r="K148" t="str">
        <f>IFERROR(INDEX(TableRBCalcPts[BYE],MATCH(TableRBRanks[[#This Row],[RK]],TableRBCalcPts[RK],0)),"")</f>
        <v/>
      </c>
      <c r="L148" s="57" t="str">
        <f>IFERROR(INDEX(TableRBCalcPts[Custom],MATCH(TableRBRanks[[#This Row],[RK]],TableRBCalcPts[RK],0)),"")</f>
        <v/>
      </c>
      <c r="M148" s="125" t="e">
        <f>(((VLOOKUP(TableRBRanks[[#This Row],[Player]],'OVR &amp; VORP Ranks'!$I:$M,5,FALSE)))/('OVR &amp; VORP Ranks'!$BM$6))*(Settings!$E$10*TEAMS)</f>
        <v>#VALUE!</v>
      </c>
      <c r="O148">
        <v>147</v>
      </c>
      <c r="P148" t="str">
        <f>IFERROR(INDEX(TableWRCalcPts[PLAYER],MATCH(TableWRRanks[[#This Row],[RK]],TableWRCalcPts[RK],0)),"")</f>
        <v>Ryan Flournoy</v>
      </c>
      <c r="Q148" t="str">
        <f>IFERROR(INDEX(TableWRCalcPts[TM],MATCH(TableWRRanks[[#This Row],[RK]],TableWRCalcPts[RK],0)),"")</f>
        <v>DAL</v>
      </c>
      <c r="R148">
        <f>IFERROR(INDEX(TableWRCalcPts[BYE],MATCH(TableWRRanks[[#This Row],[RK]],TableWRCalcPts[RK],0)),"")</f>
        <v>7</v>
      </c>
      <c r="S148" s="57">
        <f>IFERROR(INDEX(TableWRCalcPts[Custom],MATCH(TableWRRanks[[#This Row],[RK]],TableWRCalcPts[RK],0)),"")</f>
        <v>15.366760287490072</v>
      </c>
      <c r="T148" s="125">
        <f>(((VLOOKUP(TableWRRanks[[#This Row],[Player]],'OVR &amp; VORP Ranks'!$P:$T,5,FALSE)))/('OVR &amp; VORP Ranks'!$BM$6))*(Settings!$E$10*TEAMS)</f>
        <v>-57.448877925192903</v>
      </c>
    </row>
    <row r="149" spans="8:20" x14ac:dyDescent="0.2">
      <c r="H149">
        <v>148</v>
      </c>
      <c r="I149" t="str">
        <f>IFERROR(INDEX(TableRBCalcPts[PLAYER],MATCH(TableRBRanks[[#This Row],[RK]],TableRBCalcPts[RK],0)),"")</f>
        <v/>
      </c>
      <c r="J149" t="str">
        <f>IFERROR(INDEX(TableRBCalcPts[TM],MATCH(TableRBRanks[[#This Row],[RK]],TableRBCalcPts[RK],0)),"")</f>
        <v/>
      </c>
      <c r="K149" t="str">
        <f>IFERROR(INDEX(TableRBCalcPts[BYE],MATCH(TableRBRanks[[#This Row],[RK]],TableRBCalcPts[RK],0)),"")</f>
        <v/>
      </c>
      <c r="L149" s="57" t="str">
        <f>IFERROR(INDEX(TableRBCalcPts[Custom],MATCH(TableRBRanks[[#This Row],[RK]],TableRBCalcPts[RK],0)),"")</f>
        <v/>
      </c>
      <c r="M149" s="125" t="e">
        <f>(((VLOOKUP(TableRBRanks[[#This Row],[Player]],'OVR &amp; VORP Ranks'!$I:$M,5,FALSE)))/('OVR &amp; VORP Ranks'!$BM$6))*(Settings!$E$10*TEAMS)</f>
        <v>#VALUE!</v>
      </c>
      <c r="O149">
        <v>148</v>
      </c>
      <c r="P149" t="str">
        <f>IFERROR(INDEX(TableWRCalcPts[PLAYER],MATCH(TableWRRanks[[#This Row],[RK]],TableWRCalcPts[RK],0)),"")</f>
        <v>Jalen Brooks</v>
      </c>
      <c r="Q149" t="str">
        <f>IFERROR(INDEX(TableWRCalcPts[TM],MATCH(TableWRRanks[[#This Row],[RK]],TableWRCalcPts[RK],0)),"")</f>
        <v>DAL</v>
      </c>
      <c r="R149">
        <f>IFERROR(INDEX(TableWRCalcPts[BYE],MATCH(TableWRRanks[[#This Row],[RK]],TableWRCalcPts[RK],0)),"")</f>
        <v>7</v>
      </c>
      <c r="S149" s="57">
        <f>IFERROR(INDEX(TableWRCalcPts[Custom],MATCH(TableWRRanks[[#This Row],[RK]],TableWRCalcPts[RK],0)),"")</f>
        <v>15.178797800477579</v>
      </c>
      <c r="T149" s="125">
        <f>(((VLOOKUP(TableWRRanks[[#This Row],[Player]],'OVR &amp; VORP Ranks'!$P:$T,5,FALSE)))/('OVR &amp; VORP Ranks'!$BM$6))*(Settings!$E$10*TEAMS)</f>
        <v>-57.530774333133664</v>
      </c>
    </row>
    <row r="150" spans="8:20" x14ac:dyDescent="0.2">
      <c r="H150">
        <v>149</v>
      </c>
      <c r="I150" t="str">
        <f>IFERROR(INDEX(TableRBCalcPts[PLAYER],MATCH(TableRBRanks[[#This Row],[RK]],TableRBCalcPts[RK],0)),"")</f>
        <v/>
      </c>
      <c r="J150" t="str">
        <f>IFERROR(INDEX(TableRBCalcPts[TM],MATCH(TableRBRanks[[#This Row],[RK]],TableRBCalcPts[RK],0)),"")</f>
        <v/>
      </c>
      <c r="K150" t="str">
        <f>IFERROR(INDEX(TableRBCalcPts[BYE],MATCH(TableRBRanks[[#This Row],[RK]],TableRBCalcPts[RK],0)),"")</f>
        <v/>
      </c>
      <c r="L150" s="57" t="str">
        <f>IFERROR(INDEX(TableRBCalcPts[Custom],MATCH(TableRBRanks[[#This Row],[RK]],TableRBCalcPts[RK],0)),"")</f>
        <v/>
      </c>
      <c r="M150" s="125" t="e">
        <f>(((VLOOKUP(TableRBRanks[[#This Row],[Player]],'OVR &amp; VORP Ranks'!$I:$M,5,FALSE)))/('OVR &amp; VORP Ranks'!$BM$6))*(Settings!$E$10*TEAMS)</f>
        <v>#VALUE!</v>
      </c>
      <c r="O150">
        <v>149</v>
      </c>
      <c r="P150" t="str">
        <f>IFERROR(INDEX(TableWRCalcPts[PLAYER],MATCH(TableWRRanks[[#This Row],[RK]],TableWRCalcPts[RK],0)),"")</f>
        <v>Chris Moore</v>
      </c>
      <c r="Q150" t="str">
        <f>IFERROR(INDEX(TableWRCalcPts[TM],MATCH(TableWRRanks[[#This Row],[RK]],TableWRCalcPts[RK],0)),"")</f>
        <v>ARI</v>
      </c>
      <c r="R150">
        <f>IFERROR(INDEX(TableWRCalcPts[BYE],MATCH(TableWRRanks[[#This Row],[RK]],TableWRCalcPts[RK],0)),"")</f>
        <v>11</v>
      </c>
      <c r="S150" s="57">
        <f>IFERROR(INDEX(TableWRCalcPts[Custom],MATCH(TableWRRanks[[#This Row],[RK]],TableWRCalcPts[RK],0)),"")</f>
        <v>14.964485193398426</v>
      </c>
      <c r="T150" s="125">
        <f>(((VLOOKUP(TableWRRanks[[#This Row],[Player]],'OVR &amp; VORP Ranks'!$P:$T,5,FALSE)))/('OVR &amp; VORP Ranks'!$BM$6))*(Settings!$E$10*TEAMS)</f>
        <v>-57.624151649933225</v>
      </c>
    </row>
    <row r="151" spans="8:20" x14ac:dyDescent="0.2">
      <c r="H151">
        <v>150</v>
      </c>
      <c r="I151" t="str">
        <f>IFERROR(INDEX(TableRBCalcPts[PLAYER],MATCH(TableRBRanks[[#This Row],[RK]],TableRBCalcPts[RK],0)),"")</f>
        <v/>
      </c>
      <c r="J151" t="str">
        <f>IFERROR(INDEX(TableRBCalcPts[TM],MATCH(TableRBRanks[[#This Row],[RK]],TableRBCalcPts[RK],0)),"")</f>
        <v/>
      </c>
      <c r="K151" t="str">
        <f>IFERROR(INDEX(TableRBCalcPts[BYE],MATCH(TableRBRanks[[#This Row],[RK]],TableRBCalcPts[RK],0)),"")</f>
        <v/>
      </c>
      <c r="L151" s="57" t="str">
        <f>IFERROR(INDEX(TableRBCalcPts[Custom],MATCH(TableRBRanks[[#This Row],[RK]],TableRBCalcPts[RK],0)),"")</f>
        <v/>
      </c>
      <c r="M151" s="125" t="e">
        <f>(((VLOOKUP(TableRBRanks[[#This Row],[Player]],'OVR &amp; VORP Ranks'!$I:$M,5,FALSE)))/('OVR &amp; VORP Ranks'!$BM$6))*(Settings!$E$10*TEAMS)</f>
        <v>#VALUE!</v>
      </c>
      <c r="O151">
        <v>150</v>
      </c>
      <c r="P151" t="str">
        <f>IFERROR(INDEX(TableWRCalcPts[PLAYER],MATCH(TableWRRanks[[#This Row],[RK]],TableWRCalcPts[RK],0)),"")</f>
        <v>Antoine Green</v>
      </c>
      <c r="Q151" t="str">
        <f>IFERROR(INDEX(TableWRCalcPts[TM],MATCH(TableWRRanks[[#This Row],[RK]],TableWRCalcPts[RK],0)),"")</f>
        <v>DET</v>
      </c>
      <c r="R151">
        <f>IFERROR(INDEX(TableWRCalcPts[BYE],MATCH(TableWRRanks[[#This Row],[RK]],TableWRCalcPts[RK],0)),"")</f>
        <v>5</v>
      </c>
      <c r="S151" s="57">
        <f>IFERROR(INDEX(TableWRCalcPts[Custom],MATCH(TableWRRanks[[#This Row],[RK]],TableWRCalcPts[RK],0)),"")</f>
        <v>14.861922318973217</v>
      </c>
      <c r="T151" s="125">
        <f>(((VLOOKUP(TableWRRanks[[#This Row],[Player]],'OVR &amp; VORP Ranks'!$P:$T,5,FALSE)))/('OVR &amp; VORP Ranks'!$BM$6))*(Settings!$E$10*TEAMS)</f>
        <v>-57.66883892310674</v>
      </c>
    </row>
    <row r="152" spans="8:20" x14ac:dyDescent="0.2">
      <c r="H152">
        <v>151</v>
      </c>
      <c r="I152" t="str">
        <f>IFERROR(INDEX(TableRBCalcPts[PLAYER],MATCH(TableRBRanks[[#This Row],[RK]],TableRBCalcPts[RK],0)),"")</f>
        <v/>
      </c>
      <c r="J152" t="str">
        <f>IFERROR(INDEX(TableRBCalcPts[TM],MATCH(TableRBRanks[[#This Row],[RK]],TableRBCalcPts[RK],0)),"")</f>
        <v/>
      </c>
      <c r="K152" t="str">
        <f>IFERROR(INDEX(TableRBCalcPts[BYE],MATCH(TableRBRanks[[#This Row],[RK]],TableRBCalcPts[RK],0)),"")</f>
        <v/>
      </c>
      <c r="L152" s="57" t="str">
        <f>IFERROR(INDEX(TableRBCalcPts[Custom],MATCH(TableRBRanks[[#This Row],[RK]],TableRBCalcPts[RK],0)),"")</f>
        <v/>
      </c>
      <c r="M152" s="125" t="e">
        <f>(((VLOOKUP(TableRBRanks[[#This Row],[Player]],'OVR &amp; VORP Ranks'!$I:$M,5,FALSE)))/('OVR &amp; VORP Ranks'!$BM$6))*(Settings!$E$10*TEAMS)</f>
        <v>#VALUE!</v>
      </c>
      <c r="O152">
        <v>151</v>
      </c>
      <c r="P152" t="str">
        <f>IFERROR(INDEX(TableWRCalcPts[PLAYER],MATCH(TableWRRanks[[#This Row],[RK]],TableWRCalcPts[RK],0)),"")</f>
        <v>Derius Davis</v>
      </c>
      <c r="Q152" t="str">
        <f>IFERROR(INDEX(TableWRCalcPts[TM],MATCH(TableWRRanks[[#This Row],[RK]],TableWRCalcPts[RK],0)),"")</f>
        <v>LAC</v>
      </c>
      <c r="R152">
        <f>IFERROR(INDEX(TableWRCalcPts[BYE],MATCH(TableWRRanks[[#This Row],[RK]],TableWRCalcPts[RK],0)),"")</f>
        <v>5</v>
      </c>
      <c r="S152" s="57">
        <f>IFERROR(INDEX(TableWRCalcPts[Custom],MATCH(TableWRRanks[[#This Row],[RK]],TableWRCalcPts[RK],0)),"")</f>
        <v>14.815385969013441</v>
      </c>
      <c r="T152" s="125">
        <f>(((VLOOKUP(TableWRRanks[[#This Row],[Player]],'OVR &amp; VORP Ranks'!$P:$T,5,FALSE)))/('OVR &amp; VORP Ranks'!$BM$6))*(Settings!$E$10*TEAMS)</f>
        <v>-57.689115096086546</v>
      </c>
    </row>
    <row r="153" spans="8:20" x14ac:dyDescent="0.2">
      <c r="H153">
        <v>152</v>
      </c>
      <c r="I153" t="str">
        <f>IFERROR(INDEX(TableRBCalcPts[PLAYER],MATCH(TableRBRanks[[#This Row],[RK]],TableRBCalcPts[RK],0)),"")</f>
        <v/>
      </c>
      <c r="J153" t="str">
        <f>IFERROR(INDEX(TableRBCalcPts[TM],MATCH(TableRBRanks[[#This Row],[RK]],TableRBCalcPts[RK],0)),"")</f>
        <v/>
      </c>
      <c r="K153" t="str">
        <f>IFERROR(INDEX(TableRBCalcPts[BYE],MATCH(TableRBRanks[[#This Row],[RK]],TableRBCalcPts[RK],0)),"")</f>
        <v/>
      </c>
      <c r="L153" s="57" t="str">
        <f>IFERROR(INDEX(TableRBCalcPts[Custom],MATCH(TableRBRanks[[#This Row],[RK]],TableRBCalcPts[RK],0)),"")</f>
        <v/>
      </c>
      <c r="M153" s="125" t="e">
        <f>(((VLOOKUP(TableRBRanks[[#This Row],[Player]],'OVR &amp; VORP Ranks'!$I:$M,5,FALSE)))/('OVR &amp; VORP Ranks'!$BM$6))*(Settings!$E$10*TEAMS)</f>
        <v>#VALUE!</v>
      </c>
      <c r="O153">
        <v>152</v>
      </c>
      <c r="P153" t="str">
        <f>IFERROR(INDEX(TableWRCalcPts[PLAYER],MATCH(TableWRRanks[[#This Row],[RK]],TableWRCalcPts[RK],0)),"")</f>
        <v>Trent Sherfield</v>
      </c>
      <c r="Q153" t="str">
        <f>IFERROR(INDEX(TableWRCalcPts[TM],MATCH(TableWRRanks[[#This Row],[RK]],TableWRCalcPts[RK],0)),"")</f>
        <v>MIN</v>
      </c>
      <c r="R153">
        <f>IFERROR(INDEX(TableWRCalcPts[BYE],MATCH(TableWRRanks[[#This Row],[RK]],TableWRCalcPts[RK],0)),"")</f>
        <v>6</v>
      </c>
      <c r="S153" s="57">
        <f>IFERROR(INDEX(TableWRCalcPts[Custom],MATCH(TableWRRanks[[#This Row],[RK]],TableWRCalcPts[RK],0)),"")</f>
        <v>14.679469050603101</v>
      </c>
      <c r="T153" s="125">
        <f>(((VLOOKUP(TableWRRanks[[#This Row],[Player]],'OVR &amp; VORP Ranks'!$P:$T,5,FALSE)))/('OVR &amp; VORP Ranks'!$BM$6))*(Settings!$E$10*TEAMS)</f>
        <v>-57.748334930709412</v>
      </c>
    </row>
    <row r="154" spans="8:20" x14ac:dyDescent="0.2">
      <c r="H154">
        <v>153</v>
      </c>
      <c r="I154" t="str">
        <f>IFERROR(INDEX(TableRBCalcPts[PLAYER],MATCH(TableRBRanks[[#This Row],[RK]],TableRBCalcPts[RK],0)),"")</f>
        <v/>
      </c>
      <c r="J154" t="str">
        <f>IFERROR(INDEX(TableRBCalcPts[TM],MATCH(TableRBRanks[[#This Row],[RK]],TableRBCalcPts[RK],0)),"")</f>
        <v/>
      </c>
      <c r="K154" t="str">
        <f>IFERROR(INDEX(TableRBCalcPts[BYE],MATCH(TableRBRanks[[#This Row],[RK]],TableRBCalcPts[RK],0)),"")</f>
        <v/>
      </c>
      <c r="L154" s="57" t="str">
        <f>IFERROR(INDEX(TableRBCalcPts[Custom],MATCH(TableRBRanks[[#This Row],[RK]],TableRBCalcPts[RK],0)),"")</f>
        <v/>
      </c>
      <c r="M154" s="125" t="e">
        <f>(((VLOOKUP(TableRBRanks[[#This Row],[Player]],'OVR &amp; VORP Ranks'!$I:$M,5,FALSE)))/('OVR &amp; VORP Ranks'!$BM$6))*(Settings!$E$10*TEAMS)</f>
        <v>#VALUE!</v>
      </c>
      <c r="O154">
        <v>153</v>
      </c>
      <c r="P154" t="str">
        <f>IFERROR(INDEX(TableWRCalcPts[PLAYER],MATCH(TableWRRanks[[#This Row],[RK]],TableWRCalcPts[RK],0)),"")</f>
        <v>Laviska Shenault</v>
      </c>
      <c r="Q154" t="str">
        <f>IFERROR(INDEX(TableWRCalcPts[TM],MATCH(TableWRRanks[[#This Row],[RK]],TableWRCalcPts[RK],0)),"")</f>
        <v>SEA</v>
      </c>
      <c r="R154">
        <f>IFERROR(INDEX(TableWRCalcPts[BYE],MATCH(TableWRRanks[[#This Row],[RK]],TableWRCalcPts[RK],0)),"")</f>
        <v>10</v>
      </c>
      <c r="S154" s="57">
        <f>IFERROR(INDEX(TableWRCalcPts[Custom],MATCH(TableWRRanks[[#This Row],[RK]],TableWRCalcPts[RK],0)),"")</f>
        <v>14.629293969015656</v>
      </c>
      <c r="T154" s="125">
        <f>(((VLOOKUP(TableWRRanks[[#This Row],[Player]],'OVR &amp; VORP Ranks'!$P:$T,5,FALSE)))/('OVR &amp; VORP Ranks'!$BM$6))*(Settings!$E$10*TEAMS)</f>
        <v>-57.770196521367509</v>
      </c>
    </row>
    <row r="155" spans="8:20" x14ac:dyDescent="0.2">
      <c r="H155">
        <v>154</v>
      </c>
      <c r="I155" t="str">
        <f>IFERROR(INDEX(TableRBCalcPts[PLAYER],MATCH(TableRBRanks[[#This Row],[RK]],TableRBCalcPts[RK],0)),"")</f>
        <v/>
      </c>
      <c r="J155" t="str">
        <f>IFERROR(INDEX(TableRBCalcPts[TM],MATCH(TableRBRanks[[#This Row],[RK]],TableRBCalcPts[RK],0)),"")</f>
        <v/>
      </c>
      <c r="K155" t="str">
        <f>IFERROR(INDEX(TableRBCalcPts[BYE],MATCH(TableRBRanks[[#This Row],[RK]],TableRBCalcPts[RK],0)),"")</f>
        <v/>
      </c>
      <c r="L155" s="57" t="str">
        <f>IFERROR(INDEX(TableRBCalcPts[Custom],MATCH(TableRBRanks[[#This Row],[RK]],TableRBCalcPts[RK],0)),"")</f>
        <v/>
      </c>
      <c r="M155" s="125" t="e">
        <f>(((VLOOKUP(TableRBRanks[[#This Row],[Player]],'OVR &amp; VORP Ranks'!$I:$M,5,FALSE)))/('OVR &amp; VORP Ranks'!$BM$6))*(Settings!$E$10*TEAMS)</f>
        <v>#VALUE!</v>
      </c>
      <c r="O155">
        <v>154</v>
      </c>
      <c r="P155" t="str">
        <f>IFERROR(INDEX(TableWRCalcPts[PLAYER],MATCH(TableWRRanks[[#This Row],[RK]],TableWRCalcPts[RK],0)),"")</f>
        <v>Velus Jones</v>
      </c>
      <c r="Q155" t="str">
        <f>IFERROR(INDEX(TableWRCalcPts[TM],MATCH(TableWRRanks[[#This Row],[RK]],TableWRCalcPts[RK],0)),"")</f>
        <v>CHI</v>
      </c>
      <c r="R155">
        <f>IFERROR(INDEX(TableWRCalcPts[BYE],MATCH(TableWRRanks[[#This Row],[RK]],TableWRCalcPts[RK],0)),"")</f>
        <v>7</v>
      </c>
      <c r="S155" s="57">
        <f>IFERROR(INDEX(TableWRCalcPts[Custom],MATCH(TableWRRanks[[#This Row],[RK]],TableWRCalcPts[RK],0)),"")</f>
        <v>14.476907333664046</v>
      </c>
      <c r="T155" s="125">
        <f>(((VLOOKUP(TableWRRanks[[#This Row],[Player]],'OVR &amp; VORP Ranks'!$P:$T,5,FALSE)))/('OVR &amp; VORP Ranks'!$BM$6))*(Settings!$E$10*TEAMS)</f>
        <v>-57.836592312633258</v>
      </c>
    </row>
    <row r="156" spans="8:20" x14ac:dyDescent="0.2">
      <c r="H156">
        <v>155</v>
      </c>
      <c r="I156" t="str">
        <f>IFERROR(INDEX(TableRBCalcPts[PLAYER],MATCH(TableRBRanks[[#This Row],[RK]],TableRBCalcPts[RK],0)),"")</f>
        <v/>
      </c>
      <c r="J156" t="str">
        <f>IFERROR(INDEX(TableRBCalcPts[TM],MATCH(TableRBRanks[[#This Row],[RK]],TableRBCalcPts[RK],0)),"")</f>
        <v/>
      </c>
      <c r="K156" t="str">
        <f>IFERROR(INDEX(TableRBCalcPts[BYE],MATCH(TableRBRanks[[#This Row],[RK]],TableRBCalcPts[RK],0)),"")</f>
        <v/>
      </c>
      <c r="L156" s="57" t="str">
        <f>IFERROR(INDEX(TableRBCalcPts[Custom],MATCH(TableRBRanks[[#This Row],[RK]],TableRBCalcPts[RK],0)),"")</f>
        <v/>
      </c>
      <c r="M156" s="125" t="e">
        <f>(((VLOOKUP(TableRBRanks[[#This Row],[Player]],'OVR &amp; VORP Ranks'!$I:$M,5,FALSE)))/('OVR &amp; VORP Ranks'!$BM$6))*(Settings!$E$10*TEAMS)</f>
        <v>#VALUE!</v>
      </c>
      <c r="O156">
        <v>155</v>
      </c>
      <c r="P156" t="str">
        <f>IFERROR(INDEX(TableWRCalcPts[PLAYER],MATCH(TableWRRanks[[#This Row],[RK]],TableWRCalcPts[RK],0)),"")</f>
        <v>Xavier Hutchinson</v>
      </c>
      <c r="Q156" t="str">
        <f>IFERROR(INDEX(TableWRCalcPts[TM],MATCH(TableWRRanks[[#This Row],[RK]],TableWRCalcPts[RK],0)),"")</f>
        <v>HOU</v>
      </c>
      <c r="R156">
        <f>IFERROR(INDEX(TableWRCalcPts[BYE],MATCH(TableWRRanks[[#This Row],[RK]],TableWRCalcPts[RK],0)),"")</f>
        <v>14</v>
      </c>
      <c r="S156" s="57">
        <f>IFERROR(INDEX(TableWRCalcPts[Custom],MATCH(TableWRRanks[[#This Row],[RK]],TableWRCalcPts[RK],0)),"")</f>
        <v>14.406193515022382</v>
      </c>
      <c r="T156" s="125">
        <f>(((VLOOKUP(TableWRRanks[[#This Row],[Player]],'OVR &amp; VORP Ranks'!$P:$T,5,FALSE)))/('OVR &amp; VORP Ranks'!$BM$6))*(Settings!$E$10*TEAMS)</f>
        <v>-57.867402756943562</v>
      </c>
    </row>
    <row r="157" spans="8:20" x14ac:dyDescent="0.2">
      <c r="H157">
        <v>156</v>
      </c>
      <c r="I157" t="str">
        <f>IFERROR(INDEX(TableRBCalcPts[PLAYER],MATCH(TableRBRanks[[#This Row],[RK]],TableRBCalcPts[RK],0)),"")</f>
        <v/>
      </c>
      <c r="J157" t="str">
        <f>IFERROR(INDEX(TableRBCalcPts[TM],MATCH(TableRBRanks[[#This Row],[RK]],TableRBCalcPts[RK],0)),"")</f>
        <v/>
      </c>
      <c r="K157" t="str">
        <f>IFERROR(INDEX(TableRBCalcPts[BYE],MATCH(TableRBRanks[[#This Row],[RK]],TableRBCalcPts[RK],0)),"")</f>
        <v/>
      </c>
      <c r="L157" s="57" t="str">
        <f>IFERROR(INDEX(TableRBCalcPts[Custom],MATCH(TableRBRanks[[#This Row],[RK]],TableRBCalcPts[RK],0)),"")</f>
        <v/>
      </c>
      <c r="M157" s="125" t="e">
        <f>(((VLOOKUP(TableRBRanks[[#This Row],[Player]],'OVR &amp; VORP Ranks'!$I:$M,5,FALSE)))/('OVR &amp; VORP Ranks'!$BM$6))*(Settings!$E$10*TEAMS)</f>
        <v>#VALUE!</v>
      </c>
      <c r="O157">
        <v>156</v>
      </c>
      <c r="P157" t="str">
        <f>IFERROR(INDEX(TableWRCalcPts[PLAYER],MATCH(TableWRRanks[[#This Row],[RK]],TableWRCalcPts[RK],0)),"")</f>
        <v>Jamison Crowder</v>
      </c>
      <c r="Q157" t="str">
        <f>IFERROR(INDEX(TableWRCalcPts[TM],MATCH(TableWRRanks[[#This Row],[RK]],TableWRCalcPts[RK],0)),"")</f>
        <v>WSH</v>
      </c>
      <c r="R157">
        <f>IFERROR(INDEX(TableWRCalcPts[BYE],MATCH(TableWRRanks[[#This Row],[RK]],TableWRCalcPts[RK],0)),"")</f>
        <v>14</v>
      </c>
      <c r="S157" s="57">
        <f>IFERROR(INDEX(TableWRCalcPts[Custom],MATCH(TableWRRanks[[#This Row],[RK]],TableWRCalcPts[RK],0)),"")</f>
        <v>13.927226789448</v>
      </c>
      <c r="T157" s="125">
        <f>(((VLOOKUP(TableWRRanks[[#This Row],[Player]],'OVR &amp; VORP Ranks'!$P:$T,5,FALSE)))/('OVR &amp; VORP Ranks'!$BM$6))*(Settings!$E$10*TEAMS)</f>
        <v>-58.076091495697469</v>
      </c>
    </row>
    <row r="158" spans="8:20" x14ac:dyDescent="0.2">
      <c r="H158">
        <v>157</v>
      </c>
      <c r="I158" t="str">
        <f>IFERROR(INDEX(TableRBCalcPts[PLAYER],MATCH(TableRBRanks[[#This Row],[RK]],TableRBCalcPts[RK],0)),"")</f>
        <v/>
      </c>
      <c r="J158" t="str">
        <f>IFERROR(INDEX(TableRBCalcPts[TM],MATCH(TableRBRanks[[#This Row],[RK]],TableRBCalcPts[RK],0)),"")</f>
        <v/>
      </c>
      <c r="K158" t="str">
        <f>IFERROR(INDEX(TableRBCalcPts[BYE],MATCH(TableRBRanks[[#This Row],[RK]],TableRBCalcPts[RK],0)),"")</f>
        <v/>
      </c>
      <c r="L158" s="57" t="str">
        <f>IFERROR(INDEX(TableRBCalcPts[Custom],MATCH(TableRBRanks[[#This Row],[RK]],TableRBCalcPts[RK],0)),"")</f>
        <v/>
      </c>
      <c r="M158" s="125" t="e">
        <f>(((VLOOKUP(TableRBRanks[[#This Row],[Player]],'OVR &amp; VORP Ranks'!$I:$M,5,FALSE)))/('OVR &amp; VORP Ranks'!$BM$6))*(Settings!$E$10*TEAMS)</f>
        <v>#VALUE!</v>
      </c>
      <c r="O158">
        <v>157</v>
      </c>
      <c r="P158" t="str">
        <f>IFERROR(INDEX(TableWRCalcPts[PLAYER],MATCH(TableWRRanks[[#This Row],[RK]],TableWRCalcPts[RK],0)),"")</f>
        <v>Tim Jones</v>
      </c>
      <c r="Q158" t="str">
        <f>IFERROR(INDEX(TableWRCalcPts[TM],MATCH(TableWRRanks[[#This Row],[RK]],TableWRCalcPts[RK],0)),"")</f>
        <v>JAX</v>
      </c>
      <c r="R158">
        <f>IFERROR(INDEX(TableWRCalcPts[BYE],MATCH(TableWRRanks[[#This Row],[RK]],TableWRCalcPts[RK],0)),"")</f>
        <v>12</v>
      </c>
      <c r="S158" s="57">
        <f>IFERROR(INDEX(TableWRCalcPts[Custom],MATCH(TableWRRanks[[#This Row],[RK]],TableWRCalcPts[RK],0)),"")</f>
        <v>13.451518795651641</v>
      </c>
      <c r="T158" s="125">
        <f>(((VLOOKUP(TableWRRanks[[#This Row],[Player]],'OVR &amp; VORP Ranks'!$P:$T,5,FALSE)))/('OVR &amp; VORP Ranks'!$BM$6))*(Settings!$E$10*TEAMS)</f>
        <v>-58.283360385037234</v>
      </c>
    </row>
    <row r="159" spans="8:20" x14ac:dyDescent="0.2">
      <c r="H159">
        <v>158</v>
      </c>
      <c r="I159" t="str">
        <f>IFERROR(INDEX(TableRBCalcPts[PLAYER],MATCH(TableRBRanks[[#This Row],[RK]],TableRBCalcPts[RK],0)),"")</f>
        <v/>
      </c>
      <c r="J159" t="str">
        <f>IFERROR(INDEX(TableRBCalcPts[TM],MATCH(TableRBRanks[[#This Row],[RK]],TableRBCalcPts[RK],0)),"")</f>
        <v/>
      </c>
      <c r="K159" t="str">
        <f>IFERROR(INDEX(TableRBCalcPts[BYE],MATCH(TableRBRanks[[#This Row],[RK]],TableRBCalcPts[RK],0)),"")</f>
        <v/>
      </c>
      <c r="L159" s="57" t="str">
        <f>IFERROR(INDEX(TableRBCalcPts[Custom],MATCH(TableRBRanks[[#This Row],[RK]],TableRBCalcPts[RK],0)),"")</f>
        <v/>
      </c>
      <c r="M159" s="125" t="e">
        <f>(((VLOOKUP(TableRBRanks[[#This Row],[Player]],'OVR &amp; VORP Ranks'!$I:$M,5,FALSE)))/('OVR &amp; VORP Ranks'!$BM$6))*(Settings!$E$10*TEAMS)</f>
        <v>#VALUE!</v>
      </c>
      <c r="O159">
        <v>158</v>
      </c>
      <c r="P159" t="str">
        <f>IFERROR(INDEX(TableWRCalcPts[PLAYER],MATCH(TableWRRanks[[#This Row],[RK]],TableWRCalcPts[RK],0)),"")</f>
        <v>Marquez Valdes-Scantling</v>
      </c>
      <c r="Q159" t="str">
        <f>IFERROR(INDEX(TableWRCalcPts[TM],MATCH(TableWRRanks[[#This Row],[RK]],TableWRCalcPts[RK],0)),"")</f>
        <v>BUF</v>
      </c>
      <c r="R159">
        <f>IFERROR(INDEX(TableWRCalcPts[BYE],MATCH(TableWRRanks[[#This Row],[RK]],TableWRCalcPts[RK],0)),"")</f>
        <v>12</v>
      </c>
      <c r="S159" s="57">
        <f>IFERROR(INDEX(TableWRCalcPts[Custom],MATCH(TableWRRanks[[#This Row],[RK]],TableWRCalcPts[RK],0)),"")</f>
        <v>11.451657861503998</v>
      </c>
      <c r="T159" s="125">
        <f>(((VLOOKUP(TableWRRanks[[#This Row],[Player]],'OVR &amp; VORP Ranks'!$P:$T,5,FALSE)))/('OVR &amp; VORP Ranks'!$BM$6))*(Settings!$E$10*TEAMS)</f>
        <v>-59.154712054675599</v>
      </c>
    </row>
    <row r="160" spans="8:20" x14ac:dyDescent="0.2">
      <c r="H160">
        <v>159</v>
      </c>
      <c r="I160" t="str">
        <f>IFERROR(INDEX(TableRBCalcPts[PLAYER],MATCH(TableRBRanks[[#This Row],[RK]],TableRBCalcPts[RK],0)),"")</f>
        <v/>
      </c>
      <c r="J160" t="str">
        <f>IFERROR(INDEX(TableRBCalcPts[TM],MATCH(TableRBRanks[[#This Row],[RK]],TableRBCalcPts[RK],0)),"")</f>
        <v/>
      </c>
      <c r="K160" t="str">
        <f>IFERROR(INDEX(TableRBCalcPts[BYE],MATCH(TableRBRanks[[#This Row],[RK]],TableRBCalcPts[RK],0)),"")</f>
        <v/>
      </c>
      <c r="L160" s="57" t="str">
        <f>IFERROR(INDEX(TableRBCalcPts[Custom],MATCH(TableRBRanks[[#This Row],[RK]],TableRBCalcPts[RK],0)),"")</f>
        <v/>
      </c>
      <c r="M160" s="125" t="e">
        <f>(((VLOOKUP(TableRBRanks[[#This Row],[Player]],'OVR &amp; VORP Ranks'!$I:$M,5,FALSE)))/('OVR &amp; VORP Ranks'!$BM$6))*(Settings!$E$10*TEAMS)</f>
        <v>#VALUE!</v>
      </c>
      <c r="O160">
        <v>159</v>
      </c>
      <c r="P160" t="str">
        <f>IFERROR(INDEX(TableWRCalcPts[PLAYER],MATCH(TableWRRanks[[#This Row],[RK]],TableWRCalcPts[RK],0)),"")</f>
        <v>Jamari Thrash</v>
      </c>
      <c r="Q160" t="str">
        <f>IFERROR(INDEX(TableWRCalcPts[TM],MATCH(TableWRRanks[[#This Row],[RK]],TableWRCalcPts[RK],0)),"")</f>
        <v>CLE</v>
      </c>
      <c r="R160">
        <f>IFERROR(INDEX(TableWRCalcPts[BYE],MATCH(TableWRRanks[[#This Row],[RK]],TableWRCalcPts[RK],0)),"")</f>
        <v>10</v>
      </c>
      <c r="S160" s="57">
        <f>IFERROR(INDEX(TableWRCalcPts[Custom],MATCH(TableWRRanks[[#This Row],[RK]],TableWRCalcPts[RK],0)),"")</f>
        <v>11.41575617028</v>
      </c>
      <c r="T160" s="125">
        <f>(((VLOOKUP(TableWRRanks[[#This Row],[Player]],'OVR &amp; VORP Ranks'!$P:$T,5,FALSE)))/('OVR &amp; VORP Ranks'!$BM$6))*(Settings!$E$10*TEAMS)</f>
        <v>-59.170354641645886</v>
      </c>
    </row>
    <row r="161" spans="8:20" x14ac:dyDescent="0.2">
      <c r="H161">
        <v>160</v>
      </c>
      <c r="I161" t="str">
        <f>IFERROR(INDEX(TableRBCalcPts[PLAYER],MATCH(TableRBRanks[[#This Row],[RK]],TableRBCalcPts[RK],0)),"")</f>
        <v/>
      </c>
      <c r="J161" t="str">
        <f>IFERROR(INDEX(TableRBCalcPts[TM],MATCH(TableRBRanks[[#This Row],[RK]],TableRBCalcPts[RK],0)),"")</f>
        <v/>
      </c>
      <c r="K161" t="str">
        <f>IFERROR(INDEX(TableRBCalcPts[BYE],MATCH(TableRBRanks[[#This Row],[RK]],TableRBCalcPts[RK],0)),"")</f>
        <v/>
      </c>
      <c r="L161" s="57" t="str">
        <f>IFERROR(INDEX(TableRBCalcPts[Custom],MATCH(TableRBRanks[[#This Row],[RK]],TableRBCalcPts[RK],0)),"")</f>
        <v/>
      </c>
      <c r="M161" s="125" t="e">
        <f>(((VLOOKUP(TableRBRanks[[#This Row],[Player]],'OVR &amp; VORP Ranks'!$I:$M,5,FALSE)))/('OVR &amp; VORP Ranks'!$BM$6))*(Settings!$E$10*TEAMS)</f>
        <v>#VALUE!</v>
      </c>
      <c r="O161">
        <v>160</v>
      </c>
      <c r="P161" t="str">
        <f>IFERROR(INDEX(TableWRCalcPts[PLAYER],MATCH(TableWRRanks[[#This Row],[RK]],TableWRCalcPts[RK],0)),"")</f>
        <v>Braxton Berrios</v>
      </c>
      <c r="Q161" t="str">
        <f>IFERROR(INDEX(TableWRCalcPts[TM],MATCH(TableWRRanks[[#This Row],[RK]],TableWRCalcPts[RK],0)),"")</f>
        <v>MIA</v>
      </c>
      <c r="R161">
        <f>IFERROR(INDEX(TableWRCalcPts[BYE],MATCH(TableWRRanks[[#This Row],[RK]],TableWRCalcPts[RK],0)),"")</f>
        <v>6</v>
      </c>
      <c r="S161" s="57">
        <f>IFERROR(INDEX(TableWRCalcPts[Custom],MATCH(TableWRRanks[[#This Row],[RK]],TableWRCalcPts[RK],0)),"")</f>
        <v>11.404967640175933</v>
      </c>
      <c r="T161" s="125">
        <f>(((VLOOKUP(TableWRRanks[[#This Row],[Player]],'OVR &amp; VORP Ranks'!$P:$T,5,FALSE)))/('OVR &amp; VORP Ranks'!$BM$6))*(Settings!$E$10*TEAMS)</f>
        <v>-59.175055270353923</v>
      </c>
    </row>
    <row r="162" spans="8:20" x14ac:dyDescent="0.2">
      <c r="H162">
        <v>161</v>
      </c>
      <c r="I162" t="str">
        <f>IFERROR(INDEX(TableRBCalcPts[PLAYER],MATCH(TableRBRanks[[#This Row],[RK]],TableRBCalcPts[RK],0)),"")</f>
        <v/>
      </c>
      <c r="J162" t="str">
        <f>IFERROR(INDEX(TableRBCalcPts[TM],MATCH(TableRBRanks[[#This Row],[RK]],TableRBCalcPts[RK],0)),"")</f>
        <v/>
      </c>
      <c r="K162" t="str">
        <f>IFERROR(INDEX(TableRBCalcPts[BYE],MATCH(TableRBRanks[[#This Row],[RK]],TableRBCalcPts[RK],0)),"")</f>
        <v/>
      </c>
      <c r="L162" s="57" t="str">
        <f>IFERROR(INDEX(TableRBCalcPts[Custom],MATCH(TableRBRanks[[#This Row],[RK]],TableRBCalcPts[RK],0)),"")</f>
        <v/>
      </c>
      <c r="M162" s="125" t="e">
        <f>(((VLOOKUP(TableRBRanks[[#This Row],[Player]],'OVR &amp; VORP Ranks'!$I:$M,5,FALSE)))/('OVR &amp; VORP Ranks'!$BM$6))*(Settings!$E$10*TEAMS)</f>
        <v>#VALUE!</v>
      </c>
      <c r="O162">
        <v>161</v>
      </c>
      <c r="P162" t="str">
        <f>IFERROR(INDEX(TableWRCalcPts[PLAYER],MATCH(TableWRRanks[[#This Row],[RK]],TableWRCalcPts[RK],0)),"")</f>
        <v>Ronnie Bell</v>
      </c>
      <c r="Q162" t="str">
        <f>IFERROR(INDEX(TableWRCalcPts[TM],MATCH(TableWRRanks[[#This Row],[RK]],TableWRCalcPts[RK],0)),"")</f>
        <v>SF</v>
      </c>
      <c r="R162">
        <f>IFERROR(INDEX(TableWRCalcPts[BYE],MATCH(TableWRRanks[[#This Row],[RK]],TableWRCalcPts[RK],0)),"")</f>
        <v>9</v>
      </c>
      <c r="S162" s="57">
        <f>IFERROR(INDEX(TableWRCalcPts[Custom],MATCH(TableWRRanks[[#This Row],[RK]],TableWRCalcPts[RK],0)),"")</f>
        <v>11.050598875505298</v>
      </c>
      <c r="T162" s="125">
        <f>(((VLOOKUP(TableWRRanks[[#This Row],[Player]],'OVR &amp; VORP Ranks'!$P:$T,5,FALSE)))/('OVR &amp; VORP Ranks'!$BM$6))*(Settings!$E$10*TEAMS)</f>
        <v>-59.329455913664155</v>
      </c>
    </row>
    <row r="163" spans="8:20" x14ac:dyDescent="0.2">
      <c r="H163">
        <v>162</v>
      </c>
      <c r="I163" t="str">
        <f>IFERROR(INDEX(TableRBCalcPts[PLAYER],MATCH(TableRBRanks[[#This Row],[RK]],TableRBCalcPts[RK],0)),"")</f>
        <v/>
      </c>
      <c r="J163" t="str">
        <f>IFERROR(INDEX(TableRBCalcPts[TM],MATCH(TableRBRanks[[#This Row],[RK]],TableRBCalcPts[RK],0)),"")</f>
        <v/>
      </c>
      <c r="K163" t="str">
        <f>IFERROR(INDEX(TableRBCalcPts[BYE],MATCH(TableRBRanks[[#This Row],[RK]],TableRBCalcPts[RK],0)),"")</f>
        <v/>
      </c>
      <c r="L163" s="57" t="str">
        <f>IFERROR(INDEX(TableRBCalcPts[Custom],MATCH(TableRBRanks[[#This Row],[RK]],TableRBCalcPts[RK],0)),"")</f>
        <v/>
      </c>
      <c r="M163" s="125" t="e">
        <f>(((VLOOKUP(TableRBRanks[[#This Row],[Player]],'OVR &amp; VORP Ranks'!$I:$M,5,FALSE)))/('OVR &amp; VORP Ranks'!$BM$6))*(Settings!$E$10*TEAMS)</f>
        <v>#VALUE!</v>
      </c>
      <c r="O163">
        <v>162</v>
      </c>
      <c r="P163" t="str">
        <f>IFERROR(INDEX(TableWRCalcPts[PLAYER],MATCH(TableWRRanks[[#This Row],[RK]],TableWRCalcPts[RK],0)),"")</f>
        <v>Gunner Olszewski</v>
      </c>
      <c r="Q163" t="str">
        <f>IFERROR(INDEX(TableWRCalcPts[TM],MATCH(TableWRRanks[[#This Row],[RK]],TableWRCalcPts[RK],0)),"")</f>
        <v>NYG</v>
      </c>
      <c r="R163">
        <f>IFERROR(INDEX(TableWRCalcPts[BYE],MATCH(TableWRRanks[[#This Row],[RK]],TableWRCalcPts[RK],0)),"")</f>
        <v>11</v>
      </c>
      <c r="S163" s="57">
        <f>IFERROR(INDEX(TableWRCalcPts[Custom],MATCH(TableWRRanks[[#This Row],[RK]],TableWRCalcPts[RK],0)),"")</f>
        <v>11.028768729912445</v>
      </c>
      <c r="T163" s="125">
        <f>(((VLOOKUP(TableWRRanks[[#This Row],[Player]],'OVR &amp; VORP Ranks'!$P:$T,5,FALSE)))/('OVR &amp; VORP Ranks'!$BM$6))*(Settings!$E$10*TEAMS)</f>
        <v>-59.338967441933953</v>
      </c>
    </row>
    <row r="164" spans="8:20" x14ac:dyDescent="0.2">
      <c r="H164">
        <v>163</v>
      </c>
      <c r="I164" t="str">
        <f>IFERROR(INDEX(TableRBCalcPts[PLAYER],MATCH(TableRBRanks[[#This Row],[RK]],TableRBCalcPts[RK],0)),"")</f>
        <v/>
      </c>
      <c r="J164" t="str">
        <f>IFERROR(INDEX(TableRBCalcPts[TM],MATCH(TableRBRanks[[#This Row],[RK]],TableRBCalcPts[RK],0)),"")</f>
        <v/>
      </c>
      <c r="K164" t="str">
        <f>IFERROR(INDEX(TableRBCalcPts[BYE],MATCH(TableRBRanks[[#This Row],[RK]],TableRBCalcPts[RK],0)),"")</f>
        <v/>
      </c>
      <c r="L164" s="57" t="str">
        <f>IFERROR(INDEX(TableRBCalcPts[Custom],MATCH(TableRBRanks[[#This Row],[RK]],TableRBCalcPts[RK],0)),"")</f>
        <v/>
      </c>
      <c r="M164" s="125" t="e">
        <f>(((VLOOKUP(TableRBRanks[[#This Row],[Player]],'OVR &amp; VORP Ranks'!$I:$M,5,FALSE)))/('OVR &amp; VORP Ranks'!$BM$6))*(Settings!$E$10*TEAMS)</f>
        <v>#VALUE!</v>
      </c>
      <c r="O164">
        <v>163</v>
      </c>
      <c r="P164" t="str">
        <f>IFERROR(INDEX(TableWRCalcPts[PLAYER],MATCH(TableWRRanks[[#This Row],[RK]],TableWRCalcPts[RK],0)),"")</f>
        <v>Britain Covey</v>
      </c>
      <c r="Q164" t="str">
        <f>IFERROR(INDEX(TableWRCalcPts[TM],MATCH(TableWRRanks[[#This Row],[RK]],TableWRCalcPts[RK],0)),"")</f>
        <v>PHI</v>
      </c>
      <c r="R164">
        <f>IFERROR(INDEX(TableWRCalcPts[BYE],MATCH(TableWRRanks[[#This Row],[RK]],TableWRCalcPts[RK],0)),"")</f>
        <v>5</v>
      </c>
      <c r="S164" s="57">
        <f>IFERROR(INDEX(TableWRCalcPts[Custom],MATCH(TableWRRanks[[#This Row],[RK]],TableWRCalcPts[RK],0)),"")</f>
        <v>10.576269518762009</v>
      </c>
      <c r="T164" s="125">
        <f>(((VLOOKUP(TableWRRanks[[#This Row],[Player]],'OVR &amp; VORP Ranks'!$P:$T,5,FALSE)))/('OVR &amp; VORP Ranks'!$BM$6))*(Settings!$E$10*TEAMS)</f>
        <v>-59.536124122387839</v>
      </c>
    </row>
    <row r="165" spans="8:20" x14ac:dyDescent="0.2">
      <c r="H165">
        <v>164</v>
      </c>
      <c r="I165" t="str">
        <f>IFERROR(INDEX(TableRBCalcPts[PLAYER],MATCH(TableRBRanks[[#This Row],[RK]],TableRBCalcPts[RK],0)),"")</f>
        <v/>
      </c>
      <c r="J165" t="str">
        <f>IFERROR(INDEX(TableRBCalcPts[TM],MATCH(TableRBRanks[[#This Row],[RK]],TableRBCalcPts[RK],0)),"")</f>
        <v/>
      </c>
      <c r="K165" t="str">
        <f>IFERROR(INDEX(TableRBCalcPts[BYE],MATCH(TableRBRanks[[#This Row],[RK]],TableRBCalcPts[RK],0)),"")</f>
        <v/>
      </c>
      <c r="L165" s="57" t="str">
        <f>IFERROR(INDEX(TableRBCalcPts[Custom],MATCH(TableRBRanks[[#This Row],[RK]],TableRBCalcPts[RK],0)),"")</f>
        <v/>
      </c>
      <c r="M165" s="125" t="e">
        <f>(((VLOOKUP(TableRBRanks[[#This Row],[Player]],'OVR &amp; VORP Ranks'!$I:$M,5,FALSE)))/('OVR &amp; VORP Ranks'!$BM$6))*(Settings!$E$10*TEAMS)</f>
        <v>#VALUE!</v>
      </c>
      <c r="O165">
        <v>164</v>
      </c>
      <c r="P165" t="str">
        <f>IFERROR(INDEX(TableWRCalcPts[PLAYER],MATCH(TableWRRanks[[#This Row],[RK]],TableWRCalcPts[RK],0)),"")</f>
        <v>Zach Pascal</v>
      </c>
      <c r="Q165" t="str">
        <f>IFERROR(INDEX(TableWRCalcPts[TM],MATCH(TableWRRanks[[#This Row],[RK]],TableWRCalcPts[RK],0)),"")</f>
        <v>ARI</v>
      </c>
      <c r="R165">
        <f>IFERROR(INDEX(TableWRCalcPts[BYE],MATCH(TableWRRanks[[#This Row],[RK]],TableWRCalcPts[RK],0)),"")</f>
        <v>11</v>
      </c>
      <c r="S165" s="57">
        <f>IFERROR(INDEX(TableWRCalcPts[Custom],MATCH(TableWRRanks[[#This Row],[RK]],TableWRCalcPts[RK],0)),"")</f>
        <v>9.377240640284997</v>
      </c>
      <c r="T165" s="125">
        <f>(((VLOOKUP(TableWRRanks[[#This Row],[Player]],'OVR &amp; VORP Ranks'!$P:$T,5,FALSE)))/('OVR &amp; VORP Ranks'!$BM$6))*(Settings!$E$10*TEAMS)</f>
        <v>-60.058548355676265</v>
      </c>
    </row>
    <row r="166" spans="8:20" x14ac:dyDescent="0.2">
      <c r="H166">
        <v>165</v>
      </c>
      <c r="I166" t="str">
        <f>IFERROR(INDEX(TableRBCalcPts[PLAYER],MATCH(TableRBRanks[[#This Row],[RK]],TableRBCalcPts[RK],0)),"")</f>
        <v/>
      </c>
      <c r="J166" t="str">
        <f>IFERROR(INDEX(TableRBCalcPts[TM],MATCH(TableRBRanks[[#This Row],[RK]],TableRBCalcPts[RK],0)),"")</f>
        <v/>
      </c>
      <c r="K166" t="str">
        <f>IFERROR(INDEX(TableRBCalcPts[BYE],MATCH(TableRBRanks[[#This Row],[RK]],TableRBCalcPts[RK],0)),"")</f>
        <v/>
      </c>
      <c r="L166" s="57" t="str">
        <f>IFERROR(INDEX(TableRBCalcPts[Custom],MATCH(TableRBRanks[[#This Row],[RK]],TableRBCalcPts[RK],0)),"")</f>
        <v/>
      </c>
      <c r="M166" s="125" t="e">
        <f>(((VLOOKUP(TableRBRanks[[#This Row],[Player]],'OVR &amp; VORP Ranks'!$I:$M,5,FALSE)))/('OVR &amp; VORP Ranks'!$BM$6))*(Settings!$E$10*TEAMS)</f>
        <v>#VALUE!</v>
      </c>
      <c r="O166">
        <v>165</v>
      </c>
      <c r="P166" t="str">
        <f>IFERROR(INDEX(TableWRCalcPts[PLAYER],MATCH(TableWRRanks[[#This Row],[RK]],TableWRCalcPts[RK],0)),"")</f>
        <v>Kameron Johnson</v>
      </c>
      <c r="Q166" t="str">
        <f>IFERROR(INDEX(TableWRCalcPts[TM],MATCH(TableWRRanks[[#This Row],[RK]],TableWRCalcPts[RK],0)),"")</f>
        <v>TB</v>
      </c>
      <c r="R166">
        <f>IFERROR(INDEX(TableWRCalcPts[BYE],MATCH(TableWRRanks[[#This Row],[RK]],TableWRCalcPts[RK],0)),"")</f>
        <v>11</v>
      </c>
      <c r="S166" s="57">
        <f>IFERROR(INDEX(TableWRCalcPts[Custom],MATCH(TableWRRanks[[#This Row],[RK]],TableWRCalcPts[RK],0)),"")</f>
        <v>9.0625465750914227</v>
      </c>
      <c r="T166" s="125">
        <f>(((VLOOKUP(TableWRRanks[[#This Row],[Player]],'OVR &amp; VORP Ranks'!$P:$T,5,FALSE)))/('OVR &amp; VORP Ranks'!$BM$6))*(Settings!$E$10*TEAMS)</f>
        <v>-60.195662489189047</v>
      </c>
    </row>
    <row r="167" spans="8:20" x14ac:dyDescent="0.2">
      <c r="H167">
        <v>166</v>
      </c>
      <c r="I167" t="str">
        <f>IFERROR(INDEX(TableRBCalcPts[PLAYER],MATCH(TableRBRanks[[#This Row],[RK]],TableRBCalcPts[RK],0)),"")</f>
        <v/>
      </c>
      <c r="J167" t="str">
        <f>IFERROR(INDEX(TableRBCalcPts[TM],MATCH(TableRBRanks[[#This Row],[RK]],TableRBCalcPts[RK],0)),"")</f>
        <v/>
      </c>
      <c r="K167" t="str">
        <f>IFERROR(INDEX(TableRBCalcPts[BYE],MATCH(TableRBRanks[[#This Row],[RK]],TableRBCalcPts[RK],0)),"")</f>
        <v/>
      </c>
      <c r="L167" s="57" t="str">
        <f>IFERROR(INDEX(TableRBCalcPts[Custom],MATCH(TableRBRanks[[#This Row],[RK]],TableRBCalcPts[RK],0)),"")</f>
        <v/>
      </c>
      <c r="M167" s="125" t="e">
        <f>(((VLOOKUP(TableRBRanks[[#This Row],[Player]],'OVR &amp; VORP Ranks'!$I:$M,5,FALSE)))/('OVR &amp; VORP Ranks'!$BM$6))*(Settings!$E$10*TEAMS)</f>
        <v>#VALUE!</v>
      </c>
      <c r="O167">
        <v>166</v>
      </c>
      <c r="P167" t="str">
        <f>IFERROR(INDEX(TableWRCalcPts[PLAYER],MATCH(TableWRRanks[[#This Row],[RK]],TableWRCalcPts[RK],0)),"")</f>
        <v>Danny Gray</v>
      </c>
      <c r="Q167" t="str">
        <f>IFERROR(INDEX(TableWRCalcPts[TM],MATCH(TableWRRanks[[#This Row],[RK]],TableWRCalcPts[RK],0)),"")</f>
        <v>SF</v>
      </c>
      <c r="R167">
        <f>IFERROR(INDEX(TableWRCalcPts[BYE],MATCH(TableWRRanks[[#This Row],[RK]],TableWRCalcPts[RK],0)),"")</f>
        <v>9</v>
      </c>
      <c r="S167" s="57">
        <f>IFERROR(INDEX(TableWRCalcPts[Custom],MATCH(TableWRRanks[[#This Row],[RK]],TableWRCalcPts[RK],0)),"")</f>
        <v>8.5978939176899996</v>
      </c>
      <c r="T167" s="125">
        <f>(((VLOOKUP(TableWRRanks[[#This Row],[Player]],'OVR &amp; VORP Ranks'!$P:$T,5,FALSE)))/('OVR &amp; VORP Ranks'!$BM$6))*(Settings!$E$10*TEAMS)</f>
        <v>-60.398114500684137</v>
      </c>
    </row>
    <row r="168" spans="8:20" x14ac:dyDescent="0.2">
      <c r="H168">
        <v>167</v>
      </c>
      <c r="I168" t="str">
        <f>IFERROR(INDEX(TableRBCalcPts[PLAYER],MATCH(TableRBRanks[[#This Row],[RK]],TableRBCalcPts[RK],0)),"")</f>
        <v/>
      </c>
      <c r="J168" t="str">
        <f>IFERROR(INDEX(TableRBCalcPts[TM],MATCH(TableRBRanks[[#This Row],[RK]],TableRBCalcPts[RK],0)),"")</f>
        <v/>
      </c>
      <c r="K168" t="str">
        <f>IFERROR(INDEX(TableRBCalcPts[BYE],MATCH(TableRBRanks[[#This Row],[RK]],TableRBCalcPts[RK],0)),"")</f>
        <v/>
      </c>
      <c r="L168" s="57" t="str">
        <f>IFERROR(INDEX(TableRBCalcPts[Custom],MATCH(TableRBRanks[[#This Row],[RK]],TableRBCalcPts[RK],0)),"")</f>
        <v/>
      </c>
      <c r="M168" s="125" t="e">
        <f>(((VLOOKUP(TableRBRanks[[#This Row],[Player]],'OVR &amp; VORP Ranks'!$I:$M,5,FALSE)))/('OVR &amp; VORP Ranks'!$BM$6))*(Settings!$E$10*TEAMS)</f>
        <v>#VALUE!</v>
      </c>
      <c r="O168">
        <v>167</v>
      </c>
      <c r="P168" t="str">
        <f>IFERROR(INDEX(TableWRCalcPts[PLAYER],MATCH(TableWRRanks[[#This Row],[RK]],TableWRCalcPts[RK],0)),"")</f>
        <v>River Cracraft</v>
      </c>
      <c r="Q168" t="str">
        <f>IFERROR(INDEX(TableWRCalcPts[TM],MATCH(TableWRRanks[[#This Row],[RK]],TableWRCalcPts[RK],0)),"")</f>
        <v>MIA</v>
      </c>
      <c r="R168">
        <f>IFERROR(INDEX(TableWRCalcPts[BYE],MATCH(TableWRRanks[[#This Row],[RK]],TableWRCalcPts[RK],0)),"")</f>
        <v>6</v>
      </c>
      <c r="S168" s="57">
        <f>IFERROR(INDEX(TableWRCalcPts[Custom],MATCH(TableWRRanks[[#This Row],[RK]],TableWRCalcPts[RK],0)),"")</f>
        <v>8.5156327785290653</v>
      </c>
      <c r="T168" s="125">
        <f>(((VLOOKUP(TableWRRanks[[#This Row],[Player]],'OVR &amp; VORP Ranks'!$P:$T,5,FALSE)))/('OVR &amp; VORP Ranks'!$BM$6))*(Settings!$E$10*TEAMS)</f>
        <v>-60.433956183338331</v>
      </c>
    </row>
    <row r="169" spans="8:20" x14ac:dyDescent="0.2">
      <c r="H169">
        <v>168</v>
      </c>
      <c r="I169" t="str">
        <f>IFERROR(INDEX(TableRBCalcPts[PLAYER],MATCH(TableRBRanks[[#This Row],[RK]],TableRBCalcPts[RK],0)),"")</f>
        <v/>
      </c>
      <c r="J169" t="str">
        <f>IFERROR(INDEX(TableRBCalcPts[TM],MATCH(TableRBRanks[[#This Row],[RK]],TableRBCalcPts[RK],0)),"")</f>
        <v/>
      </c>
      <c r="K169" t="str">
        <f>IFERROR(INDEX(TableRBCalcPts[BYE],MATCH(TableRBRanks[[#This Row],[RK]],TableRBCalcPts[RK],0)),"")</f>
        <v/>
      </c>
      <c r="L169" s="57" t="str">
        <f>IFERROR(INDEX(TableRBCalcPts[Custom],MATCH(TableRBRanks[[#This Row],[RK]],TableRBCalcPts[RK],0)),"")</f>
        <v/>
      </c>
      <c r="M169" s="125" t="e">
        <f>(((VLOOKUP(TableRBRanks[[#This Row],[Player]],'OVR &amp; VORP Ranks'!$I:$M,5,FALSE)))/('OVR &amp; VORP Ranks'!$BM$6))*(Settings!$E$10*TEAMS)</f>
        <v>#VALUE!</v>
      </c>
      <c r="O169">
        <v>168</v>
      </c>
      <c r="P169" t="str">
        <f>IFERROR(INDEX(TableWRCalcPts[PLAYER],MATCH(TableWRRanks[[#This Row],[RK]],TableWRCalcPts[RK],0)),"")</f>
        <v>Dez Fitzpatrick</v>
      </c>
      <c r="Q169" t="str">
        <f>IFERROR(INDEX(TableWRCalcPts[TM],MATCH(TableWRRanks[[#This Row],[RK]],TableWRCalcPts[RK],0)),"")</f>
        <v>PIT</v>
      </c>
      <c r="R169">
        <f>IFERROR(INDEX(TableWRCalcPts[BYE],MATCH(TableWRRanks[[#This Row],[RK]],TableWRCalcPts[RK],0)),"")</f>
        <v>9</v>
      </c>
      <c r="S169" s="57">
        <f>IFERROR(INDEX(TableWRCalcPts[Custom],MATCH(TableWRRanks[[#This Row],[RK]],TableWRCalcPts[RK],0)),"")</f>
        <v>8.4999207711599993</v>
      </c>
      <c r="T169" s="125">
        <f>(((VLOOKUP(TableWRRanks[[#This Row],[Player]],'OVR &amp; VORP Ranks'!$P:$T,5,FALSE)))/('OVR &amp; VORP Ranks'!$BM$6))*(Settings!$E$10*TEAMS)</f>
        <v>-60.440802001275287</v>
      </c>
    </row>
    <row r="170" spans="8:20" x14ac:dyDescent="0.2">
      <c r="H170">
        <v>169</v>
      </c>
      <c r="I170" t="str">
        <f>IFERROR(INDEX(TableRBCalcPts[PLAYER],MATCH(TableRBRanks[[#This Row],[RK]],TableRBCalcPts[RK],0)),"")</f>
        <v/>
      </c>
      <c r="J170" t="str">
        <f>IFERROR(INDEX(TableRBCalcPts[TM],MATCH(TableRBRanks[[#This Row],[RK]],TableRBCalcPts[RK],0)),"")</f>
        <v/>
      </c>
      <c r="K170" t="str">
        <f>IFERROR(INDEX(TableRBCalcPts[BYE],MATCH(TableRBRanks[[#This Row],[RK]],TableRBCalcPts[RK],0)),"")</f>
        <v/>
      </c>
      <c r="L170" s="57" t="str">
        <f>IFERROR(INDEX(TableRBCalcPts[Custom],MATCH(TableRBRanks[[#This Row],[RK]],TableRBCalcPts[RK],0)),"")</f>
        <v/>
      </c>
      <c r="M170" s="125" t="e">
        <f>(((VLOOKUP(TableRBRanks[[#This Row],[Player]],'OVR &amp; VORP Ranks'!$I:$M,5,FALSE)))/('OVR &amp; VORP Ranks'!$BM$6))*(Settings!$E$10*TEAMS)</f>
        <v>#VALUE!</v>
      </c>
      <c r="O170">
        <v>169</v>
      </c>
      <c r="P170" t="str">
        <f>IFERROR(INDEX(TableWRCalcPts[PLAYER],MATCH(TableWRRanks[[#This Row],[RK]],TableWRCalcPts[RK],0)),"")</f>
        <v>Charlie Jones</v>
      </c>
      <c r="Q170" t="str">
        <f>IFERROR(INDEX(TableWRCalcPts[TM],MATCH(TableWRRanks[[#This Row],[RK]],TableWRCalcPts[RK],0)),"")</f>
        <v>CIN</v>
      </c>
      <c r="R170">
        <f>IFERROR(INDEX(TableWRCalcPts[BYE],MATCH(TableWRRanks[[#This Row],[RK]],TableWRCalcPts[RK],0)),"")</f>
        <v>12</v>
      </c>
      <c r="S170" s="57">
        <f>IFERROR(INDEX(TableWRCalcPts[Custom],MATCH(TableWRRanks[[#This Row],[RK]],TableWRCalcPts[RK],0)),"")</f>
        <v>8.4220852091870988</v>
      </c>
      <c r="T170" s="125">
        <f>(((VLOOKUP(TableWRRanks[[#This Row],[Player]],'OVR &amp; VORP Ranks'!$P:$T,5,FALSE)))/('OVR &amp; VORP Ranks'!$BM$6))*(Settings!$E$10*TEAMS)</f>
        <v>-60.474715432816581</v>
      </c>
    </row>
    <row r="171" spans="8:20" x14ac:dyDescent="0.2">
      <c r="H171">
        <v>170</v>
      </c>
      <c r="I171" t="str">
        <f>IFERROR(INDEX(TableRBCalcPts[PLAYER],MATCH(TableRBRanks[[#This Row],[RK]],TableRBCalcPts[RK],0)),"")</f>
        <v/>
      </c>
      <c r="J171" t="str">
        <f>IFERROR(INDEX(TableRBCalcPts[TM],MATCH(TableRBRanks[[#This Row],[RK]],TableRBCalcPts[RK],0)),"")</f>
        <v/>
      </c>
      <c r="K171" t="str">
        <f>IFERROR(INDEX(TableRBCalcPts[BYE],MATCH(TableRBRanks[[#This Row],[RK]],TableRBCalcPts[RK],0)),"")</f>
        <v/>
      </c>
      <c r="L171" s="57" t="str">
        <f>IFERROR(INDEX(TableRBCalcPts[Custom],MATCH(TableRBRanks[[#This Row],[RK]],TableRBCalcPts[RK],0)),"")</f>
        <v/>
      </c>
      <c r="M171" s="125" t="e">
        <f>(((VLOOKUP(TableRBRanks[[#This Row],[Player]],'OVR &amp; VORP Ranks'!$I:$M,5,FALSE)))/('OVR &amp; VORP Ranks'!$BM$6))*(Settings!$E$10*TEAMS)</f>
        <v>#VALUE!</v>
      </c>
      <c r="O171">
        <v>170</v>
      </c>
      <c r="P171" t="str">
        <f>IFERROR(INDEX(TableWRCalcPts[PLAYER],MATCH(TableWRRanks[[#This Row],[RK]],TableWRCalcPts[RK],0)),"")</f>
        <v>Jalen Guyton</v>
      </c>
      <c r="Q171" t="str">
        <f>IFERROR(INDEX(TableWRCalcPts[TM],MATCH(TableWRRanks[[#This Row],[RK]],TableWRCalcPts[RK],0)),"")</f>
        <v>LV</v>
      </c>
      <c r="R171">
        <f>IFERROR(INDEX(TableWRCalcPts[BYE],MATCH(TableWRRanks[[#This Row],[RK]],TableWRCalcPts[RK],0)),"")</f>
        <v>10</v>
      </c>
      <c r="S171" s="57">
        <f>IFERROR(INDEX(TableWRCalcPts[Custom],MATCH(TableWRRanks[[#This Row],[RK]],TableWRCalcPts[RK],0)),"")</f>
        <v>7.7891903186564804</v>
      </c>
      <c r="T171" s="125">
        <f>(((VLOOKUP(TableWRRanks[[#This Row],[Player]],'OVR &amp; VORP Ranks'!$P:$T,5,FALSE)))/('OVR &amp; VORP Ranks'!$BM$6))*(Settings!$E$10*TEAMS)</f>
        <v>-60.750471616735673</v>
      </c>
    </row>
    <row r="172" spans="8:20" x14ac:dyDescent="0.2">
      <c r="O172">
        <v>171</v>
      </c>
      <c r="P172" t="str">
        <f>IFERROR(INDEX(TableWRCalcPts[PLAYER],MATCH(TableWRRanks[[#This Row],[RK]],TableWRCalcPts[RK],0)),"")</f>
        <v>Kyle Philips</v>
      </c>
      <c r="Q172" t="str">
        <f>IFERROR(INDEX(TableWRCalcPts[TM],MATCH(TableWRRanks[[#This Row],[RK]],TableWRCalcPts[RK],0)),"")</f>
        <v>TEN</v>
      </c>
      <c r="R172">
        <f>IFERROR(INDEX(TableWRCalcPts[BYE],MATCH(TableWRRanks[[#This Row],[RK]],TableWRCalcPts[RK],0)),"")</f>
        <v>5</v>
      </c>
      <c r="S172" s="57">
        <f>IFERROR(INDEX(TableWRCalcPts[Custom],MATCH(TableWRRanks[[#This Row],[RK]],TableWRCalcPts[RK],0)),"")</f>
        <v>7.6127953092598748</v>
      </c>
      <c r="T172" s="125">
        <f>(((VLOOKUP(TableWRRanks[[#This Row],[Player]],'OVR &amp; VORP Ranks'!$P:$T,5,FALSE)))/('OVR &amp; VORP Ranks'!$BM$6))*(Settings!$E$10*TEAMS)</f>
        <v>-60.827328003761977</v>
      </c>
    </row>
    <row r="173" spans="8:20" x14ac:dyDescent="0.2">
      <c r="O173">
        <v>172</v>
      </c>
      <c r="P173" t="str">
        <f>IFERROR(INDEX(TableWRCalcPts[PLAYER],MATCH(TableWRRanks[[#This Row],[RK]],TableWRCalcPts[RK],0)),"")</f>
        <v>Devin Duvernay</v>
      </c>
      <c r="Q173" t="str">
        <f>IFERROR(INDEX(TableWRCalcPts[TM],MATCH(TableWRRanks[[#This Row],[RK]],TableWRCalcPts[RK],0)),"")</f>
        <v>JAX</v>
      </c>
      <c r="R173">
        <f>IFERROR(INDEX(TableWRCalcPts[BYE],MATCH(TableWRRanks[[#This Row],[RK]],TableWRCalcPts[RK],0)),"")</f>
        <v>12</v>
      </c>
      <c r="S173" s="57">
        <f>IFERROR(INDEX(TableWRCalcPts[Custom],MATCH(TableWRRanks[[#This Row],[RK]],TableWRCalcPts[RK],0)),"")</f>
        <v>7.2324387178669536</v>
      </c>
      <c r="T173" s="125">
        <f>(((VLOOKUP(TableWRRanks[[#This Row],[Player]],'OVR &amp; VORP Ranks'!$P:$T,5,FALSE)))/('OVR &amp; VORP Ranks'!$BM$6))*(Settings!$E$10*TEAMS)</f>
        <v>-60.99305170249977</v>
      </c>
    </row>
    <row r="174" spans="8:20" x14ac:dyDescent="0.2">
      <c r="O174">
        <v>173</v>
      </c>
      <c r="P174" t="str">
        <f>IFERROR(INDEX(TableWRCalcPts[PLAYER],MATCH(TableWRRanks[[#This Row],[RK]],TableWRCalcPts[RK],0)),"")</f>
        <v>Jha'Quan Jackson</v>
      </c>
      <c r="Q174" t="str">
        <f>IFERROR(INDEX(TableWRCalcPts[TM],MATCH(TableWRRanks[[#This Row],[RK]],TableWRCalcPts[RK],0)),"")</f>
        <v>TEN</v>
      </c>
      <c r="R174">
        <f>IFERROR(INDEX(TableWRCalcPts[BYE],MATCH(TableWRRanks[[#This Row],[RK]],TableWRCalcPts[RK],0)),"")</f>
        <v>5</v>
      </c>
      <c r="S174" s="57">
        <f>IFERROR(INDEX(TableWRCalcPts[Custom],MATCH(TableWRRanks[[#This Row],[RK]],TableWRCalcPts[RK],0)),"")</f>
        <v>6.8794944646427991</v>
      </c>
      <c r="T174" s="125">
        <f>(((VLOOKUP(TableWRRanks[[#This Row],[Player]],'OVR &amp; VORP Ranks'!$P:$T,5,FALSE)))/('OVR &amp; VORP Ranks'!$BM$6))*(Settings!$E$10*TEAMS)</f>
        <v>-61.146831677439486</v>
      </c>
    </row>
    <row r="175" spans="8:20" x14ac:dyDescent="0.2">
      <c r="O175">
        <v>174</v>
      </c>
      <c r="P175" t="str">
        <f>IFERROR(INDEX(TableWRCalcPts[PLAYER],MATCH(TableWRRanks[[#This Row],[RK]],TableWRCalcPts[RK],0)),"")</f>
        <v>Stanley Morgan</v>
      </c>
      <c r="Q175" t="str">
        <f>IFERROR(INDEX(TableWRCalcPts[TM],MATCH(TableWRRanks[[#This Row],[RK]],TableWRCalcPts[RK],0)),"")</f>
        <v>NO</v>
      </c>
      <c r="R175">
        <f>IFERROR(INDEX(TableWRCalcPts[BYE],MATCH(TableWRRanks[[#This Row],[RK]],TableWRCalcPts[RK],0)),"")</f>
        <v>12</v>
      </c>
      <c r="S175" s="57">
        <f>IFERROR(INDEX(TableWRCalcPts[Custom],MATCH(TableWRRanks[[#This Row],[RK]],TableWRCalcPts[RK],0)),"")</f>
        <v>6.7321870722144546</v>
      </c>
      <c r="T175" s="125">
        <f>(((VLOOKUP(TableWRRanks[[#This Row],[Player]],'OVR &amp; VORP Ranks'!$P:$T,5,FALSE)))/('OVR &amp; VORP Ranks'!$BM$6))*(Settings!$E$10*TEAMS)</f>
        <v>-61.211014411424038</v>
      </c>
    </row>
    <row r="176" spans="8:20" x14ac:dyDescent="0.2">
      <c r="O176">
        <v>175</v>
      </c>
      <c r="P176" t="str">
        <f>IFERROR(INDEX(TableWRCalcPts[PLAYER],MATCH(TableWRRanks[[#This Row],[RK]],TableWRCalcPts[RK],0)),"")</f>
        <v>David Bell</v>
      </c>
      <c r="Q176" t="str">
        <f>IFERROR(INDEX(TableWRCalcPts[TM],MATCH(TableWRRanks[[#This Row],[RK]],TableWRCalcPts[RK],0)),"")</f>
        <v>CLE</v>
      </c>
      <c r="R176">
        <f>IFERROR(INDEX(TableWRCalcPts[BYE],MATCH(TableWRRanks[[#This Row],[RK]],TableWRCalcPts[RK],0)),"")</f>
        <v>10</v>
      </c>
      <c r="S176" s="57">
        <f>IFERROR(INDEX(TableWRCalcPts[Custom],MATCH(TableWRRanks[[#This Row],[RK]],TableWRCalcPts[RK],0)),"")</f>
        <v>6.426609524515027</v>
      </c>
      <c r="T176" s="125">
        <f>(((VLOOKUP(TableWRRanks[[#This Row],[Player]],'OVR &amp; VORP Ranks'!$P:$T,5,FALSE)))/('OVR &amp; VORP Ranks'!$BM$6))*(Settings!$E$10*TEAMS)</f>
        <v>-61.344156422373608</v>
      </c>
    </row>
    <row r="177" spans="15:20" x14ac:dyDescent="0.2">
      <c r="O177">
        <v>176</v>
      </c>
      <c r="P177" t="str">
        <f>IFERROR(INDEX(TableWRCalcPts[PLAYER],MATCH(TableWRRanks[[#This Row],[RK]],TableWRCalcPts[RK],0)),"")</f>
        <v/>
      </c>
      <c r="Q177" t="str">
        <f>IFERROR(INDEX(TableWRCalcPts[TM],MATCH(TableWRRanks[[#This Row],[RK]],TableWRCalcPts[RK],0)),"")</f>
        <v/>
      </c>
      <c r="R177" t="str">
        <f>IFERROR(INDEX(TableWRCalcPts[BYE],MATCH(TableWRRanks[[#This Row],[RK]],TableWRCalcPts[RK],0)),"")</f>
        <v/>
      </c>
      <c r="S177" s="57" t="str">
        <f>IFERROR(INDEX(TableWRCalcPts[Custom],MATCH(TableWRRanks[[#This Row],[RK]],TableWRCalcPts[RK],0)),"")</f>
        <v/>
      </c>
      <c r="T177" s="125" t="e">
        <f>(((VLOOKUP(TableWRRanks[[#This Row],[Player]],'OVR &amp; VORP Ranks'!$P:$T,5,FALSE)))/('OVR &amp; VORP Ranks'!$BM$6))*(Settings!$E$10*TEAMS)</f>
        <v>#VALUE!</v>
      </c>
    </row>
    <row r="178" spans="15:20" x14ac:dyDescent="0.2">
      <c r="O178">
        <v>177</v>
      </c>
      <c r="P178" t="str">
        <f>IFERROR(INDEX(TableWRCalcPts[PLAYER],MATCH(TableWRRanks[[#This Row],[RK]],TableWRCalcPts[RK],0)),"")</f>
        <v/>
      </c>
      <c r="Q178" t="str">
        <f>IFERROR(INDEX(TableWRCalcPts[TM],MATCH(TableWRRanks[[#This Row],[RK]],TableWRCalcPts[RK],0)),"")</f>
        <v/>
      </c>
      <c r="R178" t="str">
        <f>IFERROR(INDEX(TableWRCalcPts[BYE],MATCH(TableWRRanks[[#This Row],[RK]],TableWRCalcPts[RK],0)),"")</f>
        <v/>
      </c>
      <c r="S178" s="57" t="str">
        <f>IFERROR(INDEX(TableWRCalcPts[Custom],MATCH(TableWRRanks[[#This Row],[RK]],TableWRCalcPts[RK],0)),"")</f>
        <v/>
      </c>
      <c r="T178" s="125" t="e">
        <f>(((VLOOKUP(TableWRRanks[[#This Row],[Player]],'OVR &amp; VORP Ranks'!$P:$T,5,FALSE)))/('OVR &amp; VORP Ranks'!$BM$6))*(Settings!$E$10*TEAMS)</f>
        <v>#VALUE!</v>
      </c>
    </row>
    <row r="179" spans="15:20" x14ac:dyDescent="0.2">
      <c r="O179">
        <v>178</v>
      </c>
      <c r="P179" t="str">
        <f>IFERROR(INDEX(TableWRCalcPts[PLAYER],MATCH(TableWRRanks[[#This Row],[RK]],TableWRCalcPts[RK],0)),"")</f>
        <v/>
      </c>
      <c r="Q179" t="str">
        <f>IFERROR(INDEX(TableWRCalcPts[TM],MATCH(TableWRRanks[[#This Row],[RK]],TableWRCalcPts[RK],0)),"")</f>
        <v/>
      </c>
      <c r="R179" t="str">
        <f>IFERROR(INDEX(TableWRCalcPts[BYE],MATCH(TableWRRanks[[#This Row],[RK]],TableWRCalcPts[RK],0)),"")</f>
        <v/>
      </c>
      <c r="S179" s="57" t="str">
        <f>IFERROR(INDEX(TableWRCalcPts[Custom],MATCH(TableWRRanks[[#This Row],[RK]],TableWRCalcPts[RK],0)),"")</f>
        <v/>
      </c>
      <c r="T179" s="125" t="e">
        <f>(((VLOOKUP(TableWRRanks[[#This Row],[Player]],'OVR &amp; VORP Ranks'!$P:$T,5,FALSE)))/('OVR &amp; VORP Ranks'!$BM$6))*(Settings!$E$10*TEAMS)</f>
        <v>#VALUE!</v>
      </c>
    </row>
    <row r="180" spans="15:20" x14ac:dyDescent="0.2">
      <c r="O180">
        <v>179</v>
      </c>
      <c r="P180" t="str">
        <f>IFERROR(INDEX(TableWRCalcPts[PLAYER],MATCH(TableWRRanks[[#This Row],[RK]],TableWRCalcPts[RK],0)),"")</f>
        <v/>
      </c>
      <c r="Q180" t="str">
        <f>IFERROR(INDEX(TableWRCalcPts[TM],MATCH(TableWRRanks[[#This Row],[RK]],TableWRCalcPts[RK],0)),"")</f>
        <v/>
      </c>
      <c r="R180" t="str">
        <f>IFERROR(INDEX(TableWRCalcPts[BYE],MATCH(TableWRRanks[[#This Row],[RK]],TableWRCalcPts[RK],0)),"")</f>
        <v/>
      </c>
      <c r="S180" s="57" t="str">
        <f>IFERROR(INDEX(TableWRCalcPts[Custom],MATCH(TableWRRanks[[#This Row],[RK]],TableWRCalcPts[RK],0)),"")</f>
        <v/>
      </c>
      <c r="T180" s="125" t="e">
        <f>(((VLOOKUP(TableWRRanks[[#This Row],[Player]],'OVR &amp; VORP Ranks'!$P:$T,5,FALSE)))/('OVR &amp; VORP Ranks'!$BM$6))*(Settings!$E$10*TEAMS)</f>
        <v>#VALUE!</v>
      </c>
    </row>
    <row r="181" spans="15:20" x14ac:dyDescent="0.2">
      <c r="O181">
        <v>180</v>
      </c>
      <c r="P181" t="str">
        <f>IFERROR(INDEX(TableWRCalcPts[PLAYER],MATCH(TableWRRanks[[#This Row],[RK]],TableWRCalcPts[RK],0)),"")</f>
        <v/>
      </c>
      <c r="Q181" t="str">
        <f>IFERROR(INDEX(TableWRCalcPts[TM],MATCH(TableWRRanks[[#This Row],[RK]],TableWRCalcPts[RK],0)),"")</f>
        <v/>
      </c>
      <c r="R181" t="str">
        <f>IFERROR(INDEX(TableWRCalcPts[BYE],MATCH(TableWRRanks[[#This Row],[RK]],TableWRCalcPts[RK],0)),"")</f>
        <v/>
      </c>
      <c r="S181" s="57" t="str">
        <f>IFERROR(INDEX(TableWRCalcPts[Custom],MATCH(TableWRRanks[[#This Row],[RK]],TableWRCalcPts[RK],0)),"")</f>
        <v/>
      </c>
      <c r="T181" s="125" t="e">
        <f>(((VLOOKUP(TableWRRanks[[#This Row],[Player]],'OVR &amp; VORP Ranks'!$P:$T,5,FALSE)))/('OVR &amp; VORP Ranks'!$BM$6))*(Settings!$E$10*TEAMS)</f>
        <v>#VALUE!</v>
      </c>
    </row>
    <row r="182" spans="15:20" x14ac:dyDescent="0.2">
      <c r="O182">
        <v>181</v>
      </c>
      <c r="P182" t="str">
        <f>IFERROR(INDEX(TableWRCalcPts[PLAYER],MATCH(TableWRRanks[[#This Row],[RK]],TableWRCalcPts[RK],0)),"")</f>
        <v/>
      </c>
      <c r="Q182" t="str">
        <f>IFERROR(INDEX(TableWRCalcPts[TM],MATCH(TableWRRanks[[#This Row],[RK]],TableWRCalcPts[RK],0)),"")</f>
        <v/>
      </c>
      <c r="R182" t="str">
        <f>IFERROR(INDEX(TableWRCalcPts[BYE],MATCH(TableWRRanks[[#This Row],[RK]],TableWRCalcPts[RK],0)),"")</f>
        <v/>
      </c>
      <c r="S182" s="57" t="str">
        <f>IFERROR(INDEX(TableWRCalcPts[Custom],MATCH(TableWRRanks[[#This Row],[RK]],TableWRCalcPts[RK],0)),"")</f>
        <v/>
      </c>
      <c r="T182" s="125" t="e">
        <f>(((VLOOKUP(TableWRRanks[[#This Row],[Player]],'OVR &amp; VORP Ranks'!$P:$T,5,FALSE)))/('OVR &amp; VORP Ranks'!$BM$6))*(Settings!$E$10*TEAMS)</f>
        <v>#VALUE!</v>
      </c>
    </row>
    <row r="183" spans="15:20" x14ac:dyDescent="0.2">
      <c r="O183">
        <v>182</v>
      </c>
      <c r="P183" t="str">
        <f>IFERROR(INDEX(TableWRCalcPts[PLAYER],MATCH(TableWRRanks[[#This Row],[RK]],TableWRCalcPts[RK],0)),"")</f>
        <v/>
      </c>
      <c r="Q183" t="str">
        <f>IFERROR(INDEX(TableWRCalcPts[TM],MATCH(TableWRRanks[[#This Row],[RK]],TableWRCalcPts[RK],0)),"")</f>
        <v/>
      </c>
      <c r="R183" t="str">
        <f>IFERROR(INDEX(TableWRCalcPts[BYE],MATCH(TableWRRanks[[#This Row],[RK]],TableWRCalcPts[RK],0)),"")</f>
        <v/>
      </c>
      <c r="S183" s="57" t="str">
        <f>IFERROR(INDEX(TableWRCalcPts[Custom],MATCH(TableWRRanks[[#This Row],[RK]],TableWRCalcPts[RK],0)),"")</f>
        <v/>
      </c>
      <c r="T183" s="125" t="e">
        <f>(((VLOOKUP(TableWRRanks[[#This Row],[Player]],'OVR &amp; VORP Ranks'!$P:$T,5,FALSE)))/('OVR &amp; VORP Ranks'!$BM$6))*(Settings!$E$10*TEAMS)</f>
        <v>#VALUE!</v>
      </c>
    </row>
    <row r="184" spans="15:20" x14ac:dyDescent="0.2">
      <c r="O184">
        <v>183</v>
      </c>
      <c r="P184" t="str">
        <f>IFERROR(INDEX(TableWRCalcPts[PLAYER],MATCH(TableWRRanks[[#This Row],[RK]],TableWRCalcPts[RK],0)),"")</f>
        <v/>
      </c>
      <c r="Q184" t="str">
        <f>IFERROR(INDEX(TableWRCalcPts[TM],MATCH(TableWRRanks[[#This Row],[RK]],TableWRCalcPts[RK],0)),"")</f>
        <v/>
      </c>
      <c r="R184" t="str">
        <f>IFERROR(INDEX(TableWRCalcPts[BYE],MATCH(TableWRRanks[[#This Row],[RK]],TableWRCalcPts[RK],0)),"")</f>
        <v/>
      </c>
      <c r="S184" s="57" t="str">
        <f>IFERROR(INDEX(TableWRCalcPts[Custom],MATCH(TableWRRanks[[#This Row],[RK]],TableWRCalcPts[RK],0)),"")</f>
        <v/>
      </c>
      <c r="T184" s="125" t="e">
        <f>(((VLOOKUP(TableWRRanks[[#This Row],[Player]],'OVR &amp; VORP Ranks'!$P:$T,5,FALSE)))/('OVR &amp; VORP Ranks'!$BM$6))*(Settings!$E$10*TEAMS)</f>
        <v>#VALUE!</v>
      </c>
    </row>
    <row r="185" spans="15:20" x14ac:dyDescent="0.2">
      <c r="O185">
        <v>184</v>
      </c>
      <c r="P185" t="str">
        <f>IFERROR(INDEX(TableWRCalcPts[PLAYER],MATCH(TableWRRanks[[#This Row],[RK]],TableWRCalcPts[RK],0)),"")</f>
        <v/>
      </c>
      <c r="Q185" t="str">
        <f>IFERROR(INDEX(TableWRCalcPts[TM],MATCH(TableWRRanks[[#This Row],[RK]],TableWRCalcPts[RK],0)),"")</f>
        <v/>
      </c>
      <c r="R185" t="str">
        <f>IFERROR(INDEX(TableWRCalcPts[BYE],MATCH(TableWRRanks[[#This Row],[RK]],TableWRCalcPts[RK],0)),"")</f>
        <v/>
      </c>
      <c r="S185" s="57" t="str">
        <f>IFERROR(INDEX(TableWRCalcPts[Custom],MATCH(TableWRRanks[[#This Row],[RK]],TableWRCalcPts[RK],0)),"")</f>
        <v/>
      </c>
      <c r="T185" s="125" t="e">
        <f>(((VLOOKUP(TableWRRanks[[#This Row],[Player]],'OVR &amp; VORP Ranks'!$P:$T,5,FALSE)))/('OVR &amp; VORP Ranks'!$BM$6))*(Settings!$E$10*TEAMS)</f>
        <v>#VALUE!</v>
      </c>
    </row>
    <row r="186" spans="15:20" x14ac:dyDescent="0.2">
      <c r="O186">
        <v>185</v>
      </c>
      <c r="P186" t="str">
        <f>IFERROR(INDEX(TableWRCalcPts[PLAYER],MATCH(TableWRRanks[[#This Row],[RK]],TableWRCalcPts[RK],0)),"")</f>
        <v/>
      </c>
      <c r="Q186" t="str">
        <f>IFERROR(INDEX(TableWRCalcPts[TM],MATCH(TableWRRanks[[#This Row],[RK]],TableWRCalcPts[RK],0)),"")</f>
        <v/>
      </c>
      <c r="R186" t="str">
        <f>IFERROR(INDEX(TableWRCalcPts[BYE],MATCH(TableWRRanks[[#This Row],[RK]],TableWRCalcPts[RK],0)),"")</f>
        <v/>
      </c>
      <c r="S186" s="57" t="str">
        <f>IFERROR(INDEX(TableWRCalcPts[Custom],MATCH(TableWRRanks[[#This Row],[RK]],TableWRCalcPts[RK],0)),"")</f>
        <v/>
      </c>
      <c r="T186" s="125" t="e">
        <f>(((VLOOKUP(TableWRRanks[[#This Row],[Player]],'OVR &amp; VORP Ranks'!$P:$T,5,FALSE)))/('OVR &amp; VORP Ranks'!$BM$6))*(Settings!$E$10*TEAMS)</f>
        <v>#VALUE!</v>
      </c>
    </row>
    <row r="187" spans="15:20" x14ac:dyDescent="0.2">
      <c r="O187">
        <v>186</v>
      </c>
      <c r="P187" t="str">
        <f>IFERROR(INDEX(TableWRCalcPts[PLAYER],MATCH(TableWRRanks[[#This Row],[RK]],TableWRCalcPts[RK],0)),"")</f>
        <v/>
      </c>
      <c r="Q187" t="str">
        <f>IFERROR(INDEX(TableWRCalcPts[TM],MATCH(TableWRRanks[[#This Row],[RK]],TableWRCalcPts[RK],0)),"")</f>
        <v/>
      </c>
      <c r="R187" t="str">
        <f>IFERROR(INDEX(TableWRCalcPts[BYE],MATCH(TableWRRanks[[#This Row],[RK]],TableWRCalcPts[RK],0)),"")</f>
        <v/>
      </c>
      <c r="S187" s="57" t="str">
        <f>IFERROR(INDEX(TableWRCalcPts[Custom],MATCH(TableWRRanks[[#This Row],[RK]],TableWRCalcPts[RK],0)),"")</f>
        <v/>
      </c>
      <c r="T187" s="125" t="e">
        <f>(((VLOOKUP(TableWRRanks[[#This Row],[Player]],'OVR &amp; VORP Ranks'!$P:$T,5,FALSE)))/('OVR &amp; VORP Ranks'!$BM$6))*(Settings!$E$10*TEAMS)</f>
        <v>#VALUE!</v>
      </c>
    </row>
    <row r="188" spans="15:20" x14ac:dyDescent="0.2">
      <c r="O188">
        <v>187</v>
      </c>
      <c r="P188" t="str">
        <f>IFERROR(INDEX(TableWRCalcPts[PLAYER],MATCH(TableWRRanks[[#This Row],[RK]],TableWRCalcPts[RK],0)),"")</f>
        <v/>
      </c>
      <c r="Q188" t="str">
        <f>IFERROR(INDEX(TableWRCalcPts[TM],MATCH(TableWRRanks[[#This Row],[RK]],TableWRCalcPts[RK],0)),"")</f>
        <v/>
      </c>
      <c r="R188" t="str">
        <f>IFERROR(INDEX(TableWRCalcPts[BYE],MATCH(TableWRRanks[[#This Row],[RK]],TableWRCalcPts[RK],0)),"")</f>
        <v/>
      </c>
      <c r="S188" s="57" t="str">
        <f>IFERROR(INDEX(TableWRCalcPts[Custom],MATCH(TableWRRanks[[#This Row],[RK]],TableWRCalcPts[RK],0)),"")</f>
        <v/>
      </c>
      <c r="T188" s="125" t="e">
        <f>(((VLOOKUP(TableWRRanks[[#This Row],[Player]],'OVR &amp; VORP Ranks'!$P:$T,5,FALSE)))/('OVR &amp; VORP Ranks'!$BM$6))*(Settings!$E$10*TEAMS)</f>
        <v>#VALUE!</v>
      </c>
    </row>
    <row r="189" spans="15:20" x14ac:dyDescent="0.2">
      <c r="O189">
        <v>188</v>
      </c>
      <c r="P189" t="str">
        <f>IFERROR(INDEX(TableWRCalcPts[PLAYER],MATCH(TableWRRanks[[#This Row],[RK]],TableWRCalcPts[RK],0)),"")</f>
        <v/>
      </c>
      <c r="Q189" t="str">
        <f>IFERROR(INDEX(TableWRCalcPts[TM],MATCH(TableWRRanks[[#This Row],[RK]],TableWRCalcPts[RK],0)),"")</f>
        <v/>
      </c>
      <c r="R189" t="str">
        <f>IFERROR(INDEX(TableWRCalcPts[BYE],MATCH(TableWRRanks[[#This Row],[RK]],TableWRCalcPts[RK],0)),"")</f>
        <v/>
      </c>
      <c r="S189" s="57" t="str">
        <f>IFERROR(INDEX(TableWRCalcPts[Custom],MATCH(TableWRRanks[[#This Row],[RK]],TableWRCalcPts[RK],0)),"")</f>
        <v/>
      </c>
      <c r="T189" s="125" t="e">
        <f>(((VLOOKUP(TableWRRanks[[#This Row],[Player]],'OVR &amp; VORP Ranks'!$P:$T,5,FALSE)))/('OVR &amp; VORP Ranks'!$BM$6))*(Settings!$E$10*TEAMS)</f>
        <v>#VALUE!</v>
      </c>
    </row>
    <row r="190" spans="15:20" x14ac:dyDescent="0.2">
      <c r="O190">
        <v>189</v>
      </c>
      <c r="P190" t="str">
        <f>IFERROR(INDEX(TableWRCalcPts[PLAYER],MATCH(TableWRRanks[[#This Row],[RK]],TableWRCalcPts[RK],0)),"")</f>
        <v/>
      </c>
      <c r="Q190" t="str">
        <f>IFERROR(INDEX(TableWRCalcPts[TM],MATCH(TableWRRanks[[#This Row],[RK]],TableWRCalcPts[RK],0)),"")</f>
        <v/>
      </c>
      <c r="R190" t="str">
        <f>IFERROR(INDEX(TableWRCalcPts[BYE],MATCH(TableWRRanks[[#This Row],[RK]],TableWRCalcPts[RK],0)),"")</f>
        <v/>
      </c>
      <c r="S190" s="57" t="str">
        <f>IFERROR(INDEX(TableWRCalcPts[Custom],MATCH(TableWRRanks[[#This Row],[RK]],TableWRCalcPts[RK],0)),"")</f>
        <v/>
      </c>
      <c r="T190" s="125" t="e">
        <f>(((VLOOKUP(TableWRRanks[[#This Row],[Player]],'OVR &amp; VORP Ranks'!$P:$T,5,FALSE)))/('OVR &amp; VORP Ranks'!$BM$6))*(Settings!$E$10*TEAMS)</f>
        <v>#VALUE!</v>
      </c>
    </row>
    <row r="191" spans="15:20" x14ac:dyDescent="0.2">
      <c r="O191">
        <v>190</v>
      </c>
      <c r="P191" t="str">
        <f>IFERROR(INDEX(TableWRCalcPts[PLAYER],MATCH(TableWRRanks[[#This Row],[RK]],TableWRCalcPts[RK],0)),"")</f>
        <v/>
      </c>
      <c r="Q191" t="str">
        <f>IFERROR(INDEX(TableWRCalcPts[TM],MATCH(TableWRRanks[[#This Row],[RK]],TableWRCalcPts[RK],0)),"")</f>
        <v/>
      </c>
      <c r="R191" t="str">
        <f>IFERROR(INDEX(TableWRCalcPts[BYE],MATCH(TableWRRanks[[#This Row],[RK]],TableWRCalcPts[RK],0)),"")</f>
        <v/>
      </c>
      <c r="S191" s="57" t="str">
        <f>IFERROR(INDEX(TableWRCalcPts[Custom],MATCH(TableWRRanks[[#This Row],[RK]],TableWRCalcPts[RK],0)),"")</f>
        <v/>
      </c>
      <c r="T191" s="125" t="e">
        <f>(((VLOOKUP(TableWRRanks[[#This Row],[Player]],'OVR &amp; VORP Ranks'!$P:$T,5,FALSE)))/('OVR &amp; VORP Ranks'!$BM$6))*(Settings!$E$10*TEAMS)</f>
        <v>#VALUE!</v>
      </c>
    </row>
    <row r="192" spans="15:20" x14ac:dyDescent="0.2">
      <c r="O192">
        <v>191</v>
      </c>
      <c r="P192" t="str">
        <f>IFERROR(INDEX(TableWRCalcPts[PLAYER],MATCH(TableWRRanks[[#This Row],[RK]],TableWRCalcPts[RK],0)),"")</f>
        <v/>
      </c>
      <c r="Q192" t="str">
        <f>IFERROR(INDEX(TableWRCalcPts[TM],MATCH(TableWRRanks[[#This Row],[RK]],TableWRCalcPts[RK],0)),"")</f>
        <v/>
      </c>
      <c r="R192" t="str">
        <f>IFERROR(INDEX(TableWRCalcPts[BYE],MATCH(TableWRRanks[[#This Row],[RK]],TableWRCalcPts[RK],0)),"")</f>
        <v/>
      </c>
      <c r="S192" s="57" t="str">
        <f>IFERROR(INDEX(TableWRCalcPts[Custom],MATCH(TableWRRanks[[#This Row],[RK]],TableWRCalcPts[RK],0)),"")</f>
        <v/>
      </c>
      <c r="T192" s="125" t="e">
        <f>(((VLOOKUP(TableWRRanks[[#This Row],[Player]],'OVR &amp; VORP Ranks'!$P:$T,5,FALSE)))/('OVR &amp; VORP Ranks'!$BM$6))*(Settings!$E$10*TEAMS)</f>
        <v>#VALUE!</v>
      </c>
    </row>
    <row r="193" spans="15:20" x14ac:dyDescent="0.2">
      <c r="O193">
        <v>192</v>
      </c>
      <c r="P193" t="str">
        <f>IFERROR(INDEX(TableWRCalcPts[PLAYER],MATCH(TableWRRanks[[#This Row],[RK]],TableWRCalcPts[RK],0)),"")</f>
        <v/>
      </c>
      <c r="Q193" t="str">
        <f>IFERROR(INDEX(TableWRCalcPts[TM],MATCH(TableWRRanks[[#This Row],[RK]],TableWRCalcPts[RK],0)),"")</f>
        <v/>
      </c>
      <c r="R193" t="str">
        <f>IFERROR(INDEX(TableWRCalcPts[BYE],MATCH(TableWRRanks[[#This Row],[RK]],TableWRCalcPts[RK],0)),"")</f>
        <v/>
      </c>
      <c r="S193" s="57" t="str">
        <f>IFERROR(INDEX(TableWRCalcPts[Custom],MATCH(TableWRRanks[[#This Row],[RK]],TableWRCalcPts[RK],0)),"")</f>
        <v/>
      </c>
      <c r="T193" s="125" t="e">
        <f>(((VLOOKUP(TableWRRanks[[#This Row],[Player]],'OVR &amp; VORP Ranks'!$P:$T,5,FALSE)))/('OVR &amp; VORP Ranks'!$BM$6))*(Settings!$E$10*TEAMS)</f>
        <v>#VALUE!</v>
      </c>
    </row>
    <row r="194" spans="15:20" x14ac:dyDescent="0.2">
      <c r="O194">
        <v>193</v>
      </c>
      <c r="P194" t="str">
        <f>IFERROR(INDEX(TableWRCalcPts[PLAYER],MATCH(TableWRRanks[[#This Row],[RK]],TableWRCalcPts[RK],0)),"")</f>
        <v/>
      </c>
      <c r="Q194" t="str">
        <f>IFERROR(INDEX(TableWRCalcPts[TM],MATCH(TableWRRanks[[#This Row],[RK]],TableWRCalcPts[RK],0)),"")</f>
        <v/>
      </c>
      <c r="R194" t="str">
        <f>IFERROR(INDEX(TableWRCalcPts[BYE],MATCH(TableWRRanks[[#This Row],[RK]],TableWRCalcPts[RK],0)),"")</f>
        <v/>
      </c>
      <c r="S194" s="57" t="str">
        <f>IFERROR(INDEX(TableWRCalcPts[Custom],MATCH(TableWRRanks[[#This Row],[RK]],TableWRCalcPts[RK],0)),"")</f>
        <v/>
      </c>
      <c r="T194" s="125" t="e">
        <f>(((VLOOKUP(TableWRRanks[[#This Row],[Player]],'OVR &amp; VORP Ranks'!$P:$T,5,FALSE)))/('OVR &amp; VORP Ranks'!$BM$6))*(Settings!$E$10*TEAMS)</f>
        <v>#VALUE!</v>
      </c>
    </row>
    <row r="195" spans="15:20" x14ac:dyDescent="0.2">
      <c r="O195">
        <v>194</v>
      </c>
      <c r="P195" t="str">
        <f>IFERROR(INDEX(TableWRCalcPts[PLAYER],MATCH(TableWRRanks[[#This Row],[RK]],TableWRCalcPts[RK],0)),"")</f>
        <v/>
      </c>
      <c r="Q195" t="str">
        <f>IFERROR(INDEX(TableWRCalcPts[TM],MATCH(TableWRRanks[[#This Row],[RK]],TableWRCalcPts[RK],0)),"")</f>
        <v/>
      </c>
      <c r="R195" t="str">
        <f>IFERROR(INDEX(TableWRCalcPts[BYE],MATCH(TableWRRanks[[#This Row],[RK]],TableWRCalcPts[RK],0)),"")</f>
        <v/>
      </c>
      <c r="S195" s="57" t="str">
        <f>IFERROR(INDEX(TableWRCalcPts[Custom],MATCH(TableWRRanks[[#This Row],[RK]],TableWRCalcPts[RK],0)),"")</f>
        <v/>
      </c>
      <c r="T195" s="125" t="e">
        <f>(((VLOOKUP(TableWRRanks[[#This Row],[Player]],'OVR &amp; VORP Ranks'!$P:$T,5,FALSE)))/('OVR &amp; VORP Ranks'!$BM$6))*(Settings!$E$10*TEAMS)</f>
        <v>#VALUE!</v>
      </c>
    </row>
    <row r="196" spans="15:20" x14ac:dyDescent="0.2">
      <c r="O196">
        <v>195</v>
      </c>
      <c r="P196" t="str">
        <f>IFERROR(INDEX(TableWRCalcPts[PLAYER],MATCH(TableWRRanks[[#This Row],[RK]],TableWRCalcPts[RK],0)),"")</f>
        <v/>
      </c>
      <c r="Q196" t="str">
        <f>IFERROR(INDEX(TableWRCalcPts[TM],MATCH(TableWRRanks[[#This Row],[RK]],TableWRCalcPts[RK],0)),"")</f>
        <v/>
      </c>
      <c r="R196" t="str">
        <f>IFERROR(INDEX(TableWRCalcPts[BYE],MATCH(TableWRRanks[[#This Row],[RK]],TableWRCalcPts[RK],0)),"")</f>
        <v/>
      </c>
      <c r="S196" s="57" t="str">
        <f>IFERROR(INDEX(TableWRCalcPts[Custom],MATCH(TableWRRanks[[#This Row],[RK]],TableWRCalcPts[RK],0)),"")</f>
        <v/>
      </c>
      <c r="T196" s="125" t="e">
        <f>(((VLOOKUP(TableWRRanks[[#This Row],[Player]],'OVR &amp; VORP Ranks'!$P:$T,5,FALSE)))/('OVR &amp; VORP Ranks'!$BM$6))*(Settings!$E$10*TEAMS)</f>
        <v>#VALUE!</v>
      </c>
    </row>
    <row r="197" spans="15:20" x14ac:dyDescent="0.2">
      <c r="O197">
        <v>196</v>
      </c>
      <c r="P197" t="str">
        <f>IFERROR(INDEX(TableWRCalcPts[PLAYER],MATCH(TableWRRanks[[#This Row],[RK]],TableWRCalcPts[RK],0)),"")</f>
        <v/>
      </c>
      <c r="Q197" t="str">
        <f>IFERROR(INDEX(TableWRCalcPts[TM],MATCH(TableWRRanks[[#This Row],[RK]],TableWRCalcPts[RK],0)),"")</f>
        <v/>
      </c>
      <c r="R197" t="str">
        <f>IFERROR(INDEX(TableWRCalcPts[BYE],MATCH(TableWRRanks[[#This Row],[RK]],TableWRCalcPts[RK],0)),"")</f>
        <v/>
      </c>
      <c r="S197" s="57" t="str">
        <f>IFERROR(INDEX(TableWRCalcPts[Custom],MATCH(TableWRRanks[[#This Row],[RK]],TableWRCalcPts[RK],0)),"")</f>
        <v/>
      </c>
      <c r="T197" s="125" t="e">
        <f>(((VLOOKUP(TableWRRanks[[#This Row],[Player]],'OVR &amp; VORP Ranks'!$P:$T,5,FALSE)))/('OVR &amp; VORP Ranks'!$BM$6))*(Settings!$E$10*TEAMS)</f>
        <v>#VALUE!</v>
      </c>
    </row>
    <row r="198" spans="15:20" x14ac:dyDescent="0.2">
      <c r="O198">
        <v>197</v>
      </c>
      <c r="P198" t="str">
        <f>IFERROR(INDEX(TableWRCalcPts[PLAYER],MATCH(TableWRRanks[[#This Row],[RK]],TableWRCalcPts[RK],0)),"")</f>
        <v/>
      </c>
      <c r="Q198" t="str">
        <f>IFERROR(INDEX(TableWRCalcPts[TM],MATCH(TableWRRanks[[#This Row],[RK]],TableWRCalcPts[RK],0)),"")</f>
        <v/>
      </c>
      <c r="R198" t="str">
        <f>IFERROR(INDEX(TableWRCalcPts[BYE],MATCH(TableWRRanks[[#This Row],[RK]],TableWRCalcPts[RK],0)),"")</f>
        <v/>
      </c>
      <c r="S198" s="57" t="str">
        <f>IFERROR(INDEX(TableWRCalcPts[Custom],MATCH(TableWRRanks[[#This Row],[RK]],TableWRCalcPts[RK],0)),"")</f>
        <v/>
      </c>
      <c r="T198" s="125" t="e">
        <f>(((VLOOKUP(TableWRRanks[[#This Row],[Player]],'OVR &amp; VORP Ranks'!$P:$T,5,FALSE)))/('OVR &amp; VORP Ranks'!$BM$6))*(Settings!$E$10*TEAMS)</f>
        <v>#VALUE!</v>
      </c>
    </row>
    <row r="199" spans="15:20" x14ac:dyDescent="0.2">
      <c r="O199">
        <v>198</v>
      </c>
      <c r="P199" t="str">
        <f>IFERROR(INDEX(TableWRCalcPts[PLAYER],MATCH(TableWRRanks[[#This Row],[RK]],TableWRCalcPts[RK],0)),"")</f>
        <v/>
      </c>
      <c r="Q199" t="str">
        <f>IFERROR(INDEX(TableWRCalcPts[TM],MATCH(TableWRRanks[[#This Row],[RK]],TableWRCalcPts[RK],0)),"")</f>
        <v/>
      </c>
      <c r="R199" t="str">
        <f>IFERROR(INDEX(TableWRCalcPts[BYE],MATCH(TableWRRanks[[#This Row],[RK]],TableWRCalcPts[RK],0)),"")</f>
        <v/>
      </c>
      <c r="S199" s="57" t="str">
        <f>IFERROR(INDEX(TableWRCalcPts[Custom],MATCH(TableWRRanks[[#This Row],[RK]],TableWRCalcPts[RK],0)),"")</f>
        <v/>
      </c>
      <c r="T199" s="125" t="e">
        <f>(((VLOOKUP(TableWRRanks[[#This Row],[Player]],'OVR &amp; VORP Ranks'!$P:$T,5,FALSE)))/('OVR &amp; VORP Ranks'!$BM$6))*(Settings!$E$10*TEAMS)</f>
        <v>#VALUE!</v>
      </c>
    </row>
    <row r="200" spans="15:20" x14ac:dyDescent="0.2">
      <c r="O200">
        <v>199</v>
      </c>
      <c r="P200" t="str">
        <f>IFERROR(INDEX(TableWRCalcPts[PLAYER],MATCH(TableWRRanks[[#This Row],[RK]],TableWRCalcPts[RK],0)),"")</f>
        <v/>
      </c>
      <c r="Q200" t="str">
        <f>IFERROR(INDEX(TableWRCalcPts[TM],MATCH(TableWRRanks[[#This Row],[RK]],TableWRCalcPts[RK],0)),"")</f>
        <v/>
      </c>
      <c r="R200" t="str">
        <f>IFERROR(INDEX(TableWRCalcPts[BYE],MATCH(TableWRRanks[[#This Row],[RK]],TableWRCalcPts[RK],0)),"")</f>
        <v/>
      </c>
      <c r="S200" s="57" t="str">
        <f>IFERROR(INDEX(TableWRCalcPts[Custom],MATCH(TableWRRanks[[#This Row],[RK]],TableWRCalcPts[RK],0)),"")</f>
        <v/>
      </c>
      <c r="T200" s="125" t="e">
        <f>(((VLOOKUP(TableWRRanks[[#This Row],[Player]],'OVR &amp; VORP Ranks'!$P:$T,5,FALSE)))/('OVR &amp; VORP Ranks'!$BM$6))*(Settings!$E$10*TEAMS)</f>
        <v>#VALUE!</v>
      </c>
    </row>
    <row r="201" spans="15:20" x14ac:dyDescent="0.2">
      <c r="O201">
        <v>200</v>
      </c>
      <c r="P201" t="str">
        <f>IFERROR(INDEX(TableWRCalcPts[PLAYER],MATCH(TableWRRanks[[#This Row],[RK]],TableWRCalcPts[RK],0)),"")</f>
        <v/>
      </c>
      <c r="Q201" t="str">
        <f>IFERROR(INDEX(TableWRCalcPts[TM],MATCH(TableWRRanks[[#This Row],[RK]],TableWRCalcPts[RK],0)),"")</f>
        <v/>
      </c>
      <c r="R201" t="str">
        <f>IFERROR(INDEX(TableWRCalcPts[BYE],MATCH(TableWRRanks[[#This Row],[RK]],TableWRCalcPts[RK],0)),"")</f>
        <v/>
      </c>
      <c r="S201" s="57" t="str">
        <f>IFERROR(INDEX(TableWRCalcPts[Custom],MATCH(TableWRRanks[[#This Row],[RK]],TableWRCalcPts[RK],0)),"")</f>
        <v/>
      </c>
      <c r="T201" s="125" t="e">
        <f>(((VLOOKUP(TableWRRanks[[#This Row],[Player]],'OVR &amp; VORP Ranks'!$P:$T,5,FALSE)))/('OVR &amp; VORP Ranks'!$BM$6))*(Settings!$E$10*TEAMS)</f>
        <v>#VALUE!</v>
      </c>
    </row>
    <row r="202" spans="15:20" x14ac:dyDescent="0.2">
      <c r="O202">
        <v>201</v>
      </c>
      <c r="P202" t="str">
        <f>IFERROR(INDEX(TableWRCalcPts[PLAYER],MATCH(TableWRRanks[[#This Row],[RK]],TableWRCalcPts[RK],0)),"")</f>
        <v/>
      </c>
      <c r="Q202" t="str">
        <f>IFERROR(INDEX(TableWRCalcPts[TM],MATCH(TableWRRanks[[#This Row],[RK]],TableWRCalcPts[RK],0)),"")</f>
        <v/>
      </c>
      <c r="R202" t="str">
        <f>IFERROR(INDEX(TableWRCalcPts[BYE],MATCH(TableWRRanks[[#This Row],[RK]],TableWRCalcPts[RK],0)),"")</f>
        <v/>
      </c>
      <c r="S202" s="57" t="str">
        <f>IFERROR(INDEX(TableWRCalcPts[Custom],MATCH(TableWRRanks[[#This Row],[RK]],TableWRCalcPts[RK],0)),"")</f>
        <v/>
      </c>
      <c r="T202" s="125" t="e">
        <f>(((VLOOKUP(TableWRRanks[[#This Row],[Player]],'OVR &amp; VORP Ranks'!$P:$T,5,FALSE)))/('OVR &amp; VORP Ranks'!$BM$6))*(Settings!$E$10*TEAMS)</f>
        <v>#VALUE!</v>
      </c>
    </row>
    <row r="203" spans="15:20" x14ac:dyDescent="0.2">
      <c r="O203">
        <v>202</v>
      </c>
      <c r="P203" t="str">
        <f>IFERROR(INDEX(TableWRCalcPts[PLAYER],MATCH(TableWRRanks[[#This Row],[RK]],TableWRCalcPts[RK],0)),"")</f>
        <v/>
      </c>
      <c r="Q203" t="str">
        <f>IFERROR(INDEX(TableWRCalcPts[TM],MATCH(TableWRRanks[[#This Row],[RK]],TableWRCalcPts[RK],0)),"")</f>
        <v/>
      </c>
      <c r="R203" t="str">
        <f>IFERROR(INDEX(TableWRCalcPts[BYE],MATCH(TableWRRanks[[#This Row],[RK]],TableWRCalcPts[RK],0)),"")</f>
        <v/>
      </c>
      <c r="S203" s="57" t="str">
        <f>IFERROR(INDEX(TableWRCalcPts[Custom],MATCH(TableWRRanks[[#This Row],[RK]],TableWRCalcPts[RK],0)),"")</f>
        <v/>
      </c>
      <c r="T203" s="125" t="e">
        <f>(((VLOOKUP(TableWRRanks[[#This Row],[Player]],'OVR &amp; VORP Ranks'!$P:$T,5,FALSE)))/('OVR &amp; VORP Ranks'!$BM$6))*(Settings!$E$10*TEAMS)</f>
        <v>#VALUE!</v>
      </c>
    </row>
    <row r="204" spans="15:20" x14ac:dyDescent="0.2">
      <c r="O204">
        <v>203</v>
      </c>
      <c r="P204" t="str">
        <f>IFERROR(INDEX(TableWRCalcPts[PLAYER],MATCH(TableWRRanks[[#This Row],[RK]],TableWRCalcPts[RK],0)),"")</f>
        <v/>
      </c>
      <c r="Q204" t="str">
        <f>IFERROR(INDEX(TableWRCalcPts[TM],MATCH(TableWRRanks[[#This Row],[RK]],TableWRCalcPts[RK],0)),"")</f>
        <v/>
      </c>
      <c r="R204" t="str">
        <f>IFERROR(INDEX(TableWRCalcPts[BYE],MATCH(TableWRRanks[[#This Row],[RK]],TableWRCalcPts[RK],0)),"")</f>
        <v/>
      </c>
      <c r="S204" s="57" t="str">
        <f>IFERROR(INDEX(TableWRCalcPts[Custom],MATCH(TableWRRanks[[#This Row],[RK]],TableWRCalcPts[RK],0)),"")</f>
        <v/>
      </c>
      <c r="T204" s="125" t="e">
        <f>(((VLOOKUP(TableWRRanks[[#This Row],[Player]],'OVR &amp; VORP Ranks'!$P:$T,5,FALSE)))/('OVR &amp; VORP Ranks'!$BM$6))*(Settings!$E$10*TEAMS)</f>
        <v>#VALUE!</v>
      </c>
    </row>
    <row r="205" spans="15:20" x14ac:dyDescent="0.2">
      <c r="O205">
        <v>204</v>
      </c>
      <c r="P205" t="str">
        <f>IFERROR(INDEX(TableWRCalcPts[PLAYER],MATCH(TableWRRanks[[#This Row],[RK]],TableWRCalcPts[RK],0)),"")</f>
        <v/>
      </c>
      <c r="Q205" t="str">
        <f>IFERROR(INDEX(TableWRCalcPts[TM],MATCH(TableWRRanks[[#This Row],[RK]],TableWRCalcPts[RK],0)),"")</f>
        <v/>
      </c>
      <c r="R205" t="str">
        <f>IFERROR(INDEX(TableWRCalcPts[BYE],MATCH(TableWRRanks[[#This Row],[RK]],TableWRCalcPts[RK],0)),"")</f>
        <v/>
      </c>
      <c r="S205" s="57" t="str">
        <f>IFERROR(INDEX(TableWRCalcPts[Custom],MATCH(TableWRRanks[[#This Row],[RK]],TableWRCalcPts[RK],0)),"")</f>
        <v/>
      </c>
      <c r="T205" s="125" t="e">
        <f>(((VLOOKUP(TableWRRanks[[#This Row],[Player]],'OVR &amp; VORP Ranks'!$P:$T,5,FALSE)))/('OVR &amp; VORP Ranks'!$BM$6))*(Settings!$E$10*TEAMS)</f>
        <v>#VALUE!</v>
      </c>
    </row>
    <row r="206" spans="15:20" x14ac:dyDescent="0.2">
      <c r="O206">
        <v>205</v>
      </c>
      <c r="P206" t="str">
        <f>IFERROR(INDEX(TableWRCalcPts[PLAYER],MATCH(TableWRRanks[[#This Row],[RK]],TableWRCalcPts[RK],0)),"")</f>
        <v/>
      </c>
      <c r="Q206" t="str">
        <f>IFERROR(INDEX(TableWRCalcPts[TM],MATCH(TableWRRanks[[#This Row],[RK]],TableWRCalcPts[RK],0)),"")</f>
        <v/>
      </c>
      <c r="R206" t="str">
        <f>IFERROR(INDEX(TableWRCalcPts[BYE],MATCH(TableWRRanks[[#This Row],[RK]],TableWRCalcPts[RK],0)),"")</f>
        <v/>
      </c>
      <c r="S206" s="57" t="str">
        <f>IFERROR(INDEX(TableWRCalcPts[Custom],MATCH(TableWRRanks[[#This Row],[RK]],TableWRCalcPts[RK],0)),"")</f>
        <v/>
      </c>
      <c r="T206" s="125" t="e">
        <f>(((VLOOKUP(TableWRRanks[[#This Row],[Player]],'OVR &amp; VORP Ranks'!$P:$T,5,FALSE)))/('OVR &amp; VORP Ranks'!$BM$6))*(Settings!$E$10*TEAMS)</f>
        <v>#VALUE!</v>
      </c>
    </row>
    <row r="207" spans="15:20" x14ac:dyDescent="0.2">
      <c r="O207">
        <v>206</v>
      </c>
      <c r="P207" t="str">
        <f>IFERROR(INDEX(TableWRCalcPts[PLAYER],MATCH(TableWRRanks[[#This Row],[RK]],TableWRCalcPts[RK],0)),"")</f>
        <v/>
      </c>
      <c r="Q207" t="str">
        <f>IFERROR(INDEX(TableWRCalcPts[TM],MATCH(TableWRRanks[[#This Row],[RK]],TableWRCalcPts[RK],0)),"")</f>
        <v/>
      </c>
      <c r="R207" t="str">
        <f>IFERROR(INDEX(TableWRCalcPts[BYE],MATCH(TableWRRanks[[#This Row],[RK]],TableWRCalcPts[RK],0)),"")</f>
        <v/>
      </c>
      <c r="S207" s="57" t="str">
        <f>IFERROR(INDEX(TableWRCalcPts[Custom],MATCH(TableWRRanks[[#This Row],[RK]],TableWRCalcPts[RK],0)),"")</f>
        <v/>
      </c>
      <c r="T207" s="125" t="e">
        <f>(((VLOOKUP(TableWRRanks[[#This Row],[Player]],'OVR &amp; VORP Ranks'!$P:$T,5,FALSE)))/('OVR &amp; VORP Ranks'!$BM$6))*(Settings!$E$10*TEAMS)</f>
        <v>#VALUE!</v>
      </c>
    </row>
    <row r="208" spans="15:20" x14ac:dyDescent="0.2">
      <c r="O208">
        <v>207</v>
      </c>
      <c r="P208" t="str">
        <f>IFERROR(INDEX(TableWRCalcPts[PLAYER],MATCH(TableWRRanks[[#This Row],[RK]],TableWRCalcPts[RK],0)),"")</f>
        <v/>
      </c>
      <c r="Q208" t="str">
        <f>IFERROR(INDEX(TableWRCalcPts[TM],MATCH(TableWRRanks[[#This Row],[RK]],TableWRCalcPts[RK],0)),"")</f>
        <v/>
      </c>
      <c r="R208" t="str">
        <f>IFERROR(INDEX(TableWRCalcPts[BYE],MATCH(TableWRRanks[[#This Row],[RK]],TableWRCalcPts[RK],0)),"")</f>
        <v/>
      </c>
      <c r="S208" s="57" t="str">
        <f>IFERROR(INDEX(TableWRCalcPts[Custom],MATCH(TableWRRanks[[#This Row],[RK]],TableWRCalcPts[RK],0)),"")</f>
        <v/>
      </c>
      <c r="T208" s="125" t="e">
        <f>(((VLOOKUP(TableWRRanks[[#This Row],[Player]],'OVR &amp; VORP Ranks'!$P:$T,5,FALSE)))/('OVR &amp; VORP Ranks'!$BM$6))*(Settings!$E$10*TEAMS)</f>
        <v>#VALUE!</v>
      </c>
    </row>
    <row r="209" spans="15:20" x14ac:dyDescent="0.2">
      <c r="O209">
        <v>208</v>
      </c>
      <c r="P209" t="str">
        <f>IFERROR(INDEX(TableWRCalcPts[PLAYER],MATCH(TableWRRanks[[#This Row],[RK]],TableWRCalcPts[RK],0)),"")</f>
        <v/>
      </c>
      <c r="Q209" t="str">
        <f>IFERROR(INDEX(TableWRCalcPts[TM],MATCH(TableWRRanks[[#This Row],[RK]],TableWRCalcPts[RK],0)),"")</f>
        <v/>
      </c>
      <c r="R209" t="str">
        <f>IFERROR(INDEX(TableWRCalcPts[BYE],MATCH(TableWRRanks[[#This Row],[RK]],TableWRCalcPts[RK],0)),"")</f>
        <v/>
      </c>
      <c r="S209" s="57" t="str">
        <f>IFERROR(INDEX(TableWRCalcPts[Custom],MATCH(TableWRRanks[[#This Row],[RK]],TableWRCalcPts[RK],0)),"")</f>
        <v/>
      </c>
      <c r="T209" s="125" t="e">
        <f>(((VLOOKUP(TableWRRanks[[#This Row],[Player]],'OVR &amp; VORP Ranks'!$P:$T,5,FALSE)))/('OVR &amp; VORP Ranks'!$BM$6))*(Settings!$E$10*TEAMS)</f>
        <v>#VALUE!</v>
      </c>
    </row>
    <row r="210" spans="15:20" x14ac:dyDescent="0.2">
      <c r="O210">
        <v>209</v>
      </c>
      <c r="P210" t="str">
        <f>IFERROR(INDEX(TableWRCalcPts[PLAYER],MATCH(TableWRRanks[[#This Row],[RK]],TableWRCalcPts[RK],0)),"")</f>
        <v/>
      </c>
      <c r="Q210" t="str">
        <f>IFERROR(INDEX(TableWRCalcPts[TM],MATCH(TableWRRanks[[#This Row],[RK]],TableWRCalcPts[RK],0)),"")</f>
        <v/>
      </c>
      <c r="R210" t="str">
        <f>IFERROR(INDEX(TableWRCalcPts[BYE],MATCH(TableWRRanks[[#This Row],[RK]],TableWRCalcPts[RK],0)),"")</f>
        <v/>
      </c>
      <c r="S210" s="57" t="str">
        <f>IFERROR(INDEX(TableWRCalcPts[Custom],MATCH(TableWRRanks[[#This Row],[RK]],TableWRCalcPts[RK],0)),"")</f>
        <v/>
      </c>
      <c r="T210" s="125" t="e">
        <f>(((VLOOKUP(TableWRRanks[[#This Row],[Player]],'OVR &amp; VORP Ranks'!$P:$T,5,FALSE)))/('OVR &amp; VORP Ranks'!$BM$6))*(Settings!$E$10*TEAMS)</f>
        <v>#VALUE!</v>
      </c>
    </row>
    <row r="211" spans="15:20" x14ac:dyDescent="0.2">
      <c r="O211">
        <v>210</v>
      </c>
      <c r="P211" t="str">
        <f>IFERROR(INDEX(TableWRCalcPts[PLAYER],MATCH(TableWRRanks[[#This Row],[RK]],TableWRCalcPts[RK],0)),"")</f>
        <v/>
      </c>
      <c r="Q211" t="str">
        <f>IFERROR(INDEX(TableWRCalcPts[TM],MATCH(TableWRRanks[[#This Row],[RK]],TableWRCalcPts[RK],0)),"")</f>
        <v/>
      </c>
      <c r="R211" t="str">
        <f>IFERROR(INDEX(TableWRCalcPts[BYE],MATCH(TableWRRanks[[#This Row],[RK]],TableWRCalcPts[RK],0)),"")</f>
        <v/>
      </c>
      <c r="S211" s="57" t="str">
        <f>IFERROR(INDEX(TableWRCalcPts[Custom],MATCH(TableWRRanks[[#This Row],[RK]],TableWRCalcPts[RK],0)),"")</f>
        <v/>
      </c>
      <c r="T211" s="125" t="e">
        <f>(((VLOOKUP(TableWRRanks[[#This Row],[Player]],'OVR &amp; VORP Ranks'!$P:$T,5,FALSE)))/('OVR &amp; VORP Ranks'!$BM$6))*(Settings!$E$10*TEAMS)</f>
        <v>#VALUE!</v>
      </c>
    </row>
    <row r="212" spans="15:20" x14ac:dyDescent="0.2">
      <c r="O212">
        <v>211</v>
      </c>
      <c r="P212" t="str">
        <f>IFERROR(INDEX(TableWRCalcPts[PLAYER],MATCH(TableWRRanks[[#This Row],[RK]],TableWRCalcPts[RK],0)),"")</f>
        <v/>
      </c>
      <c r="Q212" t="str">
        <f>IFERROR(INDEX(TableWRCalcPts[TM],MATCH(TableWRRanks[[#This Row],[RK]],TableWRCalcPts[RK],0)),"")</f>
        <v/>
      </c>
      <c r="R212" t="str">
        <f>IFERROR(INDEX(TableWRCalcPts[BYE],MATCH(TableWRRanks[[#This Row],[RK]],TableWRCalcPts[RK],0)),"")</f>
        <v/>
      </c>
      <c r="S212" s="57" t="str">
        <f>IFERROR(INDEX(TableWRCalcPts[Custom],MATCH(TableWRRanks[[#This Row],[RK]],TableWRCalcPts[RK],0)),"")</f>
        <v/>
      </c>
      <c r="T212" s="125" t="e">
        <f>(((VLOOKUP(TableWRRanks[[#This Row],[Player]],'OVR &amp; VORP Ranks'!$P:$T,5,FALSE)))/('OVR &amp; VORP Ranks'!$BM$6))*(Settings!$E$10*TEAMS)</f>
        <v>#VALUE!</v>
      </c>
    </row>
    <row r="213" spans="15:20" x14ac:dyDescent="0.2">
      <c r="O213">
        <v>212</v>
      </c>
      <c r="P213" t="str">
        <f>IFERROR(INDEX(TableWRCalcPts[PLAYER],MATCH(TableWRRanks[[#This Row],[RK]],TableWRCalcPts[RK],0)),"")</f>
        <v/>
      </c>
      <c r="Q213" t="str">
        <f>IFERROR(INDEX(TableWRCalcPts[TM],MATCH(TableWRRanks[[#This Row],[RK]],TableWRCalcPts[RK],0)),"")</f>
        <v/>
      </c>
      <c r="R213" t="str">
        <f>IFERROR(INDEX(TableWRCalcPts[BYE],MATCH(TableWRRanks[[#This Row],[RK]],TableWRCalcPts[RK],0)),"")</f>
        <v/>
      </c>
      <c r="S213" s="57" t="str">
        <f>IFERROR(INDEX(TableWRCalcPts[Custom],MATCH(TableWRRanks[[#This Row],[RK]],TableWRCalcPts[RK],0)),"")</f>
        <v/>
      </c>
      <c r="T213" s="125" t="e">
        <f>(((VLOOKUP(TableWRRanks[[#This Row],[Player]],'OVR &amp; VORP Ranks'!$P:$T,5,FALSE)))/('OVR &amp; VORP Ranks'!$BM$6))*(Settings!$E$10*TEAMS)</f>
        <v>#VALUE!</v>
      </c>
    </row>
    <row r="214" spans="15:20" x14ac:dyDescent="0.2">
      <c r="O214">
        <v>213</v>
      </c>
      <c r="P214" t="str">
        <f>IFERROR(INDEX(TableWRCalcPts[PLAYER],MATCH(TableWRRanks[[#This Row],[RK]],TableWRCalcPts[RK],0)),"")</f>
        <v/>
      </c>
      <c r="Q214" t="str">
        <f>IFERROR(INDEX(TableWRCalcPts[TM],MATCH(TableWRRanks[[#This Row],[RK]],TableWRCalcPts[RK],0)),"")</f>
        <v/>
      </c>
      <c r="R214" t="str">
        <f>IFERROR(INDEX(TableWRCalcPts[BYE],MATCH(TableWRRanks[[#This Row],[RK]],TableWRCalcPts[RK],0)),"")</f>
        <v/>
      </c>
      <c r="S214" s="57" t="str">
        <f>IFERROR(INDEX(TableWRCalcPts[Custom],MATCH(TableWRRanks[[#This Row],[RK]],TableWRCalcPts[RK],0)),"")</f>
        <v/>
      </c>
      <c r="T214" s="125" t="e">
        <f>(((VLOOKUP(TableWRRanks[[#This Row],[Player]],'OVR &amp; VORP Ranks'!$P:$T,5,FALSE)))/('OVR &amp; VORP Ranks'!$BM$6))*(Settings!$E$10*TEAMS)</f>
        <v>#VALUE!</v>
      </c>
    </row>
    <row r="215" spans="15:20" x14ac:dyDescent="0.2">
      <c r="O215">
        <v>214</v>
      </c>
      <c r="P215" t="str">
        <f>IFERROR(INDEX(TableWRCalcPts[PLAYER],MATCH(TableWRRanks[[#This Row],[RK]],TableWRCalcPts[RK],0)),"")</f>
        <v/>
      </c>
      <c r="Q215" t="str">
        <f>IFERROR(INDEX(TableWRCalcPts[TM],MATCH(TableWRRanks[[#This Row],[RK]],TableWRCalcPts[RK],0)),"")</f>
        <v/>
      </c>
      <c r="R215" t="str">
        <f>IFERROR(INDEX(TableWRCalcPts[BYE],MATCH(TableWRRanks[[#This Row],[RK]],TableWRCalcPts[RK],0)),"")</f>
        <v/>
      </c>
      <c r="S215" s="57" t="str">
        <f>IFERROR(INDEX(TableWRCalcPts[Custom],MATCH(TableWRRanks[[#This Row],[RK]],TableWRCalcPts[RK],0)),"")</f>
        <v/>
      </c>
      <c r="T215" s="125" t="e">
        <f>(((VLOOKUP(TableWRRanks[[#This Row],[Player]],'OVR &amp; VORP Ranks'!$P:$T,5,FALSE)))/('OVR &amp; VORP Ranks'!$BM$6))*(Settings!$E$10*TEAMS)</f>
        <v>#VALUE!</v>
      </c>
    </row>
    <row r="216" spans="15:20" x14ac:dyDescent="0.2">
      <c r="O216">
        <v>215</v>
      </c>
      <c r="P216" t="str">
        <f>IFERROR(INDEX(TableWRCalcPts[PLAYER],MATCH(TableWRRanks[[#This Row],[RK]],TableWRCalcPts[RK],0)),"")</f>
        <v/>
      </c>
      <c r="Q216" t="str">
        <f>IFERROR(INDEX(TableWRCalcPts[TM],MATCH(TableWRRanks[[#This Row],[RK]],TableWRCalcPts[RK],0)),"")</f>
        <v/>
      </c>
      <c r="R216" t="str">
        <f>IFERROR(INDEX(TableWRCalcPts[BYE],MATCH(TableWRRanks[[#This Row],[RK]],TableWRCalcPts[RK],0)),"")</f>
        <v/>
      </c>
      <c r="S216" s="57" t="str">
        <f>IFERROR(INDEX(TableWRCalcPts[Custom],MATCH(TableWRRanks[[#This Row],[RK]],TableWRCalcPts[RK],0)),"")</f>
        <v/>
      </c>
      <c r="T216" s="125" t="e">
        <f>(((VLOOKUP(TableWRRanks[[#This Row],[Player]],'OVR &amp; VORP Ranks'!$P:$T,5,FALSE)))/('OVR &amp; VORP Ranks'!$BM$6))*(Settings!$E$10*TEAMS)</f>
        <v>#VALUE!</v>
      </c>
    </row>
    <row r="217" spans="15:20" x14ac:dyDescent="0.2">
      <c r="O217">
        <v>216</v>
      </c>
      <c r="P217" t="str">
        <f>IFERROR(INDEX(TableWRCalcPts[PLAYER],MATCH(TableWRRanks[[#This Row],[RK]],TableWRCalcPts[RK],0)),"")</f>
        <v/>
      </c>
      <c r="Q217" t="str">
        <f>IFERROR(INDEX(TableWRCalcPts[TM],MATCH(TableWRRanks[[#This Row],[RK]],TableWRCalcPts[RK],0)),"")</f>
        <v/>
      </c>
      <c r="R217" t="str">
        <f>IFERROR(INDEX(TableWRCalcPts[BYE],MATCH(TableWRRanks[[#This Row],[RK]],TableWRCalcPts[RK],0)),"")</f>
        <v/>
      </c>
      <c r="S217" s="57" t="str">
        <f>IFERROR(INDEX(TableWRCalcPts[Custom],MATCH(TableWRRanks[[#This Row],[RK]],TableWRCalcPts[RK],0)),"")</f>
        <v/>
      </c>
      <c r="T217" s="125" t="e">
        <f>(((VLOOKUP(TableWRRanks[[#This Row],[Player]],'OVR &amp; VORP Ranks'!$P:$T,5,FALSE)))/('OVR &amp; VORP Ranks'!$BM$6))*(Settings!$E$10*TEAMS)</f>
        <v>#VALUE!</v>
      </c>
    </row>
    <row r="218" spans="15:20" x14ac:dyDescent="0.2">
      <c r="O218">
        <v>217</v>
      </c>
      <c r="P218" t="str">
        <f>IFERROR(INDEX(TableWRCalcPts[PLAYER],MATCH(TableWRRanks[[#This Row],[RK]],TableWRCalcPts[RK],0)),"")</f>
        <v/>
      </c>
      <c r="Q218" t="str">
        <f>IFERROR(INDEX(TableWRCalcPts[TM],MATCH(TableWRRanks[[#This Row],[RK]],TableWRCalcPts[RK],0)),"")</f>
        <v/>
      </c>
      <c r="R218" t="str">
        <f>IFERROR(INDEX(TableWRCalcPts[BYE],MATCH(TableWRRanks[[#This Row],[RK]],TableWRCalcPts[RK],0)),"")</f>
        <v/>
      </c>
      <c r="S218" s="57" t="str">
        <f>IFERROR(INDEX(TableWRCalcPts[Custom],MATCH(TableWRRanks[[#This Row],[RK]],TableWRCalcPts[RK],0)),"")</f>
        <v/>
      </c>
      <c r="T218" s="125" t="e">
        <f>(((VLOOKUP(TableWRRanks[[#This Row],[Player]],'OVR &amp; VORP Ranks'!$P:$T,5,FALSE)))/('OVR &amp; VORP Ranks'!$BM$6))*(Settings!$E$10*TEAMS)</f>
        <v>#VALUE!</v>
      </c>
    </row>
    <row r="219" spans="15:20" x14ac:dyDescent="0.2">
      <c r="O219">
        <v>218</v>
      </c>
      <c r="P219" t="str">
        <f>IFERROR(INDEX(TableWRCalcPts[PLAYER],MATCH(TableWRRanks[[#This Row],[RK]],TableWRCalcPts[RK],0)),"")</f>
        <v/>
      </c>
      <c r="Q219" t="str">
        <f>IFERROR(INDEX(TableWRCalcPts[TM],MATCH(TableWRRanks[[#This Row],[RK]],TableWRCalcPts[RK],0)),"")</f>
        <v/>
      </c>
      <c r="R219" t="str">
        <f>IFERROR(INDEX(TableWRCalcPts[BYE],MATCH(TableWRRanks[[#This Row],[RK]],TableWRCalcPts[RK],0)),"")</f>
        <v/>
      </c>
      <c r="S219" s="57" t="str">
        <f>IFERROR(INDEX(TableWRCalcPts[Custom],MATCH(TableWRRanks[[#This Row],[RK]],TableWRCalcPts[RK],0)),"")</f>
        <v/>
      </c>
      <c r="T219" s="125" t="e">
        <f>(((VLOOKUP(TableWRRanks[[#This Row],[Player]],'OVR &amp; VORP Ranks'!$P:$T,5,FALSE)))/('OVR &amp; VORP Ranks'!$BM$6))*(Settings!$E$10*TEAMS)</f>
        <v>#VALUE!</v>
      </c>
    </row>
    <row r="220" spans="15:20" x14ac:dyDescent="0.2">
      <c r="O220">
        <v>219</v>
      </c>
      <c r="P220" t="str">
        <f>IFERROR(INDEX(TableWRCalcPts[PLAYER],MATCH(TableWRRanks[[#This Row],[RK]],TableWRCalcPts[RK],0)),"")</f>
        <v/>
      </c>
      <c r="Q220" t="str">
        <f>IFERROR(INDEX(TableWRCalcPts[TM],MATCH(TableWRRanks[[#This Row],[RK]],TableWRCalcPts[RK],0)),"")</f>
        <v/>
      </c>
      <c r="R220" t="str">
        <f>IFERROR(INDEX(TableWRCalcPts[BYE],MATCH(TableWRRanks[[#This Row],[RK]],TableWRCalcPts[RK],0)),"")</f>
        <v/>
      </c>
      <c r="S220" s="57" t="str">
        <f>IFERROR(INDEX(TableWRCalcPts[Custom],MATCH(TableWRRanks[[#This Row],[RK]],TableWRCalcPts[RK],0)),"")</f>
        <v/>
      </c>
      <c r="T220" s="125" t="e">
        <f>(((VLOOKUP(TableWRRanks[[#This Row],[Player]],'OVR &amp; VORP Ranks'!$P:$T,5,FALSE)))/('OVR &amp; VORP Ranks'!$BM$6))*(Settings!$E$10*TEAMS)</f>
        <v>#VALUE!</v>
      </c>
    </row>
    <row r="221" spans="15:20" x14ac:dyDescent="0.2">
      <c r="O221">
        <v>220</v>
      </c>
      <c r="P221" t="str">
        <f>IFERROR(INDEX(TableWRCalcPts[PLAYER],MATCH(TableWRRanks[[#This Row],[RK]],TableWRCalcPts[RK],0)),"")</f>
        <v/>
      </c>
      <c r="Q221" t="str">
        <f>IFERROR(INDEX(TableWRCalcPts[TM],MATCH(TableWRRanks[[#This Row],[RK]],TableWRCalcPts[RK],0)),"")</f>
        <v/>
      </c>
      <c r="R221" t="str">
        <f>IFERROR(INDEX(TableWRCalcPts[BYE],MATCH(TableWRRanks[[#This Row],[RK]],TableWRCalcPts[RK],0)),"")</f>
        <v/>
      </c>
      <c r="S221" s="57" t="str">
        <f>IFERROR(INDEX(TableWRCalcPts[Custom],MATCH(TableWRRanks[[#This Row],[RK]],TableWRCalcPts[RK],0)),"")</f>
        <v/>
      </c>
      <c r="T221" s="125" t="e">
        <f>(((VLOOKUP(TableWRRanks[[#This Row],[Player]],'OVR &amp; VORP Ranks'!$P:$T,5,FALSE)))/('OVR &amp; VORP Ranks'!$BM$6))*(Settings!$E$10*TEAMS)</f>
        <v>#VALUE!</v>
      </c>
    </row>
  </sheetData>
  <sheetProtection sheet="1" objects="1" scenarios="1" sort="0" autoFilter="0"/>
  <protectedRanges>
    <protectedRange sqref="A1:AG239" name="QBRanks"/>
  </protectedRanges>
  <phoneticPr fontId="19" type="noConversion"/>
  <pageMargins left="0.7" right="0.7" top="0.75" bottom="0.75" header="0.3" footer="0.3"/>
  <pageSetup orientation="portrait" horizontalDpi="90" verticalDpi="90" r:id="rId1"/>
  <ignoredErrors>
    <ignoredError sqref="A2:A68 H2:H150 V2:V97 AC2:AC33 H151:H171 V98:V101 O2:O221" calculatedColumn="1"/>
  </ignoredErrors>
  <tableParts count="5">
    <tablePart r:id="rId2"/>
    <tablePart r:id="rId3"/>
    <tablePart r:id="rId4"/>
    <tablePart r:id="rId5"/>
    <tablePart r:id="rId6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7">
    <tabColor rgb="FF0000FF"/>
  </sheetPr>
  <dimension ref="A1:AN64"/>
  <sheetViews>
    <sheetView showGridLines="0" zoomScale="85" zoomScaleNormal="85"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defaultColWidth="8.7109375" defaultRowHeight="12.75" x14ac:dyDescent="0.2"/>
  <cols>
    <col min="1" max="1" width="22.5703125" style="17" customWidth="1"/>
    <col min="2" max="3" width="8.7109375" style="18"/>
    <col min="4" max="13" width="8.7109375" style="23"/>
    <col min="14" max="15" width="8.7109375" style="18"/>
    <col min="16" max="16" width="4.7109375" style="18" customWidth="1"/>
    <col min="17" max="18" width="8.7109375" style="26"/>
    <col min="19" max="19" width="8.7109375" style="23"/>
    <col min="20" max="21" width="8.7109375" style="26"/>
    <col min="22" max="23" width="8.7109375" style="25"/>
    <col min="24" max="25" width="8.7109375" style="26"/>
    <col min="26" max="26" width="8.7109375" style="25"/>
    <col min="27" max="27" width="8.7109375" style="18"/>
    <col min="28" max="28" width="0" style="18" hidden="1" customWidth="1"/>
    <col min="29" max="29" width="8.7109375" style="26"/>
    <col min="30" max="30" width="4.7109375" style="17" customWidth="1"/>
    <col min="31" max="32" width="8.7109375" style="18"/>
    <col min="33" max="16384" width="8.7109375" style="17"/>
  </cols>
  <sheetData>
    <row r="1" spans="1:40" s="15" customFormat="1" ht="25.5" customHeight="1" x14ac:dyDescent="0.2">
      <c r="A1" s="15" t="s">
        <v>0</v>
      </c>
      <c r="B1" s="15" t="s">
        <v>8</v>
      </c>
      <c r="C1" s="15" t="s">
        <v>122</v>
      </c>
      <c r="D1" s="159" t="s">
        <v>210</v>
      </c>
      <c r="E1" s="159" t="s">
        <v>1</v>
      </c>
      <c r="F1" s="159" t="s">
        <v>213</v>
      </c>
      <c r="G1" s="159" t="s">
        <v>228</v>
      </c>
      <c r="H1" s="159" t="s">
        <v>2</v>
      </c>
      <c r="I1" s="159" t="s">
        <v>229</v>
      </c>
      <c r="J1" s="159" t="s">
        <v>217</v>
      </c>
      <c r="K1" s="159" t="s">
        <v>230</v>
      </c>
      <c r="L1" s="159" t="s">
        <v>219</v>
      </c>
      <c r="M1" s="159" t="s">
        <v>4</v>
      </c>
      <c r="N1" s="159" t="s">
        <v>223</v>
      </c>
      <c r="O1" s="159" t="s">
        <v>231</v>
      </c>
      <c r="Q1" s="160" t="s">
        <v>281</v>
      </c>
      <c r="R1" s="133" t="s">
        <v>232</v>
      </c>
      <c r="S1" s="134" t="s">
        <v>451</v>
      </c>
      <c r="T1" s="133" t="s">
        <v>205</v>
      </c>
      <c r="U1" s="133" t="s">
        <v>209</v>
      </c>
      <c r="V1" s="135" t="s">
        <v>280</v>
      </c>
      <c r="W1" s="161" t="s">
        <v>282</v>
      </c>
      <c r="X1" s="133" t="s">
        <v>233</v>
      </c>
      <c r="Y1" s="179" t="s">
        <v>234</v>
      </c>
      <c r="Z1" s="135" t="s">
        <v>235</v>
      </c>
      <c r="AA1" s="160" t="s">
        <v>236</v>
      </c>
      <c r="AB1" s="160" t="s">
        <v>237</v>
      </c>
      <c r="AC1" s="10" t="s">
        <v>262</v>
      </c>
      <c r="AE1" s="136" t="s">
        <v>283</v>
      </c>
      <c r="AF1" s="137" t="s">
        <v>284</v>
      </c>
      <c r="AG1" s="136" t="s">
        <v>285</v>
      </c>
      <c r="AH1" s="136" t="s">
        <v>450</v>
      </c>
      <c r="AN1" s="15" t="s">
        <v>109</v>
      </c>
    </row>
    <row r="2" spans="1:40" x14ac:dyDescent="0.2">
      <c r="A2" s="17" t="s">
        <v>77</v>
      </c>
      <c r="B2" s="18" t="s">
        <v>9</v>
      </c>
      <c r="C2" s="18">
        <f>VLOOKUP($AN$1,DST!C:D,2,FALSE)</f>
        <v>11</v>
      </c>
      <c r="D2" s="146">
        <f>D$32*Q2</f>
        <v>450.37799999999993</v>
      </c>
      <c r="E2" s="146">
        <f>D2*R2</f>
        <v>295.49875556346564</v>
      </c>
      <c r="F2" s="146">
        <f>E2*S2</f>
        <v>3022.9522694142538</v>
      </c>
      <c r="G2" s="146">
        <f>D2*T2</f>
        <v>15.248493414589323</v>
      </c>
      <c r="H2" s="146">
        <f>E2*U2</f>
        <v>5.8884208901017745</v>
      </c>
      <c r="I2" s="146">
        <f>D$35*W2</f>
        <v>65.781912000000005</v>
      </c>
      <c r="J2" s="146">
        <f>I2*V2</f>
        <v>334.76764807714903</v>
      </c>
      <c r="K2" s="146">
        <f>I2*X2</f>
        <v>3.2233136880000002</v>
      </c>
      <c r="L2" s="147"/>
      <c r="M2" s="147"/>
      <c r="N2" s="147"/>
      <c r="O2" s="147"/>
      <c r="Q2" s="150">
        <f>(AE2/SUM(AE$2:AE$25))</f>
        <v>0.75</v>
      </c>
      <c r="R2" s="19">
        <v>0.65611276652826223</v>
      </c>
      <c r="S2" s="107">
        <v>10.23</v>
      </c>
      <c r="T2" s="19">
        <v>3.3857100956506146E-2</v>
      </c>
      <c r="U2" s="19">
        <v>1.9927058166027002E-2</v>
      </c>
      <c r="V2" s="107">
        <v>5.089053174330795</v>
      </c>
      <c r="W2" s="150">
        <f>(AF2/SUM(AF$2:AF$20))*0.98</f>
        <v>0.14699999999999999</v>
      </c>
      <c r="X2" s="19">
        <v>4.9000000000000002E-2</v>
      </c>
      <c r="Y2" s="21"/>
      <c r="Z2" s="22"/>
      <c r="AA2" s="1"/>
      <c r="AB2" s="1"/>
      <c r="AC2" s="1"/>
      <c r="AE2" s="19">
        <v>0.75</v>
      </c>
      <c r="AF2" s="19">
        <v>0.15</v>
      </c>
      <c r="AG2" s="168"/>
      <c r="AH2" s="168"/>
    </row>
    <row r="3" spans="1:40" x14ac:dyDescent="0.2">
      <c r="A3" s="17" t="s">
        <v>145</v>
      </c>
      <c r="B3" s="18" t="s">
        <v>9</v>
      </c>
      <c r="C3" s="18">
        <f>VLOOKUP($AN$1,DST!C:D,2,FALSE)</f>
        <v>11</v>
      </c>
      <c r="D3" s="146">
        <f>D$32*Q3</f>
        <v>150.12599999999998</v>
      </c>
      <c r="E3" s="146">
        <f t="shared" ref="E3:F4" si="0">D3*R3</f>
        <v>92.927993999999984</v>
      </c>
      <c r="F3" s="146">
        <f t="shared" si="0"/>
        <v>1032.7073406171248</v>
      </c>
      <c r="G3" s="146">
        <f t="shared" ref="G3:G4" si="1">D3*T3</f>
        <v>5.6997721937945549</v>
      </c>
      <c r="H3" s="146">
        <f t="shared" ref="H3:H4" si="2">E3*U3</f>
        <v>1.5225259845351338</v>
      </c>
      <c r="I3" s="146">
        <f>D$35*W3</f>
        <v>8.7709216000000012</v>
      </c>
      <c r="J3" s="146">
        <f>I3*V3</f>
        <v>32.349426792818555</v>
      </c>
      <c r="K3" s="146">
        <f>I3*X3</f>
        <v>0.30698225600000006</v>
      </c>
      <c r="L3" s="147"/>
      <c r="M3" s="147"/>
      <c r="N3" s="147"/>
      <c r="O3" s="147"/>
      <c r="Q3" s="150">
        <f>(AE3/SUM(AE$2:AE$25))</f>
        <v>0.25</v>
      </c>
      <c r="R3" s="19">
        <v>0.61899999999999999</v>
      </c>
      <c r="S3" s="107">
        <v>11.112984324369737</v>
      </c>
      <c r="T3" s="19">
        <v>3.7966589356903904E-2</v>
      </c>
      <c r="U3" s="19">
        <v>1.6383932537434674E-2</v>
      </c>
      <c r="V3" s="107">
        <v>3.6882585739699865</v>
      </c>
      <c r="W3" s="150">
        <f>(AF3/SUM(AF$2:AF$20))*0.98</f>
        <v>1.9599999999999999E-2</v>
      </c>
      <c r="X3" s="19">
        <v>3.5000000000000003E-2</v>
      </c>
      <c r="Y3" s="21"/>
      <c r="Z3" s="22"/>
      <c r="AA3" s="1"/>
      <c r="AB3" s="1"/>
      <c r="AC3" s="1"/>
      <c r="AE3" s="19">
        <v>0.25</v>
      </c>
      <c r="AF3" s="19">
        <v>0.02</v>
      </c>
      <c r="AG3" s="168"/>
      <c r="AH3" s="168"/>
    </row>
    <row r="4" spans="1:40" x14ac:dyDescent="0.2">
      <c r="B4" s="18" t="s">
        <v>9</v>
      </c>
      <c r="C4" s="18">
        <f>VLOOKUP($AN$1,DST!C:D,2,FALSE)</f>
        <v>11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>
        <v>0</v>
      </c>
      <c r="AF4" s="19">
        <v>0</v>
      </c>
      <c r="AG4" s="168"/>
      <c r="AH4" s="168"/>
    </row>
    <row r="5" spans="1:40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189"/>
      <c r="R5" s="190"/>
      <c r="T5" s="190"/>
      <c r="U5" s="190"/>
      <c r="W5" s="152"/>
      <c r="X5" s="190"/>
      <c r="Y5" s="190"/>
      <c r="AA5" s="6"/>
      <c r="AB5" s="6"/>
      <c r="AC5" s="189"/>
      <c r="AE5" s="124"/>
      <c r="AF5" s="169"/>
      <c r="AG5" s="124"/>
      <c r="AH5" s="124"/>
    </row>
    <row r="6" spans="1:40" x14ac:dyDescent="0.2">
      <c r="A6" s="17" t="s">
        <v>25</v>
      </c>
      <c r="B6" s="18" t="s">
        <v>207</v>
      </c>
      <c r="C6" s="18">
        <f>VLOOKUP($AN$1,DST!C:D,2,FALSE)</f>
        <v>11</v>
      </c>
      <c r="D6" s="147"/>
      <c r="E6" s="147"/>
      <c r="F6" s="147"/>
      <c r="G6" s="147"/>
      <c r="H6" s="147"/>
      <c r="I6" s="146">
        <f t="shared" ref="I6:I11" si="3">D$35*W6</f>
        <v>235.49924496000006</v>
      </c>
      <c r="J6" s="146">
        <f t="shared" ref="J6:J11" si="4">I6*V6</f>
        <v>992.98233536136365</v>
      </c>
      <c r="K6" s="146">
        <f t="shared" ref="K6:K11" si="5">I6*X6</f>
        <v>6.5939788588800017</v>
      </c>
      <c r="L6" s="146">
        <f t="shared" ref="L6:L11" si="6">((D$2+D$3+D$4)*AA6)</f>
        <v>44.725537919999987</v>
      </c>
      <c r="M6" s="146">
        <f t="shared" ref="M6:N11" si="7">L6*Y6</f>
        <v>32.739093757439989</v>
      </c>
      <c r="N6" s="146">
        <f t="shared" si="7"/>
        <v>215.11835732454028</v>
      </c>
      <c r="O6" s="146">
        <f t="shared" ref="O6:O11" si="8">M6*AH6</f>
        <v>0.83764048718697603</v>
      </c>
      <c r="Q6" s="13"/>
      <c r="R6" s="139"/>
      <c r="S6" s="138"/>
      <c r="T6" s="139"/>
      <c r="U6" s="139"/>
      <c r="V6" s="107">
        <v>4.2164990190521561</v>
      </c>
      <c r="W6" s="150">
        <f t="shared" ref="W6:W11" si="9">(AF6/SUM(AF$2:AF$20))*0.98</f>
        <v>0.52626000000000006</v>
      </c>
      <c r="X6" s="19">
        <v>2.8000000000000001E-2</v>
      </c>
      <c r="Y6" s="19">
        <v>0.73199999999999998</v>
      </c>
      <c r="Z6" s="20">
        <v>6.5706875980846124</v>
      </c>
      <c r="AA6" s="150">
        <f t="shared" ref="AA6:AA11" si="10">(AG6/SUM(AG$6:AG$25))*0.98</f>
        <v>7.4479999999999991E-2</v>
      </c>
      <c r="AB6" s="7">
        <v>0.12370711764278007</v>
      </c>
      <c r="AC6" s="150">
        <f t="shared" ref="AC6:AC11" si="11">(AH6/SUM(AH$6:AH$25))*0.98</f>
        <v>4.5807591669638471E-2</v>
      </c>
      <c r="AE6" s="168"/>
      <c r="AF6" s="19">
        <v>0.53700000000000003</v>
      </c>
      <c r="AG6" s="19">
        <v>7.5999999999999998E-2</v>
      </c>
      <c r="AH6" s="19">
        <v>2.5585329068451124E-2</v>
      </c>
    </row>
    <row r="7" spans="1:40" x14ac:dyDescent="0.2">
      <c r="A7" s="17" t="s">
        <v>509</v>
      </c>
      <c r="B7" s="18" t="s">
        <v>207</v>
      </c>
      <c r="C7" s="18">
        <f>VLOOKUP($AN$1,DST!C:D,2,FALSE)</f>
        <v>11</v>
      </c>
      <c r="D7" s="147"/>
      <c r="E7" s="147"/>
      <c r="F7" s="147"/>
      <c r="G7" s="147"/>
      <c r="H7" s="147"/>
      <c r="I7" s="146">
        <f t="shared" si="3"/>
        <v>64.027727679999998</v>
      </c>
      <c r="J7" s="146">
        <f t="shared" si="4"/>
        <v>267.63590170239996</v>
      </c>
      <c r="K7" s="146">
        <f t="shared" si="5"/>
        <v>2.1129150134399999</v>
      </c>
      <c r="L7" s="146">
        <f t="shared" si="6"/>
        <v>16.477829759999995</v>
      </c>
      <c r="M7" s="146">
        <f t="shared" si="7"/>
        <v>11.864037427199996</v>
      </c>
      <c r="N7" s="146">
        <f t="shared" si="7"/>
        <v>83.443313080964188</v>
      </c>
      <c r="O7" s="146">
        <f t="shared" si="8"/>
        <v>0.39362498111725314</v>
      </c>
      <c r="Q7" s="13"/>
      <c r="R7" s="139"/>
      <c r="S7" s="138"/>
      <c r="T7" s="139"/>
      <c r="U7" s="139"/>
      <c r="V7" s="107">
        <v>4.18</v>
      </c>
      <c r="W7" s="150">
        <f t="shared" si="9"/>
        <v>0.14307999999999998</v>
      </c>
      <c r="X7" s="19">
        <v>3.3000000000000002E-2</v>
      </c>
      <c r="Y7" s="19">
        <v>0.72</v>
      </c>
      <c r="Z7" s="20">
        <v>7.033298199958347</v>
      </c>
      <c r="AA7" s="150">
        <f t="shared" si="10"/>
        <v>2.7439999999999999E-2</v>
      </c>
      <c r="AB7" s="7">
        <v>3.1012128421327868E-2</v>
      </c>
      <c r="AC7" s="150">
        <f t="shared" si="11"/>
        <v>5.9401388549449652E-2</v>
      </c>
      <c r="AE7" s="168"/>
      <c r="AF7" s="19">
        <v>0.14599999999999999</v>
      </c>
      <c r="AG7" s="19">
        <v>2.8000000000000001E-2</v>
      </c>
      <c r="AH7" s="19">
        <v>3.3177995562860566E-2</v>
      </c>
    </row>
    <row r="8" spans="1:40" x14ac:dyDescent="0.2">
      <c r="A8" s="17" t="s">
        <v>621</v>
      </c>
      <c r="B8" s="18" t="s">
        <v>207</v>
      </c>
      <c r="C8" s="18">
        <f>VLOOKUP($AN$1,DST!C:D,2,FALSE)</f>
        <v>11</v>
      </c>
      <c r="D8" s="147"/>
      <c r="E8" s="147"/>
      <c r="F8" s="147"/>
      <c r="G8" s="147"/>
      <c r="H8" s="147"/>
      <c r="I8" s="146">
        <f t="shared" si="3"/>
        <v>55.695352160000006</v>
      </c>
      <c r="J8" s="146">
        <f t="shared" si="4"/>
        <v>237.8191537232</v>
      </c>
      <c r="K8" s="146">
        <f t="shared" si="5"/>
        <v>1.7265559169600002</v>
      </c>
      <c r="L8" s="146">
        <f t="shared" si="6"/>
        <v>28.247708159999995</v>
      </c>
      <c r="M8" s="146">
        <f t="shared" si="7"/>
        <v>21.383515077119995</v>
      </c>
      <c r="N8" s="146">
        <f t="shared" si="7"/>
        <v>156.92584693461001</v>
      </c>
      <c r="O8" s="146">
        <f t="shared" si="8"/>
        <v>0.95629493294192869</v>
      </c>
      <c r="Q8" s="13"/>
      <c r="R8" s="139"/>
      <c r="S8" s="138"/>
      <c r="T8" s="139"/>
      <c r="U8" s="139"/>
      <c r="V8" s="107">
        <v>4.2699999999999996</v>
      </c>
      <c r="W8" s="150">
        <f t="shared" si="9"/>
        <v>0.12446</v>
      </c>
      <c r="X8" s="19">
        <v>3.1E-2</v>
      </c>
      <c r="Y8" s="19">
        <v>0.7569999999999999</v>
      </c>
      <c r="Z8" s="20">
        <v>7.3386366258612945</v>
      </c>
      <c r="AA8" s="150">
        <f t="shared" si="10"/>
        <v>4.7039999999999998E-2</v>
      </c>
      <c r="AB8" s="7">
        <v>9.0461824454686045E-3</v>
      </c>
      <c r="AC8" s="150">
        <f t="shared" si="11"/>
        <v>8.0068042263482408E-2</v>
      </c>
      <c r="AE8" s="168"/>
      <c r="AF8" s="19">
        <v>0.127</v>
      </c>
      <c r="AG8" s="19">
        <v>4.8000000000000001E-2</v>
      </c>
      <c r="AH8" s="19">
        <v>4.4721128845890655E-2</v>
      </c>
    </row>
    <row r="9" spans="1:40" x14ac:dyDescent="0.2">
      <c r="B9" s="18" t="s">
        <v>207</v>
      </c>
      <c r="C9" s="18">
        <f>VLOOKUP($AN$1,DST!C:D,2,FALSE)</f>
        <v>11</v>
      </c>
      <c r="D9" s="147"/>
      <c r="E9" s="147"/>
      <c r="F9" s="147"/>
      <c r="G9" s="147"/>
      <c r="H9" s="147"/>
      <c r="I9" s="146">
        <f t="shared" si="3"/>
        <v>0</v>
      </c>
      <c r="J9" s="146">
        <f t="shared" si="4"/>
        <v>0</v>
      </c>
      <c r="K9" s="146">
        <f t="shared" si="5"/>
        <v>0</v>
      </c>
      <c r="L9" s="146">
        <f t="shared" si="6"/>
        <v>0</v>
      </c>
      <c r="M9" s="146">
        <f t="shared" si="7"/>
        <v>0</v>
      </c>
      <c r="N9" s="146">
        <f t="shared" si="7"/>
        <v>0</v>
      </c>
      <c r="O9" s="146">
        <f t="shared" si="8"/>
        <v>0</v>
      </c>
      <c r="Q9" s="13"/>
      <c r="R9" s="139"/>
      <c r="S9" s="138"/>
      <c r="T9" s="139"/>
      <c r="U9" s="139"/>
      <c r="V9" s="107">
        <v>0</v>
      </c>
      <c r="W9" s="150">
        <f t="shared" si="9"/>
        <v>0</v>
      </c>
      <c r="X9" s="19">
        <v>0</v>
      </c>
      <c r="Y9" s="19">
        <v>0</v>
      </c>
      <c r="Z9" s="20">
        <v>0</v>
      </c>
      <c r="AA9" s="150">
        <f t="shared" si="10"/>
        <v>0</v>
      </c>
      <c r="AB9" s="7">
        <v>6.4298407150253367E-3</v>
      </c>
      <c r="AC9" s="150">
        <f t="shared" si="11"/>
        <v>0</v>
      </c>
      <c r="AE9" s="168"/>
      <c r="AF9" s="19">
        <v>0</v>
      </c>
      <c r="AG9" s="19">
        <v>0</v>
      </c>
      <c r="AH9" s="19">
        <v>0</v>
      </c>
    </row>
    <row r="10" spans="1:40" x14ac:dyDescent="0.2">
      <c r="B10" s="18" t="s">
        <v>207</v>
      </c>
      <c r="C10" s="18">
        <f>VLOOKUP($AN$1,DST!C:D,2,FALSE)</f>
        <v>11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4"/>
        <v>0</v>
      </c>
      <c r="K10" s="146">
        <f t="shared" si="5"/>
        <v>0</v>
      </c>
      <c r="L10" s="146">
        <f t="shared" si="6"/>
        <v>0</v>
      </c>
      <c r="M10" s="146">
        <f t="shared" si="7"/>
        <v>0</v>
      </c>
      <c r="N10" s="146">
        <f t="shared" si="7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9"/>
        <v>0</v>
      </c>
      <c r="X10" s="19">
        <v>0</v>
      </c>
      <c r="Y10" s="19">
        <v>0</v>
      </c>
      <c r="Z10" s="20">
        <v>0</v>
      </c>
      <c r="AA10" s="150">
        <f t="shared" si="10"/>
        <v>0</v>
      </c>
      <c r="AB10" s="7">
        <v>4.3107327501132574E-3</v>
      </c>
      <c r="AC10" s="150">
        <f t="shared" si="11"/>
        <v>0</v>
      </c>
      <c r="AE10" s="168"/>
      <c r="AF10" s="19">
        <v>0</v>
      </c>
      <c r="AG10" s="19">
        <v>0</v>
      </c>
      <c r="AH10" s="19">
        <v>0</v>
      </c>
    </row>
    <row r="11" spans="1:40" x14ac:dyDescent="0.2">
      <c r="B11" s="18" t="s">
        <v>207</v>
      </c>
      <c r="C11" s="18">
        <f>VLOOKUP($AN$1,DST!C:D,2,FALSE)</f>
        <v>11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4"/>
        <v>0</v>
      </c>
      <c r="K11" s="146">
        <f t="shared" si="5"/>
        <v>0</v>
      </c>
      <c r="L11" s="146">
        <f t="shared" si="6"/>
        <v>0</v>
      </c>
      <c r="M11" s="146">
        <f t="shared" si="7"/>
        <v>0</v>
      </c>
      <c r="N11" s="146">
        <f t="shared" si="7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9"/>
        <v>0</v>
      </c>
      <c r="X11" s="19">
        <v>0</v>
      </c>
      <c r="Y11" s="19">
        <v>0</v>
      </c>
      <c r="Z11" s="20">
        <v>0</v>
      </c>
      <c r="AA11" s="150">
        <f t="shared" si="10"/>
        <v>0</v>
      </c>
      <c r="AB11" s="7">
        <v>4.9546447786346544E-3</v>
      </c>
      <c r="AC11" s="150">
        <f t="shared" si="11"/>
        <v>0</v>
      </c>
      <c r="AE11" s="168"/>
      <c r="AF11" s="19">
        <v>0</v>
      </c>
      <c r="AG11" s="19">
        <v>0</v>
      </c>
      <c r="AH11" s="19">
        <v>0</v>
      </c>
    </row>
    <row r="12" spans="1:40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40" x14ac:dyDescent="0.2">
      <c r="A13" s="176" t="s">
        <v>578</v>
      </c>
      <c r="B13" s="18" t="s">
        <v>208</v>
      </c>
      <c r="C13" s="18">
        <f>VLOOKUP($AN$1,DST!C:D,2,FALSE)</f>
        <v>11</v>
      </c>
      <c r="D13" s="147"/>
      <c r="E13" s="147"/>
      <c r="F13" s="147"/>
      <c r="G13" s="147"/>
      <c r="H13" s="147"/>
      <c r="I13" s="146">
        <f t="shared" ref="I13:I20" si="12">D$35*W13</f>
        <v>0</v>
      </c>
      <c r="J13" s="146">
        <f t="shared" ref="J13:J20" si="13">I13*V13</f>
        <v>0</v>
      </c>
      <c r="K13" s="146">
        <f t="shared" ref="K13:K20" si="14">I13*X13</f>
        <v>0</v>
      </c>
      <c r="L13" s="146">
        <f t="shared" ref="L13:L20" si="15">((D$2+D$3+D$4)*AA13)</f>
        <v>133.58811983999996</v>
      </c>
      <c r="M13" s="146">
        <f t="shared" ref="M13:N20" si="16">L13*Y13</f>
        <v>85.897161057119959</v>
      </c>
      <c r="N13" s="146">
        <f t="shared" si="16"/>
        <v>1100.3426331417068</v>
      </c>
      <c r="O13" s="146">
        <f t="shared" ref="O13:O20" si="17">M13*AH13</f>
        <v>5.8753658163070055</v>
      </c>
      <c r="Q13" s="13"/>
      <c r="R13" s="139"/>
      <c r="S13" s="138"/>
      <c r="T13" s="139"/>
      <c r="U13" s="139"/>
      <c r="V13" s="107">
        <v>5.88</v>
      </c>
      <c r="W13" s="150">
        <f t="shared" ref="W13:W20" si="18">(AF13/SUM(AF$2:AF$20))*0.98</f>
        <v>0</v>
      </c>
      <c r="X13" s="19">
        <v>0</v>
      </c>
      <c r="Y13" s="19">
        <v>0.6429999999999999</v>
      </c>
      <c r="Z13" s="20">
        <v>12.81</v>
      </c>
      <c r="AA13" s="150">
        <f t="shared" ref="AA13:AA20" si="19">(AG13/SUM(AG$6:AG$25))*0.98</f>
        <v>0.22245999999999999</v>
      </c>
      <c r="AB13" s="7">
        <v>0.14808457240330558</v>
      </c>
      <c r="AC13" s="150">
        <f t="shared" ref="AC13:AC20" si="20">(AH13/SUM(AH$6:AH$25))*0.98</f>
        <v>0.12246234010985697</v>
      </c>
      <c r="AE13" s="168"/>
      <c r="AF13" s="19">
        <v>0</v>
      </c>
      <c r="AG13" s="19">
        <v>0.22700000000000001</v>
      </c>
      <c r="AH13" s="19">
        <v>6.8400000000000002E-2</v>
      </c>
    </row>
    <row r="14" spans="1:40" x14ac:dyDescent="0.2">
      <c r="A14" s="176" t="s">
        <v>431</v>
      </c>
      <c r="B14" s="18" t="s">
        <v>208</v>
      </c>
      <c r="C14" s="18">
        <f>VLOOKUP($AN$1,DST!C:D,2,FALSE)</f>
        <v>11</v>
      </c>
      <c r="D14" s="147"/>
      <c r="E14" s="147"/>
      <c r="F14" s="147"/>
      <c r="G14" s="147"/>
      <c r="H14" s="147"/>
      <c r="I14" s="146">
        <f t="shared" si="12"/>
        <v>8.7709216000000012</v>
      </c>
      <c r="J14" s="146">
        <f t="shared" si="13"/>
        <v>52.713238816000008</v>
      </c>
      <c r="K14" s="146">
        <f t="shared" si="14"/>
        <v>8.3695114626934686E-2</v>
      </c>
      <c r="L14" s="146">
        <f t="shared" si="15"/>
        <v>98.278484639999988</v>
      </c>
      <c r="M14" s="146">
        <f t="shared" si="16"/>
        <v>68.303546824799994</v>
      </c>
      <c r="N14" s="146">
        <f t="shared" si="16"/>
        <v>661.39370114474991</v>
      </c>
      <c r="O14" s="146">
        <f t="shared" si="17"/>
        <v>3.2193948437875664</v>
      </c>
      <c r="Q14" s="13"/>
      <c r="R14" s="139"/>
      <c r="S14" s="138"/>
      <c r="T14" s="139"/>
      <c r="U14" s="139"/>
      <c r="V14" s="107">
        <v>6.01</v>
      </c>
      <c r="W14" s="150">
        <f t="shared" si="18"/>
        <v>1.9599999999999999E-2</v>
      </c>
      <c r="X14" s="19">
        <v>9.5423398411102738E-3</v>
      </c>
      <c r="Y14" s="19">
        <v>0.69500000000000006</v>
      </c>
      <c r="Z14" s="20">
        <v>9.6831530995196839</v>
      </c>
      <c r="AA14" s="150">
        <f t="shared" si="19"/>
        <v>0.16366</v>
      </c>
      <c r="AB14" s="7">
        <v>0.14808457240330558</v>
      </c>
      <c r="AC14" s="150">
        <f t="shared" si="20"/>
        <v>8.4387367756362394E-2</v>
      </c>
      <c r="AE14" s="168"/>
      <c r="AF14" s="19">
        <v>0.02</v>
      </c>
      <c r="AG14" s="19">
        <v>0.16700000000000001</v>
      </c>
      <c r="AH14" s="19">
        <v>4.7133640834865875E-2</v>
      </c>
    </row>
    <row r="15" spans="1:40" x14ac:dyDescent="0.2">
      <c r="A15" s="176" t="s">
        <v>75</v>
      </c>
      <c r="B15" s="18" t="s">
        <v>208</v>
      </c>
      <c r="C15" s="18">
        <f>VLOOKUP($AN$1,DST!C:D,2,FALSE)</f>
        <v>11</v>
      </c>
      <c r="D15" s="147"/>
      <c r="E15" s="147"/>
      <c r="F15" s="147"/>
      <c r="G15" s="147"/>
      <c r="H15" s="147"/>
      <c r="I15" s="146">
        <f t="shared" si="12"/>
        <v>0</v>
      </c>
      <c r="J15" s="146">
        <f t="shared" si="13"/>
        <v>0</v>
      </c>
      <c r="K15" s="146">
        <f t="shared" si="14"/>
        <v>0</v>
      </c>
      <c r="L15" s="146">
        <f t="shared" si="15"/>
        <v>76.504209599999996</v>
      </c>
      <c r="M15" s="146">
        <f t="shared" si="16"/>
        <v>45.749517340799997</v>
      </c>
      <c r="N15" s="146">
        <f t="shared" si="16"/>
        <v>590.16877369631993</v>
      </c>
      <c r="O15" s="146">
        <f t="shared" si="17"/>
        <v>2.973718627152</v>
      </c>
      <c r="Q15" s="13"/>
      <c r="R15" s="139"/>
      <c r="S15" s="138"/>
      <c r="T15" s="139"/>
      <c r="U15" s="139"/>
      <c r="V15" s="107">
        <v>5.0199999999999996</v>
      </c>
      <c r="W15" s="150">
        <f t="shared" si="18"/>
        <v>0</v>
      </c>
      <c r="X15" s="19">
        <v>0</v>
      </c>
      <c r="Y15" s="19">
        <v>0.59799999999999998</v>
      </c>
      <c r="Z15" s="20">
        <v>12.9</v>
      </c>
      <c r="AA15" s="150">
        <f t="shared" si="19"/>
        <v>0.12740000000000001</v>
      </c>
      <c r="AB15" s="7">
        <v>0.13774648800743444</v>
      </c>
      <c r="AC15" s="150">
        <f t="shared" si="20"/>
        <v>0.11637503080615062</v>
      </c>
      <c r="AE15" s="168"/>
      <c r="AF15" s="19">
        <v>0</v>
      </c>
      <c r="AG15" s="19">
        <v>0.13</v>
      </c>
      <c r="AH15" s="19">
        <v>6.5000000000000002E-2</v>
      </c>
    </row>
    <row r="16" spans="1:40" x14ac:dyDescent="0.2">
      <c r="A16" s="176" t="s">
        <v>510</v>
      </c>
      <c r="B16" s="18" t="s">
        <v>208</v>
      </c>
      <c r="C16" s="18">
        <f>VLOOKUP($AN$1,DST!C:D,2,FALSE)</f>
        <v>11</v>
      </c>
      <c r="D16" s="147"/>
      <c r="E16" s="147"/>
      <c r="F16" s="147"/>
      <c r="G16" s="147"/>
      <c r="H16" s="147"/>
      <c r="I16" s="146">
        <f t="shared" si="12"/>
        <v>0</v>
      </c>
      <c r="J16" s="146">
        <f t="shared" si="13"/>
        <v>0</v>
      </c>
      <c r="K16" s="146">
        <f t="shared" si="14"/>
        <v>0</v>
      </c>
      <c r="L16" s="146">
        <f t="shared" si="15"/>
        <v>67.08830687999999</v>
      </c>
      <c r="M16" s="146">
        <f t="shared" si="16"/>
        <v>37.636540159680003</v>
      </c>
      <c r="N16" s="146">
        <f t="shared" si="16"/>
        <v>477.23132922474241</v>
      </c>
      <c r="O16" s="146">
        <f t="shared" si="17"/>
        <v>2.0498016274716777</v>
      </c>
      <c r="Q16" s="13"/>
      <c r="R16" s="139"/>
      <c r="S16" s="138"/>
      <c r="T16" s="139"/>
      <c r="U16" s="139"/>
      <c r="V16" s="107">
        <v>5.0199999999999996</v>
      </c>
      <c r="W16" s="150">
        <f t="shared" si="18"/>
        <v>0</v>
      </c>
      <c r="X16" s="19">
        <v>0</v>
      </c>
      <c r="Y16" s="19">
        <v>0.56100000000000017</v>
      </c>
      <c r="Z16" s="20">
        <v>12.68</v>
      </c>
      <c r="AA16" s="150">
        <f t="shared" si="19"/>
        <v>0.11172</v>
      </c>
      <c r="AB16" s="7">
        <v>8.9841626569696784E-2</v>
      </c>
      <c r="AC16" s="150">
        <f t="shared" si="20"/>
        <v>9.7509873498728666E-2</v>
      </c>
      <c r="AE16" s="168"/>
      <c r="AF16" s="19">
        <v>0</v>
      </c>
      <c r="AG16" s="19">
        <v>0.114</v>
      </c>
      <c r="AH16" s="19">
        <v>5.4463072821651887E-2</v>
      </c>
    </row>
    <row r="17" spans="1:34" x14ac:dyDescent="0.2">
      <c r="A17" s="17" t="s">
        <v>461</v>
      </c>
      <c r="B17" s="18" t="s">
        <v>208</v>
      </c>
      <c r="C17" s="18">
        <f>VLOOKUP($AN$1,DST!C:D,2,FALSE)</f>
        <v>11</v>
      </c>
      <c r="D17" s="147"/>
      <c r="E17" s="147"/>
      <c r="F17" s="147"/>
      <c r="G17" s="147"/>
      <c r="H17" s="147"/>
      <c r="I17" s="146">
        <f t="shared" si="12"/>
        <v>0</v>
      </c>
      <c r="J17" s="146">
        <f t="shared" si="13"/>
        <v>0</v>
      </c>
      <c r="K17" s="146">
        <f t="shared" si="14"/>
        <v>0</v>
      </c>
      <c r="L17" s="146">
        <f t="shared" si="15"/>
        <v>10.592890559999997</v>
      </c>
      <c r="M17" s="146">
        <f t="shared" si="16"/>
        <v>6.3557343359999985</v>
      </c>
      <c r="N17" s="146">
        <f t="shared" si="16"/>
        <v>60.726695844674573</v>
      </c>
      <c r="O17" s="146">
        <f t="shared" si="17"/>
        <v>0.29637199624083127</v>
      </c>
      <c r="Q17" s="13"/>
      <c r="R17" s="139"/>
      <c r="S17" s="138"/>
      <c r="T17" s="139"/>
      <c r="U17" s="139"/>
      <c r="V17" s="107">
        <v>5.0199999999999996</v>
      </c>
      <c r="W17" s="150">
        <f t="shared" ref="W17:W19" si="21">(AF17/SUM(AF$2:AF$20))*0.98</f>
        <v>0</v>
      </c>
      <c r="X17" s="19">
        <v>0</v>
      </c>
      <c r="Y17" s="19">
        <v>0.6</v>
      </c>
      <c r="Z17" s="20">
        <v>9.5546309260769249</v>
      </c>
      <c r="AA17" s="150">
        <f t="shared" si="19"/>
        <v>1.7639999999999999E-2</v>
      </c>
      <c r="AB17" s="7">
        <v>9.8806467430178402E-2</v>
      </c>
      <c r="AC17" s="150">
        <f t="shared" si="20"/>
        <v>8.3486812838865998E-2</v>
      </c>
      <c r="AE17" s="168"/>
      <c r="AF17" s="19">
        <v>0</v>
      </c>
      <c r="AG17" s="19">
        <v>1.7999999999999999E-2</v>
      </c>
      <c r="AH17" s="19">
        <v>4.6630645740198436E-2</v>
      </c>
    </row>
    <row r="18" spans="1:34" x14ac:dyDescent="0.2">
      <c r="B18" s="18" t="s">
        <v>208</v>
      </c>
      <c r="C18" s="18">
        <f>VLOOKUP($AN$1,DST!C:D,2,FALSE)</f>
        <v>11</v>
      </c>
      <c r="D18" s="147"/>
      <c r="E18" s="147"/>
      <c r="F18" s="147"/>
      <c r="G18" s="147"/>
      <c r="H18" s="147"/>
      <c r="I18" s="146">
        <f t="shared" si="12"/>
        <v>0</v>
      </c>
      <c r="J18" s="146">
        <f t="shared" si="13"/>
        <v>0</v>
      </c>
      <c r="K18" s="146">
        <f t="shared" si="14"/>
        <v>0</v>
      </c>
      <c r="L18" s="146">
        <f t="shared" si="15"/>
        <v>0</v>
      </c>
      <c r="M18" s="146">
        <f t="shared" si="16"/>
        <v>0</v>
      </c>
      <c r="N18" s="146">
        <f t="shared" si="16"/>
        <v>0</v>
      </c>
      <c r="O18" s="146">
        <f t="shared" si="17"/>
        <v>0</v>
      </c>
      <c r="Q18" s="13"/>
      <c r="R18" s="139"/>
      <c r="S18" s="138"/>
      <c r="T18" s="139"/>
      <c r="U18" s="139"/>
      <c r="V18" s="107">
        <v>0</v>
      </c>
      <c r="W18" s="150">
        <f t="shared" si="21"/>
        <v>0</v>
      </c>
      <c r="X18" s="19">
        <v>0</v>
      </c>
      <c r="Y18" s="19">
        <v>0</v>
      </c>
      <c r="Z18" s="20">
        <v>0</v>
      </c>
      <c r="AA18" s="150">
        <f t="shared" si="19"/>
        <v>0</v>
      </c>
      <c r="AB18" s="7">
        <v>4.5445355113694866E-2</v>
      </c>
      <c r="AC18" s="150">
        <f t="shared" si="20"/>
        <v>0</v>
      </c>
      <c r="AE18" s="168"/>
      <c r="AF18" s="19">
        <v>0</v>
      </c>
      <c r="AG18" s="19">
        <v>0</v>
      </c>
      <c r="AH18" s="19">
        <v>0</v>
      </c>
    </row>
    <row r="19" spans="1:34" x14ac:dyDescent="0.2">
      <c r="B19" s="18" t="s">
        <v>208</v>
      </c>
      <c r="C19" s="18">
        <f>VLOOKUP($AN$1,DST!C:D,2,FALSE)</f>
        <v>11</v>
      </c>
      <c r="D19" s="147"/>
      <c r="E19" s="147"/>
      <c r="F19" s="147"/>
      <c r="G19" s="147"/>
      <c r="H19" s="147"/>
      <c r="I19" s="146">
        <f t="shared" si="12"/>
        <v>0</v>
      </c>
      <c r="J19" s="146">
        <f t="shared" si="13"/>
        <v>0</v>
      </c>
      <c r="K19" s="146">
        <f t="shared" si="14"/>
        <v>0</v>
      </c>
      <c r="L19" s="146">
        <f t="shared" si="15"/>
        <v>0</v>
      </c>
      <c r="M19" s="146">
        <f t="shared" si="16"/>
        <v>0</v>
      </c>
      <c r="N19" s="146">
        <f t="shared" si="16"/>
        <v>0</v>
      </c>
      <c r="O19" s="146">
        <f t="shared" si="17"/>
        <v>0</v>
      </c>
      <c r="Q19" s="13"/>
      <c r="R19" s="139"/>
      <c r="S19" s="138"/>
      <c r="T19" s="139"/>
      <c r="U19" s="139"/>
      <c r="V19" s="107">
        <v>0</v>
      </c>
      <c r="W19" s="150">
        <f t="shared" si="21"/>
        <v>0</v>
      </c>
      <c r="X19" s="19">
        <v>0</v>
      </c>
      <c r="Y19" s="19">
        <v>0</v>
      </c>
      <c r="Z19" s="20">
        <v>0</v>
      </c>
      <c r="AA19" s="150">
        <f t="shared" si="19"/>
        <v>0</v>
      </c>
      <c r="AB19" s="7">
        <v>3.8045584119883277E-2</v>
      </c>
      <c r="AC19" s="150">
        <f t="shared" si="20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208</v>
      </c>
      <c r="C20" s="18">
        <f>VLOOKUP($AN$1,DST!C:D,2,FALSE)</f>
        <v>11</v>
      </c>
      <c r="D20" s="147"/>
      <c r="E20" s="147"/>
      <c r="F20" s="147"/>
      <c r="G20" s="147"/>
      <c r="H20" s="147"/>
      <c r="I20" s="146">
        <f t="shared" si="12"/>
        <v>0</v>
      </c>
      <c r="J20" s="146">
        <f t="shared" si="13"/>
        <v>0</v>
      </c>
      <c r="K20" s="146">
        <f t="shared" si="14"/>
        <v>0</v>
      </c>
      <c r="L20" s="146">
        <f t="shared" si="15"/>
        <v>0</v>
      </c>
      <c r="M20" s="146">
        <f t="shared" si="16"/>
        <v>0</v>
      </c>
      <c r="N20" s="146">
        <f t="shared" si="16"/>
        <v>0</v>
      </c>
      <c r="O20" s="146">
        <f t="shared" si="17"/>
        <v>0</v>
      </c>
      <c r="Q20" s="13"/>
      <c r="R20" s="139"/>
      <c r="S20" s="138"/>
      <c r="T20" s="139"/>
      <c r="U20" s="139"/>
      <c r="V20" s="107">
        <v>0</v>
      </c>
      <c r="W20" s="150">
        <f t="shared" si="18"/>
        <v>0</v>
      </c>
      <c r="X20" s="19">
        <v>0</v>
      </c>
      <c r="Y20" s="19">
        <v>0</v>
      </c>
      <c r="Z20" s="20">
        <v>0</v>
      </c>
      <c r="AA20" s="150">
        <f t="shared" si="19"/>
        <v>0</v>
      </c>
      <c r="AB20" s="7">
        <v>0</v>
      </c>
      <c r="AC20" s="150">
        <f t="shared" si="20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Q21" s="11"/>
      <c r="R21" s="51"/>
      <c r="T21" s="51"/>
      <c r="U21" s="51"/>
      <c r="W21" s="153"/>
      <c r="X21" s="51"/>
      <c r="Y21" s="51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430</v>
      </c>
      <c r="B22" s="18" t="s">
        <v>10</v>
      </c>
      <c r="C22" s="18">
        <f>VLOOKUP($AN$1,DST!C:D,2,FALSE)</f>
        <v>11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45.314031839999991</v>
      </c>
      <c r="M22" s="146">
        <f t="shared" ref="M22:N25" si="22">L22*Y22</f>
        <v>31.447938096959991</v>
      </c>
      <c r="N22" s="146">
        <f t="shared" si="22"/>
        <v>274.52286199733612</v>
      </c>
      <c r="O22" s="146">
        <f>M22*AH22</f>
        <v>1.6352927810419196</v>
      </c>
      <c r="Q22" s="13"/>
      <c r="R22" s="139"/>
      <c r="S22" s="138"/>
      <c r="T22" s="139"/>
      <c r="U22" s="139"/>
      <c r="V22" s="140"/>
      <c r="W22" s="154"/>
      <c r="X22" s="139"/>
      <c r="Y22" s="19">
        <v>0.69399999999999995</v>
      </c>
      <c r="Z22" s="20">
        <v>8.7294391495852537</v>
      </c>
      <c r="AA22" s="150">
        <f>(AG22/SUM(AG$6:AG$25))*0.98</f>
        <v>7.5459999999999999E-2</v>
      </c>
      <c r="AB22" s="7">
        <v>0.1196457914525775</v>
      </c>
      <c r="AC22" s="150">
        <f>(AH22/SUM(AH$6:AH$25))*0.98</f>
        <v>9.3100024644920495E-2</v>
      </c>
      <c r="AE22" s="168"/>
      <c r="AF22" s="168"/>
      <c r="AG22" s="19">
        <v>7.6999999999999999E-2</v>
      </c>
      <c r="AH22" s="19">
        <v>5.1999999999999998E-2</v>
      </c>
    </row>
    <row r="23" spans="1:34" x14ac:dyDescent="0.2">
      <c r="A23" s="42" t="s">
        <v>620</v>
      </c>
      <c r="B23" s="18" t="s">
        <v>10</v>
      </c>
      <c r="C23" s="18">
        <f>VLOOKUP($AN$1,DST!C:D,2,FALSE)</f>
        <v>11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60.02637983999999</v>
      </c>
      <c r="M23" s="146">
        <f t="shared" si="22"/>
        <v>40.937991050879994</v>
      </c>
      <c r="N23" s="146">
        <f t="shared" si="22"/>
        <v>391.01696787087036</v>
      </c>
      <c r="O23" s="146">
        <f>M23*AH23</f>
        <v>2.4562794630527995</v>
      </c>
      <c r="Q23" s="13"/>
      <c r="R23" s="139"/>
      <c r="S23" s="138"/>
      <c r="T23" s="139"/>
      <c r="U23" s="139"/>
      <c r="V23" s="140"/>
      <c r="W23" s="154"/>
      <c r="X23" s="139"/>
      <c r="Y23" s="19">
        <v>0.68200000000000005</v>
      </c>
      <c r="Z23" s="20">
        <v>9.5514449496286442</v>
      </c>
      <c r="AA23" s="150">
        <f>(AG23/SUM(AG$6:AG$25))*0.98</f>
        <v>9.9959999999999993E-2</v>
      </c>
      <c r="AB23" s="7">
        <v>3.5560833324881892E-2</v>
      </c>
      <c r="AC23" s="150">
        <f>(AH23/SUM(AH$6:AH$25))*0.98</f>
        <v>0.10742310535952365</v>
      </c>
      <c r="AE23" s="168"/>
      <c r="AF23" s="168"/>
      <c r="AG23" s="19">
        <v>0.10199999999999999</v>
      </c>
      <c r="AH23" s="19">
        <v>0.06</v>
      </c>
    </row>
    <row r="24" spans="1:34" x14ac:dyDescent="0.2">
      <c r="A24" s="17" t="s">
        <v>541</v>
      </c>
      <c r="B24" s="18" t="s">
        <v>10</v>
      </c>
      <c r="C24" s="18">
        <f>VLOOKUP($AN$1,DST!C:D,2,FALSE)</f>
        <v>11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7.6504209599999982</v>
      </c>
      <c r="M24" s="146">
        <f t="shared" si="22"/>
        <v>4.9727736239999984</v>
      </c>
      <c r="N24" s="146">
        <f t="shared" si="22"/>
        <v>44.652935908304407</v>
      </c>
      <c r="O24" s="146">
        <f>M24*AH24</f>
        <v>0.24991401504619476</v>
      </c>
      <c r="Q24" s="13"/>
      <c r="R24" s="139"/>
      <c r="S24" s="138"/>
      <c r="T24" s="139"/>
      <c r="U24" s="139"/>
      <c r="V24" s="140"/>
      <c r="W24" s="154"/>
      <c r="X24" s="139"/>
      <c r="Y24" s="19">
        <v>0.64999999999999991</v>
      </c>
      <c r="Z24" s="20">
        <v>8.979482937408779</v>
      </c>
      <c r="AA24" s="150">
        <f>(AG24/SUM(AG$6:AG$25))*0.98</f>
        <v>1.274E-2</v>
      </c>
      <c r="AB24" s="7">
        <v>5.7550231945047735E-2</v>
      </c>
      <c r="AC24" s="150">
        <f>(AH24/SUM(AH$6:AH$25))*0.98</f>
        <v>8.9978422503020711E-2</v>
      </c>
      <c r="AE24" s="168"/>
      <c r="AF24" s="168"/>
      <c r="AG24" s="19">
        <v>1.2999999999999999E-2</v>
      </c>
      <c r="AH24" s="19">
        <v>5.0256463282390279E-2</v>
      </c>
    </row>
    <row r="25" spans="1:34" x14ac:dyDescent="0.2">
      <c r="B25" s="18" t="s">
        <v>10</v>
      </c>
      <c r="C25" s="18">
        <f>VLOOKUP($AN$1,DST!C:D,2,FALSE)</f>
        <v>11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22"/>
        <v>0</v>
      </c>
      <c r="N25" s="146">
        <f t="shared" si="22"/>
        <v>0</v>
      </c>
      <c r="O25" s="146">
        <f>M25*AH25</f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0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264</v>
      </c>
      <c r="X27" s="30"/>
      <c r="Y27" s="30"/>
      <c r="Z27" s="31"/>
      <c r="AA27" s="9" t="s">
        <v>264</v>
      </c>
      <c r="AB27" s="9" t="s">
        <v>264</v>
      </c>
      <c r="AC27" s="9" t="s">
        <v>264</v>
      </c>
      <c r="AD27" s="44"/>
      <c r="AE27" s="9" t="s">
        <v>264</v>
      </c>
      <c r="AF27" s="9" t="s">
        <v>264</v>
      </c>
      <c r="AG27" s="9" t="s">
        <v>264</v>
      </c>
    </row>
    <row r="28" spans="1:34" s="27" customFormat="1" x14ac:dyDescent="0.2">
      <c r="A28" s="45" t="s">
        <v>265</v>
      </c>
      <c r="B28" s="28"/>
      <c r="C28" s="28"/>
      <c r="D28" s="34" t="s">
        <v>269</v>
      </c>
      <c r="E28" s="34" t="s">
        <v>266</v>
      </c>
      <c r="F28" s="155" t="s">
        <v>267</v>
      </c>
      <c r="G28" s="34" t="s">
        <v>286</v>
      </c>
      <c r="H28" s="34" t="s">
        <v>268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0.98</v>
      </c>
      <c r="X28" s="30"/>
      <c r="Y28" s="30"/>
      <c r="Z28" s="31"/>
      <c r="AA28" s="150">
        <f>SUM(AA6:AA25)</f>
        <v>0.98</v>
      </c>
      <c r="AB28" s="150">
        <f>SUM(AB2:AB4,AB6:AB11,AB13:AB20,AB22:AB25)</f>
        <v>1.0982721695233557</v>
      </c>
      <c r="AC28" s="150">
        <f>SUM(AC6:AC25)</f>
        <v>0.98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</v>
      </c>
    </row>
    <row r="29" spans="1:34" s="27" customFormat="1" x14ac:dyDescent="0.2">
      <c r="A29" s="43"/>
      <c r="B29" s="28"/>
      <c r="C29" s="28"/>
      <c r="D29" s="46">
        <v>1048</v>
      </c>
      <c r="E29" s="47">
        <v>0.57299999999999995</v>
      </c>
      <c r="F29" s="2">
        <f>1-E29</f>
        <v>0.42700000000000005</v>
      </c>
      <c r="G29" s="106">
        <v>4.3</v>
      </c>
      <c r="H29" s="126">
        <v>3.15E-2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265</v>
      </c>
      <c r="B31" s="28"/>
      <c r="C31" s="28"/>
      <c r="D31" s="162" t="s">
        <v>278</v>
      </c>
      <c r="E31" s="162" t="s">
        <v>1</v>
      </c>
      <c r="F31" s="162" t="s">
        <v>263</v>
      </c>
      <c r="G31" s="162" t="s">
        <v>137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600.50399999999991</v>
      </c>
      <c r="E32" s="156">
        <f>SUM(E2:E4)</f>
        <v>388.42674956346559</v>
      </c>
      <c r="F32" s="156">
        <f>SUM(F2:F4)</f>
        <v>4055.6596100313786</v>
      </c>
      <c r="G32" s="156">
        <f>SUM(G2:G4)</f>
        <v>20.948265608383878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265</v>
      </c>
      <c r="B34" s="28"/>
      <c r="C34" s="28"/>
      <c r="D34" s="162" t="s">
        <v>270</v>
      </c>
      <c r="E34" s="162" t="s">
        <v>263</v>
      </c>
      <c r="F34" s="162" t="s">
        <v>137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447.49600000000004</v>
      </c>
      <c r="E35" s="156">
        <f>D35*G29</f>
        <v>1924.2328</v>
      </c>
      <c r="F35" s="156">
        <f>D35*H29</f>
        <v>14.096124000000001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279</v>
      </c>
      <c r="B37" s="37"/>
      <c r="C37" s="37"/>
      <c r="D37" s="164" t="s">
        <v>273</v>
      </c>
      <c r="E37" s="164" t="s">
        <v>274</v>
      </c>
      <c r="F37" s="164" t="s">
        <v>275</v>
      </c>
      <c r="G37" s="164" t="s">
        <v>271</v>
      </c>
      <c r="H37" s="164" t="s">
        <v>272</v>
      </c>
      <c r="I37" s="160" t="s">
        <v>276</v>
      </c>
      <c r="J37" s="160" t="s">
        <v>277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3.5" thickBot="1" x14ac:dyDescent="0.25">
      <c r="D38" s="157">
        <f>SUM(I2:I20)</f>
        <v>438.54608000000007</v>
      </c>
      <c r="E38" s="157">
        <f>SUM(J2:J4,J6:J11,J13:J20)</f>
        <v>1918.2677044729312</v>
      </c>
      <c r="F38" s="157">
        <f>SUM(K2:K4,K6:K11,K13:K20)</f>
        <v>14.047440847906937</v>
      </c>
      <c r="G38" s="157">
        <f>SUM(L6:L11,L13:L20,L22:L25)</f>
        <v>588.49391999999989</v>
      </c>
      <c r="H38" s="157">
        <f>SUM(M6:M11,M13:M20,M22:M25)</f>
        <v>387.28784875199989</v>
      </c>
      <c r="I38" s="157">
        <f>SUM(N6:N11,N13:N20,N22:N25)</f>
        <v>4055.5434161688186</v>
      </c>
      <c r="J38" s="157">
        <f>SUM(O6:O11,O13:O20,O22:O25)</f>
        <v>20.943699571346151</v>
      </c>
      <c r="V38" s="181"/>
      <c r="X38" s="30"/>
      <c r="Y38" s="30"/>
      <c r="Z38" s="181"/>
      <c r="AH38" s="30"/>
    </row>
    <row r="39" spans="1:34" ht="13.5" thickTop="1" x14ac:dyDescent="0.2">
      <c r="D39" s="158">
        <f>D35-D38</f>
        <v>8.9499199999999632</v>
      </c>
      <c r="E39" s="158">
        <f>E35-E38</f>
        <v>5.9650955270687973</v>
      </c>
      <c r="F39" s="158">
        <f>F35-F38</f>
        <v>4.8683152093063953E-2</v>
      </c>
      <c r="G39" s="158">
        <f>SUM(D2:D4)-G38</f>
        <v>12.010080000000016</v>
      </c>
      <c r="H39" s="158">
        <f>E32-H38</f>
        <v>1.1389008114657031</v>
      </c>
      <c r="I39" s="158">
        <f>F32-I38</f>
        <v>0.11619386256006692</v>
      </c>
      <c r="J39" s="158">
        <f>G32-J38</f>
        <v>4.5660370377262893E-3</v>
      </c>
      <c r="V39" s="181"/>
      <c r="X39" s="30"/>
      <c r="Y39" s="30"/>
      <c r="Z39" s="181"/>
      <c r="AH39" s="30"/>
    </row>
    <row r="40" spans="1:34" x14ac:dyDescent="0.2">
      <c r="V40" s="181"/>
      <c r="X40" s="30"/>
      <c r="Y40" s="30"/>
      <c r="Z40" s="181"/>
      <c r="AH40" s="30"/>
    </row>
    <row r="41" spans="1:34" x14ac:dyDescent="0.2">
      <c r="V41" s="181"/>
      <c r="X41" s="30"/>
      <c r="Y41" s="30"/>
      <c r="Z41" s="181"/>
      <c r="AH41" s="30"/>
    </row>
    <row r="42" spans="1:34" x14ac:dyDescent="0.2">
      <c r="V42" s="181"/>
      <c r="X42" s="30"/>
      <c r="Y42" s="30"/>
      <c r="Z42" s="181"/>
      <c r="AH42" s="30"/>
    </row>
    <row r="43" spans="1:34" x14ac:dyDescent="0.2">
      <c r="N43" s="23"/>
      <c r="O43" s="23"/>
      <c r="V43" s="181"/>
      <c r="X43" s="30"/>
      <c r="Y43" s="30"/>
      <c r="Z43" s="181"/>
      <c r="AH43" s="30"/>
    </row>
    <row r="44" spans="1:34" x14ac:dyDescent="0.2">
      <c r="N44" s="23"/>
      <c r="O44" s="23"/>
      <c r="V44" s="181"/>
      <c r="X44" s="30"/>
      <c r="Y44" s="30"/>
      <c r="Z44" s="181"/>
      <c r="AH44" s="30"/>
    </row>
    <row r="45" spans="1:34" x14ac:dyDescent="0.2">
      <c r="N45" s="23"/>
      <c r="O45" s="23"/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sortState xmlns:xlrd2="http://schemas.microsoft.com/office/spreadsheetml/2017/richdata2" ref="A22:AH25">
    <sortCondition descending="1" ref="N22:N25"/>
  </sortState>
  <conditionalFormatting sqref="D39:J39">
    <cfRule type="cellIs" dxfId="26" priority="1" operator="lessThan">
      <formula>0</formula>
    </cfRule>
  </conditionalFormatting>
  <conditionalFormatting sqref="W28">
    <cfRule type="cellIs" dxfId="25" priority="2" operator="greaterThan">
      <formula>1</formula>
    </cfRule>
  </conditionalFormatting>
  <conditionalFormatting sqref="AA28:AG28">
    <cfRule type="cellIs" dxfId="24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8">
    <tabColor rgb="FF00A400"/>
  </sheetPr>
  <dimension ref="A1:AN64"/>
  <sheetViews>
    <sheetView showGridLines="0" zoomScale="85" zoomScaleNormal="85"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defaultColWidth="8.7109375" defaultRowHeight="12.75" x14ac:dyDescent="0.2"/>
  <cols>
    <col min="1" max="1" width="22.5703125" style="17" customWidth="1"/>
    <col min="2" max="3" width="8.7109375" style="18"/>
    <col min="4" max="13" width="8.7109375" style="23"/>
    <col min="14" max="15" width="8.7109375" style="18"/>
    <col min="16" max="16" width="4.7109375" style="18" customWidth="1"/>
    <col min="17" max="18" width="8.7109375" style="26"/>
    <col min="19" max="19" width="8.7109375" style="23"/>
    <col min="20" max="21" width="8.7109375" style="26"/>
    <col min="22" max="23" width="8.7109375" style="25"/>
    <col min="24" max="25" width="8.7109375" style="26"/>
    <col min="26" max="26" width="8.7109375" style="25"/>
    <col min="27" max="27" width="8.7109375" style="18"/>
    <col min="28" max="28" width="0" style="18" hidden="1" customWidth="1"/>
    <col min="29" max="29" width="8.7109375" style="26"/>
    <col min="30" max="30" width="4.7109375" style="17" customWidth="1"/>
    <col min="31" max="32" width="8.7109375" style="18"/>
    <col min="33" max="16384" width="8.7109375" style="17"/>
  </cols>
  <sheetData>
    <row r="1" spans="1:40" s="15" customFormat="1" ht="25.5" customHeight="1" x14ac:dyDescent="0.2">
      <c r="A1" s="15" t="s">
        <v>0</v>
      </c>
      <c r="B1" s="15" t="s">
        <v>8</v>
      </c>
      <c r="C1" s="15" t="s">
        <v>122</v>
      </c>
      <c r="D1" s="159" t="s">
        <v>210</v>
      </c>
      <c r="E1" s="159" t="s">
        <v>1</v>
      </c>
      <c r="F1" s="159" t="s">
        <v>213</v>
      </c>
      <c r="G1" s="159" t="s">
        <v>228</v>
      </c>
      <c r="H1" s="159" t="s">
        <v>2</v>
      </c>
      <c r="I1" s="159" t="s">
        <v>229</v>
      </c>
      <c r="J1" s="159" t="s">
        <v>217</v>
      </c>
      <c r="K1" s="159" t="s">
        <v>230</v>
      </c>
      <c r="L1" s="159" t="s">
        <v>219</v>
      </c>
      <c r="M1" s="159" t="s">
        <v>4</v>
      </c>
      <c r="N1" s="159" t="s">
        <v>223</v>
      </c>
      <c r="O1" s="159" t="s">
        <v>231</v>
      </c>
      <c r="Q1" s="160" t="s">
        <v>281</v>
      </c>
      <c r="R1" s="133" t="s">
        <v>232</v>
      </c>
      <c r="S1" s="134" t="s">
        <v>451</v>
      </c>
      <c r="T1" s="133" t="s">
        <v>205</v>
      </c>
      <c r="U1" s="133" t="s">
        <v>209</v>
      </c>
      <c r="V1" s="135" t="s">
        <v>280</v>
      </c>
      <c r="W1" s="161" t="s">
        <v>282</v>
      </c>
      <c r="X1" s="133" t="s">
        <v>233</v>
      </c>
      <c r="Y1" s="179" t="s">
        <v>234</v>
      </c>
      <c r="Z1" s="135" t="s">
        <v>235</v>
      </c>
      <c r="AA1" s="160" t="s">
        <v>236</v>
      </c>
      <c r="AB1" s="160" t="s">
        <v>237</v>
      </c>
      <c r="AC1" s="10" t="s">
        <v>262</v>
      </c>
      <c r="AE1" s="136" t="s">
        <v>283</v>
      </c>
      <c r="AF1" s="137" t="s">
        <v>284</v>
      </c>
      <c r="AG1" s="136" t="s">
        <v>285</v>
      </c>
      <c r="AH1" s="136" t="s">
        <v>450</v>
      </c>
      <c r="AN1" s="15" t="s">
        <v>110</v>
      </c>
    </row>
    <row r="2" spans="1:40" x14ac:dyDescent="0.2">
      <c r="A2" s="17" t="s">
        <v>41</v>
      </c>
      <c r="B2" s="18" t="s">
        <v>9</v>
      </c>
      <c r="C2" s="18">
        <f>VLOOKUP($AN$1,DST!C:D,2,FALSE)</f>
        <v>12</v>
      </c>
      <c r="D2" s="146">
        <f>D$32*Q2</f>
        <v>592.51191999999992</v>
      </c>
      <c r="E2" s="146">
        <f>D2*R2</f>
        <v>385.17892700200605</v>
      </c>
      <c r="F2" s="146">
        <f>E2*S2</f>
        <v>4261.1253103919335</v>
      </c>
      <c r="G2" s="146">
        <f>D2*T2</f>
        <v>29.625595999999998</v>
      </c>
      <c r="H2" s="146">
        <f>E2*U2</f>
        <v>5.4561566113858548</v>
      </c>
      <c r="I2" s="146">
        <f>D$35*W2</f>
        <v>31.034365600000008</v>
      </c>
      <c r="J2" s="146">
        <f>I2*V2</f>
        <v>101.92927358707342</v>
      </c>
      <c r="K2" s="146">
        <f>I2*X2</f>
        <v>1.1587367853837653</v>
      </c>
      <c r="L2" s="147"/>
      <c r="M2" s="147"/>
      <c r="N2" s="147"/>
      <c r="O2" s="147"/>
      <c r="Q2" s="150">
        <f>(AE2/SUM(AE$2:AE$25))</f>
        <v>0.98</v>
      </c>
      <c r="R2" s="19">
        <v>0.65007793767593081</v>
      </c>
      <c r="S2" s="107">
        <v>11.062716601756724</v>
      </c>
      <c r="T2" s="19">
        <v>0.05</v>
      </c>
      <c r="U2" s="19">
        <v>1.4165252117641001E-2</v>
      </c>
      <c r="V2" s="107">
        <v>3.2844001034476888</v>
      </c>
      <c r="W2" s="150">
        <f>(AF2/SUM(AF$2:AF$20))*0.98</f>
        <v>6.8600000000000008E-2</v>
      </c>
      <c r="X2" s="19">
        <v>3.7337215147834855E-2</v>
      </c>
      <c r="Y2" s="21"/>
      <c r="Z2" s="22"/>
      <c r="AA2" s="1"/>
      <c r="AB2" s="1"/>
      <c r="AC2" s="1"/>
      <c r="AE2" s="19">
        <v>0.98</v>
      </c>
      <c r="AF2" s="19">
        <v>7.0000000000000007E-2</v>
      </c>
      <c r="AG2" s="168"/>
      <c r="AH2" s="168"/>
    </row>
    <row r="3" spans="1:40" x14ac:dyDescent="0.2">
      <c r="A3" s="17" t="s">
        <v>434</v>
      </c>
      <c r="B3" s="18" t="s">
        <v>9</v>
      </c>
      <c r="C3" s="18">
        <f>VLOOKUP($AN$1,DST!C:D,2,FALSE)</f>
        <v>12</v>
      </c>
      <c r="D3" s="146">
        <f>D$32*Q3</f>
        <v>12.092079999999999</v>
      </c>
      <c r="E3" s="146">
        <f t="shared" ref="E3:F4" si="0">D3*R3</f>
        <v>7.546333683580567</v>
      </c>
      <c r="F3" s="146">
        <f t="shared" si="0"/>
        <v>79.927391228270267</v>
      </c>
      <c r="G3" s="146">
        <f t="shared" ref="G3:G4" si="1">D3*T3</f>
        <v>0.55818400774813781</v>
      </c>
      <c r="H3" s="146">
        <f t="shared" ref="H3:H4" si="2">E3*U3</f>
        <v>0.14707058056687605</v>
      </c>
      <c r="I3" s="146">
        <f>D$35*W3</f>
        <v>2.2167404000000004</v>
      </c>
      <c r="J3" s="146">
        <f>I3*V3</f>
        <v>8.9692498645265637</v>
      </c>
      <c r="K3" s="146">
        <f>I3*X3</f>
        <v>3.3544434299398067E-2</v>
      </c>
      <c r="L3" s="147"/>
      <c r="M3" s="147"/>
      <c r="N3" s="147"/>
      <c r="O3" s="147"/>
      <c r="Q3" s="150">
        <f>(AE3/SUM(AE$2:AE$25))</f>
        <v>0.02</v>
      </c>
      <c r="R3" s="19">
        <v>0.62407242456058576</v>
      </c>
      <c r="S3" s="107">
        <v>10.591552743311306</v>
      </c>
      <c r="T3" s="19">
        <v>4.6161124285328731E-2</v>
      </c>
      <c r="U3" s="19">
        <v>1.9489011052728104E-2</v>
      </c>
      <c r="V3" s="107">
        <v>4.046143546861221</v>
      </c>
      <c r="W3" s="150">
        <f>(AF3/SUM(AF$2:AF$20))*0.98</f>
        <v>4.8999999999999998E-3</v>
      </c>
      <c r="X3" s="19">
        <v>1.5132324154600177E-2</v>
      </c>
      <c r="Y3" s="21"/>
      <c r="Z3" s="22"/>
      <c r="AA3" s="1"/>
      <c r="AB3" s="1"/>
      <c r="AC3" s="1"/>
      <c r="AE3" s="19">
        <v>0.02</v>
      </c>
      <c r="AF3" s="19">
        <v>5.0000000000000001E-3</v>
      </c>
      <c r="AG3" s="168"/>
      <c r="AH3" s="168"/>
    </row>
    <row r="4" spans="1:40" x14ac:dyDescent="0.2">
      <c r="B4" s="18" t="s">
        <v>9</v>
      </c>
      <c r="C4" s="18">
        <f>VLOOKUP($AN$1,DST!C:D,2,FALSE)</f>
        <v>12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>
        <v>0</v>
      </c>
      <c r="AF4" s="19">
        <v>0</v>
      </c>
      <c r="AG4" s="168"/>
      <c r="AH4" s="168"/>
    </row>
    <row r="5" spans="1:40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40" x14ac:dyDescent="0.2">
      <c r="A6" s="172" t="s">
        <v>410</v>
      </c>
      <c r="B6" s="18" t="s">
        <v>207</v>
      </c>
      <c r="C6" s="18">
        <f>VLOOKUP($AN$1,DST!C:D,2,FALSE)</f>
        <v>12</v>
      </c>
      <c r="D6" s="147"/>
      <c r="E6" s="147"/>
      <c r="F6" s="147"/>
      <c r="G6" s="147"/>
      <c r="H6" s="147"/>
      <c r="I6" s="146">
        <f t="shared" ref="I6:I11" si="3">D$35*W6</f>
        <v>241.62470360000006</v>
      </c>
      <c r="J6" s="146">
        <f t="shared" ref="J6:J11" si="4">I6*V6</f>
        <v>1081.152639879771</v>
      </c>
      <c r="K6" s="146">
        <f t="shared" ref="K6:K11" si="5">I6*X6</f>
        <v>9.1817387368000016</v>
      </c>
      <c r="L6" s="146">
        <f t="shared" ref="L6:L11" si="6">((D$2+D$3+D$4)*AA6)</f>
        <v>72.878966159999976</v>
      </c>
      <c r="M6" s="146">
        <f t="shared" ref="M6:N11" si="7">L6*Y6</f>
        <v>57.137109469439984</v>
      </c>
      <c r="N6" s="146">
        <f t="shared" si="7"/>
        <v>453.72342684389395</v>
      </c>
      <c r="O6" s="146">
        <f t="shared" ref="O6:O11" si="8">M6*AH6</f>
        <v>3.2576542327528428</v>
      </c>
      <c r="Q6" s="13"/>
      <c r="R6" s="139"/>
      <c r="S6" s="138"/>
      <c r="T6" s="139"/>
      <c r="U6" s="139"/>
      <c r="V6" s="107">
        <v>4.4745120170724579</v>
      </c>
      <c r="W6" s="150">
        <f t="shared" ref="W6:W11" si="9">(AF6/SUM(AF$2:AF$20))*0.98</f>
        <v>0.53410000000000002</v>
      </c>
      <c r="X6" s="19">
        <v>3.7999999999999999E-2</v>
      </c>
      <c r="Y6" s="19">
        <v>0.78400000000000003</v>
      </c>
      <c r="Z6" s="20">
        <v>7.9409587054201571</v>
      </c>
      <c r="AA6" s="150">
        <f t="shared" ref="AA6:AA11" si="10">(AG6/SUM(AG$6:AG$25))*0.98</f>
        <v>0.12053999999999997</v>
      </c>
      <c r="AB6" s="7">
        <v>7.2515753783603323E-2</v>
      </c>
      <c r="AC6" s="150">
        <f t="shared" ref="AC6:AC11" si="11">(AH6/SUM(AH$6:AH$25))*0.98</f>
        <v>6.4669955854410363E-2</v>
      </c>
      <c r="AE6" s="168"/>
      <c r="AF6" s="19">
        <v>0.54500000000000004</v>
      </c>
      <c r="AG6" s="19">
        <v>0.123</v>
      </c>
      <c r="AH6" s="19">
        <v>5.7014683854373353E-2</v>
      </c>
    </row>
    <row r="7" spans="1:40" x14ac:dyDescent="0.2">
      <c r="A7" s="176" t="s">
        <v>622</v>
      </c>
      <c r="B7" s="18" t="s">
        <v>207</v>
      </c>
      <c r="C7" s="18">
        <f>VLOOKUP($AN$1,DST!C:D,2,FALSE)</f>
        <v>12</v>
      </c>
      <c r="D7" s="147"/>
      <c r="E7" s="147"/>
      <c r="F7" s="147"/>
      <c r="G7" s="147"/>
      <c r="H7" s="147"/>
      <c r="I7" s="146">
        <f t="shared" si="3"/>
        <v>97.536577600000015</v>
      </c>
      <c r="J7" s="146">
        <f t="shared" si="4"/>
        <v>416.60229871605276</v>
      </c>
      <c r="K7" s="146">
        <f t="shared" si="5"/>
        <v>3.6088533712000004</v>
      </c>
      <c r="L7" s="146">
        <f t="shared" si="6"/>
        <v>5.9251191999999984</v>
      </c>
      <c r="M7" s="146">
        <f t="shared" si="7"/>
        <v>4.337187254399999</v>
      </c>
      <c r="N7" s="146">
        <f t="shared" si="7"/>
        <v>33.910559698509715</v>
      </c>
      <c r="O7" s="146">
        <f t="shared" si="8"/>
        <v>0.22999599728590189</v>
      </c>
      <c r="Q7" s="13"/>
      <c r="R7" s="139"/>
      <c r="S7" s="138"/>
      <c r="T7" s="139"/>
      <c r="U7" s="139"/>
      <c r="V7" s="107">
        <v>4.271241712258445</v>
      </c>
      <c r="W7" s="150">
        <f t="shared" si="9"/>
        <v>0.21559999999999999</v>
      </c>
      <c r="X7" s="19">
        <v>3.6999999999999998E-2</v>
      </c>
      <c r="Y7" s="19">
        <v>0.7320000000000001</v>
      </c>
      <c r="Z7" s="20">
        <v>7.8185602118303876</v>
      </c>
      <c r="AA7" s="150">
        <f t="shared" si="10"/>
        <v>9.7999999999999979E-3</v>
      </c>
      <c r="AB7" s="7">
        <v>2.6310907060795967E-2</v>
      </c>
      <c r="AC7" s="150">
        <f t="shared" si="11"/>
        <v>6.0148935955664222E-2</v>
      </c>
      <c r="AE7" s="168"/>
      <c r="AF7" s="19">
        <v>0.22</v>
      </c>
      <c r="AG7" s="19">
        <v>0.01</v>
      </c>
      <c r="AH7" s="19">
        <v>5.302883730753729E-2</v>
      </c>
    </row>
    <row r="8" spans="1:40" x14ac:dyDescent="0.2">
      <c r="A8" s="176" t="s">
        <v>623</v>
      </c>
      <c r="B8" s="18" t="s">
        <v>207</v>
      </c>
      <c r="C8" s="18">
        <f>VLOOKUP($AN$1,DST!C:D,2,FALSE)</f>
        <v>12</v>
      </c>
      <c r="D8" s="147"/>
      <c r="E8" s="147"/>
      <c r="F8" s="147"/>
      <c r="G8" s="147"/>
      <c r="H8" s="147"/>
      <c r="I8" s="146">
        <f t="shared" si="3"/>
        <v>61.182035040000009</v>
      </c>
      <c r="J8" s="146">
        <f t="shared" si="4"/>
        <v>258.10674757674207</v>
      </c>
      <c r="K8" s="146">
        <f t="shared" si="5"/>
        <v>2.0801891913600006</v>
      </c>
      <c r="L8" s="146">
        <f t="shared" si="6"/>
        <v>20.737917199999995</v>
      </c>
      <c r="M8" s="146">
        <f t="shared" si="7"/>
        <v>16.382954587999993</v>
      </c>
      <c r="N8" s="146">
        <f t="shared" si="7"/>
        <v>121.65533652850371</v>
      </c>
      <c r="O8" s="146">
        <f t="shared" si="8"/>
        <v>0.70446704728399967</v>
      </c>
      <c r="Q8" s="13"/>
      <c r="R8" s="139"/>
      <c r="S8" s="138"/>
      <c r="T8" s="139"/>
      <c r="U8" s="139"/>
      <c r="V8" s="107">
        <v>4.2186688855314349</v>
      </c>
      <c r="W8" s="150">
        <f t="shared" si="9"/>
        <v>0.13524</v>
      </c>
      <c r="X8" s="19">
        <v>3.4000000000000002E-2</v>
      </c>
      <c r="Y8" s="19">
        <v>0.78999999999999992</v>
      </c>
      <c r="Z8" s="20">
        <v>7.4257262861249993</v>
      </c>
      <c r="AA8" s="150">
        <f t="shared" si="10"/>
        <v>3.4299999999999997E-2</v>
      </c>
      <c r="AB8" s="7">
        <v>2.7504812306038788E-2</v>
      </c>
      <c r="AC8" s="150">
        <f t="shared" si="11"/>
        <v>4.8773542423603947E-2</v>
      </c>
      <c r="AE8" s="168"/>
      <c r="AF8" s="19">
        <v>0.13800000000000001</v>
      </c>
      <c r="AG8" s="19">
        <v>3.5000000000000003E-2</v>
      </c>
      <c r="AH8" s="19">
        <v>4.2999999999999997E-2</v>
      </c>
    </row>
    <row r="9" spans="1:40" x14ac:dyDescent="0.2">
      <c r="A9" s="176" t="s">
        <v>511</v>
      </c>
      <c r="B9" s="18" t="s">
        <v>207</v>
      </c>
      <c r="C9" s="18">
        <f>VLOOKUP($AN$1,DST!C:D,2,FALSE)</f>
        <v>12</v>
      </c>
      <c r="D9" s="147"/>
      <c r="E9" s="147"/>
      <c r="F9" s="147"/>
      <c r="G9" s="147"/>
      <c r="H9" s="147"/>
      <c r="I9" s="146">
        <f t="shared" si="3"/>
        <v>5.3201769600000004</v>
      </c>
      <c r="J9" s="146">
        <f t="shared" si="4"/>
        <v>22.368904886622271</v>
      </c>
      <c r="K9" s="146">
        <f t="shared" si="5"/>
        <v>0.17102881786759588</v>
      </c>
      <c r="L9" s="146">
        <f t="shared" si="6"/>
        <v>11.850238399999997</v>
      </c>
      <c r="M9" s="146">
        <f t="shared" si="7"/>
        <v>9.5157414351999936</v>
      </c>
      <c r="N9" s="146">
        <f t="shared" si="7"/>
        <v>69.138545913661048</v>
      </c>
      <c r="O9" s="146">
        <f t="shared" si="8"/>
        <v>0.41330692324283663</v>
      </c>
      <c r="Q9" s="13"/>
      <c r="R9" s="139"/>
      <c r="S9" s="138"/>
      <c r="T9" s="139"/>
      <c r="U9" s="139"/>
      <c r="V9" s="107">
        <v>4.204541513337607</v>
      </c>
      <c r="W9" s="150">
        <f t="shared" si="9"/>
        <v>1.176E-2</v>
      </c>
      <c r="X9" s="19">
        <v>3.2147204717715983E-2</v>
      </c>
      <c r="Y9" s="19">
        <v>0.80299999999999971</v>
      </c>
      <c r="Z9" s="20">
        <v>7.2657024557128436</v>
      </c>
      <c r="AA9" s="150">
        <f t="shared" si="10"/>
        <v>1.9599999999999996E-2</v>
      </c>
      <c r="AB9" s="7">
        <v>3.7087319769310421E-2</v>
      </c>
      <c r="AC9" s="150">
        <f t="shared" si="11"/>
        <v>4.9265839923144691E-2</v>
      </c>
      <c r="AE9" s="168"/>
      <c r="AF9" s="19">
        <v>1.2E-2</v>
      </c>
      <c r="AG9" s="19">
        <v>0.02</v>
      </c>
      <c r="AH9" s="19">
        <v>4.3434022042040714E-2</v>
      </c>
    </row>
    <row r="10" spans="1:40" x14ac:dyDescent="0.2">
      <c r="A10" s="172"/>
      <c r="B10" s="18" t="s">
        <v>207</v>
      </c>
      <c r="C10" s="18">
        <f>VLOOKUP($AN$1,DST!C:D,2,FALSE)</f>
        <v>12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4"/>
        <v>0</v>
      </c>
      <c r="K10" s="146">
        <f t="shared" si="5"/>
        <v>0</v>
      </c>
      <c r="L10" s="146">
        <f t="shared" si="6"/>
        <v>0</v>
      </c>
      <c r="M10" s="146">
        <f t="shared" si="7"/>
        <v>0</v>
      </c>
      <c r="N10" s="146">
        <f t="shared" si="7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9"/>
        <v>0</v>
      </c>
      <c r="X10" s="19">
        <v>0</v>
      </c>
      <c r="Y10" s="19">
        <v>0</v>
      </c>
      <c r="Z10" s="20">
        <v>0</v>
      </c>
      <c r="AA10" s="150">
        <f t="shared" si="10"/>
        <v>0</v>
      </c>
      <c r="AB10" s="7">
        <v>1.470421123413082E-3</v>
      </c>
      <c r="AC10" s="150">
        <f t="shared" si="11"/>
        <v>0</v>
      </c>
      <c r="AE10" s="168"/>
      <c r="AF10" s="19">
        <v>0</v>
      </c>
      <c r="AG10" s="19">
        <v>0</v>
      </c>
      <c r="AH10" s="19">
        <v>0</v>
      </c>
    </row>
    <row r="11" spans="1:40" x14ac:dyDescent="0.2">
      <c r="A11" s="172"/>
      <c r="B11" s="18" t="s">
        <v>207</v>
      </c>
      <c r="C11" s="18">
        <f>VLOOKUP($AN$1,DST!C:D,2,FALSE)</f>
        <v>12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4"/>
        <v>0</v>
      </c>
      <c r="K11" s="146">
        <f t="shared" si="5"/>
        <v>0</v>
      </c>
      <c r="L11" s="146">
        <f t="shared" si="6"/>
        <v>0</v>
      </c>
      <c r="M11" s="146">
        <f t="shared" si="7"/>
        <v>0</v>
      </c>
      <c r="N11" s="146">
        <f t="shared" si="7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9"/>
        <v>0</v>
      </c>
      <c r="X11" s="19">
        <v>0</v>
      </c>
      <c r="Y11" s="19">
        <v>0</v>
      </c>
      <c r="Z11" s="20">
        <v>0</v>
      </c>
      <c r="AA11" s="150">
        <f t="shared" si="10"/>
        <v>0</v>
      </c>
      <c r="AB11" s="7">
        <v>0</v>
      </c>
      <c r="AC11" s="150">
        <f t="shared" si="11"/>
        <v>0</v>
      </c>
      <c r="AE11" s="168"/>
      <c r="AF11" s="19">
        <v>0</v>
      </c>
      <c r="AG11" s="19">
        <v>0</v>
      </c>
      <c r="AH11" s="19">
        <v>0</v>
      </c>
    </row>
    <row r="12" spans="1:40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40" x14ac:dyDescent="0.2">
      <c r="A13" s="17" t="s">
        <v>398</v>
      </c>
      <c r="B13" s="18" t="s">
        <v>208</v>
      </c>
      <c r="C13" s="18">
        <f>VLOOKUP($AN$1,DST!C:D,2,FALSE)</f>
        <v>12</v>
      </c>
      <c r="D13" s="147"/>
      <c r="E13" s="147"/>
      <c r="F13" s="147"/>
      <c r="G13" s="147"/>
      <c r="H13" s="147"/>
      <c r="I13" s="146">
        <f t="shared" ref="I13:I20" si="12">D$35*W13</f>
        <v>0</v>
      </c>
      <c r="J13" s="146">
        <f t="shared" ref="J13:J20" si="13">I13*V13</f>
        <v>0</v>
      </c>
      <c r="K13" s="146">
        <f t="shared" ref="K13:K20" si="14">I13*X13</f>
        <v>0</v>
      </c>
      <c r="L13" s="146">
        <f t="shared" ref="L13:L20" si="15">((D$2+D$3+D$4)*AA13)</f>
        <v>137.46276543999994</v>
      </c>
      <c r="M13" s="146">
        <f t="shared" ref="M13:N20" si="16">L13*Y13</f>
        <v>84.127212449279966</v>
      </c>
      <c r="N13" s="146">
        <f t="shared" si="16"/>
        <v>1052.5644099573331</v>
      </c>
      <c r="O13" s="146">
        <f t="shared" ref="O13:O20" si="17">M13*AH13</f>
        <v>7.3830598877381197</v>
      </c>
      <c r="Q13" s="13"/>
      <c r="R13" s="139"/>
      <c r="S13" s="138"/>
      <c r="T13" s="139"/>
      <c r="U13" s="139"/>
      <c r="V13" s="107">
        <v>4.68</v>
      </c>
      <c r="W13" s="150">
        <f t="shared" ref="W13:W20" si="18">(AF13/SUM(AF$2:AF$20))*0.98</f>
        <v>0</v>
      </c>
      <c r="X13" s="19">
        <v>6.17283950617284E-3</v>
      </c>
      <c r="Y13" s="19">
        <v>0.61199999999999999</v>
      </c>
      <c r="Z13" s="20">
        <v>12.511580727721377</v>
      </c>
      <c r="AA13" s="150">
        <f t="shared" ref="AA13:AA20" si="19">(AG13/SUM(AG$6:AG$25))*0.98</f>
        <v>0.22735999999999995</v>
      </c>
      <c r="AB13" s="7">
        <v>0.14384719911729207</v>
      </c>
      <c r="AC13" s="150">
        <f t="shared" ref="AC13:AC20" si="20">(AH13/SUM(AH$6:AH$25))*0.98</f>
        <v>9.9544148584614481E-2</v>
      </c>
      <c r="AE13" s="168"/>
      <c r="AF13" s="19">
        <v>0</v>
      </c>
      <c r="AG13" s="19">
        <v>0.23200000000000001</v>
      </c>
      <c r="AH13" s="19">
        <v>8.7760662368188455E-2</v>
      </c>
    </row>
    <row r="14" spans="1:40" x14ac:dyDescent="0.2">
      <c r="A14" s="17" t="s">
        <v>16</v>
      </c>
      <c r="B14" s="18" t="s">
        <v>208</v>
      </c>
      <c r="C14" s="18">
        <f>VLOOKUP($AN$1,DST!C:D,2,FALSE)</f>
        <v>12</v>
      </c>
      <c r="D14" s="147"/>
      <c r="E14" s="147"/>
      <c r="F14" s="147"/>
      <c r="G14" s="147"/>
      <c r="H14" s="147"/>
      <c r="I14" s="146">
        <f t="shared" si="12"/>
        <v>0</v>
      </c>
      <c r="J14" s="146">
        <f t="shared" si="13"/>
        <v>0</v>
      </c>
      <c r="K14" s="146">
        <f t="shared" si="14"/>
        <v>0</v>
      </c>
      <c r="L14" s="146">
        <f t="shared" si="15"/>
        <v>109.02219327999998</v>
      </c>
      <c r="M14" s="146">
        <f t="shared" si="16"/>
        <v>64.323094035199972</v>
      </c>
      <c r="N14" s="146">
        <f t="shared" si="16"/>
        <v>896.90368514187469</v>
      </c>
      <c r="O14" s="146">
        <f t="shared" si="17"/>
        <v>6.1360858732534407</v>
      </c>
      <c r="Q14" s="13"/>
      <c r="R14" s="139"/>
      <c r="S14" s="138"/>
      <c r="T14" s="139"/>
      <c r="U14" s="139"/>
      <c r="V14" s="107">
        <v>5.0199999999999996</v>
      </c>
      <c r="W14" s="150">
        <f t="shared" si="18"/>
        <v>0</v>
      </c>
      <c r="X14" s="19">
        <v>9.3457943925233655E-3</v>
      </c>
      <c r="Y14" s="19">
        <v>0.58999999999999986</v>
      </c>
      <c r="Z14" s="20">
        <v>13.943727343884545</v>
      </c>
      <c r="AA14" s="150">
        <f t="shared" si="19"/>
        <v>0.18031999999999998</v>
      </c>
      <c r="AB14" s="7">
        <v>0.14016318844957668</v>
      </c>
      <c r="AC14" s="150">
        <f t="shared" si="20"/>
        <v>0.10820326019325054</v>
      </c>
      <c r="AE14" s="168"/>
      <c r="AF14" s="19">
        <v>0</v>
      </c>
      <c r="AG14" s="19">
        <v>0.184</v>
      </c>
      <c r="AH14" s="19">
        <v>9.5394756195893618E-2</v>
      </c>
    </row>
    <row r="15" spans="1:40" x14ac:dyDescent="0.2">
      <c r="A15" s="17" t="s">
        <v>624</v>
      </c>
      <c r="B15" s="18" t="s">
        <v>208</v>
      </c>
      <c r="C15" s="18">
        <f>VLOOKUP($AN$1,DST!C:D,2,FALSE)</f>
        <v>12</v>
      </c>
      <c r="D15" s="147"/>
      <c r="E15" s="147"/>
      <c r="F15" s="147"/>
      <c r="G15" s="147"/>
      <c r="H15" s="147"/>
      <c r="I15" s="146">
        <f t="shared" si="12"/>
        <v>4.4334808000000008</v>
      </c>
      <c r="J15" s="146">
        <f t="shared" si="13"/>
        <v>24.960496904000003</v>
      </c>
      <c r="K15" s="146">
        <f t="shared" si="14"/>
        <v>3.0751864593784175E-2</v>
      </c>
      <c r="L15" s="146">
        <f t="shared" si="15"/>
        <v>72.286454239999969</v>
      </c>
      <c r="M15" s="146">
        <f t="shared" si="16"/>
        <v>45.829611988159982</v>
      </c>
      <c r="N15" s="146">
        <f t="shared" si="16"/>
        <v>548.61108023331667</v>
      </c>
      <c r="O15" s="146">
        <f t="shared" si="17"/>
        <v>3.7674978441924276</v>
      </c>
      <c r="Q15" s="13"/>
      <c r="R15" s="139"/>
      <c r="S15" s="138"/>
      <c r="T15" s="139"/>
      <c r="U15" s="139"/>
      <c r="V15" s="107">
        <v>5.63</v>
      </c>
      <c r="W15" s="150">
        <f t="shared" si="18"/>
        <v>9.7999999999999997E-3</v>
      </c>
      <c r="X15" s="19">
        <v>6.9362800880482375E-3</v>
      </c>
      <c r="Y15" s="19">
        <v>0.63400000000000001</v>
      </c>
      <c r="Z15" s="20">
        <v>11.970668230292887</v>
      </c>
      <c r="AA15" s="150">
        <f t="shared" si="19"/>
        <v>0.11955999999999997</v>
      </c>
      <c r="AB15" s="7">
        <v>3.3563135947518793E-3</v>
      </c>
      <c r="AC15" s="150">
        <f t="shared" si="20"/>
        <v>9.3244382257636677E-2</v>
      </c>
      <c r="AE15" s="168"/>
      <c r="AF15" s="19">
        <v>0.01</v>
      </c>
      <c r="AG15" s="19">
        <v>0.122</v>
      </c>
      <c r="AH15" s="19">
        <v>8.2206627565726623E-2</v>
      </c>
    </row>
    <row r="16" spans="1:40" x14ac:dyDescent="0.2">
      <c r="A16" s="17" t="s">
        <v>147</v>
      </c>
      <c r="B16" s="18" t="s">
        <v>208</v>
      </c>
      <c r="C16" s="18">
        <f>VLOOKUP($AN$1,DST!C:D,2,FALSE)</f>
        <v>12</v>
      </c>
      <c r="D16" s="147"/>
      <c r="E16" s="147"/>
      <c r="F16" s="147"/>
      <c r="G16" s="147"/>
      <c r="H16" s="147"/>
      <c r="I16" s="146">
        <f t="shared" si="12"/>
        <v>0</v>
      </c>
      <c r="J16" s="146">
        <f t="shared" si="13"/>
        <v>0</v>
      </c>
      <c r="K16" s="146">
        <f t="shared" si="14"/>
        <v>0</v>
      </c>
      <c r="L16" s="146">
        <f t="shared" si="15"/>
        <v>30.218107919999987</v>
      </c>
      <c r="M16" s="146">
        <f t="shared" si="16"/>
        <v>18.191300967839997</v>
      </c>
      <c r="N16" s="146">
        <f t="shared" si="16"/>
        <v>235.77203635810108</v>
      </c>
      <c r="O16" s="146">
        <f t="shared" si="17"/>
        <v>1.6312505989738435</v>
      </c>
      <c r="Q16" s="13"/>
      <c r="R16" s="139"/>
      <c r="S16" s="138"/>
      <c r="T16" s="139"/>
      <c r="U16" s="139"/>
      <c r="V16" s="107">
        <v>5.0199999999999996</v>
      </c>
      <c r="W16" s="150">
        <f t="shared" si="18"/>
        <v>0</v>
      </c>
      <c r="X16" s="19">
        <v>0</v>
      </c>
      <c r="Y16" s="19">
        <v>0.60200000000000009</v>
      </c>
      <c r="Z16" s="20">
        <v>12.960702303530534</v>
      </c>
      <c r="AA16" s="150">
        <f t="shared" si="19"/>
        <v>4.9979999999999983E-2</v>
      </c>
      <c r="AB16" s="7">
        <v>0.10908969025471149</v>
      </c>
      <c r="AC16" s="150">
        <f t="shared" si="20"/>
        <v>0.10171213463989623</v>
      </c>
      <c r="AE16" s="168"/>
      <c r="AF16" s="19">
        <v>0</v>
      </c>
      <c r="AG16" s="19">
        <v>5.0999999999999997E-2</v>
      </c>
      <c r="AH16" s="19">
        <v>8.9672014214799464E-2</v>
      </c>
    </row>
    <row r="17" spans="1:34" x14ac:dyDescent="0.2">
      <c r="A17" s="17" t="s">
        <v>532</v>
      </c>
      <c r="B17" s="18" t="s">
        <v>208</v>
      </c>
      <c r="C17" s="18">
        <f>VLOOKUP($AN$1,DST!C:D,2,FALSE)</f>
        <v>12</v>
      </c>
      <c r="D17" s="147"/>
      <c r="E17" s="147"/>
      <c r="F17" s="147"/>
      <c r="G17" s="147"/>
      <c r="H17" s="147"/>
      <c r="I17" s="146">
        <f t="shared" si="12"/>
        <v>0</v>
      </c>
      <c r="J17" s="146">
        <f t="shared" si="13"/>
        <v>0</v>
      </c>
      <c r="K17" s="146">
        <f t="shared" si="14"/>
        <v>0</v>
      </c>
      <c r="L17" s="146">
        <f t="shared" si="15"/>
        <v>13.627774159999998</v>
      </c>
      <c r="M17" s="146">
        <f t="shared" si="16"/>
        <v>8.176664495999999</v>
      </c>
      <c r="N17" s="146">
        <f t="shared" si="16"/>
        <v>93.099417340045775</v>
      </c>
      <c r="O17" s="146">
        <f t="shared" si="17"/>
        <v>0.66830645474025152</v>
      </c>
      <c r="Q17" s="13"/>
      <c r="R17" s="139"/>
      <c r="S17" s="138"/>
      <c r="T17" s="139"/>
      <c r="U17" s="139"/>
      <c r="V17" s="107">
        <v>5.0199999999999996</v>
      </c>
      <c r="W17" s="150">
        <f t="shared" si="18"/>
        <v>0</v>
      </c>
      <c r="X17" s="19">
        <v>0</v>
      </c>
      <c r="Y17" s="19">
        <v>0.60000000000000009</v>
      </c>
      <c r="Z17" s="20">
        <v>11.385989652087321</v>
      </c>
      <c r="AA17" s="150">
        <f t="shared" si="19"/>
        <v>2.2539999999999998E-2</v>
      </c>
      <c r="AB17" s="7">
        <v>7.0807233927287466E-2</v>
      </c>
      <c r="AC17" s="150">
        <f t="shared" si="20"/>
        <v>9.2707596418563284E-2</v>
      </c>
      <c r="AE17" s="168"/>
      <c r="AF17" s="19">
        <v>0</v>
      </c>
      <c r="AG17" s="19">
        <v>2.3E-2</v>
      </c>
      <c r="AH17" s="19">
        <v>8.173338346793918E-2</v>
      </c>
    </row>
    <row r="18" spans="1:34" x14ac:dyDescent="0.2">
      <c r="A18" s="17" t="s">
        <v>566</v>
      </c>
      <c r="B18" s="18" t="s">
        <v>208</v>
      </c>
      <c r="C18" s="18">
        <f>VLOOKUP($AN$1,DST!C:D,2,FALSE)</f>
        <v>12</v>
      </c>
      <c r="D18" s="147"/>
      <c r="E18" s="147"/>
      <c r="F18" s="147"/>
      <c r="G18" s="147"/>
      <c r="H18" s="147"/>
      <c r="I18" s="146">
        <f t="shared" si="12"/>
        <v>0</v>
      </c>
      <c r="J18" s="146">
        <f t="shared" si="13"/>
        <v>0</v>
      </c>
      <c r="K18" s="146">
        <f t="shared" si="14"/>
        <v>0</v>
      </c>
      <c r="L18" s="146">
        <f t="shared" si="15"/>
        <v>20.737917199999995</v>
      </c>
      <c r="M18" s="146">
        <f t="shared" si="16"/>
        <v>12.608653657599998</v>
      </c>
      <c r="N18" s="146">
        <f t="shared" si="16"/>
        <v>146.10709949103651</v>
      </c>
      <c r="O18" s="146">
        <f t="shared" si="17"/>
        <v>1.1189931551875791</v>
      </c>
      <c r="Q18" s="13"/>
      <c r="R18" s="139"/>
      <c r="S18" s="138"/>
      <c r="T18" s="139"/>
      <c r="U18" s="139"/>
      <c r="V18" s="107">
        <v>5.34</v>
      </c>
      <c r="W18" s="150">
        <f t="shared" si="18"/>
        <v>0</v>
      </c>
      <c r="X18" s="19">
        <v>7.1942446043165463E-3</v>
      </c>
      <c r="Y18" s="19">
        <v>0.6080000000000001</v>
      </c>
      <c r="Z18" s="20">
        <v>11.58784303691052</v>
      </c>
      <c r="AA18" s="150">
        <f t="shared" si="19"/>
        <v>3.4299999999999997E-2</v>
      </c>
      <c r="AB18" s="7">
        <v>0.12200080736462221</v>
      </c>
      <c r="AC18" s="150">
        <f t="shared" si="20"/>
        <v>0.10066408690847688</v>
      </c>
      <c r="AE18" s="168"/>
      <c r="AF18" s="19">
        <v>0</v>
      </c>
      <c r="AG18" s="19">
        <v>3.5000000000000003E-2</v>
      </c>
      <c r="AH18" s="19">
        <v>8.8748028582186833E-2</v>
      </c>
    </row>
    <row r="19" spans="1:34" x14ac:dyDescent="0.2">
      <c r="B19" s="18" t="s">
        <v>208</v>
      </c>
      <c r="C19" s="18">
        <f>VLOOKUP($AN$1,DST!C:D,2,FALSE)</f>
        <v>12</v>
      </c>
      <c r="D19" s="147"/>
      <c r="E19" s="147"/>
      <c r="F19" s="147"/>
      <c r="G19" s="147"/>
      <c r="H19" s="147"/>
      <c r="I19" s="146">
        <f t="shared" si="12"/>
        <v>0</v>
      </c>
      <c r="J19" s="146">
        <f t="shared" si="13"/>
        <v>0</v>
      </c>
      <c r="K19" s="146">
        <f t="shared" si="14"/>
        <v>0</v>
      </c>
      <c r="L19" s="146">
        <f t="shared" si="15"/>
        <v>0</v>
      </c>
      <c r="M19" s="146">
        <f t="shared" si="16"/>
        <v>0</v>
      </c>
      <c r="N19" s="146">
        <f t="shared" si="16"/>
        <v>0</v>
      </c>
      <c r="O19" s="146">
        <f t="shared" si="17"/>
        <v>0</v>
      </c>
      <c r="Q19" s="13"/>
      <c r="R19" s="139"/>
      <c r="S19" s="138"/>
      <c r="T19" s="139"/>
      <c r="U19" s="139"/>
      <c r="V19" s="107">
        <v>0</v>
      </c>
      <c r="W19" s="150">
        <f t="shared" si="18"/>
        <v>0</v>
      </c>
      <c r="X19" s="19">
        <v>0</v>
      </c>
      <c r="Y19" s="19">
        <v>0</v>
      </c>
      <c r="Z19" s="20">
        <v>0</v>
      </c>
      <c r="AA19" s="150">
        <f t="shared" si="19"/>
        <v>0</v>
      </c>
      <c r="AB19" s="7">
        <v>1.5360433820360337E-2</v>
      </c>
      <c r="AC19" s="150">
        <f t="shared" si="20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208</v>
      </c>
      <c r="C20" s="18">
        <f>VLOOKUP($AN$1,DST!C:D,2,FALSE)</f>
        <v>12</v>
      </c>
      <c r="D20" s="147"/>
      <c r="E20" s="147"/>
      <c r="F20" s="147"/>
      <c r="G20" s="147"/>
      <c r="H20" s="147"/>
      <c r="I20" s="146">
        <f t="shared" si="12"/>
        <v>0</v>
      </c>
      <c r="J20" s="146">
        <f t="shared" si="13"/>
        <v>0</v>
      </c>
      <c r="K20" s="146">
        <f t="shared" si="14"/>
        <v>0</v>
      </c>
      <c r="L20" s="146">
        <f t="shared" si="15"/>
        <v>0</v>
      </c>
      <c r="M20" s="146">
        <f t="shared" si="16"/>
        <v>0</v>
      </c>
      <c r="N20" s="146">
        <f t="shared" si="16"/>
        <v>0</v>
      </c>
      <c r="O20" s="146">
        <f t="shared" si="17"/>
        <v>0</v>
      </c>
      <c r="Q20" s="13"/>
      <c r="R20" s="139"/>
      <c r="S20" s="138"/>
      <c r="T20" s="139"/>
      <c r="U20" s="139"/>
      <c r="V20" s="107">
        <v>0</v>
      </c>
      <c r="W20" s="150">
        <f t="shared" si="18"/>
        <v>0</v>
      </c>
      <c r="X20" s="19">
        <v>0</v>
      </c>
      <c r="Y20" s="19">
        <v>0</v>
      </c>
      <c r="Z20" s="20">
        <v>0</v>
      </c>
      <c r="AA20" s="150">
        <f t="shared" si="19"/>
        <v>0</v>
      </c>
      <c r="AB20" s="7">
        <v>0</v>
      </c>
      <c r="AC20" s="150">
        <f t="shared" si="20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446</v>
      </c>
      <c r="B22" s="18" t="s">
        <v>10</v>
      </c>
      <c r="C22" s="18">
        <f>VLOOKUP($AN$1,DST!C:D,2,FALSE)</f>
        <v>12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67.546358879999971</v>
      </c>
      <c r="M22" s="146">
        <f t="shared" ref="M22:N25" si="21">L22*Y22</f>
        <v>47.822822087039974</v>
      </c>
      <c r="N22" s="146">
        <f t="shared" si="21"/>
        <v>480.80830174130097</v>
      </c>
      <c r="O22" s="146">
        <f t="shared" ref="O22:O25" si="22">M22*AH22</f>
        <v>3.3475975460927985</v>
      </c>
      <c r="Q22" s="13"/>
      <c r="R22" s="139"/>
      <c r="S22" s="138"/>
      <c r="T22" s="139"/>
      <c r="U22" s="139"/>
      <c r="V22" s="140"/>
      <c r="W22" s="154"/>
      <c r="X22" s="139"/>
      <c r="Y22" s="19">
        <v>0.70799999999999996</v>
      </c>
      <c r="Z22" s="20">
        <v>10.053950828460215</v>
      </c>
      <c r="AA22" s="150">
        <f>(AG22/SUM(AG$6:AG$25))*0.98</f>
        <v>0.11171999999999997</v>
      </c>
      <c r="AB22" s="7">
        <v>9.1397463479426053E-2</v>
      </c>
      <c r="AC22" s="150">
        <f>(AH22/SUM(AH$6:AH$25))*0.98</f>
        <v>7.9398789991913424E-2</v>
      </c>
      <c r="AE22" s="168"/>
      <c r="AF22" s="168"/>
      <c r="AG22" s="19">
        <v>0.114</v>
      </c>
      <c r="AH22" s="19">
        <v>7.0000000000000007E-2</v>
      </c>
    </row>
    <row r="23" spans="1:34" x14ac:dyDescent="0.2">
      <c r="A23" s="17" t="s">
        <v>411</v>
      </c>
      <c r="B23" s="18" t="s">
        <v>10</v>
      </c>
      <c r="C23" s="18">
        <f>VLOOKUP($AN$1,DST!C:D,2,FALSE)</f>
        <v>12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30.218107919999987</v>
      </c>
      <c r="M23" s="146">
        <f t="shared" si="21"/>
        <v>20.699403925199992</v>
      </c>
      <c r="N23" s="146">
        <f t="shared" si="21"/>
        <v>207.80391532112876</v>
      </c>
      <c r="O23" s="146">
        <f t="shared" si="22"/>
        <v>1.4903570826143993</v>
      </c>
      <c r="Q23" s="13"/>
      <c r="R23" s="139"/>
      <c r="S23" s="138"/>
      <c r="T23" s="139"/>
      <c r="U23" s="139"/>
      <c r="V23" s="140"/>
      <c r="W23" s="154"/>
      <c r="X23" s="139"/>
      <c r="Y23" s="19">
        <v>0.68500000000000005</v>
      </c>
      <c r="Z23" s="20">
        <v>10.039125574439508</v>
      </c>
      <c r="AA23" s="150">
        <f>(AG23/SUM(AG$6:AG$25))*0.98</f>
        <v>4.9979999999999983E-2</v>
      </c>
      <c r="AB23" s="7">
        <v>4.1322530214849523E-2</v>
      </c>
      <c r="AC23" s="150">
        <f>(AH23/SUM(AH$6:AH$25))*0.98</f>
        <v>8.1667326848825203E-2</v>
      </c>
      <c r="AE23" s="168"/>
      <c r="AF23" s="168"/>
      <c r="AG23" s="19">
        <v>5.0999999999999997E-2</v>
      </c>
      <c r="AH23" s="19">
        <v>7.1999999999999995E-2</v>
      </c>
    </row>
    <row r="24" spans="1:34" x14ac:dyDescent="0.2">
      <c r="B24" s="18" t="s">
        <v>10</v>
      </c>
      <c r="C24" s="18">
        <f>VLOOKUP($AN$1,DST!C:D,2,FALSE)</f>
        <v>12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0</v>
      </c>
      <c r="M24" s="146">
        <f t="shared" si="21"/>
        <v>0</v>
      </c>
      <c r="N24" s="146">
        <f t="shared" si="21"/>
        <v>0</v>
      </c>
      <c r="O24" s="146">
        <f t="shared" si="22"/>
        <v>0</v>
      </c>
      <c r="Q24" s="13"/>
      <c r="R24" s="139"/>
      <c r="S24" s="138"/>
      <c r="T24" s="139"/>
      <c r="U24" s="139"/>
      <c r="V24" s="140"/>
      <c r="W24" s="154"/>
      <c r="X24" s="139"/>
      <c r="Y24" s="19">
        <v>0</v>
      </c>
      <c r="Z24" s="20">
        <v>0</v>
      </c>
      <c r="AA24" s="150">
        <f>(AG24/SUM(AG$6:AG$25))*0.98</f>
        <v>0</v>
      </c>
      <c r="AB24" s="7">
        <v>4.2231344065620888E-2</v>
      </c>
      <c r="AC24" s="150">
        <f>(AH24/SUM(AH$6:AH$25))*0.98</f>
        <v>0</v>
      </c>
      <c r="AE24" s="168"/>
      <c r="AF24" s="168"/>
      <c r="AG24" s="19">
        <v>0</v>
      </c>
      <c r="AH24" s="19">
        <v>0</v>
      </c>
    </row>
    <row r="25" spans="1:34" x14ac:dyDescent="0.2">
      <c r="B25" s="18" t="s">
        <v>10</v>
      </c>
      <c r="C25" s="18">
        <f>VLOOKUP($AN$1,DST!C:D,2,FALSE)</f>
        <v>12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21"/>
        <v>0</v>
      </c>
      <c r="N25" s="146">
        <f t="shared" si="21"/>
        <v>0</v>
      </c>
      <c r="O25" s="146">
        <f t="shared" si="22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3.0534581668339708E-2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264</v>
      </c>
      <c r="X27" s="30"/>
      <c r="Y27" s="30"/>
      <c r="Z27" s="31"/>
      <c r="AA27" s="9" t="s">
        <v>264</v>
      </c>
      <c r="AB27" s="9" t="s">
        <v>264</v>
      </c>
      <c r="AC27" s="9" t="s">
        <v>264</v>
      </c>
      <c r="AD27" s="44"/>
      <c r="AE27" s="9" t="s">
        <v>264</v>
      </c>
      <c r="AF27" s="9" t="s">
        <v>264</v>
      </c>
      <c r="AG27" s="9" t="s">
        <v>264</v>
      </c>
    </row>
    <row r="28" spans="1:34" s="27" customFormat="1" x14ac:dyDescent="0.2">
      <c r="A28" s="45" t="s">
        <v>265</v>
      </c>
      <c r="B28" s="28"/>
      <c r="C28" s="28"/>
      <c r="D28" s="34" t="s">
        <v>269</v>
      </c>
      <c r="E28" s="34" t="s">
        <v>266</v>
      </c>
      <c r="F28" s="155" t="s">
        <v>267</v>
      </c>
      <c r="G28" s="34" t="s">
        <v>286</v>
      </c>
      <c r="H28" s="34" t="s">
        <v>268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0.98000000000000009</v>
      </c>
      <c r="X28" s="30"/>
      <c r="Y28" s="30"/>
      <c r="Z28" s="31"/>
      <c r="AA28" s="150">
        <f>SUM(AA6:AA25)</f>
        <v>0.97999999999999987</v>
      </c>
      <c r="AB28" s="150">
        <f>SUM(AB2:AB4,AB6:AB11,AB13:AB20,AB22:AB25)</f>
        <v>0.97499999999999987</v>
      </c>
      <c r="AC28" s="150">
        <f>SUM(AC6:AC25)</f>
        <v>0.97999999999999987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1.0000000000000002</v>
      </c>
    </row>
    <row r="29" spans="1:34" s="27" customFormat="1" x14ac:dyDescent="0.2">
      <c r="A29" s="43"/>
      <c r="B29" s="28"/>
      <c r="C29" s="28"/>
      <c r="D29" s="46">
        <v>1057</v>
      </c>
      <c r="E29" s="47">
        <v>0.57199999999999995</v>
      </c>
      <c r="F29" s="2">
        <f>1-E29</f>
        <v>0.42800000000000005</v>
      </c>
      <c r="G29" s="106">
        <v>4.25</v>
      </c>
      <c r="H29" s="126">
        <v>3.5999999999999997E-2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265</v>
      </c>
      <c r="B31" s="28"/>
      <c r="C31" s="28"/>
      <c r="D31" s="162" t="s">
        <v>278</v>
      </c>
      <c r="E31" s="162" t="s">
        <v>1</v>
      </c>
      <c r="F31" s="162" t="s">
        <v>263</v>
      </c>
      <c r="G31" s="162" t="s">
        <v>137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604.60399999999993</v>
      </c>
      <c r="E32" s="156">
        <f>SUM(E2:E4)</f>
        <v>392.72526068558659</v>
      </c>
      <c r="F32" s="156">
        <f>SUM(F2:F4)</f>
        <v>4341.0527016202041</v>
      </c>
      <c r="G32" s="156">
        <f>SUM(G2:G4)</f>
        <v>30.183780007748137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265</v>
      </c>
      <c r="B34" s="28"/>
      <c r="C34" s="28"/>
      <c r="D34" s="162" t="s">
        <v>270</v>
      </c>
      <c r="E34" s="162" t="s">
        <v>263</v>
      </c>
      <c r="F34" s="162" t="s">
        <v>137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452.39600000000007</v>
      </c>
      <c r="E35" s="156">
        <f>D35*G29</f>
        <v>1922.6830000000002</v>
      </c>
      <c r="F35" s="156">
        <f>D35*H29</f>
        <v>16.286256000000002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279</v>
      </c>
      <c r="B37" s="37"/>
      <c r="C37" s="37"/>
      <c r="D37" s="164" t="s">
        <v>273</v>
      </c>
      <c r="E37" s="164" t="s">
        <v>274</v>
      </c>
      <c r="F37" s="164" t="s">
        <v>275</v>
      </c>
      <c r="G37" s="164" t="s">
        <v>271</v>
      </c>
      <c r="H37" s="164" t="s">
        <v>272</v>
      </c>
      <c r="I37" s="160" t="s">
        <v>276</v>
      </c>
      <c r="J37" s="160" t="s">
        <v>277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3.5" thickBot="1" x14ac:dyDescent="0.25">
      <c r="D38" s="157">
        <f>SUM(I2:I20)</f>
        <v>443.34808000000015</v>
      </c>
      <c r="E38" s="157">
        <f>SUM(J2:J4,J6:J11,J13:J20)</f>
        <v>1914.0896114147877</v>
      </c>
      <c r="F38" s="157">
        <f>SUM(K2:K4,K6:K11,K13:K20)</f>
        <v>16.264843201504547</v>
      </c>
      <c r="G38" s="157">
        <f>SUM(L6:L11,L13:L20,L22:L25)</f>
        <v>592.51191999999969</v>
      </c>
      <c r="H38" s="157">
        <f>SUM(M6:M11,M13:M20,M22:M25)</f>
        <v>389.15175635335981</v>
      </c>
      <c r="I38" s="157">
        <f>SUM(N6:N11,N13:N20,N22:N25)</f>
        <v>4340.0978145687059</v>
      </c>
      <c r="J38" s="157">
        <f>SUM(O6:O11,O13:O20,O22:O25)</f>
        <v>30.148572643358438</v>
      </c>
      <c r="V38" s="181"/>
      <c r="X38" s="30"/>
      <c r="Y38" s="30"/>
      <c r="Z38" s="181"/>
      <c r="AH38" s="30"/>
    </row>
    <row r="39" spans="1:34" ht="13.5" thickTop="1" x14ac:dyDescent="0.2">
      <c r="D39" s="158">
        <f>D35-D38</f>
        <v>9.0479199999999196</v>
      </c>
      <c r="E39" s="158">
        <f>E35-E38</f>
        <v>8.5933885852125513</v>
      </c>
      <c r="F39" s="158">
        <f>F35-F38</f>
        <v>2.141279849545441E-2</v>
      </c>
      <c r="G39" s="158">
        <f>SUM(D2:D4)-G38</f>
        <v>12.092080000000237</v>
      </c>
      <c r="H39" s="158">
        <f>E32-H38</f>
        <v>3.5735043322267757</v>
      </c>
      <c r="I39" s="158">
        <f>F32-I38</f>
        <v>0.95488705149818998</v>
      </c>
      <c r="J39" s="158">
        <f>G32-J38</f>
        <v>3.5207364389698625E-2</v>
      </c>
      <c r="V39" s="181"/>
      <c r="X39" s="30"/>
      <c r="Y39" s="30"/>
      <c r="Z39" s="181"/>
      <c r="AH39" s="30"/>
    </row>
    <row r="40" spans="1:34" x14ac:dyDescent="0.2">
      <c r="V40" s="181"/>
      <c r="X40" s="30"/>
      <c r="Y40" s="30"/>
      <c r="Z40" s="181"/>
      <c r="AH40" s="30"/>
    </row>
    <row r="41" spans="1:34" x14ac:dyDescent="0.2">
      <c r="V41" s="181"/>
      <c r="X41" s="30"/>
      <c r="Y41" s="30"/>
      <c r="Z41" s="181"/>
      <c r="AH41" s="30"/>
    </row>
    <row r="42" spans="1:34" x14ac:dyDescent="0.2">
      <c r="V42" s="181"/>
      <c r="X42" s="30"/>
      <c r="Y42" s="30"/>
      <c r="Z42" s="181"/>
      <c r="AH42" s="30"/>
    </row>
    <row r="43" spans="1:34" x14ac:dyDescent="0.2">
      <c r="V43" s="181"/>
      <c r="X43" s="30"/>
      <c r="Y43" s="30"/>
      <c r="Z43" s="181"/>
      <c r="AH43" s="30"/>
    </row>
    <row r="44" spans="1:34" x14ac:dyDescent="0.2">
      <c r="V44" s="181"/>
      <c r="X44" s="30"/>
      <c r="Y44" s="30"/>
      <c r="Z44" s="181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sortState xmlns:xlrd2="http://schemas.microsoft.com/office/spreadsheetml/2017/richdata2" ref="A6:AH11">
    <sortCondition descending="1" ref="J6:J11"/>
  </sortState>
  <conditionalFormatting sqref="D39:J39">
    <cfRule type="cellIs" dxfId="23" priority="1" operator="lessThan">
      <formula>0</formula>
    </cfRule>
  </conditionalFormatting>
  <conditionalFormatting sqref="W28">
    <cfRule type="cellIs" dxfId="22" priority="2" operator="greaterThan">
      <formula>1</formula>
    </cfRule>
  </conditionalFormatting>
  <conditionalFormatting sqref="AA28:AG28">
    <cfRule type="cellIs" dxfId="21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>
    <tabColor theme="9" tint="-0.249977111117893"/>
  </sheetPr>
  <dimension ref="A1:AN64"/>
  <sheetViews>
    <sheetView showGridLines="0" zoomScale="85" zoomScaleNormal="85"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defaultColWidth="8.7109375" defaultRowHeight="12.75" x14ac:dyDescent="0.2"/>
  <cols>
    <col min="1" max="1" width="22.5703125" style="17" customWidth="1"/>
    <col min="2" max="3" width="8.7109375" style="18"/>
    <col min="4" max="13" width="8.7109375" style="23"/>
    <col min="14" max="15" width="8.7109375" style="18"/>
    <col min="16" max="16" width="4.7109375" style="18" customWidth="1"/>
    <col min="17" max="18" width="8.7109375" style="26"/>
    <col min="19" max="19" width="8.7109375" style="23"/>
    <col min="20" max="21" width="8.7109375" style="26"/>
    <col min="22" max="23" width="8.7109375" style="25"/>
    <col min="24" max="25" width="8.7109375" style="26"/>
    <col min="26" max="26" width="8.7109375" style="25"/>
    <col min="27" max="27" width="8.7109375" style="18"/>
    <col min="28" max="28" width="0" style="18" hidden="1" customWidth="1"/>
    <col min="29" max="29" width="8.7109375" style="26"/>
    <col min="30" max="30" width="4.7109375" style="17" customWidth="1"/>
    <col min="31" max="32" width="8.7109375" style="18"/>
    <col min="33" max="16384" width="8.7109375" style="17"/>
  </cols>
  <sheetData>
    <row r="1" spans="1:40" s="15" customFormat="1" ht="25.5" customHeight="1" x14ac:dyDescent="0.2">
      <c r="A1" s="15" t="s">
        <v>0</v>
      </c>
      <c r="B1" s="15" t="s">
        <v>8</v>
      </c>
      <c r="C1" s="15" t="s">
        <v>122</v>
      </c>
      <c r="D1" s="159" t="s">
        <v>210</v>
      </c>
      <c r="E1" s="159" t="s">
        <v>1</v>
      </c>
      <c r="F1" s="159" t="s">
        <v>213</v>
      </c>
      <c r="G1" s="159" t="s">
        <v>228</v>
      </c>
      <c r="H1" s="159" t="s">
        <v>2</v>
      </c>
      <c r="I1" s="159" t="s">
        <v>229</v>
      </c>
      <c r="J1" s="159" t="s">
        <v>217</v>
      </c>
      <c r="K1" s="159" t="s">
        <v>230</v>
      </c>
      <c r="L1" s="159" t="s">
        <v>219</v>
      </c>
      <c r="M1" s="159" t="s">
        <v>4</v>
      </c>
      <c r="N1" s="159" t="s">
        <v>223</v>
      </c>
      <c r="O1" s="159" t="s">
        <v>231</v>
      </c>
      <c r="Q1" s="160" t="s">
        <v>281</v>
      </c>
      <c r="R1" s="133" t="s">
        <v>232</v>
      </c>
      <c r="S1" s="134" t="s">
        <v>451</v>
      </c>
      <c r="T1" s="133" t="s">
        <v>205</v>
      </c>
      <c r="U1" s="133" t="s">
        <v>209</v>
      </c>
      <c r="V1" s="135" t="s">
        <v>280</v>
      </c>
      <c r="W1" s="161" t="s">
        <v>282</v>
      </c>
      <c r="X1" s="133" t="s">
        <v>233</v>
      </c>
      <c r="Y1" s="179" t="s">
        <v>234</v>
      </c>
      <c r="Z1" s="135" t="s">
        <v>235</v>
      </c>
      <c r="AA1" s="160" t="s">
        <v>236</v>
      </c>
      <c r="AB1" s="160" t="s">
        <v>237</v>
      </c>
      <c r="AC1" s="10" t="s">
        <v>262</v>
      </c>
      <c r="AE1" s="136" t="s">
        <v>283</v>
      </c>
      <c r="AF1" s="137" t="s">
        <v>284</v>
      </c>
      <c r="AG1" s="136" t="s">
        <v>285</v>
      </c>
      <c r="AH1" s="136" t="s">
        <v>450</v>
      </c>
      <c r="AN1" s="15" t="s">
        <v>111</v>
      </c>
    </row>
    <row r="2" spans="1:40" x14ac:dyDescent="0.2">
      <c r="A2" s="17" t="s">
        <v>158</v>
      </c>
      <c r="B2" s="18" t="s">
        <v>9</v>
      </c>
      <c r="C2" s="18">
        <f>VLOOKUP($AN$1,DST!C:D,2,FALSE)</f>
        <v>5</v>
      </c>
      <c r="D2" s="146">
        <f>D$32*Q2</f>
        <v>557.84736000000009</v>
      </c>
      <c r="E2" s="146">
        <f>D2*R2</f>
        <v>366.20220121605729</v>
      </c>
      <c r="F2" s="146">
        <f>E2*S2</f>
        <v>4243.8447920510216</v>
      </c>
      <c r="G2" s="146">
        <f>D2*T2</f>
        <v>25.64723704164253</v>
      </c>
      <c r="H2" s="146">
        <f>E2*U2</f>
        <v>7.2849514790596315</v>
      </c>
      <c r="I2" s="146">
        <f>D$35*W2</f>
        <v>127.97184959999998</v>
      </c>
      <c r="J2" s="146">
        <f>I2*V2</f>
        <v>563.07613823999998</v>
      </c>
      <c r="K2" s="146">
        <f>I2*X2</f>
        <v>9.7258605695999982</v>
      </c>
      <c r="L2" s="147"/>
      <c r="M2" s="147"/>
      <c r="N2" s="147"/>
      <c r="O2" s="147"/>
      <c r="Q2" s="150">
        <f>(AE2/SUM(AE$2:AE$25))</f>
        <v>0.98</v>
      </c>
      <c r="R2" s="19">
        <v>0.65645591872310238</v>
      </c>
      <c r="S2" s="107">
        <v>11.588801973222374</v>
      </c>
      <c r="T2" s="19">
        <v>4.5975366884666309E-2</v>
      </c>
      <c r="U2" s="19">
        <v>1.989324874309412E-2</v>
      </c>
      <c r="V2" s="107">
        <v>4.4000000000000004</v>
      </c>
      <c r="W2" s="150">
        <f>(AF2/SUM(AF$2:AF$20))*0.98</f>
        <v>0.25969999999999999</v>
      </c>
      <c r="X2" s="19">
        <v>7.5999999999999998E-2</v>
      </c>
      <c r="Y2" s="21"/>
      <c r="Z2" s="22"/>
      <c r="AA2" s="1"/>
      <c r="AB2" s="1"/>
      <c r="AC2" s="1"/>
      <c r="AE2" s="19">
        <v>0.98</v>
      </c>
      <c r="AF2" s="19">
        <v>0.26500000000000001</v>
      </c>
      <c r="AG2" s="168"/>
      <c r="AH2" s="168"/>
    </row>
    <row r="3" spans="1:40" x14ac:dyDescent="0.2">
      <c r="A3" s="17" t="s">
        <v>397</v>
      </c>
      <c r="B3" s="18" t="s">
        <v>9</v>
      </c>
      <c r="C3" s="18">
        <f>VLOOKUP($AN$1,DST!C:D,2,FALSE)</f>
        <v>5</v>
      </c>
      <c r="D3" s="146">
        <f>D$32*Q3</f>
        <v>11.384640000000012</v>
      </c>
      <c r="E3" s="146">
        <f t="shared" ref="E3:F4" si="0">D3*R3</f>
        <v>7.3964416896480492</v>
      </c>
      <c r="F3" s="146">
        <f t="shared" si="0"/>
        <v>80.704324055045902</v>
      </c>
      <c r="G3" s="146">
        <f t="shared" ref="G3:G4" si="1">D3*T3</f>
        <v>0.49671990302767033</v>
      </c>
      <c r="H3" s="146">
        <f t="shared" ref="H3:H4" si="2">E3*U3</f>
        <v>0.19025843666186737</v>
      </c>
      <c r="I3" s="146">
        <f>D$35*W3</f>
        <v>2.4145631999999999</v>
      </c>
      <c r="J3" s="146">
        <f>I3*V3</f>
        <v>8.416841661163053</v>
      </c>
      <c r="K3" s="146">
        <f>I3*X3</f>
        <v>6.9360172784886431E-2</v>
      </c>
      <c r="L3" s="147"/>
      <c r="M3" s="147"/>
      <c r="N3" s="147"/>
      <c r="O3" s="147"/>
      <c r="Q3" s="150">
        <f>(AE3/SUM(AE$2:AE$25))</f>
        <v>2.0000000000000018E-2</v>
      </c>
      <c r="R3" s="19">
        <v>0.64968604098575289</v>
      </c>
      <c r="S3" s="107">
        <v>10.911236435217015</v>
      </c>
      <c r="T3" s="19">
        <v>4.3630707956305144E-2</v>
      </c>
      <c r="U3" s="19">
        <v>2.572296850905352E-2</v>
      </c>
      <c r="V3" s="107">
        <v>3.4858651292138694</v>
      </c>
      <c r="W3" s="150">
        <f>(AF3/SUM(AF$2:AF$20))*0.98</f>
        <v>4.8999999999999998E-3</v>
      </c>
      <c r="X3" s="19">
        <v>2.8725764057402361E-2</v>
      </c>
      <c r="Y3" s="21"/>
      <c r="Z3" s="22"/>
      <c r="AA3" s="1"/>
      <c r="AB3" s="1"/>
      <c r="AC3" s="1"/>
      <c r="AE3" s="19">
        <v>2.0000000000000018E-2</v>
      </c>
      <c r="AF3" s="19">
        <v>5.0000000000000001E-3</v>
      </c>
      <c r="AG3" s="168"/>
      <c r="AH3" s="168"/>
    </row>
    <row r="4" spans="1:40" x14ac:dyDescent="0.2">
      <c r="B4" s="18" t="s">
        <v>9</v>
      </c>
      <c r="C4" s="18">
        <f>VLOOKUP($AN$1,DST!C:D,2,FALSE)</f>
        <v>5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>
        <v>0</v>
      </c>
      <c r="AF4" s="19"/>
      <c r="AG4" s="168"/>
      <c r="AH4" s="168"/>
    </row>
    <row r="5" spans="1:40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40" x14ac:dyDescent="0.2">
      <c r="A6" s="17" t="s">
        <v>76</v>
      </c>
      <c r="B6" s="18" t="s">
        <v>207</v>
      </c>
      <c r="C6" s="18">
        <f>VLOOKUP($AN$1,DST!C:D,2,FALSE)</f>
        <v>5</v>
      </c>
      <c r="D6" s="147"/>
      <c r="E6" s="147"/>
      <c r="F6" s="147"/>
      <c r="G6" s="147"/>
      <c r="H6" s="147"/>
      <c r="I6" s="146">
        <f t="shared" ref="I6:I11" si="3">D$35*W6</f>
        <v>251.11457280000002</v>
      </c>
      <c r="J6" s="146">
        <f>I6*V6</f>
        <v>1107.4152660480001</v>
      </c>
      <c r="K6" s="146">
        <f>I6*X6</f>
        <v>9.5423537663999998</v>
      </c>
      <c r="L6" s="146">
        <f>((D$2+D$3+D$4)*AA6)</f>
        <v>63.594599040000013</v>
      </c>
      <c r="M6" s="146">
        <f t="shared" ref="M6:N11" si="4">L6*Y6</f>
        <v>48.459084468479993</v>
      </c>
      <c r="N6" s="146">
        <f t="shared" si="4"/>
        <v>358.54282797919461</v>
      </c>
      <c r="O6" s="146">
        <f>M6*AH6</f>
        <v>2.2775769700185595</v>
      </c>
      <c r="Q6" s="13"/>
      <c r="R6" s="139"/>
      <c r="S6" s="138"/>
      <c r="T6" s="139"/>
      <c r="U6" s="139"/>
      <c r="V6" s="107">
        <v>4.41</v>
      </c>
      <c r="W6" s="150">
        <f t="shared" ref="W6:W11" si="5">(AF6/SUM(AF$2:AF$20))*0.98</f>
        <v>0.50960000000000005</v>
      </c>
      <c r="X6" s="19">
        <v>3.7999999999999999E-2</v>
      </c>
      <c r="Y6" s="19">
        <v>0.76199999999999979</v>
      </c>
      <c r="Z6" s="20">
        <v>7.3988774635725383</v>
      </c>
      <c r="AA6" s="150">
        <f t="shared" ref="AA6:AA11" si="6">(AG6/SUM(AG$6:AG$25))*0.98</f>
        <v>0.11172</v>
      </c>
      <c r="AB6" s="7">
        <v>9.6993486762411749E-2</v>
      </c>
      <c r="AC6" s="150">
        <f t="shared" ref="AC6:AC11" si="7">(AH6/SUM(AH$6:AH$25))*0.98</f>
        <v>6.6590238517538453E-2</v>
      </c>
      <c r="AE6" s="168"/>
      <c r="AF6" s="19">
        <v>0.52</v>
      </c>
      <c r="AG6" s="19">
        <v>0.114</v>
      </c>
      <c r="AH6" s="19">
        <v>4.7E-2</v>
      </c>
    </row>
    <row r="7" spans="1:40" x14ac:dyDescent="0.2">
      <c r="A7" s="17" t="s">
        <v>438</v>
      </c>
      <c r="B7" s="18" t="s">
        <v>207</v>
      </c>
      <c r="C7" s="18">
        <f>VLOOKUP($AN$1,DST!C:D,2,FALSE)</f>
        <v>5</v>
      </c>
      <c r="D7" s="147"/>
      <c r="E7" s="147"/>
      <c r="F7" s="147"/>
      <c r="G7" s="147"/>
      <c r="H7" s="147"/>
      <c r="I7" s="146">
        <f t="shared" si="3"/>
        <v>62.778643200000005</v>
      </c>
      <c r="J7" s="146">
        <f>I7*V7</f>
        <v>267.74646120413456</v>
      </c>
      <c r="K7" s="146">
        <f>I7*X7</f>
        <v>2.1972525120000004</v>
      </c>
      <c r="L7" s="146">
        <f>((D$2+D$3+D$4)*AA7)</f>
        <v>28.450215360000001</v>
      </c>
      <c r="M7" s="146">
        <f t="shared" si="4"/>
        <v>21.166960227840001</v>
      </c>
      <c r="N7" s="146">
        <f t="shared" si="4"/>
        <v>154.49231311258944</v>
      </c>
      <c r="O7" s="146">
        <f t="shared" ref="O7:O11" si="8">M7*AH7</f>
        <v>0.6350088068352</v>
      </c>
      <c r="Q7" s="13"/>
      <c r="R7" s="139"/>
      <c r="S7" s="138"/>
      <c r="T7" s="139"/>
      <c r="U7" s="139"/>
      <c r="V7" s="107">
        <v>4.2649290834647182</v>
      </c>
      <c r="W7" s="150">
        <f t="shared" si="5"/>
        <v>0.12740000000000001</v>
      </c>
      <c r="X7" s="19">
        <v>3.5000000000000003E-2</v>
      </c>
      <c r="Y7" s="19">
        <v>0.74399999999999999</v>
      </c>
      <c r="Z7" s="20">
        <v>7.2987482118189222</v>
      </c>
      <c r="AA7" s="150">
        <f t="shared" si="6"/>
        <v>4.9979999999999997E-2</v>
      </c>
      <c r="AB7" s="7">
        <v>4.1665556811962538E-2</v>
      </c>
      <c r="AC7" s="150">
        <f t="shared" si="7"/>
        <v>4.250440756438624E-2</v>
      </c>
      <c r="AE7" s="168"/>
      <c r="AF7" s="19">
        <v>0.13</v>
      </c>
      <c r="AG7" s="19">
        <v>5.0999999999999997E-2</v>
      </c>
      <c r="AH7" s="19">
        <v>0.03</v>
      </c>
    </row>
    <row r="8" spans="1:40" x14ac:dyDescent="0.2">
      <c r="A8" s="177" t="s">
        <v>625</v>
      </c>
      <c r="B8" s="18" t="s">
        <v>207</v>
      </c>
      <c r="C8" s="18">
        <f>VLOOKUP($AN$1,DST!C:D,2,FALSE)</f>
        <v>5</v>
      </c>
      <c r="D8" s="147"/>
      <c r="E8" s="147"/>
      <c r="F8" s="147"/>
      <c r="G8" s="147"/>
      <c r="H8" s="147"/>
      <c r="I8" s="146">
        <f t="shared" si="3"/>
        <v>33.803884799999999</v>
      </c>
      <c r="J8" s="146">
        <f>I8*V8</f>
        <v>144.26113156502868</v>
      </c>
      <c r="K8" s="146">
        <f>I8*X8</f>
        <v>1.3456661718998111</v>
      </c>
      <c r="L8" s="146">
        <f>((D$2+D$3+D$4)*AA8)</f>
        <v>12.272641920000002</v>
      </c>
      <c r="M8" s="146">
        <f t="shared" si="4"/>
        <v>9.0817550208000029</v>
      </c>
      <c r="N8" s="146">
        <f t="shared" si="4"/>
        <v>69.867615245038294</v>
      </c>
      <c r="O8" s="146">
        <f t="shared" si="8"/>
        <v>0.34510669079040007</v>
      </c>
      <c r="Q8" s="13"/>
      <c r="R8" s="139"/>
      <c r="S8" s="138"/>
      <c r="T8" s="139"/>
      <c r="U8" s="139"/>
      <c r="V8" s="107">
        <v>4.2675903204186962</v>
      </c>
      <c r="W8" s="150">
        <f t="shared" si="5"/>
        <v>6.8600000000000008E-2</v>
      </c>
      <c r="X8" s="19">
        <v>3.980803330331463E-2</v>
      </c>
      <c r="Y8" s="19">
        <v>0.7400000000000001</v>
      </c>
      <c r="Z8" s="20">
        <v>7.6931843112944618</v>
      </c>
      <c r="AA8" s="150">
        <f t="shared" si="6"/>
        <v>2.1559999999999999E-2</v>
      </c>
      <c r="AB8" s="7">
        <v>4.6807622627180211E-2</v>
      </c>
      <c r="AC8" s="150">
        <f t="shared" si="7"/>
        <v>5.3838916248222582E-2</v>
      </c>
      <c r="AE8" s="168"/>
      <c r="AF8" s="19">
        <v>7.0000000000000007E-2</v>
      </c>
      <c r="AG8" s="19">
        <v>2.1999999999999999E-2</v>
      </c>
      <c r="AH8" s="19">
        <v>3.7999999999999999E-2</v>
      </c>
    </row>
    <row r="9" spans="1:40" x14ac:dyDescent="0.2">
      <c r="B9" s="18" t="s">
        <v>207</v>
      </c>
      <c r="C9" s="18">
        <f>VLOOKUP($AN$1,DST!C:D,2,FALSE)</f>
        <v>5</v>
      </c>
      <c r="D9" s="147"/>
      <c r="E9" s="147"/>
      <c r="F9" s="147"/>
      <c r="G9" s="147"/>
      <c r="H9" s="147"/>
      <c r="I9" s="146">
        <f t="shared" si="3"/>
        <v>0</v>
      </c>
      <c r="J9" s="146">
        <f t="shared" ref="J9:J11" si="9">I9*V9</f>
        <v>0</v>
      </c>
      <c r="K9" s="146">
        <f t="shared" ref="K9:K11" si="10">I9*X9</f>
        <v>0</v>
      </c>
      <c r="L9" s="146">
        <f t="shared" ref="L9:L11" si="11">((D$2+D$3+D$4)*AA9)</f>
        <v>0</v>
      </c>
      <c r="M9" s="146">
        <f t="shared" si="4"/>
        <v>0</v>
      </c>
      <c r="N9" s="146">
        <f t="shared" si="4"/>
        <v>0</v>
      </c>
      <c r="O9" s="146">
        <f t="shared" si="8"/>
        <v>0</v>
      </c>
      <c r="Q9" s="13"/>
      <c r="R9" s="139"/>
      <c r="S9" s="138"/>
      <c r="T9" s="139"/>
      <c r="U9" s="139"/>
      <c r="V9" s="107">
        <v>0</v>
      </c>
      <c r="W9" s="150">
        <f t="shared" si="5"/>
        <v>0</v>
      </c>
      <c r="X9" s="19">
        <v>0</v>
      </c>
      <c r="Y9" s="19">
        <v>0</v>
      </c>
      <c r="Z9" s="20">
        <v>0</v>
      </c>
      <c r="AA9" s="150">
        <f t="shared" si="6"/>
        <v>0</v>
      </c>
      <c r="AB9" s="7">
        <v>2.6078201129355875E-2</v>
      </c>
      <c r="AC9" s="150">
        <f t="shared" si="7"/>
        <v>0</v>
      </c>
      <c r="AE9" s="168"/>
      <c r="AF9" s="19">
        <v>0</v>
      </c>
      <c r="AG9" s="19">
        <v>0</v>
      </c>
      <c r="AH9" s="19">
        <v>0</v>
      </c>
    </row>
    <row r="10" spans="1:40" x14ac:dyDescent="0.2">
      <c r="B10" s="18" t="s">
        <v>207</v>
      </c>
      <c r="C10" s="18">
        <f>VLOOKUP($AN$1,DST!C:D,2,FALSE)</f>
        <v>5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9"/>
        <v>0</v>
      </c>
      <c r="K10" s="146">
        <f t="shared" si="10"/>
        <v>0</v>
      </c>
      <c r="L10" s="146">
        <f t="shared" si="11"/>
        <v>0</v>
      </c>
      <c r="M10" s="146">
        <f t="shared" si="4"/>
        <v>0</v>
      </c>
      <c r="N10" s="146">
        <f t="shared" si="4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5"/>
        <v>0</v>
      </c>
      <c r="X10" s="19">
        <v>0</v>
      </c>
      <c r="Y10" s="19">
        <v>0</v>
      </c>
      <c r="Z10" s="20">
        <v>0</v>
      </c>
      <c r="AA10" s="150">
        <f t="shared" si="6"/>
        <v>0</v>
      </c>
      <c r="AB10" s="7">
        <v>5.4516741920817983E-4</v>
      </c>
      <c r="AC10" s="150">
        <f t="shared" si="7"/>
        <v>0</v>
      </c>
      <c r="AE10" s="168"/>
      <c r="AF10" s="19">
        <v>0</v>
      </c>
      <c r="AG10" s="19">
        <v>0</v>
      </c>
      <c r="AH10" s="19">
        <v>0</v>
      </c>
    </row>
    <row r="11" spans="1:40" x14ac:dyDescent="0.2">
      <c r="B11" s="18" t="s">
        <v>207</v>
      </c>
      <c r="C11" s="18">
        <f>VLOOKUP($AN$1,DST!C:D,2,FALSE)</f>
        <v>5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9"/>
        <v>0</v>
      </c>
      <c r="K11" s="146">
        <f t="shared" si="10"/>
        <v>0</v>
      </c>
      <c r="L11" s="146">
        <f t="shared" si="11"/>
        <v>0</v>
      </c>
      <c r="M11" s="146">
        <f t="shared" si="4"/>
        <v>0</v>
      </c>
      <c r="N11" s="146">
        <f t="shared" si="4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5"/>
        <v>0</v>
      </c>
      <c r="X11" s="19">
        <v>0</v>
      </c>
      <c r="Y11" s="19">
        <v>0</v>
      </c>
      <c r="Z11" s="20">
        <v>0</v>
      </c>
      <c r="AA11" s="150">
        <f t="shared" si="6"/>
        <v>0</v>
      </c>
      <c r="AB11" s="7">
        <v>0</v>
      </c>
      <c r="AC11" s="150">
        <f t="shared" si="7"/>
        <v>0</v>
      </c>
      <c r="AE11" s="168"/>
      <c r="AF11" s="19">
        <v>0</v>
      </c>
      <c r="AG11" s="19">
        <v>0</v>
      </c>
      <c r="AH11" s="19">
        <v>0</v>
      </c>
    </row>
    <row r="12" spans="1:40" x14ac:dyDescent="0.2">
      <c r="A12" s="50"/>
      <c r="B12" s="26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26"/>
      <c r="Q12" s="3"/>
      <c r="W12" s="153"/>
      <c r="AA12" s="152"/>
      <c r="AB12" s="6"/>
      <c r="AC12"/>
      <c r="AE12" s="124"/>
      <c r="AF12" s="124"/>
      <c r="AG12" s="26"/>
      <c r="AH12" s="26"/>
    </row>
    <row r="13" spans="1:40" x14ac:dyDescent="0.2">
      <c r="A13" s="17" t="s">
        <v>58</v>
      </c>
      <c r="B13" s="18" t="s">
        <v>208</v>
      </c>
      <c r="C13" s="18">
        <f>VLOOKUP($AN$1,DST!C:D,2,FALSE)</f>
        <v>5</v>
      </c>
      <c r="D13" s="147"/>
      <c r="E13" s="147"/>
      <c r="F13" s="147"/>
      <c r="G13" s="147"/>
      <c r="H13" s="147"/>
      <c r="I13" s="146">
        <f t="shared" ref="I13:I20" si="12">D$35*W13</f>
        <v>0</v>
      </c>
      <c r="J13" s="146">
        <f t="shared" ref="J13:J20" si="13">I13*V13</f>
        <v>0</v>
      </c>
      <c r="K13" s="146">
        <f t="shared" ref="K13:K20" si="14">I13*X13</f>
        <v>0</v>
      </c>
      <c r="L13" s="146">
        <f t="shared" ref="L13:L20" si="15">((D$2+D$3+D$4)*AA13)</f>
        <v>142.80892416</v>
      </c>
      <c r="M13" s="146">
        <f t="shared" ref="M13:N20" si="16">L13*Y13</f>
        <v>90.112431144959999</v>
      </c>
      <c r="N13" s="146">
        <f t="shared" si="16"/>
        <v>1286.8055167500288</v>
      </c>
      <c r="O13" s="146">
        <f t="shared" ref="O13:O20" si="17">M13*AH13</f>
        <v>8.2002312341913601</v>
      </c>
      <c r="Q13" s="13"/>
      <c r="R13" s="139"/>
      <c r="S13" s="138"/>
      <c r="T13" s="139"/>
      <c r="U13" s="139"/>
      <c r="V13" s="107">
        <v>5.0199999999999996</v>
      </c>
      <c r="W13" s="150">
        <f t="shared" ref="W13:W20" si="18">(AF13/SUM(AF$2:AF$20))*0.98</f>
        <v>0</v>
      </c>
      <c r="X13" s="19">
        <v>0</v>
      </c>
      <c r="Y13" s="19">
        <v>0.63100000000000001</v>
      </c>
      <c r="Z13" s="20">
        <v>14.28</v>
      </c>
      <c r="AA13" s="150">
        <f t="shared" ref="AA13:AA20" si="19">(AG13/SUM(AG$6:AG$25))*0.98</f>
        <v>0.25087999999999999</v>
      </c>
      <c r="AB13" s="7">
        <v>0.18264070564647064</v>
      </c>
      <c r="AC13" s="150">
        <f t="shared" ref="AC13:AC20" si="20">(AH13/SUM(AH$6:AH$25))*0.98</f>
        <v>0.12893003627863828</v>
      </c>
      <c r="AE13" s="168"/>
      <c r="AF13" s="19">
        <v>0</v>
      </c>
      <c r="AG13" s="19">
        <v>0.25600000000000001</v>
      </c>
      <c r="AH13" s="19">
        <v>9.0999999999999998E-2</v>
      </c>
    </row>
    <row r="14" spans="1:40" x14ac:dyDescent="0.2">
      <c r="A14" s="17" t="s">
        <v>202</v>
      </c>
      <c r="B14" s="18" t="s">
        <v>208</v>
      </c>
      <c r="C14" s="18">
        <f>VLOOKUP($AN$1,DST!C:D,2,FALSE)</f>
        <v>5</v>
      </c>
      <c r="D14" s="147"/>
      <c r="E14" s="147"/>
      <c r="F14" s="147"/>
      <c r="G14" s="147"/>
      <c r="H14" s="147"/>
      <c r="I14" s="146">
        <f t="shared" si="12"/>
        <v>4.8291263999999998</v>
      </c>
      <c r="J14" s="146">
        <f t="shared" si="13"/>
        <v>24.242214527999998</v>
      </c>
      <c r="K14" s="146">
        <f t="shared" si="14"/>
        <v>1.4429660557768925E-2</v>
      </c>
      <c r="L14" s="146">
        <f t="shared" si="15"/>
        <v>128.86274016000002</v>
      </c>
      <c r="M14" s="146">
        <f t="shared" si="16"/>
        <v>84.018506584320008</v>
      </c>
      <c r="N14" s="146">
        <f t="shared" si="16"/>
        <v>1135.9302090200065</v>
      </c>
      <c r="O14" s="146">
        <f t="shared" si="17"/>
        <v>7.0845651851390858</v>
      </c>
      <c r="Q14" s="13"/>
      <c r="R14" s="139"/>
      <c r="S14" s="138"/>
      <c r="T14" s="139"/>
      <c r="U14" s="139"/>
      <c r="V14" s="107">
        <v>5.0199999999999996</v>
      </c>
      <c r="W14" s="150">
        <f t="shared" si="18"/>
        <v>9.7999999999999997E-3</v>
      </c>
      <c r="X14" s="19">
        <v>2.9880478087649406E-3</v>
      </c>
      <c r="Y14" s="19">
        <v>0.65200000000000002</v>
      </c>
      <c r="Z14" s="20">
        <v>13.52</v>
      </c>
      <c r="AA14" s="150">
        <f t="shared" si="19"/>
        <v>0.22638</v>
      </c>
      <c r="AB14" s="7">
        <v>0.14215481835505084</v>
      </c>
      <c r="AC14" s="150">
        <f t="shared" si="20"/>
        <v>0.11946782452562296</v>
      </c>
      <c r="AE14" s="168"/>
      <c r="AF14" s="19">
        <v>0.01</v>
      </c>
      <c r="AG14" s="19">
        <v>0.23100000000000001</v>
      </c>
      <c r="AH14" s="19">
        <v>8.432148431523355E-2</v>
      </c>
    </row>
    <row r="15" spans="1:40" x14ac:dyDescent="0.2">
      <c r="A15" s="17" t="s">
        <v>395</v>
      </c>
      <c r="B15" s="18" t="s">
        <v>208</v>
      </c>
      <c r="C15" s="18">
        <f>VLOOKUP($AN$1,DST!C:D,2,FALSE)</f>
        <v>5</v>
      </c>
      <c r="D15" s="147"/>
      <c r="E15" s="147"/>
      <c r="F15" s="147"/>
      <c r="G15" s="147"/>
      <c r="H15" s="147"/>
      <c r="I15" s="146">
        <f t="shared" si="12"/>
        <v>0</v>
      </c>
      <c r="J15" s="146">
        <f t="shared" si="13"/>
        <v>0</v>
      </c>
      <c r="K15" s="146">
        <f t="shared" si="14"/>
        <v>0</v>
      </c>
      <c r="L15" s="146">
        <f t="shared" si="15"/>
        <v>39.607162559999999</v>
      </c>
      <c r="M15" s="146">
        <f t="shared" si="16"/>
        <v>23.249404422719998</v>
      </c>
      <c r="N15" s="146">
        <f t="shared" si="16"/>
        <v>271.55304365736959</v>
      </c>
      <c r="O15" s="146">
        <f t="shared" si="17"/>
        <v>1.6507077140131197</v>
      </c>
      <c r="Q15" s="13"/>
      <c r="R15" s="139"/>
      <c r="S15" s="138"/>
      <c r="T15" s="139"/>
      <c r="U15" s="139"/>
      <c r="V15" s="107">
        <v>4.76</v>
      </c>
      <c r="W15" s="150">
        <f t="shared" si="18"/>
        <v>0</v>
      </c>
      <c r="X15" s="19">
        <v>9.5312500000000015E-3</v>
      </c>
      <c r="Y15" s="19">
        <v>0.58699999999999997</v>
      </c>
      <c r="Z15" s="20">
        <v>11.68</v>
      </c>
      <c r="AA15" s="150">
        <f t="shared" si="19"/>
        <v>6.9579999999999989E-2</v>
      </c>
      <c r="AB15" s="7">
        <v>1.9177589085116745E-2</v>
      </c>
      <c r="AC15" s="150">
        <f t="shared" si="20"/>
        <v>0.10059376456904744</v>
      </c>
      <c r="AE15" s="168"/>
      <c r="AF15" s="19">
        <v>0</v>
      </c>
      <c r="AG15" s="19">
        <v>7.0999999999999994E-2</v>
      </c>
      <c r="AH15" s="19">
        <v>7.0999999999999994E-2</v>
      </c>
    </row>
    <row r="16" spans="1:40" x14ac:dyDescent="0.2">
      <c r="A16" s="17" t="s">
        <v>626</v>
      </c>
      <c r="B16" s="18" t="s">
        <v>208</v>
      </c>
      <c r="C16" s="18">
        <f>VLOOKUP($AN$1,DST!C:D,2,FALSE)</f>
        <v>5</v>
      </c>
      <c r="D16" s="147"/>
      <c r="E16" s="147"/>
      <c r="F16" s="147"/>
      <c r="G16" s="147"/>
      <c r="H16" s="147"/>
      <c r="I16" s="146">
        <f t="shared" si="12"/>
        <v>0</v>
      </c>
      <c r="J16" s="146">
        <f t="shared" si="13"/>
        <v>0</v>
      </c>
      <c r="K16" s="146">
        <f t="shared" si="14"/>
        <v>0</v>
      </c>
      <c r="L16" s="146">
        <f t="shared" si="15"/>
        <v>21.756047040000002</v>
      </c>
      <c r="M16" s="146">
        <f t="shared" si="16"/>
        <v>12.64026333024</v>
      </c>
      <c r="N16" s="146">
        <f t="shared" si="16"/>
        <v>152.947186295904</v>
      </c>
      <c r="O16" s="146">
        <f t="shared" si="17"/>
        <v>0.69209291395764783</v>
      </c>
      <c r="Q16" s="13"/>
      <c r="R16" s="139"/>
      <c r="S16" s="138"/>
      <c r="T16" s="139"/>
      <c r="U16" s="139"/>
      <c r="V16" s="107">
        <v>5.0199999999999996</v>
      </c>
      <c r="W16" s="150">
        <f t="shared" ref="W16:W19" si="21">(AF16/SUM(AF$2:AF$20))*0.98</f>
        <v>0</v>
      </c>
      <c r="X16" s="19">
        <v>0</v>
      </c>
      <c r="Y16" s="19">
        <v>0.58099999999999996</v>
      </c>
      <c r="Z16" s="20">
        <v>12.1</v>
      </c>
      <c r="AA16" s="150">
        <f t="shared" si="19"/>
        <v>3.8219999999999997E-2</v>
      </c>
      <c r="AB16" s="7">
        <v>4.8683418398659473E-2</v>
      </c>
      <c r="AC16" s="150">
        <f t="shared" si="20"/>
        <v>7.7574858789805051E-2</v>
      </c>
      <c r="AE16" s="168"/>
      <c r="AF16" s="19">
        <v>0</v>
      </c>
      <c r="AG16" s="19">
        <v>3.9E-2</v>
      </c>
      <c r="AH16" s="19">
        <v>5.4753045555776973E-2</v>
      </c>
    </row>
    <row r="17" spans="1:34" x14ac:dyDescent="0.2">
      <c r="A17" s="17" t="s">
        <v>642</v>
      </c>
      <c r="B17" s="18" t="s">
        <v>208</v>
      </c>
      <c r="C17" s="18">
        <f>VLOOKUP($AN$1,DST!C:D,2,FALSE)</f>
        <v>5</v>
      </c>
      <c r="D17" s="147"/>
      <c r="E17" s="147"/>
      <c r="F17" s="147"/>
      <c r="G17" s="147"/>
      <c r="H17" s="147"/>
      <c r="I17" s="146">
        <f t="shared" si="12"/>
        <v>0</v>
      </c>
      <c r="J17" s="146">
        <f t="shared" si="13"/>
        <v>0</v>
      </c>
      <c r="K17" s="146">
        <f t="shared" si="14"/>
        <v>0</v>
      </c>
      <c r="L17" s="146">
        <f t="shared" si="15"/>
        <v>8.3677104000000018</v>
      </c>
      <c r="M17" s="146">
        <f t="shared" si="16"/>
        <v>5.1879804480000011</v>
      </c>
      <c r="N17" s="146">
        <f t="shared" si="16"/>
        <v>58.033275066020074</v>
      </c>
      <c r="O17" s="146">
        <f t="shared" si="17"/>
        <v>0.36315863136000009</v>
      </c>
      <c r="Q17" s="13"/>
      <c r="R17" s="139"/>
      <c r="S17" s="138"/>
      <c r="T17" s="139"/>
      <c r="U17" s="139"/>
      <c r="V17" s="107">
        <v>5.0199999999999996</v>
      </c>
      <c r="W17" s="150">
        <f t="shared" si="21"/>
        <v>0</v>
      </c>
      <c r="X17" s="19">
        <v>0</v>
      </c>
      <c r="Y17" s="19">
        <v>0.62</v>
      </c>
      <c r="Z17" s="20">
        <v>11.186101344771309</v>
      </c>
      <c r="AA17" s="150">
        <f t="shared" si="19"/>
        <v>1.47E-2</v>
      </c>
      <c r="AB17" s="7">
        <v>1.6528415377832083E-2</v>
      </c>
      <c r="AC17" s="150">
        <f t="shared" si="20"/>
        <v>9.9176950983567921E-2</v>
      </c>
      <c r="AE17" s="168"/>
      <c r="AF17" s="19">
        <v>0</v>
      </c>
      <c r="AG17" s="19">
        <v>1.4999999999999999E-2</v>
      </c>
      <c r="AH17" s="19">
        <v>7.0000000000000007E-2</v>
      </c>
    </row>
    <row r="18" spans="1:34" x14ac:dyDescent="0.2">
      <c r="B18" s="18" t="s">
        <v>208</v>
      </c>
      <c r="C18" s="18">
        <f>VLOOKUP($AN$1,DST!C:D,2,FALSE)</f>
        <v>5</v>
      </c>
      <c r="D18" s="147"/>
      <c r="E18" s="147"/>
      <c r="F18" s="147"/>
      <c r="G18" s="147"/>
      <c r="H18" s="147"/>
      <c r="I18" s="146">
        <f t="shared" si="12"/>
        <v>0</v>
      </c>
      <c r="J18" s="146">
        <f t="shared" si="13"/>
        <v>0</v>
      </c>
      <c r="K18" s="146">
        <f t="shared" si="14"/>
        <v>0</v>
      </c>
      <c r="L18" s="146">
        <f t="shared" si="15"/>
        <v>0</v>
      </c>
      <c r="M18" s="146">
        <f t="shared" si="16"/>
        <v>0</v>
      </c>
      <c r="N18" s="146">
        <f t="shared" si="16"/>
        <v>0</v>
      </c>
      <c r="O18" s="146">
        <f t="shared" si="17"/>
        <v>0</v>
      </c>
      <c r="Q18" s="13"/>
      <c r="R18" s="139"/>
      <c r="S18" s="138"/>
      <c r="T18" s="139"/>
      <c r="U18" s="139"/>
      <c r="V18" s="107">
        <v>0</v>
      </c>
      <c r="W18" s="150">
        <f t="shared" si="21"/>
        <v>0</v>
      </c>
      <c r="X18" s="19">
        <v>0</v>
      </c>
      <c r="Y18" s="19">
        <v>0</v>
      </c>
      <c r="Z18" s="20">
        <v>0</v>
      </c>
      <c r="AA18" s="150">
        <f t="shared" si="19"/>
        <v>0</v>
      </c>
      <c r="AB18" s="7">
        <v>4.5812438744618697E-2</v>
      </c>
      <c r="AC18" s="150">
        <f t="shared" si="20"/>
        <v>0</v>
      </c>
      <c r="AE18" s="168"/>
      <c r="AF18" s="19">
        <v>0</v>
      </c>
      <c r="AG18" s="19">
        <v>0</v>
      </c>
      <c r="AH18" s="19">
        <v>0</v>
      </c>
    </row>
    <row r="19" spans="1:34" x14ac:dyDescent="0.2">
      <c r="B19" s="18" t="s">
        <v>208</v>
      </c>
      <c r="C19" s="18">
        <f>VLOOKUP($AN$1,DST!C:D,2,FALSE)</f>
        <v>5</v>
      </c>
      <c r="D19" s="147"/>
      <c r="E19" s="147"/>
      <c r="F19" s="147"/>
      <c r="G19" s="147"/>
      <c r="H19" s="147"/>
      <c r="I19" s="146">
        <f t="shared" si="12"/>
        <v>0</v>
      </c>
      <c r="J19" s="146">
        <f t="shared" si="13"/>
        <v>0</v>
      </c>
      <c r="K19" s="146">
        <f t="shared" si="14"/>
        <v>0</v>
      </c>
      <c r="L19" s="146">
        <f t="shared" si="15"/>
        <v>0</v>
      </c>
      <c r="M19" s="146">
        <f t="shared" si="16"/>
        <v>0</v>
      </c>
      <c r="N19" s="146">
        <f t="shared" si="16"/>
        <v>0</v>
      </c>
      <c r="O19" s="146">
        <f t="shared" si="17"/>
        <v>0</v>
      </c>
      <c r="Q19" s="13"/>
      <c r="R19" s="139"/>
      <c r="S19" s="138"/>
      <c r="T19" s="139"/>
      <c r="U19" s="139"/>
      <c r="V19" s="107">
        <v>0</v>
      </c>
      <c r="W19" s="150">
        <f t="shared" si="21"/>
        <v>0</v>
      </c>
      <c r="X19" s="19">
        <v>0</v>
      </c>
      <c r="Y19" s="19">
        <v>0</v>
      </c>
      <c r="Z19" s="20">
        <v>0</v>
      </c>
      <c r="AA19" s="150">
        <f t="shared" si="19"/>
        <v>0</v>
      </c>
      <c r="AB19" s="7">
        <v>0</v>
      </c>
      <c r="AC19" s="150">
        <f t="shared" si="20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208</v>
      </c>
      <c r="C20" s="18">
        <f>VLOOKUP($AN$1,DST!C:D,2,FALSE)</f>
        <v>5</v>
      </c>
      <c r="D20" s="147"/>
      <c r="E20" s="147"/>
      <c r="F20" s="147"/>
      <c r="G20" s="147"/>
      <c r="H20" s="147"/>
      <c r="I20" s="146">
        <f t="shared" si="12"/>
        <v>0</v>
      </c>
      <c r="J20" s="146">
        <f t="shared" si="13"/>
        <v>0</v>
      </c>
      <c r="K20" s="146">
        <f t="shared" si="14"/>
        <v>0</v>
      </c>
      <c r="L20" s="146">
        <f t="shared" si="15"/>
        <v>0</v>
      </c>
      <c r="M20" s="146">
        <f t="shared" si="16"/>
        <v>0</v>
      </c>
      <c r="N20" s="146">
        <f t="shared" si="16"/>
        <v>0</v>
      </c>
      <c r="O20" s="146">
        <f t="shared" si="17"/>
        <v>0</v>
      </c>
      <c r="Q20" s="13"/>
      <c r="R20" s="139"/>
      <c r="S20" s="138"/>
      <c r="T20" s="139"/>
      <c r="U20" s="139"/>
      <c r="V20" s="107">
        <v>0</v>
      </c>
      <c r="W20" s="150">
        <f t="shared" si="18"/>
        <v>0</v>
      </c>
      <c r="X20" s="19">
        <v>0</v>
      </c>
      <c r="Y20" s="19">
        <v>0</v>
      </c>
      <c r="Z20" s="20">
        <v>0</v>
      </c>
      <c r="AA20" s="150">
        <f t="shared" si="19"/>
        <v>0</v>
      </c>
      <c r="AB20" s="7">
        <v>0</v>
      </c>
      <c r="AC20" s="150">
        <f t="shared" si="20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Q21" s="11"/>
      <c r="R21" s="51"/>
      <c r="T21" s="51"/>
      <c r="U21" s="51"/>
      <c r="W21" s="153"/>
      <c r="X21" s="51"/>
      <c r="Y21" s="51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69</v>
      </c>
      <c r="B22" s="18" t="s">
        <v>10</v>
      </c>
      <c r="C22" s="18">
        <f>VLOOKUP($AN$1,DST!C:D,2,FALSE)</f>
        <v>5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90.929119680000014</v>
      </c>
      <c r="M22" s="146">
        <f t="shared" ref="M22:N25" si="22">L22*Y22</f>
        <v>62.195517861120017</v>
      </c>
      <c r="N22" s="146">
        <f t="shared" si="22"/>
        <v>691.61415861565456</v>
      </c>
      <c r="O22" s="146">
        <f t="shared" ref="O22:O25" si="23">M22*AH22</f>
        <v>3.8323909307243671</v>
      </c>
      <c r="Q22" s="13"/>
      <c r="R22" s="139"/>
      <c r="S22" s="138"/>
      <c r="T22" s="139"/>
      <c r="U22" s="139"/>
      <c r="V22" s="140"/>
      <c r="W22" s="154"/>
      <c r="X22" s="139"/>
      <c r="Y22" s="19">
        <v>0.68400000000000005</v>
      </c>
      <c r="Z22" s="20">
        <v>11.12</v>
      </c>
      <c r="AA22" s="150">
        <f>(AG22/SUM(AG$6:AG$25))*0.98</f>
        <v>0.15973999999999999</v>
      </c>
      <c r="AB22" s="7">
        <v>0.17179191628893564</v>
      </c>
      <c r="AC22" s="150">
        <f>(AH22/SUM(AH$6:AH$25))*0.98</f>
        <v>8.7301846214117018E-2</v>
      </c>
      <c r="AE22" s="168"/>
      <c r="AF22" s="168"/>
      <c r="AG22" s="19">
        <v>0.16300000000000001</v>
      </c>
      <c r="AH22" s="19">
        <v>6.1618442333448133E-2</v>
      </c>
    </row>
    <row r="23" spans="1:34" x14ac:dyDescent="0.2">
      <c r="A23" s="17" t="s">
        <v>696</v>
      </c>
      <c r="B23" s="18" t="s">
        <v>10</v>
      </c>
      <c r="C23" s="18">
        <f>VLOOKUP($AN$1,DST!C:D,2,FALSE)</f>
        <v>5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15.619726080000001</v>
      </c>
      <c r="M23" s="146">
        <f t="shared" si="22"/>
        <v>10.309019212800001</v>
      </c>
      <c r="N23" s="146">
        <f t="shared" si="22"/>
        <v>106.28598808396801</v>
      </c>
      <c r="O23" s="146">
        <f t="shared" si="23"/>
        <v>0.76286742174720001</v>
      </c>
      <c r="Q23" s="13"/>
      <c r="R23" s="139"/>
      <c r="S23" s="138"/>
      <c r="T23" s="139"/>
      <c r="U23" s="139"/>
      <c r="V23" s="140"/>
      <c r="W23" s="154"/>
      <c r="X23" s="139"/>
      <c r="Y23" s="19">
        <v>0.66</v>
      </c>
      <c r="Z23" s="20">
        <v>10.31</v>
      </c>
      <c r="AA23" s="150">
        <f>(AG23/SUM(AG$6:AG$25))*0.98</f>
        <v>2.7439999999999999E-2</v>
      </c>
      <c r="AB23" s="7">
        <v>0.10897770864733301</v>
      </c>
      <c r="AC23" s="150">
        <f>(AH23/SUM(AH$6:AH$25))*0.98</f>
        <v>0.10484420532548606</v>
      </c>
      <c r="AE23" s="168"/>
      <c r="AF23" s="168"/>
      <c r="AG23" s="19">
        <v>2.8000000000000001E-2</v>
      </c>
      <c r="AH23" s="19">
        <v>7.3999999999999996E-2</v>
      </c>
    </row>
    <row r="24" spans="1:34" x14ac:dyDescent="0.2">
      <c r="A24" s="17" t="s">
        <v>168</v>
      </c>
      <c r="B24" s="18" t="s">
        <v>10</v>
      </c>
      <c r="C24" s="18">
        <f>VLOOKUP($AN$1,DST!C:D,2,FALSE)</f>
        <v>5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5.5784736000000006</v>
      </c>
      <c r="M24" s="146">
        <f t="shared" si="22"/>
        <v>3.6650571552000004</v>
      </c>
      <c r="N24" s="146">
        <f t="shared" si="22"/>
        <v>37.206524341865247</v>
      </c>
      <c r="O24" s="146">
        <f t="shared" si="23"/>
        <v>0.25655400086400004</v>
      </c>
      <c r="Q24" s="13"/>
      <c r="R24" s="139"/>
      <c r="S24" s="138"/>
      <c r="T24" s="139"/>
      <c r="U24" s="139"/>
      <c r="V24" s="140"/>
      <c r="W24" s="154"/>
      <c r="X24" s="139"/>
      <c r="Y24" s="19">
        <v>0.65700000000000003</v>
      </c>
      <c r="Z24" s="20">
        <v>10.151690073666778</v>
      </c>
      <c r="AA24" s="150">
        <f>(AG24/SUM(AG$6:AG$25))*0.98</f>
        <v>9.7999999999999997E-3</v>
      </c>
      <c r="AB24" s="7">
        <v>2.7142954705864437E-2</v>
      </c>
      <c r="AC24" s="150">
        <f>(AH24/SUM(AH$6:AH$25))*0.98</f>
        <v>9.9176950983567921E-2</v>
      </c>
      <c r="AE24" s="168"/>
      <c r="AF24" s="168"/>
      <c r="AG24" s="19">
        <v>0.01</v>
      </c>
      <c r="AH24" s="19">
        <v>7.0000000000000007E-2</v>
      </c>
    </row>
    <row r="25" spans="1:34" x14ac:dyDescent="0.2">
      <c r="B25" s="18" t="s">
        <v>10</v>
      </c>
      <c r="C25" s="18">
        <f>VLOOKUP($AN$1,DST!C:D,2,FALSE)</f>
        <v>5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22"/>
        <v>0</v>
      </c>
      <c r="N25" s="146">
        <f t="shared" si="22"/>
        <v>0</v>
      </c>
      <c r="O25" s="146">
        <f t="shared" si="23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0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264</v>
      </c>
      <c r="X27" s="30"/>
      <c r="Y27" s="30"/>
      <c r="Z27" s="31"/>
      <c r="AA27" s="9" t="s">
        <v>264</v>
      </c>
      <c r="AB27" s="9" t="s">
        <v>264</v>
      </c>
      <c r="AC27" s="9" t="s">
        <v>264</v>
      </c>
      <c r="AD27" s="44"/>
      <c r="AE27" s="9" t="s">
        <v>264</v>
      </c>
      <c r="AF27" s="9" t="s">
        <v>264</v>
      </c>
      <c r="AG27" s="9" t="s">
        <v>264</v>
      </c>
    </row>
    <row r="28" spans="1:34" s="27" customFormat="1" x14ac:dyDescent="0.2">
      <c r="A28" s="45" t="s">
        <v>265</v>
      </c>
      <c r="B28" s="28"/>
      <c r="C28" s="28"/>
      <c r="D28" s="34" t="s">
        <v>269</v>
      </c>
      <c r="E28" s="34" t="s">
        <v>266</v>
      </c>
      <c r="F28" s="155" t="s">
        <v>267</v>
      </c>
      <c r="G28" s="34" t="s">
        <v>286</v>
      </c>
      <c r="H28" s="34" t="s">
        <v>268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0.98</v>
      </c>
      <c r="X28" s="30"/>
      <c r="Y28" s="30"/>
      <c r="Z28" s="31"/>
      <c r="AA28" s="150">
        <f>SUM(AA6:AA25)</f>
        <v>0.98000000000000009</v>
      </c>
      <c r="AB28" s="150">
        <f>SUM(AB2:AB4,AB6:AB11,AB13:AB20,AB22:AB25)</f>
        <v>0.97500000000000031</v>
      </c>
      <c r="AC28" s="150">
        <f>SUM(AC6:AC25)</f>
        <v>0.98000000000000009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</v>
      </c>
    </row>
    <row r="29" spans="1:34" s="27" customFormat="1" x14ac:dyDescent="0.2">
      <c r="A29" s="43"/>
      <c r="B29" s="28"/>
      <c r="C29" s="28"/>
      <c r="D29" s="46">
        <v>1062</v>
      </c>
      <c r="E29" s="47">
        <v>0.53600000000000003</v>
      </c>
      <c r="F29" s="2">
        <f>1-E29</f>
        <v>0.46399999999999997</v>
      </c>
      <c r="G29" s="106">
        <v>4.3</v>
      </c>
      <c r="H29" s="126">
        <v>4.65E-2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265</v>
      </c>
      <c r="B31" s="28"/>
      <c r="C31" s="28"/>
      <c r="D31" s="162" t="s">
        <v>278</v>
      </c>
      <c r="E31" s="162" t="s">
        <v>1</v>
      </c>
      <c r="F31" s="162" t="s">
        <v>263</v>
      </c>
      <c r="G31" s="162" t="s">
        <v>137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569.23200000000008</v>
      </c>
      <c r="E32" s="156">
        <f>SUM(E2:E4)</f>
        <v>373.59864290570533</v>
      </c>
      <c r="F32" s="156">
        <f>SUM(F2:F4)</f>
        <v>4324.5491161060672</v>
      </c>
      <c r="G32" s="156">
        <f>SUM(G2:G4)</f>
        <v>26.143956944670201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265</v>
      </c>
      <c r="B34" s="28"/>
      <c r="C34" s="28"/>
      <c r="D34" s="162" t="s">
        <v>270</v>
      </c>
      <c r="E34" s="162" t="s">
        <v>263</v>
      </c>
      <c r="F34" s="162" t="s">
        <v>137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492.76799999999997</v>
      </c>
      <c r="E35" s="156">
        <f>D35*G29</f>
        <v>2118.9023999999999</v>
      </c>
      <c r="F35" s="156">
        <f>D35*H29</f>
        <v>22.913712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279</v>
      </c>
      <c r="B37" s="37"/>
      <c r="C37" s="37"/>
      <c r="D37" s="164" t="s">
        <v>273</v>
      </c>
      <c r="E37" s="164" t="s">
        <v>274</v>
      </c>
      <c r="F37" s="164" t="s">
        <v>275</v>
      </c>
      <c r="G37" s="164" t="s">
        <v>271</v>
      </c>
      <c r="H37" s="164" t="s">
        <v>272</v>
      </c>
      <c r="I37" s="164" t="s">
        <v>276</v>
      </c>
      <c r="J37" s="164" t="s">
        <v>277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3.5" thickBot="1" x14ac:dyDescent="0.25">
      <c r="D38" s="157">
        <f>SUM(I2:I20)</f>
        <v>482.91264000000007</v>
      </c>
      <c r="E38" s="157">
        <f>SUM(J2:J4,J6:J11,J13:J20)</f>
        <v>2115.1580532463267</v>
      </c>
      <c r="F38" s="157">
        <f>SUM(K2:K4,K6:K11,K13:K20)</f>
        <v>22.894922853242463</v>
      </c>
      <c r="G38" s="157">
        <f>SUM(L6:L11,L13:L20,L22:L25)</f>
        <v>557.84736000000009</v>
      </c>
      <c r="H38" s="157">
        <f>SUM(M6:M11,M13:M20,M22:M25)</f>
        <v>370.08597987648</v>
      </c>
      <c r="I38" s="157">
        <f>SUM(N6:N11,N13:N20,N22:N25)</f>
        <v>4323.2786581676392</v>
      </c>
      <c r="J38" s="157">
        <f>SUM(O6:O11,O13:O20,O22:O25)</f>
        <v>26.100260499640935</v>
      </c>
      <c r="V38" s="181"/>
      <c r="X38" s="30"/>
      <c r="Y38" s="30"/>
      <c r="Z38" s="181"/>
      <c r="AH38" s="30"/>
    </row>
    <row r="39" spans="1:34" ht="13.5" thickTop="1" x14ac:dyDescent="0.2">
      <c r="D39" s="158">
        <f>D35-D38</f>
        <v>9.8553599999999051</v>
      </c>
      <c r="E39" s="158">
        <f>E35-E38</f>
        <v>3.7443467536731987</v>
      </c>
      <c r="F39" s="158">
        <f>F35-F38</f>
        <v>1.8789146757537623E-2</v>
      </c>
      <c r="G39" s="158">
        <f>SUM(D2:D4)-G38</f>
        <v>11.38463999999999</v>
      </c>
      <c r="H39" s="158">
        <f>E32-H38</f>
        <v>3.5126630292253367</v>
      </c>
      <c r="I39" s="158">
        <f>F32-I38</f>
        <v>1.2704579384280805</v>
      </c>
      <c r="J39" s="158">
        <f>G32-J38</f>
        <v>4.3696445029265618E-2</v>
      </c>
      <c r="V39" s="181"/>
      <c r="X39" s="30"/>
      <c r="Y39" s="30"/>
      <c r="Z39" s="181"/>
      <c r="AH39" s="30"/>
    </row>
    <row r="40" spans="1:34" x14ac:dyDescent="0.2">
      <c r="N40" s="23"/>
      <c r="O40" s="23"/>
      <c r="V40" s="181"/>
      <c r="X40" s="30"/>
      <c r="Y40" s="30"/>
      <c r="Z40" s="181"/>
      <c r="AH40" s="30"/>
    </row>
    <row r="41" spans="1:34" x14ac:dyDescent="0.2">
      <c r="N41" s="23"/>
      <c r="O41" s="23"/>
      <c r="V41" s="181"/>
      <c r="X41" s="30"/>
      <c r="Y41" s="30"/>
      <c r="Z41" s="181"/>
      <c r="AH41" s="30"/>
    </row>
    <row r="42" spans="1:34" x14ac:dyDescent="0.2">
      <c r="V42" s="181"/>
      <c r="X42" s="30"/>
      <c r="Y42" s="30"/>
      <c r="Z42" s="181"/>
      <c r="AH42" s="30"/>
    </row>
    <row r="43" spans="1:34" x14ac:dyDescent="0.2">
      <c r="V43" s="181"/>
      <c r="X43" s="30"/>
      <c r="Y43" s="30"/>
      <c r="Z43" s="181"/>
      <c r="AH43" s="30"/>
    </row>
    <row r="44" spans="1:34" x14ac:dyDescent="0.2">
      <c r="V44" s="181"/>
      <c r="X44" s="30"/>
      <c r="Y44" s="30"/>
      <c r="Z44" s="181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sortState xmlns:xlrd2="http://schemas.microsoft.com/office/spreadsheetml/2017/richdata2" ref="A13:AH20">
    <sortCondition descending="1" ref="N13:N20"/>
  </sortState>
  <conditionalFormatting sqref="D39:J39">
    <cfRule type="cellIs" dxfId="20" priority="1" operator="lessThan">
      <formula>0</formula>
    </cfRule>
  </conditionalFormatting>
  <conditionalFormatting sqref="W28">
    <cfRule type="cellIs" dxfId="19" priority="2" operator="greaterThan">
      <formula>1</formula>
    </cfRule>
  </conditionalFormatting>
  <conditionalFormatting sqref="AA28:AG28">
    <cfRule type="cellIs" dxfId="18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>
    <tabColor theme="1"/>
  </sheetPr>
  <dimension ref="A1:AN64"/>
  <sheetViews>
    <sheetView showGridLines="0" zoomScale="85" zoomScaleNormal="85"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defaultColWidth="8.7109375" defaultRowHeight="12.75" x14ac:dyDescent="0.2"/>
  <cols>
    <col min="1" max="1" width="22.5703125" style="17" customWidth="1"/>
    <col min="2" max="3" width="8.7109375" style="18"/>
    <col min="4" max="13" width="8.7109375" style="23"/>
    <col min="14" max="15" width="8.7109375" style="18"/>
    <col min="16" max="16" width="4.7109375" style="18" customWidth="1"/>
    <col min="17" max="18" width="8.7109375" style="26"/>
    <col min="19" max="19" width="8.7109375" style="23"/>
    <col min="20" max="21" width="8.7109375" style="26"/>
    <col min="22" max="23" width="8.7109375" style="25"/>
    <col min="24" max="25" width="8.7109375" style="26"/>
    <col min="26" max="26" width="8.7109375" style="25"/>
    <col min="27" max="27" width="8.7109375" style="18"/>
    <col min="28" max="28" width="0" style="18" hidden="1" customWidth="1"/>
    <col min="29" max="29" width="8.7109375" style="26"/>
    <col min="30" max="30" width="4.7109375" style="17" customWidth="1"/>
    <col min="31" max="32" width="8.7109375" style="18"/>
    <col min="33" max="16384" width="8.7109375" style="17"/>
  </cols>
  <sheetData>
    <row r="1" spans="1:40" s="15" customFormat="1" ht="25.5" customHeight="1" x14ac:dyDescent="0.2">
      <c r="A1" s="15" t="s">
        <v>0</v>
      </c>
      <c r="B1" s="15" t="s">
        <v>8</v>
      </c>
      <c r="C1" s="15" t="s">
        <v>122</v>
      </c>
      <c r="D1" s="159" t="s">
        <v>210</v>
      </c>
      <c r="E1" s="159" t="s">
        <v>1</v>
      </c>
      <c r="F1" s="159" t="s">
        <v>213</v>
      </c>
      <c r="G1" s="159" t="s">
        <v>228</v>
      </c>
      <c r="H1" s="159" t="s">
        <v>2</v>
      </c>
      <c r="I1" s="159" t="s">
        <v>229</v>
      </c>
      <c r="J1" s="159" t="s">
        <v>217</v>
      </c>
      <c r="K1" s="159" t="s">
        <v>230</v>
      </c>
      <c r="L1" s="159" t="s">
        <v>219</v>
      </c>
      <c r="M1" s="159" t="s">
        <v>4</v>
      </c>
      <c r="N1" s="159" t="s">
        <v>223</v>
      </c>
      <c r="O1" s="159" t="s">
        <v>231</v>
      </c>
      <c r="Q1" s="160" t="s">
        <v>281</v>
      </c>
      <c r="R1" s="133" t="s">
        <v>232</v>
      </c>
      <c r="S1" s="134" t="s">
        <v>451</v>
      </c>
      <c r="T1" s="133" t="s">
        <v>205</v>
      </c>
      <c r="U1" s="133" t="s">
        <v>209</v>
      </c>
      <c r="V1" s="135" t="s">
        <v>280</v>
      </c>
      <c r="W1" s="161" t="s">
        <v>282</v>
      </c>
      <c r="X1" s="133" t="s">
        <v>233</v>
      </c>
      <c r="Y1" s="179" t="s">
        <v>234</v>
      </c>
      <c r="Z1" s="135" t="s">
        <v>235</v>
      </c>
      <c r="AA1" s="160" t="s">
        <v>236</v>
      </c>
      <c r="AB1" s="160" t="s">
        <v>237</v>
      </c>
      <c r="AC1" s="10" t="s">
        <v>262</v>
      </c>
      <c r="AE1" s="136" t="s">
        <v>283</v>
      </c>
      <c r="AF1" s="137" t="s">
        <v>284</v>
      </c>
      <c r="AG1" s="136" t="s">
        <v>285</v>
      </c>
      <c r="AH1" s="136" t="s">
        <v>450</v>
      </c>
      <c r="AN1" s="15" t="s">
        <v>112</v>
      </c>
    </row>
    <row r="2" spans="1:40" x14ac:dyDescent="0.2">
      <c r="A2" s="17" t="s">
        <v>62</v>
      </c>
      <c r="B2" s="18" t="s">
        <v>9</v>
      </c>
      <c r="C2" s="18">
        <f>VLOOKUP($AN$1,DST!C:D,2,FALSE)</f>
        <v>9</v>
      </c>
      <c r="D2" s="146">
        <f>D$32*Q2</f>
        <v>421.3125</v>
      </c>
      <c r="E2" s="146">
        <f>D2*R2</f>
        <v>271.46074052052955</v>
      </c>
      <c r="F2" s="146">
        <f>E2*S2</f>
        <v>2933.1413931963207</v>
      </c>
      <c r="G2" s="146">
        <f>D2*T2</f>
        <v>18.038640733677362</v>
      </c>
      <c r="H2" s="146">
        <f>E2*U2</f>
        <v>4.9216194853696491</v>
      </c>
      <c r="I2" s="146">
        <f>D$35*W2</f>
        <v>43.063650000000003</v>
      </c>
      <c r="J2" s="146">
        <f>I2*V2</f>
        <v>197.74346573314693</v>
      </c>
      <c r="K2" s="146">
        <f>I2*X2</f>
        <v>1.6176543938223806</v>
      </c>
      <c r="L2" s="147"/>
      <c r="M2" s="147"/>
      <c r="N2" s="147"/>
      <c r="O2" s="147"/>
      <c r="Q2" s="150">
        <f>(AE2/SUM(AE$2:AE$25))</f>
        <v>0.75</v>
      </c>
      <c r="R2" s="19">
        <v>0.64432159150400126</v>
      </c>
      <c r="S2" s="107">
        <v>10.805029808627145</v>
      </c>
      <c r="T2" s="19">
        <v>4.2815346645725824E-2</v>
      </c>
      <c r="U2" s="19">
        <v>1.8130133572657241E-2</v>
      </c>
      <c r="V2" s="107">
        <v>4.5918881872100235</v>
      </c>
      <c r="W2" s="150">
        <f>(AF2/SUM(AF$2:AF$20))*0.98</f>
        <v>8.8200000000000014E-2</v>
      </c>
      <c r="X2" s="19">
        <v>3.7564265774554191E-2</v>
      </c>
      <c r="Y2" s="21"/>
      <c r="Z2" s="22"/>
      <c r="AA2" s="1"/>
      <c r="AB2" s="1"/>
      <c r="AC2" s="1"/>
      <c r="AE2" s="19">
        <v>0.75</v>
      </c>
      <c r="AF2" s="19">
        <v>0.09</v>
      </c>
      <c r="AG2" s="168"/>
      <c r="AH2" s="168"/>
    </row>
    <row r="3" spans="1:40" x14ac:dyDescent="0.2">
      <c r="A3" s="17" t="s">
        <v>172</v>
      </c>
      <c r="B3" s="18" t="s">
        <v>9</v>
      </c>
      <c r="C3" s="18">
        <f>VLOOKUP($AN$1,DST!C:D,2,FALSE)</f>
        <v>9</v>
      </c>
      <c r="D3" s="146">
        <f>D$32*Q3</f>
        <v>140.4375</v>
      </c>
      <c r="E3" s="146">
        <f t="shared" ref="E3:F4" si="0">D3*R3</f>
        <v>86.930812500000002</v>
      </c>
      <c r="F3" s="146">
        <f t="shared" si="0"/>
        <v>982.31818125000007</v>
      </c>
      <c r="G3" s="146">
        <f t="shared" ref="G3:G4" si="1">D3*T3</f>
        <v>5.7579375000000006</v>
      </c>
      <c r="H3" s="146">
        <f t="shared" ref="H3:H4" si="2">E3*U3</f>
        <v>2.3471319374999999</v>
      </c>
      <c r="I3" s="146">
        <f>D$35*W3</f>
        <v>34.450920000000004</v>
      </c>
      <c r="J3" s="146">
        <f>I3*V3</f>
        <v>188.57125338129816</v>
      </c>
      <c r="K3" s="146">
        <f>I3*X3</f>
        <v>1.4124877200000001</v>
      </c>
      <c r="L3" s="147"/>
      <c r="M3" s="147"/>
      <c r="N3" s="147"/>
      <c r="O3" s="147"/>
      <c r="Q3" s="150">
        <f>(AE3/SUM(AE$2:AE$25))</f>
        <v>0.25</v>
      </c>
      <c r="R3" s="19">
        <v>0.61899999999999999</v>
      </c>
      <c r="S3" s="107">
        <v>11.3</v>
      </c>
      <c r="T3" s="19">
        <v>4.1000000000000002E-2</v>
      </c>
      <c r="U3" s="19">
        <v>2.7E-2</v>
      </c>
      <c r="V3" s="107">
        <v>5.4736202511078993</v>
      </c>
      <c r="W3" s="150">
        <f>(AF3/SUM(AF$2:AF$20))*0.98</f>
        <v>7.0560000000000012E-2</v>
      </c>
      <c r="X3" s="19">
        <v>4.1000000000000002E-2</v>
      </c>
      <c r="Y3" s="21"/>
      <c r="Z3" s="22"/>
      <c r="AA3" s="1"/>
      <c r="AB3" s="1"/>
      <c r="AC3" s="1"/>
      <c r="AE3" s="19">
        <v>0.25</v>
      </c>
      <c r="AF3" s="19">
        <v>7.1999999999999995E-2</v>
      </c>
      <c r="AG3" s="168"/>
      <c r="AH3" s="168"/>
    </row>
    <row r="4" spans="1:40" x14ac:dyDescent="0.2">
      <c r="B4" s="18" t="s">
        <v>9</v>
      </c>
      <c r="C4" s="18">
        <f>VLOOKUP($AN$1,DST!C:D,2,FALSE)</f>
        <v>9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>
        <v>0</v>
      </c>
      <c r="AF4" s="19">
        <v>0</v>
      </c>
      <c r="AG4" s="168"/>
      <c r="AH4" s="168"/>
    </row>
    <row r="5" spans="1:40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40" x14ac:dyDescent="0.2">
      <c r="A6" s="17" t="s">
        <v>191</v>
      </c>
      <c r="B6" s="18" t="s">
        <v>207</v>
      </c>
      <c r="C6" s="18">
        <f>VLOOKUP($AN$1,DST!C:D,2,FALSE)</f>
        <v>9</v>
      </c>
      <c r="D6" s="147"/>
      <c r="E6" s="147"/>
      <c r="F6" s="147"/>
      <c r="G6" s="147"/>
      <c r="H6" s="147"/>
      <c r="I6" s="146">
        <f t="shared" ref="I6:I11" si="3">D$35*W6</f>
        <v>210.5334</v>
      </c>
      <c r="J6" s="146">
        <f>I6*V6</f>
        <v>871.60827599999993</v>
      </c>
      <c r="K6" s="146">
        <f>I6*X6</f>
        <v>6.5265354000000002</v>
      </c>
      <c r="L6" s="146">
        <f>((D$2+D$3+D$4)*AA6)</f>
        <v>31.379355</v>
      </c>
      <c r="M6" s="146">
        <f t="shared" ref="M6:N11" si="4">L6*Y6</f>
        <v>22.812791085000001</v>
      </c>
      <c r="N6" s="146">
        <f t="shared" si="4"/>
        <v>146.68624667654998</v>
      </c>
      <c r="O6" s="146">
        <f>M6*AH6</f>
        <v>0.93532443448500002</v>
      </c>
      <c r="Q6" s="13"/>
      <c r="R6" s="139"/>
      <c r="S6" s="138"/>
      <c r="T6" s="139"/>
      <c r="U6" s="139"/>
      <c r="V6" s="107">
        <v>4.1399999999999997</v>
      </c>
      <c r="W6" s="150">
        <f t="shared" ref="W6:W11" si="5">(AF6/SUM(AF$2:AF$20))*0.98</f>
        <v>0.43120000000000003</v>
      </c>
      <c r="X6" s="19">
        <v>3.1E-2</v>
      </c>
      <c r="Y6" s="19">
        <v>0.72699999999999998</v>
      </c>
      <c r="Z6" s="20">
        <v>6.43</v>
      </c>
      <c r="AA6" s="150">
        <f t="shared" ref="AA6:AA11" si="6">(AG6/SUM(AG$6:AG$25))*0.98</f>
        <v>5.586E-2</v>
      </c>
      <c r="AB6" s="7">
        <v>9.4003088285339625E-2</v>
      </c>
      <c r="AC6" s="150">
        <f t="shared" ref="AC6:AC11" si="7">(AH6/SUM(AH$6:AH$25))*0.98</f>
        <v>6.3568041289129046E-2</v>
      </c>
      <c r="AE6" s="168"/>
      <c r="AF6" s="19">
        <v>0.44</v>
      </c>
      <c r="AG6" s="19">
        <v>5.7000000000000002E-2</v>
      </c>
      <c r="AH6" s="19">
        <v>4.1000000000000002E-2</v>
      </c>
    </row>
    <row r="7" spans="1:40" x14ac:dyDescent="0.2">
      <c r="A7" s="17" t="s">
        <v>458</v>
      </c>
      <c r="B7" s="18" t="s">
        <v>207</v>
      </c>
      <c r="C7" s="18">
        <f>VLOOKUP($AN$1,DST!C:D,2,FALSE)</f>
        <v>9</v>
      </c>
      <c r="D7" s="147"/>
      <c r="E7" s="147"/>
      <c r="F7" s="147"/>
      <c r="G7" s="147"/>
      <c r="H7" s="147"/>
      <c r="I7" s="146">
        <f t="shared" si="3"/>
        <v>145.45944</v>
      </c>
      <c r="J7" s="146">
        <f>I7*V7</f>
        <v>674.93180159999997</v>
      </c>
      <c r="K7" s="146">
        <f>I7*X7</f>
        <v>4.8001615200000005</v>
      </c>
      <c r="L7" s="146">
        <f>((D$2+D$3+D$4)*AA7)</f>
        <v>35.232959999999999</v>
      </c>
      <c r="M7" s="146">
        <f t="shared" si="4"/>
        <v>27.904504320000001</v>
      </c>
      <c r="N7" s="146">
        <f t="shared" si="4"/>
        <v>196.44771041280001</v>
      </c>
      <c r="O7" s="146">
        <f t="shared" ref="O7:O11" si="8">M7*AH7</f>
        <v>1.1719891814400001</v>
      </c>
      <c r="Q7" s="13"/>
      <c r="R7" s="139"/>
      <c r="S7" s="138"/>
      <c r="T7" s="139"/>
      <c r="U7" s="139"/>
      <c r="V7" s="107">
        <v>4.6399999999999997</v>
      </c>
      <c r="W7" s="150">
        <f t="shared" si="5"/>
        <v>0.29792000000000002</v>
      </c>
      <c r="X7" s="19">
        <v>3.3000000000000002E-2</v>
      </c>
      <c r="Y7" s="19">
        <v>0.79200000000000004</v>
      </c>
      <c r="Z7" s="20">
        <v>7.04</v>
      </c>
      <c r="AA7" s="150">
        <f t="shared" si="6"/>
        <v>6.2719999999999998E-2</v>
      </c>
      <c r="AB7" s="7">
        <v>1.7081766775947718E-2</v>
      </c>
      <c r="AC7" s="150">
        <f t="shared" si="7"/>
        <v>6.51184813205712E-2</v>
      </c>
      <c r="AE7" s="168"/>
      <c r="AF7" s="19">
        <v>0.30399999999999999</v>
      </c>
      <c r="AG7" s="19">
        <v>6.4000000000000001E-2</v>
      </c>
      <c r="AH7" s="19">
        <v>4.2000000000000003E-2</v>
      </c>
    </row>
    <row r="8" spans="1:40" x14ac:dyDescent="0.2">
      <c r="A8" s="17" t="s">
        <v>28</v>
      </c>
      <c r="B8" s="18" t="s">
        <v>207</v>
      </c>
      <c r="C8" s="18">
        <f>VLOOKUP($AN$1,DST!C:D,2,FALSE)</f>
        <v>9</v>
      </c>
      <c r="D8" s="147"/>
      <c r="E8" s="147"/>
      <c r="F8" s="147"/>
      <c r="G8" s="147"/>
      <c r="H8" s="147"/>
      <c r="I8" s="146">
        <f t="shared" si="3"/>
        <v>44.977589999999999</v>
      </c>
      <c r="J8" s="146">
        <f>I8*V8</f>
        <v>183.50856719999999</v>
      </c>
      <c r="K8" s="146">
        <f>I8*X8</f>
        <v>1.75412601</v>
      </c>
      <c r="L8" s="146">
        <f>((D$2+D$3+D$4)*AA8)</f>
        <v>44.591715000000001</v>
      </c>
      <c r="M8" s="146">
        <f t="shared" si="4"/>
        <v>34.201845405000007</v>
      </c>
      <c r="N8" s="146">
        <f t="shared" si="4"/>
        <v>242.49108392145004</v>
      </c>
      <c r="O8" s="146">
        <f t="shared" si="8"/>
        <v>1.536897570984842</v>
      </c>
      <c r="Q8" s="13"/>
      <c r="R8" s="139"/>
      <c r="S8" s="138"/>
      <c r="T8" s="139"/>
      <c r="U8" s="139"/>
      <c r="V8" s="107">
        <v>4.08</v>
      </c>
      <c r="W8" s="150">
        <f t="shared" si="5"/>
        <v>9.2120000000000007E-2</v>
      </c>
      <c r="X8" s="19">
        <v>3.9E-2</v>
      </c>
      <c r="Y8" s="19">
        <v>0.76700000000000013</v>
      </c>
      <c r="Z8" s="20">
        <v>7.09</v>
      </c>
      <c r="AA8" s="150">
        <f t="shared" si="6"/>
        <v>7.9380000000000006E-2</v>
      </c>
      <c r="AB8" s="7">
        <v>1.4118777251519742E-2</v>
      </c>
      <c r="AC8" s="150">
        <f t="shared" si="7"/>
        <v>6.9670729461071168E-2</v>
      </c>
      <c r="AE8" s="168"/>
      <c r="AF8" s="19">
        <v>9.4E-2</v>
      </c>
      <c r="AG8" s="19">
        <v>8.1000000000000003E-2</v>
      </c>
      <c r="AH8" s="19">
        <v>4.4936100750872385E-2</v>
      </c>
    </row>
    <row r="9" spans="1:40" x14ac:dyDescent="0.2">
      <c r="B9" s="18" t="s">
        <v>207</v>
      </c>
      <c r="C9" s="18">
        <f>VLOOKUP($AN$1,DST!C:D,2,FALSE)</f>
        <v>9</v>
      </c>
      <c r="D9" s="147"/>
      <c r="E9" s="147"/>
      <c r="F9" s="147"/>
      <c r="G9" s="147"/>
      <c r="H9" s="147"/>
      <c r="I9" s="146">
        <f t="shared" si="3"/>
        <v>0</v>
      </c>
      <c r="J9" s="146">
        <f t="shared" ref="J9:J11" si="9">I9*V9</f>
        <v>0</v>
      </c>
      <c r="K9" s="146">
        <f t="shared" ref="K9:K11" si="10">I9*X9</f>
        <v>0</v>
      </c>
      <c r="L9" s="146">
        <f t="shared" ref="L9:L11" si="11">((D$2+D$3+D$4)*AA9)</f>
        <v>0</v>
      </c>
      <c r="M9" s="146">
        <f t="shared" si="4"/>
        <v>0</v>
      </c>
      <c r="N9" s="146">
        <f t="shared" si="4"/>
        <v>0</v>
      </c>
      <c r="O9" s="146">
        <f t="shared" si="8"/>
        <v>0</v>
      </c>
      <c r="Q9" s="13"/>
      <c r="R9" s="139"/>
      <c r="S9" s="138"/>
      <c r="T9" s="139"/>
      <c r="U9" s="139"/>
      <c r="V9" s="107">
        <v>0</v>
      </c>
      <c r="W9" s="150">
        <f t="shared" si="5"/>
        <v>0</v>
      </c>
      <c r="X9" s="19">
        <v>0</v>
      </c>
      <c r="Y9" s="19">
        <v>0</v>
      </c>
      <c r="Z9" s="20">
        <v>0</v>
      </c>
      <c r="AA9" s="150">
        <f t="shared" si="6"/>
        <v>0</v>
      </c>
      <c r="AB9" s="7">
        <v>1.3379236892567929E-2</v>
      </c>
      <c r="AC9" s="150">
        <f t="shared" si="7"/>
        <v>0</v>
      </c>
      <c r="AE9" s="168"/>
      <c r="AF9" s="19">
        <v>0</v>
      </c>
      <c r="AG9" s="19">
        <v>0</v>
      </c>
      <c r="AH9" s="19">
        <v>0</v>
      </c>
    </row>
    <row r="10" spans="1:40" x14ac:dyDescent="0.2">
      <c r="B10" s="18" t="s">
        <v>207</v>
      </c>
      <c r="C10" s="18">
        <f>VLOOKUP($AN$1,DST!C:D,2,FALSE)</f>
        <v>9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9"/>
        <v>0</v>
      </c>
      <c r="K10" s="146">
        <f t="shared" si="10"/>
        <v>0</v>
      </c>
      <c r="L10" s="146">
        <f t="shared" si="11"/>
        <v>0</v>
      </c>
      <c r="M10" s="146">
        <f t="shared" si="4"/>
        <v>0</v>
      </c>
      <c r="N10" s="146">
        <f t="shared" si="4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5"/>
        <v>0</v>
      </c>
      <c r="X10" s="19">
        <v>0</v>
      </c>
      <c r="Y10" s="19">
        <v>0</v>
      </c>
      <c r="Z10" s="20">
        <v>0</v>
      </c>
      <c r="AA10" s="150">
        <f t="shared" si="6"/>
        <v>0</v>
      </c>
      <c r="AB10" s="7">
        <v>2.3577489377191441E-2</v>
      </c>
      <c r="AC10" s="150">
        <f t="shared" si="7"/>
        <v>0</v>
      </c>
      <c r="AE10" s="168"/>
      <c r="AF10" s="19">
        <v>0</v>
      </c>
      <c r="AG10" s="19">
        <v>0</v>
      </c>
      <c r="AH10" s="19">
        <v>0</v>
      </c>
    </row>
    <row r="11" spans="1:40" x14ac:dyDescent="0.2">
      <c r="B11" s="18" t="s">
        <v>207</v>
      </c>
      <c r="C11" s="18">
        <f>VLOOKUP($AN$1,DST!C:D,2,FALSE)</f>
        <v>9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9"/>
        <v>0</v>
      </c>
      <c r="K11" s="146">
        <f t="shared" si="10"/>
        <v>0</v>
      </c>
      <c r="L11" s="146">
        <f t="shared" si="11"/>
        <v>0</v>
      </c>
      <c r="M11" s="146">
        <f t="shared" si="4"/>
        <v>0</v>
      </c>
      <c r="N11" s="146">
        <f t="shared" si="4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5"/>
        <v>0</v>
      </c>
      <c r="X11" s="19">
        <v>0</v>
      </c>
      <c r="Y11" s="19">
        <v>0</v>
      </c>
      <c r="Z11" s="20">
        <v>0</v>
      </c>
      <c r="AA11" s="150">
        <f t="shared" si="6"/>
        <v>0</v>
      </c>
      <c r="AB11" s="7">
        <v>0</v>
      </c>
      <c r="AC11" s="150">
        <f t="shared" si="7"/>
        <v>0</v>
      </c>
      <c r="AE11" s="168"/>
      <c r="AF11" s="19">
        <v>0</v>
      </c>
      <c r="AG11" s="19">
        <v>0</v>
      </c>
      <c r="AH11" s="19">
        <v>0</v>
      </c>
    </row>
    <row r="12" spans="1:40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40" x14ac:dyDescent="0.2">
      <c r="A13" s="17" t="s">
        <v>412</v>
      </c>
      <c r="B13" s="18" t="s">
        <v>208</v>
      </c>
      <c r="C13" s="18">
        <f>VLOOKUP($AN$1,DST!C:D,2,FALSE)</f>
        <v>9</v>
      </c>
      <c r="D13" s="147"/>
      <c r="E13" s="147"/>
      <c r="F13" s="147"/>
      <c r="G13" s="147"/>
      <c r="H13" s="147"/>
      <c r="I13" s="146">
        <f t="shared" ref="I13:I20" si="12">D$35*W13</f>
        <v>0</v>
      </c>
      <c r="J13" s="146">
        <f t="shared" ref="J13:J20" si="13">I13*V13</f>
        <v>0</v>
      </c>
      <c r="K13" s="146">
        <f t="shared" ref="K13:K20" si="14">I13*X13</f>
        <v>0</v>
      </c>
      <c r="L13" s="146">
        <f t="shared" ref="L13:L20" si="15">((D$2+D$3+D$4)*AA13)</f>
        <v>129.37102499999997</v>
      </c>
      <c r="M13" s="146">
        <f t="shared" ref="M13:N20" si="16">L13*Y13</f>
        <v>77.363872949999987</v>
      </c>
      <c r="N13" s="146">
        <f t="shared" si="16"/>
        <v>1124.8707126929996</v>
      </c>
      <c r="O13" s="146">
        <f t="shared" ref="O13:O20" si="17">M13*AH13</f>
        <v>6.3210990652167949</v>
      </c>
      <c r="Q13" s="13"/>
      <c r="R13" s="139"/>
      <c r="S13" s="138"/>
      <c r="T13" s="139"/>
      <c r="U13" s="139"/>
      <c r="V13" s="107">
        <v>6.33</v>
      </c>
      <c r="W13" s="150">
        <f t="shared" ref="W13:W20" si="18">(AF13/SUM(AF$2:AF$20))*0.98</f>
        <v>0</v>
      </c>
      <c r="X13" s="19">
        <v>5.3763440860215049E-3</v>
      </c>
      <c r="Y13" s="19">
        <v>0.59799999999999998</v>
      </c>
      <c r="Z13" s="20">
        <v>14.54</v>
      </c>
      <c r="AA13" s="150">
        <f t="shared" ref="AA13:AA20" si="19">(AG13/SUM(AG$6:AG$25))*0.98</f>
        <v>0.23029999999999998</v>
      </c>
      <c r="AB13" s="7">
        <v>0.19282410575076411</v>
      </c>
      <c r="AC13" s="150">
        <f t="shared" ref="AC13:AC20" si="20">(AH13/SUM(AH$6:AH$25))*0.98</f>
        <v>0.12668038271245585</v>
      </c>
      <c r="AE13" s="168"/>
      <c r="AF13" s="19">
        <v>0</v>
      </c>
      <c r="AG13" s="19">
        <v>0.23499999999999999</v>
      </c>
      <c r="AH13" s="19">
        <v>8.170608352689504E-2</v>
      </c>
    </row>
    <row r="14" spans="1:40" x14ac:dyDescent="0.2">
      <c r="A14" s="17" t="s">
        <v>627</v>
      </c>
      <c r="B14" s="18" t="s">
        <v>208</v>
      </c>
      <c r="C14" s="18">
        <f>VLOOKUP($AN$1,DST!C:D,2,FALSE)</f>
        <v>9</v>
      </c>
      <c r="D14" s="147"/>
      <c r="E14" s="147"/>
      <c r="F14" s="147"/>
      <c r="G14" s="147"/>
      <c r="H14" s="147"/>
      <c r="I14" s="146">
        <f t="shared" si="12"/>
        <v>0</v>
      </c>
      <c r="J14" s="146">
        <f t="shared" si="13"/>
        <v>0</v>
      </c>
      <c r="K14" s="146">
        <f t="shared" si="14"/>
        <v>0</v>
      </c>
      <c r="L14" s="146">
        <f t="shared" si="15"/>
        <v>77.072100000000006</v>
      </c>
      <c r="M14" s="146">
        <f t="shared" si="16"/>
        <v>47.013981000000001</v>
      </c>
      <c r="N14" s="146">
        <f t="shared" si="16"/>
        <v>574.51084782000009</v>
      </c>
      <c r="O14" s="146">
        <f t="shared" si="17"/>
        <v>3.337992651</v>
      </c>
      <c r="Q14" s="13"/>
      <c r="R14" s="139"/>
      <c r="S14" s="138"/>
      <c r="T14" s="139"/>
      <c r="U14" s="139"/>
      <c r="V14" s="107">
        <v>5.4</v>
      </c>
      <c r="W14" s="150">
        <f t="shared" si="18"/>
        <v>0</v>
      </c>
      <c r="X14" s="19">
        <v>0</v>
      </c>
      <c r="Y14" s="19">
        <v>0.61</v>
      </c>
      <c r="Z14" s="20">
        <v>12.22</v>
      </c>
      <c r="AA14" s="150">
        <f t="shared" si="19"/>
        <v>0.13720000000000002</v>
      </c>
      <c r="AB14" s="7">
        <v>2.5459916688375248E-2</v>
      </c>
      <c r="AC14" s="150">
        <f t="shared" si="20"/>
        <v>0.11008124223239418</v>
      </c>
      <c r="AE14" s="168"/>
      <c r="AF14" s="19">
        <v>0</v>
      </c>
      <c r="AG14" s="19">
        <v>0.14000000000000001</v>
      </c>
      <c r="AH14" s="19">
        <v>7.0999999999999994E-2</v>
      </c>
    </row>
    <row r="15" spans="1:40" x14ac:dyDescent="0.2">
      <c r="A15" s="17" t="s">
        <v>153</v>
      </c>
      <c r="B15" s="18" t="s">
        <v>208</v>
      </c>
      <c r="C15" s="18">
        <f>VLOOKUP($AN$1,DST!C:D,2,FALSE)</f>
        <v>9</v>
      </c>
      <c r="D15" s="147"/>
      <c r="E15" s="147"/>
      <c r="F15" s="147"/>
      <c r="G15" s="147"/>
      <c r="H15" s="147"/>
      <c r="I15" s="146">
        <f t="shared" si="12"/>
        <v>0</v>
      </c>
      <c r="J15" s="146">
        <f t="shared" si="13"/>
        <v>0</v>
      </c>
      <c r="K15" s="146">
        <f t="shared" si="14"/>
        <v>0</v>
      </c>
      <c r="L15" s="146">
        <f t="shared" si="15"/>
        <v>80.925704999999994</v>
      </c>
      <c r="M15" s="146">
        <f t="shared" si="16"/>
        <v>43.861732109999998</v>
      </c>
      <c r="N15" s="146">
        <f t="shared" si="16"/>
        <v>593.0106181271999</v>
      </c>
      <c r="O15" s="146">
        <f t="shared" si="17"/>
        <v>3.2457681761399999</v>
      </c>
      <c r="Q15" s="13"/>
      <c r="R15" s="139"/>
      <c r="S15" s="138"/>
      <c r="T15" s="139"/>
      <c r="U15" s="139"/>
      <c r="V15" s="107">
        <v>5.0199999999999996</v>
      </c>
      <c r="W15" s="150">
        <f t="shared" si="18"/>
        <v>0</v>
      </c>
      <c r="X15" s="19">
        <v>0</v>
      </c>
      <c r="Y15" s="19">
        <v>0.54200000000000004</v>
      </c>
      <c r="Z15" s="20">
        <v>13.52</v>
      </c>
      <c r="AA15" s="150">
        <f t="shared" si="19"/>
        <v>0.14405999999999999</v>
      </c>
      <c r="AB15" s="7">
        <v>0.15216714264823544</v>
      </c>
      <c r="AC15" s="150">
        <f t="shared" si="20"/>
        <v>0.11473256232672069</v>
      </c>
      <c r="AE15" s="168"/>
      <c r="AF15" s="19">
        <v>0</v>
      </c>
      <c r="AG15" s="19">
        <v>0.14699999999999999</v>
      </c>
      <c r="AH15" s="19">
        <v>7.3999999999999996E-2</v>
      </c>
    </row>
    <row r="16" spans="1:40" x14ac:dyDescent="0.2">
      <c r="A16" s="17" t="s">
        <v>413</v>
      </c>
      <c r="B16" s="18" t="s">
        <v>208</v>
      </c>
      <c r="C16" s="18">
        <f>VLOOKUP($AN$1,DST!C:D,2,FALSE)</f>
        <v>9</v>
      </c>
      <c r="D16" s="147"/>
      <c r="E16" s="147"/>
      <c r="F16" s="147"/>
      <c r="G16" s="147"/>
      <c r="H16" s="147"/>
      <c r="I16" s="146">
        <f t="shared" si="12"/>
        <v>0</v>
      </c>
      <c r="J16" s="146">
        <f t="shared" si="13"/>
        <v>0</v>
      </c>
      <c r="K16" s="146">
        <f t="shared" si="14"/>
        <v>0</v>
      </c>
      <c r="L16" s="146">
        <f t="shared" si="15"/>
        <v>48.445319999999995</v>
      </c>
      <c r="M16" s="146">
        <f t="shared" si="16"/>
        <v>29.309418599999997</v>
      </c>
      <c r="N16" s="146">
        <f t="shared" si="16"/>
        <v>328.26548831999997</v>
      </c>
      <c r="O16" s="146">
        <f t="shared" si="17"/>
        <v>1.8158737725561622</v>
      </c>
      <c r="Q16" s="13"/>
      <c r="R16" s="139"/>
      <c r="S16" s="138"/>
      <c r="T16" s="139"/>
      <c r="U16" s="139"/>
      <c r="V16" s="107">
        <v>5.0199999999999996</v>
      </c>
      <c r="W16" s="150">
        <f t="shared" si="18"/>
        <v>0</v>
      </c>
      <c r="X16" s="19">
        <v>7.4349442379182153E-3</v>
      </c>
      <c r="Y16" s="19">
        <v>0.60499999999999998</v>
      </c>
      <c r="Z16" s="20">
        <v>11.2</v>
      </c>
      <c r="AA16" s="150">
        <f t="shared" si="19"/>
        <v>8.6239999999999997E-2</v>
      </c>
      <c r="AB16" s="7">
        <v>0.19103445530097071</v>
      </c>
      <c r="AC16" s="150">
        <f t="shared" si="20"/>
        <v>9.6057974654502068E-2</v>
      </c>
      <c r="AE16" s="168"/>
      <c r="AF16" s="19">
        <v>0</v>
      </c>
      <c r="AG16" s="19">
        <v>8.7999999999999995E-2</v>
      </c>
      <c r="AH16" s="19">
        <v>6.1955298306605185E-2</v>
      </c>
    </row>
    <row r="17" spans="1:34" x14ac:dyDescent="0.2">
      <c r="A17" s="17" t="s">
        <v>692</v>
      </c>
      <c r="B17" s="18" t="s">
        <v>208</v>
      </c>
      <c r="C17" s="18">
        <f>VLOOKUP($AN$1,DST!C:D,2,FALSE)</f>
        <v>9</v>
      </c>
      <c r="D17" s="147"/>
      <c r="E17" s="147"/>
      <c r="F17" s="147"/>
      <c r="G17" s="147"/>
      <c r="H17" s="147"/>
      <c r="I17" s="146">
        <f t="shared" si="12"/>
        <v>0</v>
      </c>
      <c r="J17" s="146">
        <f t="shared" si="13"/>
        <v>0</v>
      </c>
      <c r="K17" s="146">
        <f t="shared" si="14"/>
        <v>0</v>
      </c>
      <c r="L17" s="146">
        <f t="shared" si="15"/>
        <v>7.156695</v>
      </c>
      <c r="M17" s="146">
        <f t="shared" si="16"/>
        <v>4.0650027599999996</v>
      </c>
      <c r="N17" s="146">
        <f t="shared" si="16"/>
        <v>50.040183975599994</v>
      </c>
      <c r="O17" s="146">
        <f t="shared" si="17"/>
        <v>0.24390016559999997</v>
      </c>
      <c r="Q17" s="13"/>
      <c r="R17" s="139"/>
      <c r="S17" s="138"/>
      <c r="T17" s="139"/>
      <c r="U17" s="139"/>
      <c r="V17" s="107">
        <v>5.0199999999999996</v>
      </c>
      <c r="W17" s="150">
        <f t="shared" si="18"/>
        <v>0</v>
      </c>
      <c r="X17" s="19">
        <v>0</v>
      </c>
      <c r="Y17" s="19">
        <v>0.56799999999999995</v>
      </c>
      <c r="Z17" s="20">
        <v>12.31</v>
      </c>
      <c r="AA17" s="150">
        <f t="shared" si="19"/>
        <v>1.274E-2</v>
      </c>
      <c r="AB17" s="7">
        <v>7.5978874302309263E-2</v>
      </c>
      <c r="AC17" s="150">
        <f t="shared" si="20"/>
        <v>9.3026401886530288E-2</v>
      </c>
      <c r="AE17" s="168"/>
      <c r="AF17" s="19">
        <v>0</v>
      </c>
      <c r="AG17" s="19">
        <v>1.2999999999999999E-2</v>
      </c>
      <c r="AH17" s="19">
        <v>0.06</v>
      </c>
    </row>
    <row r="18" spans="1:34" x14ac:dyDescent="0.2">
      <c r="B18" s="18" t="s">
        <v>208</v>
      </c>
      <c r="C18" s="18">
        <f>VLOOKUP($AN$1,DST!C:D,2,FALSE)</f>
        <v>9</v>
      </c>
      <c r="D18" s="147"/>
      <c r="E18" s="147"/>
      <c r="F18" s="147"/>
      <c r="G18" s="147"/>
      <c r="H18" s="147"/>
      <c r="I18" s="146">
        <f t="shared" si="12"/>
        <v>0</v>
      </c>
      <c r="J18" s="146">
        <f t="shared" si="13"/>
        <v>0</v>
      </c>
      <c r="K18" s="146">
        <f t="shared" si="14"/>
        <v>0</v>
      </c>
      <c r="L18" s="146">
        <f t="shared" si="15"/>
        <v>0</v>
      </c>
      <c r="M18" s="146">
        <f t="shared" si="16"/>
        <v>0</v>
      </c>
      <c r="N18" s="146">
        <f t="shared" si="16"/>
        <v>0</v>
      </c>
      <c r="O18" s="146">
        <f t="shared" si="17"/>
        <v>0</v>
      </c>
      <c r="Q18" s="13"/>
      <c r="R18" s="139"/>
      <c r="S18" s="138"/>
      <c r="T18" s="139"/>
      <c r="U18" s="139"/>
      <c r="V18" s="107">
        <v>0</v>
      </c>
      <c r="W18" s="150">
        <f t="shared" si="18"/>
        <v>0</v>
      </c>
      <c r="X18" s="19">
        <v>0</v>
      </c>
      <c r="Y18" s="19">
        <v>0</v>
      </c>
      <c r="Z18" s="20">
        <v>0</v>
      </c>
      <c r="AA18" s="150">
        <f t="shared" si="19"/>
        <v>0</v>
      </c>
      <c r="AB18" s="7">
        <v>1.3006363201804224E-2</v>
      </c>
      <c r="AC18" s="150">
        <f t="shared" si="20"/>
        <v>0</v>
      </c>
      <c r="AE18" s="168"/>
      <c r="AF18" s="19">
        <v>0</v>
      </c>
      <c r="AG18" s="19">
        <v>0</v>
      </c>
      <c r="AH18" s="19">
        <v>0</v>
      </c>
    </row>
    <row r="19" spans="1:34" x14ac:dyDescent="0.2">
      <c r="B19" s="18" t="s">
        <v>208</v>
      </c>
      <c r="C19" s="18">
        <f>VLOOKUP($AN$1,DST!C:D,2,FALSE)</f>
        <v>9</v>
      </c>
      <c r="D19" s="147"/>
      <c r="E19" s="147"/>
      <c r="F19" s="147"/>
      <c r="G19" s="147"/>
      <c r="H19" s="147"/>
      <c r="I19" s="146">
        <f t="shared" si="12"/>
        <v>0</v>
      </c>
      <c r="J19" s="146">
        <f t="shared" si="13"/>
        <v>0</v>
      </c>
      <c r="K19" s="146">
        <f t="shared" si="14"/>
        <v>0</v>
      </c>
      <c r="L19" s="146">
        <f t="shared" si="15"/>
        <v>0</v>
      </c>
      <c r="M19" s="146">
        <f t="shared" si="16"/>
        <v>0</v>
      </c>
      <c r="N19" s="146">
        <f t="shared" si="16"/>
        <v>0</v>
      </c>
      <c r="O19" s="146">
        <f t="shared" si="17"/>
        <v>0</v>
      </c>
      <c r="Q19" s="13"/>
      <c r="R19" s="139"/>
      <c r="S19" s="138"/>
      <c r="T19" s="139"/>
      <c r="U19" s="139"/>
      <c r="V19" s="107">
        <v>0</v>
      </c>
      <c r="W19" s="150">
        <f t="shared" si="18"/>
        <v>0</v>
      </c>
      <c r="X19" s="19">
        <v>0</v>
      </c>
      <c r="Y19" s="19">
        <v>0</v>
      </c>
      <c r="Z19" s="20">
        <v>0</v>
      </c>
      <c r="AA19" s="150">
        <f t="shared" si="19"/>
        <v>0</v>
      </c>
      <c r="AB19" s="7">
        <v>0</v>
      </c>
      <c r="AC19" s="150">
        <f t="shared" si="20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208</v>
      </c>
      <c r="C20" s="18">
        <f>VLOOKUP($AN$1,DST!C:D,2,FALSE)</f>
        <v>9</v>
      </c>
      <c r="D20" s="147"/>
      <c r="E20" s="147"/>
      <c r="F20" s="147"/>
      <c r="G20" s="147"/>
      <c r="H20" s="147"/>
      <c r="I20" s="146">
        <f t="shared" si="12"/>
        <v>0</v>
      </c>
      <c r="J20" s="146">
        <f t="shared" si="13"/>
        <v>0</v>
      </c>
      <c r="K20" s="146">
        <f t="shared" si="14"/>
        <v>0</v>
      </c>
      <c r="L20" s="146">
        <f t="shared" si="15"/>
        <v>0</v>
      </c>
      <c r="M20" s="146">
        <f t="shared" si="16"/>
        <v>0</v>
      </c>
      <c r="N20" s="146">
        <f t="shared" si="16"/>
        <v>0</v>
      </c>
      <c r="O20" s="146">
        <f t="shared" si="17"/>
        <v>0</v>
      </c>
      <c r="Q20" s="13"/>
      <c r="R20" s="139"/>
      <c r="S20" s="138"/>
      <c r="T20" s="139"/>
      <c r="U20" s="139"/>
      <c r="V20" s="107">
        <v>0</v>
      </c>
      <c r="W20" s="150">
        <f t="shared" si="18"/>
        <v>0</v>
      </c>
      <c r="X20" s="19">
        <v>0</v>
      </c>
      <c r="Y20" s="19">
        <v>0</v>
      </c>
      <c r="Z20" s="20">
        <v>0</v>
      </c>
      <c r="AA20" s="150">
        <f t="shared" si="19"/>
        <v>0</v>
      </c>
      <c r="AB20" s="7">
        <v>0</v>
      </c>
      <c r="AC20" s="150">
        <f t="shared" si="20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183</v>
      </c>
      <c r="B22" s="18" t="s">
        <v>10</v>
      </c>
      <c r="C22" s="18">
        <f>VLOOKUP($AN$1,DST!C:D,2,FALSE)</f>
        <v>9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61.657679999999999</v>
      </c>
      <c r="M22" s="146">
        <f t="shared" ref="M22:N25" si="21">L22*Y22</f>
        <v>42.790429919999987</v>
      </c>
      <c r="N22" s="146">
        <f t="shared" si="21"/>
        <v>427.10386273936177</v>
      </c>
      <c r="O22" s="146">
        <f t="shared" ref="O22:O25" si="22">M22*AH22</f>
        <v>3.3582417357386869</v>
      </c>
      <c r="Q22" s="13"/>
      <c r="R22" s="139"/>
      <c r="S22" s="138"/>
      <c r="T22" s="139"/>
      <c r="U22" s="139"/>
      <c r="V22" s="140"/>
      <c r="W22" s="154"/>
      <c r="X22" s="139"/>
      <c r="Y22" s="19">
        <v>0.69399999999999984</v>
      </c>
      <c r="Z22" s="20">
        <v>9.9812940308817986</v>
      </c>
      <c r="AA22" s="150">
        <f>(AG22/SUM(AG$6:AG$25))*0.98</f>
        <v>0.10976</v>
      </c>
      <c r="AB22" s="7">
        <v>0.10219297467587733</v>
      </c>
      <c r="AC22" s="150">
        <f>(AH22/SUM(AH$6:AH$25))*0.98</f>
        <v>0.12168030169557839</v>
      </c>
      <c r="AE22" s="168"/>
      <c r="AF22" s="168"/>
      <c r="AG22" s="19">
        <v>0.112</v>
      </c>
      <c r="AH22" s="19">
        <v>7.8481140339491315E-2</v>
      </c>
    </row>
    <row r="23" spans="1:34" x14ac:dyDescent="0.2">
      <c r="A23" s="17" t="s">
        <v>512</v>
      </c>
      <c r="B23" s="18" t="s">
        <v>10</v>
      </c>
      <c r="C23" s="18">
        <f>VLOOKUP($AN$1,DST!C:D,2,FALSE)</f>
        <v>9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34.682445000000001</v>
      </c>
      <c r="M23" s="146">
        <f t="shared" si="21"/>
        <v>23.410650374999999</v>
      </c>
      <c r="N23" s="146">
        <f t="shared" si="21"/>
        <v>226.06959061951173</v>
      </c>
      <c r="O23" s="146">
        <f t="shared" si="22"/>
        <v>1.802620078875</v>
      </c>
      <c r="Q23" s="13"/>
      <c r="R23" s="139"/>
      <c r="S23" s="138"/>
      <c r="T23" s="139"/>
      <c r="U23" s="139"/>
      <c r="V23" s="140"/>
      <c r="W23" s="154"/>
      <c r="X23" s="139"/>
      <c r="Y23" s="19">
        <v>0.67499999999999993</v>
      </c>
      <c r="Z23" s="20">
        <v>9.656698425641741</v>
      </c>
      <c r="AA23" s="150">
        <f>(AG23/SUM(AG$6:AG$25))*0.98</f>
        <v>6.1739999999999996E-2</v>
      </c>
      <c r="AB23" s="7">
        <v>5.1876755570689152E-2</v>
      </c>
      <c r="AC23" s="150">
        <f>(AH23/SUM(AH$6:AH$25))*0.98</f>
        <v>0.11938388242104721</v>
      </c>
      <c r="AE23" s="168"/>
      <c r="AF23" s="168"/>
      <c r="AG23" s="19">
        <v>6.3E-2</v>
      </c>
      <c r="AH23" s="19">
        <v>7.6999999999999999E-2</v>
      </c>
    </row>
    <row r="24" spans="1:34" x14ac:dyDescent="0.2">
      <c r="B24" s="18" t="s">
        <v>10</v>
      </c>
      <c r="C24" s="18">
        <f>VLOOKUP($AN$1,DST!C:D,2,FALSE)</f>
        <v>9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0</v>
      </c>
      <c r="M24" s="146">
        <f t="shared" si="21"/>
        <v>0</v>
      </c>
      <c r="N24" s="146">
        <f t="shared" si="21"/>
        <v>0</v>
      </c>
      <c r="O24" s="146">
        <f t="shared" si="22"/>
        <v>0</v>
      </c>
      <c r="Q24" s="13"/>
      <c r="R24" s="139"/>
      <c r="S24" s="138"/>
      <c r="T24" s="139"/>
      <c r="U24" s="139"/>
      <c r="V24" s="140"/>
      <c r="W24" s="154"/>
      <c r="X24" s="139"/>
      <c r="Y24" s="19">
        <v>0</v>
      </c>
      <c r="Z24" s="20">
        <v>0</v>
      </c>
      <c r="AA24" s="150">
        <f>(AG24/SUM(AG$6:AG$25))*0.98</f>
        <v>0</v>
      </c>
      <c r="AB24" s="7">
        <v>8.2990532784079935E-3</v>
      </c>
      <c r="AC24" s="150">
        <f>(AH24/SUM(AH$6:AH$25))*0.98</f>
        <v>0</v>
      </c>
      <c r="AE24" s="168"/>
      <c r="AF24" s="168"/>
      <c r="AG24" s="19">
        <v>0</v>
      </c>
      <c r="AH24" s="19">
        <v>0</v>
      </c>
    </row>
    <row r="25" spans="1:34" x14ac:dyDescent="0.2">
      <c r="B25" s="18" t="s">
        <v>10</v>
      </c>
      <c r="C25" s="18">
        <f>VLOOKUP($AN$1,DST!C:D,2,FALSE)</f>
        <v>9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21"/>
        <v>0</v>
      </c>
      <c r="N25" s="146">
        <f t="shared" si="21"/>
        <v>0</v>
      </c>
      <c r="O25" s="146">
        <f t="shared" si="22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0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264</v>
      </c>
      <c r="X27" s="30"/>
      <c r="Y27" s="30"/>
      <c r="Z27" s="31"/>
      <c r="AA27" s="9" t="s">
        <v>264</v>
      </c>
      <c r="AB27" s="9" t="s">
        <v>264</v>
      </c>
      <c r="AC27" s="9" t="s">
        <v>264</v>
      </c>
      <c r="AD27" s="44"/>
      <c r="AE27" s="9" t="s">
        <v>264</v>
      </c>
      <c r="AF27" s="9" t="s">
        <v>264</v>
      </c>
      <c r="AG27" s="9" t="s">
        <v>264</v>
      </c>
    </row>
    <row r="28" spans="1:34" s="27" customFormat="1" x14ac:dyDescent="0.2">
      <c r="A28" s="45" t="s">
        <v>265</v>
      </c>
      <c r="B28" s="28"/>
      <c r="C28" s="28"/>
      <c r="D28" s="34" t="s">
        <v>269</v>
      </c>
      <c r="E28" s="34" t="s">
        <v>266</v>
      </c>
      <c r="F28" s="155" t="s">
        <v>267</v>
      </c>
      <c r="G28" s="34" t="s">
        <v>286</v>
      </c>
      <c r="H28" s="34" t="s">
        <v>268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0.98</v>
      </c>
      <c r="X28" s="30"/>
      <c r="Y28" s="30"/>
      <c r="Z28" s="31"/>
      <c r="AA28" s="150">
        <f>SUM(AA6:AA25)</f>
        <v>0.97999999999999987</v>
      </c>
      <c r="AB28" s="150">
        <f>SUM(AB2:AB4,AB6:AB11,AB13:AB20,AB22:AB25)</f>
        <v>0.97499999999999998</v>
      </c>
      <c r="AC28" s="150">
        <f>SUM(AC6:AC25)</f>
        <v>0.9800000000000002</v>
      </c>
      <c r="AD28" s="35"/>
      <c r="AE28" s="150">
        <f>SUM(AE2:AE4,AE6:AE25)</f>
        <v>1</v>
      </c>
      <c r="AF28" s="150">
        <f>SUM(AF2:AF4,AF6:AF25)</f>
        <v>0.99999999999999989</v>
      </c>
      <c r="AG28" s="150">
        <f>SUM(AG6:AG25)</f>
        <v>1</v>
      </c>
    </row>
    <row r="29" spans="1:34" s="27" customFormat="1" x14ac:dyDescent="0.2">
      <c r="A29" s="43"/>
      <c r="B29" s="28"/>
      <c r="C29" s="28"/>
      <c r="D29" s="46">
        <v>1050</v>
      </c>
      <c r="E29" s="47">
        <v>0.53500000000000003</v>
      </c>
      <c r="F29" s="2">
        <f>1-E29</f>
        <v>0.46499999999999997</v>
      </c>
      <c r="G29" s="106">
        <v>4.3499999999999996</v>
      </c>
      <c r="H29" s="126">
        <v>3.3000000000000002E-2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265</v>
      </c>
      <c r="B31" s="28"/>
      <c r="C31" s="28"/>
      <c r="D31" s="162" t="s">
        <v>278</v>
      </c>
      <c r="E31" s="162" t="s">
        <v>1</v>
      </c>
      <c r="F31" s="162" t="s">
        <v>263</v>
      </c>
      <c r="G31" s="162" t="s">
        <v>137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561.75</v>
      </c>
      <c r="E32" s="156">
        <f>SUM(E2:E4)</f>
        <v>358.39155302052956</v>
      </c>
      <c r="F32" s="156">
        <f>SUM(F2:F4)</f>
        <v>3915.4595744463209</v>
      </c>
      <c r="G32" s="156">
        <f>SUM(G2:G4)</f>
        <v>23.796578233677362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265</v>
      </c>
      <c r="B34" s="28"/>
      <c r="C34" s="28"/>
      <c r="D34" s="162" t="s">
        <v>270</v>
      </c>
      <c r="E34" s="162" t="s">
        <v>263</v>
      </c>
      <c r="F34" s="162" t="s">
        <v>137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488.24999999999994</v>
      </c>
      <c r="E35" s="156">
        <f>D35*G29</f>
        <v>2123.8874999999994</v>
      </c>
      <c r="F35" s="156">
        <f>D35*H29</f>
        <v>16.11225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279</v>
      </c>
      <c r="B37" s="37"/>
      <c r="C37" s="37"/>
      <c r="D37" s="164" t="s">
        <v>273</v>
      </c>
      <c r="E37" s="164" t="s">
        <v>274</v>
      </c>
      <c r="F37" s="164" t="s">
        <v>275</v>
      </c>
      <c r="G37" s="164" t="s">
        <v>271</v>
      </c>
      <c r="H37" s="164" t="s">
        <v>272</v>
      </c>
      <c r="I37" s="160" t="s">
        <v>276</v>
      </c>
      <c r="J37" s="160" t="s">
        <v>277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3.5" thickBot="1" x14ac:dyDescent="0.25">
      <c r="D38" s="157">
        <f>SUM(I2:I20)</f>
        <v>478.48500000000007</v>
      </c>
      <c r="E38" s="157">
        <f>SUM(J2:J4,J6:J11,J13:J20)</f>
        <v>2116.363363914445</v>
      </c>
      <c r="F38" s="157">
        <f>SUM(K2:K4,K6:K11,K13:K20)</f>
        <v>16.110965043822382</v>
      </c>
      <c r="G38" s="157">
        <f>SUM(L6:L11,L13:L20,L22:L25)</f>
        <v>550.51499999999999</v>
      </c>
      <c r="H38" s="157">
        <f>SUM(M6:M11,M13:M20,M22:M25)</f>
        <v>352.73422852500005</v>
      </c>
      <c r="I38" s="157">
        <f>SUM(N6:N11,N13:N20,N22:N25)</f>
        <v>3909.4963453054734</v>
      </c>
      <c r="J38" s="157">
        <f>SUM(O6:O11,O13:O20,O22:O25)</f>
        <v>23.769706832036491</v>
      </c>
      <c r="V38" s="181"/>
      <c r="X38" s="30"/>
      <c r="Y38" s="30"/>
      <c r="Z38" s="181"/>
      <c r="AH38" s="30"/>
    </row>
    <row r="39" spans="1:34" ht="13.5" thickTop="1" x14ac:dyDescent="0.2">
      <c r="D39" s="158">
        <f>D35-D38</f>
        <v>9.7649999999998727</v>
      </c>
      <c r="E39" s="158">
        <f>E35-E38</f>
        <v>7.5241360855543462</v>
      </c>
      <c r="F39" s="158">
        <f>F35-F38</f>
        <v>1.284956177617147E-3</v>
      </c>
      <c r="G39" s="158">
        <f>SUM(D2:D4)-G38</f>
        <v>11.235000000000014</v>
      </c>
      <c r="H39" s="158">
        <f>E32-H38</f>
        <v>5.6573244955295081</v>
      </c>
      <c r="I39" s="158">
        <f>F32-I38</f>
        <v>5.9632291408474885</v>
      </c>
      <c r="J39" s="158">
        <f>G32-J38</f>
        <v>2.6871401640871539E-2</v>
      </c>
      <c r="V39" s="181"/>
      <c r="X39" s="30"/>
      <c r="Y39" s="30"/>
      <c r="Z39" s="181"/>
      <c r="AH39" s="30"/>
    </row>
    <row r="40" spans="1:34" x14ac:dyDescent="0.2">
      <c r="V40" s="181"/>
      <c r="X40" s="30"/>
      <c r="Y40" s="30"/>
      <c r="Z40" s="181"/>
      <c r="AH40" s="30"/>
    </row>
    <row r="41" spans="1:34" x14ac:dyDescent="0.2">
      <c r="V41" s="181"/>
      <c r="X41" s="30"/>
      <c r="Y41" s="30"/>
      <c r="Z41" s="181"/>
      <c r="AH41" s="30"/>
    </row>
    <row r="42" spans="1:34" x14ac:dyDescent="0.2">
      <c r="V42" s="181"/>
      <c r="X42" s="30"/>
      <c r="Y42" s="30"/>
      <c r="Z42" s="181"/>
      <c r="AH42" s="30"/>
    </row>
    <row r="43" spans="1:34" x14ac:dyDescent="0.2">
      <c r="V43" s="181"/>
      <c r="X43" s="30"/>
      <c r="Y43" s="30"/>
      <c r="Z43" s="181"/>
      <c r="AH43" s="30"/>
    </row>
    <row r="44" spans="1:34" x14ac:dyDescent="0.2">
      <c r="V44" s="181"/>
      <c r="X44" s="30"/>
      <c r="Y44" s="30"/>
      <c r="Z44" s="181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sortState xmlns:xlrd2="http://schemas.microsoft.com/office/spreadsheetml/2017/richdata2" ref="A13:AH20">
    <sortCondition descending="1" ref="N13:N20"/>
  </sortState>
  <conditionalFormatting sqref="D39:J39">
    <cfRule type="cellIs" dxfId="17" priority="1" operator="lessThan">
      <formula>0</formula>
    </cfRule>
  </conditionalFormatting>
  <conditionalFormatting sqref="W28">
    <cfRule type="cellIs" dxfId="16" priority="2" operator="greaterThan">
      <formula>1</formula>
    </cfRule>
  </conditionalFormatting>
  <conditionalFormatting sqref="AA28:AG28">
    <cfRule type="cellIs" dxfId="15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3">
    <tabColor rgb="FFA50021"/>
  </sheetPr>
  <dimension ref="A1:AN64"/>
  <sheetViews>
    <sheetView showGridLines="0" zoomScale="85" zoomScaleNormal="85"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defaultColWidth="8.7109375" defaultRowHeight="12.75" x14ac:dyDescent="0.2"/>
  <cols>
    <col min="1" max="1" width="22.5703125" style="17" customWidth="1"/>
    <col min="2" max="3" width="8.7109375" style="18"/>
    <col min="4" max="13" width="8.7109375" style="23"/>
    <col min="14" max="15" width="8.7109375" style="18"/>
    <col min="16" max="16" width="4.7109375" style="18" customWidth="1"/>
    <col min="17" max="18" width="8.7109375" style="26"/>
    <col min="19" max="19" width="8.7109375" style="23"/>
    <col min="20" max="21" width="8.7109375" style="26"/>
    <col min="22" max="23" width="8.7109375" style="25"/>
    <col min="24" max="25" width="8.7109375" style="26"/>
    <col min="26" max="26" width="8.7109375" style="25"/>
    <col min="27" max="27" width="8.7109375" style="18"/>
    <col min="28" max="28" width="0" style="18" hidden="1" customWidth="1"/>
    <col min="29" max="29" width="8.7109375" style="26"/>
    <col min="30" max="30" width="4.7109375" style="17" customWidth="1"/>
    <col min="31" max="32" width="8.7109375" style="18"/>
    <col min="33" max="16384" width="8.7109375" style="17"/>
  </cols>
  <sheetData>
    <row r="1" spans="1:40" s="15" customFormat="1" ht="25.5" customHeight="1" x14ac:dyDescent="0.2">
      <c r="A1" s="15" t="s">
        <v>0</v>
      </c>
      <c r="B1" s="15" t="s">
        <v>8</v>
      </c>
      <c r="C1" s="15" t="s">
        <v>122</v>
      </c>
      <c r="D1" s="159" t="s">
        <v>210</v>
      </c>
      <c r="E1" s="159" t="s">
        <v>1</v>
      </c>
      <c r="F1" s="159" t="s">
        <v>213</v>
      </c>
      <c r="G1" s="159" t="s">
        <v>228</v>
      </c>
      <c r="H1" s="159" t="s">
        <v>2</v>
      </c>
      <c r="I1" s="159" t="s">
        <v>229</v>
      </c>
      <c r="J1" s="159" t="s">
        <v>217</v>
      </c>
      <c r="K1" s="159" t="s">
        <v>230</v>
      </c>
      <c r="L1" s="159" t="s">
        <v>219</v>
      </c>
      <c r="M1" s="159" t="s">
        <v>4</v>
      </c>
      <c r="N1" s="159" t="s">
        <v>223</v>
      </c>
      <c r="O1" s="159" t="s">
        <v>231</v>
      </c>
      <c r="Q1" s="160" t="s">
        <v>281</v>
      </c>
      <c r="R1" s="133" t="s">
        <v>232</v>
      </c>
      <c r="S1" s="134" t="s">
        <v>451</v>
      </c>
      <c r="T1" s="133" t="s">
        <v>205</v>
      </c>
      <c r="U1" s="133" t="s">
        <v>209</v>
      </c>
      <c r="V1" s="135" t="s">
        <v>280</v>
      </c>
      <c r="W1" s="161" t="s">
        <v>282</v>
      </c>
      <c r="X1" s="133" t="s">
        <v>233</v>
      </c>
      <c r="Y1" s="179" t="s">
        <v>234</v>
      </c>
      <c r="Z1" s="135" t="s">
        <v>235</v>
      </c>
      <c r="AA1" s="160" t="s">
        <v>236</v>
      </c>
      <c r="AB1" s="160" t="s">
        <v>237</v>
      </c>
      <c r="AC1" s="10" t="s">
        <v>262</v>
      </c>
      <c r="AE1" s="136" t="s">
        <v>283</v>
      </c>
      <c r="AF1" s="137" t="s">
        <v>284</v>
      </c>
      <c r="AG1" s="136" t="s">
        <v>285</v>
      </c>
      <c r="AH1" s="136" t="s">
        <v>450</v>
      </c>
      <c r="AN1" s="15" t="s">
        <v>114</v>
      </c>
    </row>
    <row r="2" spans="1:40" x14ac:dyDescent="0.2">
      <c r="A2" s="17" t="s">
        <v>467</v>
      </c>
      <c r="B2" s="18" t="s">
        <v>9</v>
      </c>
      <c r="C2" s="18">
        <f>VLOOKUP($AN$1,DST!C:D,2,FALSE)</f>
        <v>9</v>
      </c>
      <c r="D2" s="146">
        <f>D$32*Q2</f>
        <v>532.53395999999998</v>
      </c>
      <c r="E2" s="146">
        <f>D2*R2</f>
        <v>361.59619112464406</v>
      </c>
      <c r="F2" s="146">
        <f>E2*S2</f>
        <v>4552.496046259269</v>
      </c>
      <c r="G2" s="146">
        <f>D2*T2</f>
        <v>30.88696968</v>
      </c>
      <c r="H2" s="146">
        <f>E2*U2</f>
        <v>6.933358669694722</v>
      </c>
      <c r="I2" s="146">
        <f>D$35*W2</f>
        <v>38.036391119999998</v>
      </c>
      <c r="J2" s="146">
        <f>I2*V2</f>
        <v>133.43717465042084</v>
      </c>
      <c r="K2" s="146">
        <f>I2*X2</f>
        <v>1.437584181966457</v>
      </c>
      <c r="L2" s="147"/>
      <c r="M2" s="147"/>
      <c r="N2" s="147"/>
      <c r="O2" s="147"/>
      <c r="Q2" s="150">
        <f>(AE2/SUM(AE$2:AE$25))</f>
        <v>0.98</v>
      </c>
      <c r="R2" s="19">
        <v>0.67901057638585915</v>
      </c>
      <c r="S2" s="107">
        <v>12.59</v>
      </c>
      <c r="T2" s="19">
        <v>5.8000000000000003E-2</v>
      </c>
      <c r="U2" s="19">
        <v>1.9174313335907783E-2</v>
      </c>
      <c r="V2" s="107">
        <v>3.5081449822472233</v>
      </c>
      <c r="W2" s="150">
        <f>(AF2/SUM(AF$2:AF$20))*0.98</f>
        <v>7.6440000000000008E-2</v>
      </c>
      <c r="X2" s="19">
        <v>3.7794967914570571E-2</v>
      </c>
      <c r="Y2" s="21"/>
      <c r="Z2" s="22"/>
      <c r="AA2" s="1"/>
      <c r="AB2" s="1"/>
      <c r="AC2" s="1"/>
      <c r="AE2" s="19">
        <v>0.98</v>
      </c>
      <c r="AF2" s="19">
        <v>7.8E-2</v>
      </c>
      <c r="AG2" s="168"/>
      <c r="AH2" s="168"/>
    </row>
    <row r="3" spans="1:40" x14ac:dyDescent="0.2">
      <c r="A3" s="17" t="s">
        <v>567</v>
      </c>
      <c r="B3" s="18" t="s">
        <v>9</v>
      </c>
      <c r="C3" s="18">
        <f>VLOOKUP($AN$1,DST!C:D,2,FALSE)</f>
        <v>9</v>
      </c>
      <c r="D3" s="146">
        <f>D$32*Q3</f>
        <v>10.868040000000001</v>
      </c>
      <c r="E3" s="146">
        <f t="shared" ref="E3:F4" si="0">D3*R3</f>
        <v>6.5969002799999998</v>
      </c>
      <c r="F3" s="146">
        <f t="shared" si="0"/>
        <v>71.70830604359999</v>
      </c>
      <c r="G3" s="146">
        <f t="shared" ref="G3:G4" si="1">D3*T3</f>
        <v>0.36951336000000007</v>
      </c>
      <c r="H3" s="146">
        <f t="shared" ref="H3:H4" si="2">E3*U3</f>
        <v>8.0086369399199983E-2</v>
      </c>
      <c r="I3" s="146">
        <f>D$35*W3</f>
        <v>0</v>
      </c>
      <c r="J3" s="146">
        <f>I3*V3</f>
        <v>0</v>
      </c>
      <c r="K3" s="146">
        <f>I3*X3</f>
        <v>0</v>
      </c>
      <c r="L3" s="147"/>
      <c r="M3" s="147"/>
      <c r="N3" s="147"/>
      <c r="O3" s="147"/>
      <c r="Q3" s="150">
        <f>(AE3/SUM(AE$2:AE$25))</f>
        <v>0.02</v>
      </c>
      <c r="R3" s="19">
        <v>0.60699999999999998</v>
      </c>
      <c r="S3" s="107">
        <v>10.87</v>
      </c>
      <c r="T3" s="19">
        <v>3.4000000000000002E-2</v>
      </c>
      <c r="U3" s="19">
        <v>1.2139999999999998E-2</v>
      </c>
      <c r="V3" s="107">
        <v>3.2</v>
      </c>
      <c r="W3" s="150">
        <f>(AF3/SUM(AF$2:AF$20))*0.98</f>
        <v>0</v>
      </c>
      <c r="X3" s="19">
        <v>0.03</v>
      </c>
      <c r="Y3" s="21"/>
      <c r="Z3" s="22"/>
      <c r="AA3" s="1"/>
      <c r="AB3" s="1"/>
      <c r="AC3" s="1"/>
      <c r="AE3" s="19">
        <v>0.02</v>
      </c>
      <c r="AF3" s="19">
        <v>0</v>
      </c>
      <c r="AG3" s="168"/>
      <c r="AH3" s="168"/>
    </row>
    <row r="4" spans="1:40" x14ac:dyDescent="0.2">
      <c r="B4" s="18" t="s">
        <v>9</v>
      </c>
      <c r="C4" s="18">
        <f>VLOOKUP($AN$1,DST!C:D,2,FALSE)</f>
        <v>9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/>
      <c r="AF4" s="19"/>
      <c r="AG4" s="168"/>
      <c r="AH4" s="168"/>
    </row>
    <row r="5" spans="1:40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40" x14ac:dyDescent="0.2">
      <c r="A6" s="17" t="s">
        <v>5</v>
      </c>
      <c r="B6" s="18" t="s">
        <v>207</v>
      </c>
      <c r="C6" s="18">
        <f>VLOOKUP($AN$1,DST!C:D,2,FALSE)</f>
        <v>9</v>
      </c>
      <c r="D6" s="147"/>
      <c r="E6" s="147"/>
      <c r="F6" s="147"/>
      <c r="G6" s="147"/>
      <c r="H6" s="147"/>
      <c r="I6" s="146">
        <f t="shared" ref="I6:I11" si="3">D$35*W6</f>
        <v>257.47710912000002</v>
      </c>
      <c r="J6" s="146">
        <f t="shared" ref="J6:J11" si="4">I6*V6</f>
        <v>1230.7405815936002</v>
      </c>
      <c r="K6" s="146">
        <f t="shared" ref="K6:K11" si="5">I6*X6</f>
        <v>13.543295939712001</v>
      </c>
      <c r="L6" s="146">
        <f t="shared" ref="L6:L11" si="6">((D$2+D$3+D$4)*AA6)</f>
        <v>82.010229839999994</v>
      </c>
      <c r="M6" s="146">
        <f t="shared" ref="M6:N11" si="7">L6*Y6</f>
        <v>65.608183872000012</v>
      </c>
      <c r="N6" s="146">
        <f t="shared" si="7"/>
        <v>536.29453959869898</v>
      </c>
      <c r="O6" s="146">
        <f t="shared" ref="O6:O11" si="8">M6*AH6</f>
        <v>4.5669319513021414</v>
      </c>
      <c r="Q6" s="13"/>
      <c r="R6" s="139"/>
      <c r="S6" s="138"/>
      <c r="T6" s="139"/>
      <c r="U6" s="139"/>
      <c r="V6" s="107">
        <v>4.78</v>
      </c>
      <c r="W6" s="150">
        <f t="shared" ref="W6:W11" si="9">(AF6/SUM(AF$2:AF$20))*0.98</f>
        <v>0.51744000000000012</v>
      </c>
      <c r="X6" s="19">
        <v>5.2600000000000001E-2</v>
      </c>
      <c r="Y6" s="19">
        <v>0.80000000000000016</v>
      </c>
      <c r="Z6" s="20">
        <v>8.1742018746471743</v>
      </c>
      <c r="AA6" s="150">
        <f t="shared" ref="AA6:AA11" si="10">(AG6/SUM(AG$6:AG$25))*0.98</f>
        <v>0.15092</v>
      </c>
      <c r="AB6" s="7">
        <v>6.0223142452124193E-2</v>
      </c>
      <c r="AC6" s="150">
        <f t="shared" ref="AC6:AC11" si="11">(AH6/SUM(AH$6:AH$25))*0.98</f>
        <v>8.0858869309560336E-2</v>
      </c>
      <c r="AE6" s="168"/>
      <c r="AF6" s="19">
        <v>0.52800000000000002</v>
      </c>
      <c r="AG6" s="19">
        <v>0.154</v>
      </c>
      <c r="AH6" s="19">
        <v>6.9609181077350285E-2</v>
      </c>
    </row>
    <row r="7" spans="1:40" x14ac:dyDescent="0.2">
      <c r="A7" s="17" t="s">
        <v>628</v>
      </c>
      <c r="B7" s="18" t="s">
        <v>207</v>
      </c>
      <c r="C7" s="18">
        <f>VLOOKUP($AN$1,DST!C:D,2,FALSE)</f>
        <v>9</v>
      </c>
      <c r="D7" s="147"/>
      <c r="E7" s="147"/>
      <c r="F7" s="147"/>
      <c r="G7" s="147"/>
      <c r="H7" s="147"/>
      <c r="I7" s="146">
        <f t="shared" si="3"/>
        <v>36.085806960000006</v>
      </c>
      <c r="J7" s="146">
        <f t="shared" si="4"/>
        <v>153.36467958000003</v>
      </c>
      <c r="K7" s="146">
        <f t="shared" si="5"/>
        <v>1.1935555688871728</v>
      </c>
      <c r="L7" s="146">
        <f t="shared" si="6"/>
        <v>5.3253395999999995</v>
      </c>
      <c r="M7" s="146">
        <f t="shared" si="7"/>
        <v>4.036607416799999</v>
      </c>
      <c r="N7" s="146">
        <f t="shared" si="7"/>
        <v>32.980077632802477</v>
      </c>
      <c r="O7" s="146">
        <f t="shared" si="8"/>
        <v>0.17052645516426712</v>
      </c>
      <c r="Q7" s="13"/>
      <c r="R7" s="139"/>
      <c r="S7" s="138"/>
      <c r="T7" s="139"/>
      <c r="U7" s="139"/>
      <c r="V7" s="107">
        <v>4.25</v>
      </c>
      <c r="W7" s="150">
        <f t="shared" ref="W7:W10" si="12">(AF7/SUM(AF$2:AF$20))*0.98</f>
        <v>7.2520000000000015E-2</v>
      </c>
      <c r="X7" s="19">
        <v>3.3075485057329934E-2</v>
      </c>
      <c r="Y7" s="19">
        <v>0.7579999999999999</v>
      </c>
      <c r="Z7" s="20">
        <v>8.1702465034232326</v>
      </c>
      <c r="AA7" s="150">
        <f t="shared" si="10"/>
        <v>9.7999999999999997E-3</v>
      </c>
      <c r="AB7" s="7">
        <v>4.9307936449275558E-2</v>
      </c>
      <c r="AC7" s="150">
        <f t="shared" si="11"/>
        <v>4.9072297319915976E-2</v>
      </c>
      <c r="AE7" s="168"/>
      <c r="AF7" s="19">
        <v>7.3999999999999996E-2</v>
      </c>
      <c r="AG7" s="19">
        <v>0.01</v>
      </c>
      <c r="AH7" s="19">
        <v>4.2244993767427387E-2</v>
      </c>
    </row>
    <row r="8" spans="1:40" x14ac:dyDescent="0.2">
      <c r="A8" s="17" t="s">
        <v>462</v>
      </c>
      <c r="B8" s="18" t="s">
        <v>207</v>
      </c>
      <c r="C8" s="18">
        <f>VLOOKUP($AN$1,DST!C:D,2,FALSE)</f>
        <v>9</v>
      </c>
      <c r="D8" s="147"/>
      <c r="E8" s="147"/>
      <c r="F8" s="147"/>
      <c r="G8" s="147"/>
      <c r="H8" s="147"/>
      <c r="I8" s="146">
        <f t="shared" si="3"/>
        <v>119.96092584</v>
      </c>
      <c r="J8" s="146">
        <f t="shared" si="4"/>
        <v>537.42494776320007</v>
      </c>
      <c r="K8" s="146">
        <f t="shared" si="5"/>
        <v>5.2782807369599993</v>
      </c>
      <c r="L8" s="146">
        <f t="shared" si="6"/>
        <v>12.248281079999996</v>
      </c>
      <c r="M8" s="146">
        <f t="shared" si="7"/>
        <v>8.5737967559999984</v>
      </c>
      <c r="N8" s="146">
        <f t="shared" si="7"/>
        <v>67.539494398241672</v>
      </c>
      <c r="O8" s="146">
        <f t="shared" si="8"/>
        <v>0.3403670258823181</v>
      </c>
      <c r="Q8" s="13"/>
      <c r="R8" s="139"/>
      <c r="S8" s="138"/>
      <c r="T8" s="139"/>
      <c r="U8" s="139"/>
      <c r="V8" s="107">
        <v>4.4800000000000004</v>
      </c>
      <c r="W8" s="150">
        <f t="shared" si="12"/>
        <v>0.24108000000000002</v>
      </c>
      <c r="X8" s="19">
        <v>4.3999999999999997E-2</v>
      </c>
      <c r="Y8" s="19">
        <v>0.70000000000000007</v>
      </c>
      <c r="Z8" s="20">
        <v>7.8774312384973548</v>
      </c>
      <c r="AA8" s="150">
        <f t="shared" si="10"/>
        <v>2.2539999999999998E-2</v>
      </c>
      <c r="AB8" s="7">
        <v>2.5186668471229221E-2</v>
      </c>
      <c r="AC8" s="150">
        <f t="shared" si="11"/>
        <v>4.611428031236102E-2</v>
      </c>
      <c r="AE8" s="168"/>
      <c r="AF8" s="19">
        <v>0.246</v>
      </c>
      <c r="AG8" s="19">
        <v>2.3E-2</v>
      </c>
      <c r="AH8" s="19">
        <v>3.9698518120822847E-2</v>
      </c>
    </row>
    <row r="9" spans="1:40" x14ac:dyDescent="0.2">
      <c r="A9" s="42"/>
      <c r="B9" s="18" t="s">
        <v>207</v>
      </c>
      <c r="C9" s="18">
        <f>VLOOKUP($AN$1,DST!C:D,2,FALSE)</f>
        <v>9</v>
      </c>
      <c r="D9" s="147"/>
      <c r="E9" s="147"/>
      <c r="F9" s="147"/>
      <c r="G9" s="147"/>
      <c r="H9" s="147"/>
      <c r="I9" s="146">
        <f t="shared" si="3"/>
        <v>0</v>
      </c>
      <c r="J9" s="146">
        <f t="shared" si="4"/>
        <v>0</v>
      </c>
      <c r="K9" s="146">
        <f t="shared" si="5"/>
        <v>0</v>
      </c>
      <c r="L9" s="146">
        <f t="shared" si="6"/>
        <v>0</v>
      </c>
      <c r="M9" s="146">
        <f t="shared" si="7"/>
        <v>0</v>
      </c>
      <c r="N9" s="146">
        <f t="shared" si="7"/>
        <v>0</v>
      </c>
      <c r="O9" s="146">
        <f t="shared" si="8"/>
        <v>0</v>
      </c>
      <c r="Q9" s="13"/>
      <c r="R9" s="139"/>
      <c r="S9" s="138"/>
      <c r="T9" s="139"/>
      <c r="U9" s="139"/>
      <c r="V9" s="107">
        <v>0</v>
      </c>
      <c r="W9" s="150">
        <f t="shared" si="12"/>
        <v>0</v>
      </c>
      <c r="X9" s="19">
        <v>0</v>
      </c>
      <c r="Y9" s="19">
        <v>0</v>
      </c>
      <c r="Z9" s="20">
        <v>0</v>
      </c>
      <c r="AA9" s="150">
        <f t="shared" si="10"/>
        <v>0</v>
      </c>
      <c r="AB9" s="7">
        <v>6.8676840680918349E-3</v>
      </c>
      <c r="AC9" s="150">
        <f t="shared" si="11"/>
        <v>0</v>
      </c>
      <c r="AE9" s="168"/>
      <c r="AF9" s="19">
        <v>0</v>
      </c>
      <c r="AG9" s="19">
        <v>0</v>
      </c>
      <c r="AH9" s="19">
        <v>0</v>
      </c>
    </row>
    <row r="10" spans="1:40" x14ac:dyDescent="0.2">
      <c r="A10" s="42"/>
      <c r="B10" s="18" t="s">
        <v>207</v>
      </c>
      <c r="C10" s="18">
        <f>VLOOKUP($AN$1,DST!C:D,2,FALSE)</f>
        <v>9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4"/>
        <v>0</v>
      </c>
      <c r="K10" s="146">
        <f t="shared" si="5"/>
        <v>0</v>
      </c>
      <c r="L10" s="146">
        <f t="shared" si="6"/>
        <v>0</v>
      </c>
      <c r="M10" s="146">
        <f t="shared" si="7"/>
        <v>0</v>
      </c>
      <c r="N10" s="146">
        <f t="shared" si="7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12"/>
        <v>0</v>
      </c>
      <c r="X10" s="19">
        <v>0</v>
      </c>
      <c r="Y10" s="19">
        <v>0</v>
      </c>
      <c r="Z10" s="20">
        <v>0</v>
      </c>
      <c r="AA10" s="150">
        <f t="shared" si="10"/>
        <v>0</v>
      </c>
      <c r="AB10" s="7">
        <v>1.9224065025707279E-2</v>
      </c>
      <c r="AC10" s="150">
        <f t="shared" si="11"/>
        <v>0</v>
      </c>
      <c r="AE10" s="168"/>
      <c r="AF10" s="19">
        <v>0</v>
      </c>
      <c r="AG10" s="19">
        <v>0</v>
      </c>
      <c r="AH10" s="19">
        <v>0</v>
      </c>
    </row>
    <row r="11" spans="1:40" x14ac:dyDescent="0.2">
      <c r="A11" s="42"/>
      <c r="B11" s="18" t="s">
        <v>207</v>
      </c>
      <c r="C11" s="18">
        <f>VLOOKUP($AN$1,DST!C:D,2,FALSE)</f>
        <v>9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4"/>
        <v>0</v>
      </c>
      <c r="K11" s="146">
        <f t="shared" si="5"/>
        <v>0</v>
      </c>
      <c r="L11" s="146">
        <f t="shared" si="6"/>
        <v>0</v>
      </c>
      <c r="M11" s="146">
        <f t="shared" si="7"/>
        <v>0</v>
      </c>
      <c r="N11" s="146">
        <f t="shared" si="7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9"/>
        <v>0</v>
      </c>
      <c r="X11" s="19">
        <v>0</v>
      </c>
      <c r="Y11" s="19">
        <v>0</v>
      </c>
      <c r="Z11" s="20">
        <v>0</v>
      </c>
      <c r="AA11" s="150">
        <f t="shared" si="10"/>
        <v>0</v>
      </c>
      <c r="AB11" s="7">
        <v>5.4490533164705542E-2</v>
      </c>
      <c r="AC11" s="150">
        <f t="shared" si="11"/>
        <v>0</v>
      </c>
      <c r="AE11" s="168"/>
      <c r="AF11" s="19">
        <v>0</v>
      </c>
      <c r="AG11" s="19">
        <v>0</v>
      </c>
      <c r="AH11" s="19">
        <v>0</v>
      </c>
    </row>
    <row r="12" spans="1:40" x14ac:dyDescent="0.2">
      <c r="A12" s="49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26"/>
      <c r="Q12" s="3"/>
      <c r="W12" s="153"/>
      <c r="AA12" s="152"/>
      <c r="AB12" s="6"/>
      <c r="AC12"/>
      <c r="AE12" s="124"/>
      <c r="AF12" s="124"/>
      <c r="AG12" s="26"/>
      <c r="AH12" s="26"/>
    </row>
    <row r="13" spans="1:40" x14ac:dyDescent="0.2">
      <c r="A13" s="172" t="s">
        <v>159</v>
      </c>
      <c r="B13" s="18" t="s">
        <v>208</v>
      </c>
      <c r="C13" s="18">
        <f>VLOOKUP($AN$1,DST!C:D,2,FALSE)</f>
        <v>9</v>
      </c>
      <c r="D13" s="147"/>
      <c r="E13" s="147"/>
      <c r="F13" s="147"/>
      <c r="G13" s="147"/>
      <c r="H13" s="147"/>
      <c r="I13" s="146">
        <f t="shared" ref="I13:I20" si="13">D$35*W13</f>
        <v>0</v>
      </c>
      <c r="J13" s="146">
        <f t="shared" ref="J13:J20" si="14">I13*V13</f>
        <v>0</v>
      </c>
      <c r="K13" s="146">
        <f t="shared" ref="K13:K20" si="15">I13*X13</f>
        <v>0</v>
      </c>
      <c r="L13" s="146">
        <f t="shared" ref="L13:L20" si="16">((D$2+D$3+D$4)*AA13)</f>
        <v>115.02733536</v>
      </c>
      <c r="M13" s="146">
        <f t="shared" ref="M13:N20" si="17">L13*Y13</f>
        <v>78.218588044800001</v>
      </c>
      <c r="N13" s="146">
        <f t="shared" si="17"/>
        <v>1184.229422998272</v>
      </c>
      <c r="O13" s="146">
        <f t="shared" ref="O13:O20" si="18">M13*AH13</f>
        <v>7.9000773925248007</v>
      </c>
      <c r="Q13" s="13"/>
      <c r="R13" s="139"/>
      <c r="S13" s="138"/>
      <c r="T13" s="139"/>
      <c r="U13" s="139"/>
      <c r="V13" s="107">
        <v>8.51</v>
      </c>
      <c r="W13" s="150">
        <f t="shared" ref="W13:W20" si="19">(AF13/SUM(AF$2:AF$20))*0.98</f>
        <v>0</v>
      </c>
      <c r="X13" s="19">
        <v>0</v>
      </c>
      <c r="Y13" s="19">
        <v>0.68</v>
      </c>
      <c r="Z13" s="20">
        <v>15.14</v>
      </c>
      <c r="AA13" s="150">
        <f t="shared" ref="AA13:AA20" si="20">(AG13/SUM(AG$6:AG$25))*0.98</f>
        <v>0.21168000000000001</v>
      </c>
      <c r="AB13" s="7">
        <v>0.19020901101057089</v>
      </c>
      <c r="AC13" s="150">
        <f t="shared" ref="AC13:AC20" si="21">(AH13/SUM(AH$6:AH$25))*0.98</f>
        <v>0.11732282543578038</v>
      </c>
      <c r="AE13" s="168"/>
      <c r="AF13" s="19">
        <v>0</v>
      </c>
      <c r="AG13" s="19">
        <v>0.216</v>
      </c>
      <c r="AH13" s="19">
        <v>0.10100000000000001</v>
      </c>
    </row>
    <row r="14" spans="1:40" x14ac:dyDescent="0.2">
      <c r="A14" s="172" t="s">
        <v>12</v>
      </c>
      <c r="B14" s="18" t="s">
        <v>208</v>
      </c>
      <c r="C14" s="18">
        <f>VLOOKUP($AN$1,DST!C:D,2,FALSE)</f>
        <v>9</v>
      </c>
      <c r="D14" s="147"/>
      <c r="E14" s="147"/>
      <c r="F14" s="147"/>
      <c r="G14" s="147"/>
      <c r="H14" s="147"/>
      <c r="I14" s="146">
        <f t="shared" si="13"/>
        <v>36.085806960000006</v>
      </c>
      <c r="J14" s="146">
        <f t="shared" si="14"/>
        <v>231.31002261360004</v>
      </c>
      <c r="K14" s="146">
        <f t="shared" si="15"/>
        <v>2.1651484176000002</v>
      </c>
      <c r="L14" s="146">
        <f t="shared" si="16"/>
        <v>106.50679199999999</v>
      </c>
      <c r="M14" s="146">
        <f t="shared" si="17"/>
        <v>71.466057431999999</v>
      </c>
      <c r="N14" s="146">
        <f t="shared" si="17"/>
        <v>998.38082232504007</v>
      </c>
      <c r="O14" s="146">
        <f t="shared" si="18"/>
        <v>6.2890130540159994</v>
      </c>
      <c r="Q14" s="13"/>
      <c r="R14" s="139"/>
      <c r="S14" s="138"/>
      <c r="T14" s="139"/>
      <c r="U14" s="139"/>
      <c r="V14" s="107">
        <v>6.41</v>
      </c>
      <c r="W14" s="150">
        <f t="shared" si="19"/>
        <v>7.2520000000000015E-2</v>
      </c>
      <c r="X14" s="19">
        <v>0.06</v>
      </c>
      <c r="Y14" s="19">
        <v>0.67100000000000004</v>
      </c>
      <c r="Z14" s="20">
        <v>13.97</v>
      </c>
      <c r="AA14" s="150">
        <f t="shared" si="20"/>
        <v>0.19600000000000001</v>
      </c>
      <c r="AB14" s="7">
        <v>0.18311092108428928</v>
      </c>
      <c r="AC14" s="150">
        <f t="shared" si="21"/>
        <v>0.10222186770642248</v>
      </c>
      <c r="AE14" s="168"/>
      <c r="AF14" s="19">
        <v>7.3999999999999996E-2</v>
      </c>
      <c r="AG14" s="19">
        <v>0.2</v>
      </c>
      <c r="AH14" s="19">
        <v>8.7999999999999995E-2</v>
      </c>
    </row>
    <row r="15" spans="1:40" x14ac:dyDescent="0.2">
      <c r="A15" s="176" t="s">
        <v>585</v>
      </c>
      <c r="B15" s="18" t="s">
        <v>208</v>
      </c>
      <c r="C15" s="18">
        <f>VLOOKUP($AN$1,DST!C:D,2,FALSE)</f>
        <v>9</v>
      </c>
      <c r="D15" s="147"/>
      <c r="E15" s="147"/>
      <c r="F15" s="147"/>
      <c r="G15" s="147"/>
      <c r="H15" s="147"/>
      <c r="I15" s="146">
        <f t="shared" si="13"/>
        <v>0</v>
      </c>
      <c r="J15" s="146">
        <f t="shared" si="14"/>
        <v>0</v>
      </c>
      <c r="K15" s="146">
        <f t="shared" si="15"/>
        <v>0</v>
      </c>
      <c r="L15" s="146">
        <f t="shared" si="16"/>
        <v>42.602716799999996</v>
      </c>
      <c r="M15" s="146">
        <f t="shared" si="17"/>
        <v>27.521355052799997</v>
      </c>
      <c r="N15" s="146">
        <f t="shared" si="17"/>
        <v>363.88666336255017</v>
      </c>
      <c r="O15" s="146">
        <f t="shared" si="18"/>
        <v>2.3943578895935995</v>
      </c>
      <c r="Q15" s="13"/>
      <c r="R15" s="139"/>
      <c r="S15" s="138"/>
      <c r="T15" s="139"/>
      <c r="U15" s="139"/>
      <c r="V15" s="107">
        <v>5.34</v>
      </c>
      <c r="W15" s="150">
        <f t="shared" si="19"/>
        <v>0</v>
      </c>
      <c r="X15" s="19">
        <v>7.2992700729927014E-3</v>
      </c>
      <c r="Y15" s="19">
        <v>0.64600000000000002</v>
      </c>
      <c r="Z15" s="20">
        <v>13.221974814264412</v>
      </c>
      <c r="AA15" s="150">
        <f t="shared" si="20"/>
        <v>7.8399999999999997E-2</v>
      </c>
      <c r="AB15" s="7">
        <v>4.537101313707418E-2</v>
      </c>
      <c r="AC15" s="150">
        <f t="shared" si="21"/>
        <v>0.10106025557339496</v>
      </c>
      <c r="AE15" s="168"/>
      <c r="AF15" s="19">
        <v>0</v>
      </c>
      <c r="AG15" s="19">
        <v>0.08</v>
      </c>
      <c r="AH15" s="19">
        <v>8.6999999999999994E-2</v>
      </c>
    </row>
    <row r="16" spans="1:40" x14ac:dyDescent="0.2">
      <c r="A16" s="172" t="s">
        <v>383</v>
      </c>
      <c r="B16" s="18" t="s">
        <v>208</v>
      </c>
      <c r="C16" s="18">
        <f>VLOOKUP($AN$1,DST!C:D,2,FALSE)</f>
        <v>9</v>
      </c>
      <c r="D16" s="147"/>
      <c r="E16" s="147"/>
      <c r="F16" s="147"/>
      <c r="G16" s="147"/>
      <c r="H16" s="147"/>
      <c r="I16" s="146">
        <f t="shared" si="13"/>
        <v>0</v>
      </c>
      <c r="J16" s="146">
        <f t="shared" si="14"/>
        <v>0</v>
      </c>
      <c r="K16" s="146">
        <f t="shared" si="15"/>
        <v>0</v>
      </c>
      <c r="L16" s="146">
        <f t="shared" si="16"/>
        <v>43.135250759999998</v>
      </c>
      <c r="M16" s="146">
        <f t="shared" si="17"/>
        <v>26.786990721959995</v>
      </c>
      <c r="N16" s="146">
        <f t="shared" si="17"/>
        <v>345.01644049884476</v>
      </c>
      <c r="O16" s="146">
        <f t="shared" si="18"/>
        <v>2.133590747005389</v>
      </c>
      <c r="Q16" s="13"/>
      <c r="R16" s="139"/>
      <c r="S16" s="138"/>
      <c r="T16" s="139"/>
      <c r="U16" s="139"/>
      <c r="V16" s="107">
        <v>5.0199999999999996</v>
      </c>
      <c r="W16" s="150">
        <f t="shared" si="19"/>
        <v>0</v>
      </c>
      <c r="X16" s="19">
        <v>0</v>
      </c>
      <c r="Y16" s="19">
        <v>0.62099999999999989</v>
      </c>
      <c r="Z16" s="20">
        <v>12.88</v>
      </c>
      <c r="AA16" s="150">
        <f t="shared" si="20"/>
        <v>7.9380000000000006E-2</v>
      </c>
      <c r="AB16" s="7">
        <v>4.537101313707418E-2</v>
      </c>
      <c r="AC16" s="150">
        <f t="shared" si="21"/>
        <v>9.2522707173856952E-2</v>
      </c>
      <c r="AE16" s="168"/>
      <c r="AF16" s="19">
        <v>0</v>
      </c>
      <c r="AG16" s="19">
        <v>8.1000000000000003E-2</v>
      </c>
      <c r="AH16" s="19">
        <v>7.9650258931708587E-2</v>
      </c>
    </row>
    <row r="17" spans="1:34" x14ac:dyDescent="0.2">
      <c r="A17" s="17" t="s">
        <v>542</v>
      </c>
      <c r="B17" s="18" t="s">
        <v>208</v>
      </c>
      <c r="C17" s="18">
        <f>VLOOKUP($AN$1,DST!C:D,2,FALSE)</f>
        <v>9</v>
      </c>
      <c r="D17" s="147"/>
      <c r="E17" s="147"/>
      <c r="F17" s="147"/>
      <c r="G17" s="147"/>
      <c r="H17" s="147"/>
      <c r="I17" s="146">
        <f t="shared" si="13"/>
        <v>0</v>
      </c>
      <c r="J17" s="146">
        <f t="shared" si="14"/>
        <v>0</v>
      </c>
      <c r="K17" s="146">
        <f t="shared" si="15"/>
        <v>0</v>
      </c>
      <c r="L17" s="146">
        <f t="shared" si="16"/>
        <v>7.9880093999999984</v>
      </c>
      <c r="M17" s="146">
        <f t="shared" si="17"/>
        <v>5.104338006599999</v>
      </c>
      <c r="N17" s="146">
        <f t="shared" si="17"/>
        <v>61.263782192908828</v>
      </c>
      <c r="O17" s="146">
        <f t="shared" si="18"/>
        <v>0.39534194215240248</v>
      </c>
      <c r="Q17" s="13"/>
      <c r="R17" s="139"/>
      <c r="S17" s="138"/>
      <c r="T17" s="139"/>
      <c r="U17" s="139"/>
      <c r="V17" s="107">
        <v>5.0199999999999996</v>
      </c>
      <c r="W17" s="150">
        <f t="shared" si="19"/>
        <v>0</v>
      </c>
      <c r="X17" s="19">
        <v>0</v>
      </c>
      <c r="Y17" s="19">
        <v>0.63900000000000001</v>
      </c>
      <c r="Z17" s="20">
        <v>12.002297283936462</v>
      </c>
      <c r="AA17" s="150">
        <f t="shared" si="20"/>
        <v>1.47E-2</v>
      </c>
      <c r="AB17" s="7">
        <v>2.3790559285205654E-2</v>
      </c>
      <c r="AC17" s="150">
        <f t="shared" si="21"/>
        <v>8.9969354714578134E-2</v>
      </c>
      <c r="AE17" s="168"/>
      <c r="AF17" s="19">
        <v>0</v>
      </c>
      <c r="AG17" s="19">
        <v>1.4999999999999999E-2</v>
      </c>
      <c r="AH17" s="19">
        <v>7.7452147886996975E-2</v>
      </c>
    </row>
    <row r="18" spans="1:34" x14ac:dyDescent="0.2">
      <c r="A18" s="17" t="s">
        <v>419</v>
      </c>
      <c r="B18" s="18" t="s">
        <v>208</v>
      </c>
      <c r="C18" s="18">
        <f>VLOOKUP($AN$1,DST!C:D,2,FALSE)</f>
        <v>9</v>
      </c>
      <c r="D18" s="147"/>
      <c r="E18" s="147"/>
      <c r="F18" s="147"/>
      <c r="G18" s="147"/>
      <c r="H18" s="147"/>
      <c r="I18" s="146">
        <f t="shared" si="13"/>
        <v>0</v>
      </c>
      <c r="J18" s="146">
        <f t="shared" si="14"/>
        <v>0</v>
      </c>
      <c r="K18" s="146">
        <f t="shared" si="15"/>
        <v>0</v>
      </c>
      <c r="L18" s="146">
        <f t="shared" si="16"/>
        <v>5.3253395999999995</v>
      </c>
      <c r="M18" s="146">
        <f t="shared" si="17"/>
        <v>3.3389879291999995</v>
      </c>
      <c r="N18" s="146">
        <f t="shared" si="17"/>
        <v>54.258553849499989</v>
      </c>
      <c r="O18" s="146">
        <f t="shared" si="18"/>
        <v>0.25042409468999993</v>
      </c>
      <c r="Q18" s="13"/>
      <c r="R18" s="139"/>
      <c r="S18" s="138"/>
      <c r="T18" s="139"/>
      <c r="U18" s="139"/>
      <c r="V18" s="107">
        <v>5.0199999999999996</v>
      </c>
      <c r="W18" s="150">
        <f t="shared" si="19"/>
        <v>0</v>
      </c>
      <c r="X18" s="19">
        <v>0</v>
      </c>
      <c r="Y18" s="19">
        <v>0.627</v>
      </c>
      <c r="Z18" s="20">
        <v>16.25</v>
      </c>
      <c r="AA18" s="150">
        <f t="shared" si="20"/>
        <v>9.7999999999999997E-3</v>
      </c>
      <c r="AB18" s="7">
        <v>3.3683771170054368E-2</v>
      </c>
      <c r="AC18" s="150">
        <f t="shared" si="21"/>
        <v>8.712090997706462E-2</v>
      </c>
      <c r="AE18" s="168"/>
      <c r="AF18" s="19">
        <v>0</v>
      </c>
      <c r="AG18" s="19">
        <v>0.01</v>
      </c>
      <c r="AH18" s="19">
        <v>7.4999999999999983E-2</v>
      </c>
    </row>
    <row r="19" spans="1:34" x14ac:dyDescent="0.2">
      <c r="A19" s="17" t="s">
        <v>629</v>
      </c>
      <c r="B19" s="18" t="s">
        <v>208</v>
      </c>
      <c r="C19" s="18">
        <f>VLOOKUP($AN$1,DST!C:D,2,FALSE)</f>
        <v>9</v>
      </c>
      <c r="D19" s="147"/>
      <c r="E19" s="147"/>
      <c r="F19" s="147"/>
      <c r="G19" s="147"/>
      <c r="H19" s="147"/>
      <c r="I19" s="146">
        <f t="shared" si="13"/>
        <v>0</v>
      </c>
      <c r="J19" s="146">
        <f t="shared" si="14"/>
        <v>0</v>
      </c>
      <c r="K19" s="146">
        <f t="shared" si="15"/>
        <v>0</v>
      </c>
      <c r="L19" s="146">
        <f t="shared" si="16"/>
        <v>5.3253395999999995</v>
      </c>
      <c r="M19" s="146">
        <f t="shared" si="17"/>
        <v>0</v>
      </c>
      <c r="N19" s="146">
        <f t="shared" si="17"/>
        <v>0</v>
      </c>
      <c r="O19" s="146">
        <f t="shared" si="18"/>
        <v>0</v>
      </c>
      <c r="Q19" s="13"/>
      <c r="R19" s="139"/>
      <c r="S19" s="138"/>
      <c r="T19" s="139"/>
      <c r="U19" s="139"/>
      <c r="V19" s="107">
        <v>0</v>
      </c>
      <c r="W19" s="150">
        <f t="shared" si="19"/>
        <v>0</v>
      </c>
      <c r="X19" s="19">
        <v>0</v>
      </c>
      <c r="Y19" s="19">
        <v>0</v>
      </c>
      <c r="Z19" s="20">
        <v>0</v>
      </c>
      <c r="AA19" s="150">
        <f t="shared" si="20"/>
        <v>9.7999999999999997E-3</v>
      </c>
      <c r="AB19" s="7">
        <v>0</v>
      </c>
      <c r="AC19" s="150">
        <f t="shared" si="21"/>
        <v>0</v>
      </c>
      <c r="AE19" s="168"/>
      <c r="AF19" s="19">
        <v>0</v>
      </c>
      <c r="AG19" s="19">
        <v>0.01</v>
      </c>
      <c r="AH19" s="19">
        <v>0</v>
      </c>
    </row>
    <row r="20" spans="1:34" x14ac:dyDescent="0.2">
      <c r="B20" s="18" t="s">
        <v>208</v>
      </c>
      <c r="C20" s="18">
        <f>VLOOKUP($AN$1,DST!C:D,2,FALSE)</f>
        <v>9</v>
      </c>
      <c r="D20" s="147"/>
      <c r="E20" s="147"/>
      <c r="F20" s="147"/>
      <c r="G20" s="147"/>
      <c r="H20" s="147"/>
      <c r="I20" s="146">
        <f t="shared" si="13"/>
        <v>0</v>
      </c>
      <c r="J20" s="146">
        <f t="shared" si="14"/>
        <v>0</v>
      </c>
      <c r="K20" s="146">
        <f t="shared" si="15"/>
        <v>0</v>
      </c>
      <c r="L20" s="146">
        <f t="shared" si="16"/>
        <v>0</v>
      </c>
      <c r="M20" s="146">
        <f t="shared" si="17"/>
        <v>0</v>
      </c>
      <c r="N20" s="146">
        <f t="shared" si="17"/>
        <v>0</v>
      </c>
      <c r="O20" s="146">
        <f t="shared" si="18"/>
        <v>0</v>
      </c>
      <c r="Q20" s="13"/>
      <c r="R20" s="139"/>
      <c r="S20" s="138"/>
      <c r="T20" s="139"/>
      <c r="U20" s="139"/>
      <c r="V20" s="107">
        <v>0</v>
      </c>
      <c r="W20" s="150">
        <f t="shared" si="19"/>
        <v>0</v>
      </c>
      <c r="X20" s="19">
        <v>0</v>
      </c>
      <c r="Y20" s="19">
        <v>0</v>
      </c>
      <c r="Z20" s="20">
        <v>0</v>
      </c>
      <c r="AA20" s="150">
        <f t="shared" si="20"/>
        <v>0</v>
      </c>
      <c r="AB20" s="7">
        <v>0</v>
      </c>
      <c r="AC20" s="150">
        <f t="shared" si="21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A21" s="50"/>
      <c r="B21" s="26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26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13</v>
      </c>
      <c r="B22" s="18" t="s">
        <v>10</v>
      </c>
      <c r="C22" s="18">
        <f>VLOOKUP($AN$1,DST!C:D,2,FALSE)</f>
        <v>9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96.388646759999972</v>
      </c>
      <c r="M22" s="146">
        <f t="shared" ref="M22:N25" si="22">L22*Y22</f>
        <v>68.821493786639977</v>
      </c>
      <c r="N22" s="146">
        <f t="shared" si="22"/>
        <v>905.0026432943157</v>
      </c>
      <c r="O22" s="146">
        <f t="shared" ref="O22:O25" si="23">M22*AH22</f>
        <v>6.1251129470109573</v>
      </c>
      <c r="Q22" s="13"/>
      <c r="R22" s="139"/>
      <c r="S22" s="138"/>
      <c r="T22" s="139"/>
      <c r="U22" s="139"/>
      <c r="V22" s="140"/>
      <c r="W22" s="154"/>
      <c r="X22" s="139"/>
      <c r="Y22" s="19">
        <v>0.71399999999999997</v>
      </c>
      <c r="Z22" s="20">
        <v>13.15</v>
      </c>
      <c r="AA22" s="150">
        <f>(AG22/SUM(AG$6:AG$25))*0.98</f>
        <v>0.17737999999999998</v>
      </c>
      <c r="AB22" s="7">
        <v>0.22762675123096426</v>
      </c>
      <c r="AC22" s="150">
        <f>(AH22/SUM(AH$6:AH$25))*0.98</f>
        <v>0.10338347983945002</v>
      </c>
      <c r="AE22" s="168"/>
      <c r="AF22" s="168"/>
      <c r="AG22" s="19">
        <v>0.18099999999999999</v>
      </c>
      <c r="AH22" s="19">
        <v>8.8999999999999996E-2</v>
      </c>
    </row>
    <row r="23" spans="1:34" x14ac:dyDescent="0.2">
      <c r="A23" s="17" t="s">
        <v>648</v>
      </c>
      <c r="B23" s="18" t="s">
        <v>10</v>
      </c>
      <c r="C23" s="18">
        <f>VLOOKUP($AN$1,DST!C:D,2,FALSE)</f>
        <v>9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10.650679199999999</v>
      </c>
      <c r="M23" s="146">
        <f t="shared" si="22"/>
        <v>6.8164346879999993</v>
      </c>
      <c r="N23" s="146">
        <f t="shared" si="22"/>
        <v>74.691955717254558</v>
      </c>
      <c r="O23" s="146">
        <f t="shared" si="23"/>
        <v>0.64756129535999996</v>
      </c>
      <c r="Q23" s="13"/>
      <c r="R23" s="139"/>
      <c r="S23" s="138"/>
      <c r="T23" s="139"/>
      <c r="U23" s="139"/>
      <c r="V23" s="140"/>
      <c r="W23" s="154"/>
      <c r="X23" s="139"/>
      <c r="Y23" s="19">
        <v>0.64</v>
      </c>
      <c r="Z23" s="20">
        <v>10.957628017583165</v>
      </c>
      <c r="AA23" s="150">
        <f>(AG23/SUM(AG$6:AG$25))*0.98</f>
        <v>1.9599999999999999E-2</v>
      </c>
      <c r="AB23" s="7">
        <v>2.6487046459472658E-2</v>
      </c>
      <c r="AC23" s="150">
        <f>(AH23/SUM(AH$6:AH$25))*0.98</f>
        <v>0.11035315263761521</v>
      </c>
      <c r="AE23" s="168"/>
      <c r="AF23" s="168"/>
      <c r="AG23" s="19">
        <v>0.02</v>
      </c>
      <c r="AH23" s="19">
        <v>9.5000000000000001E-2</v>
      </c>
    </row>
    <row r="24" spans="1:34" x14ac:dyDescent="0.2">
      <c r="B24" s="18" t="s">
        <v>10</v>
      </c>
      <c r="C24" s="18">
        <f>VLOOKUP($AN$1,DST!C:D,2,FALSE)</f>
        <v>9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0</v>
      </c>
      <c r="M24" s="146">
        <f t="shared" si="22"/>
        <v>0</v>
      </c>
      <c r="N24" s="146">
        <f t="shared" si="22"/>
        <v>0</v>
      </c>
      <c r="O24" s="146">
        <f t="shared" si="23"/>
        <v>0</v>
      </c>
      <c r="Q24" s="13"/>
      <c r="R24" s="139"/>
      <c r="S24" s="138"/>
      <c r="T24" s="139"/>
      <c r="U24" s="139"/>
      <c r="V24" s="140"/>
      <c r="W24" s="154"/>
      <c r="X24" s="139"/>
      <c r="Y24" s="19">
        <v>0</v>
      </c>
      <c r="Z24" s="20">
        <v>0</v>
      </c>
      <c r="AA24" s="150">
        <f>(AG24/SUM(AG$6:AG$25))*0.98</f>
        <v>0</v>
      </c>
      <c r="AB24" s="7">
        <v>1.3248626864088215E-2</v>
      </c>
      <c r="AC24" s="150">
        <f>(AH24/SUM(AH$6:AH$25))*0.98</f>
        <v>0</v>
      </c>
      <c r="AE24" s="168"/>
      <c r="AF24" s="168"/>
      <c r="AG24" s="19">
        <v>0</v>
      </c>
      <c r="AH24" s="19">
        <v>0</v>
      </c>
    </row>
    <row r="25" spans="1:34" x14ac:dyDescent="0.2">
      <c r="B25" s="18" t="s">
        <v>10</v>
      </c>
      <c r="C25" s="18">
        <f>VLOOKUP($AN$1,DST!C:D,2,FALSE)</f>
        <v>9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22"/>
        <v>0</v>
      </c>
      <c r="N25" s="146">
        <f t="shared" si="22"/>
        <v>0</v>
      </c>
      <c r="O25" s="146">
        <f t="shared" si="23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0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264</v>
      </c>
      <c r="X27" s="30"/>
      <c r="Y27" s="30"/>
      <c r="Z27" s="31"/>
      <c r="AA27" s="9" t="s">
        <v>264</v>
      </c>
      <c r="AB27" s="9" t="s">
        <v>264</v>
      </c>
      <c r="AC27" s="9" t="s">
        <v>264</v>
      </c>
      <c r="AD27" s="44"/>
      <c r="AE27" s="9" t="s">
        <v>264</v>
      </c>
      <c r="AF27" s="9" t="s">
        <v>264</v>
      </c>
      <c r="AG27" s="9" t="s">
        <v>264</v>
      </c>
    </row>
    <row r="28" spans="1:34" s="27" customFormat="1" x14ac:dyDescent="0.2">
      <c r="A28" s="45" t="s">
        <v>265</v>
      </c>
      <c r="B28" s="28"/>
      <c r="C28" s="28"/>
      <c r="D28" s="34" t="s">
        <v>269</v>
      </c>
      <c r="E28" s="34" t="s">
        <v>266</v>
      </c>
      <c r="F28" s="155" t="s">
        <v>267</v>
      </c>
      <c r="G28" s="34" t="s">
        <v>286</v>
      </c>
      <c r="H28" s="34" t="s">
        <v>268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0.98000000000000032</v>
      </c>
      <c r="X28" s="30"/>
      <c r="Y28" s="30"/>
      <c r="Z28" s="31"/>
      <c r="AA28" s="150">
        <f>SUM(AA6:AA25)</f>
        <v>0.98000000000000009</v>
      </c>
      <c r="AB28" s="150">
        <f>SUM(AB2:AB4,AB6:AB11,AB13:AB20,AB22:AB25)</f>
        <v>1.0041987430099271</v>
      </c>
      <c r="AC28" s="150">
        <f>SUM(AC6:AC25)</f>
        <v>0.9800000000000002</v>
      </c>
      <c r="AD28" s="35"/>
      <c r="AE28" s="150">
        <f>SUM(AE2:AE4,AE6:AE25)</f>
        <v>1</v>
      </c>
      <c r="AF28" s="150">
        <f>SUM(AF2:AF4,AF6:AF25)</f>
        <v>0.99999999999999989</v>
      </c>
      <c r="AG28" s="150">
        <f>SUM(AG6:AG25)</f>
        <v>1</v>
      </c>
    </row>
    <row r="29" spans="1:34" s="27" customFormat="1" x14ac:dyDescent="0.2">
      <c r="A29" s="43"/>
      <c r="B29" s="28"/>
      <c r="C29" s="28"/>
      <c r="D29" s="46">
        <v>1041</v>
      </c>
      <c r="E29" s="47">
        <v>0.52200000000000002</v>
      </c>
      <c r="F29" s="2">
        <f>1-E29</f>
        <v>0.47799999999999998</v>
      </c>
      <c r="G29" s="106">
        <v>4.5999999999999996</v>
      </c>
      <c r="H29" s="126">
        <v>4.7500000000000001E-2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265</v>
      </c>
      <c r="B31" s="28"/>
      <c r="C31" s="28"/>
      <c r="D31" s="162" t="s">
        <v>278</v>
      </c>
      <c r="E31" s="162" t="s">
        <v>1</v>
      </c>
      <c r="F31" s="162" t="s">
        <v>263</v>
      </c>
      <c r="G31" s="162" t="s">
        <v>137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543.40200000000004</v>
      </c>
      <c r="E32" s="156">
        <f>SUM(E2:E4)</f>
        <v>368.19309140464406</v>
      </c>
      <c r="F32" s="156">
        <f>SUM(F2:F4)</f>
        <v>4624.2043523028688</v>
      </c>
      <c r="G32" s="156">
        <f>SUM(G2:G4)</f>
        <v>31.256483039999999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265</v>
      </c>
      <c r="B34" s="28"/>
      <c r="C34" s="28"/>
      <c r="D34" s="162" t="s">
        <v>270</v>
      </c>
      <c r="E34" s="162" t="s">
        <v>263</v>
      </c>
      <c r="F34" s="162" t="s">
        <v>137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497.59799999999996</v>
      </c>
      <c r="E35" s="156">
        <f>D35*G29</f>
        <v>2288.9507999999996</v>
      </c>
      <c r="F35" s="156">
        <f>D35*H29</f>
        <v>23.635904999999998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279</v>
      </c>
      <c r="B37" s="37"/>
      <c r="C37" s="37"/>
      <c r="D37" s="164" t="s">
        <v>273</v>
      </c>
      <c r="E37" s="164" t="s">
        <v>274</v>
      </c>
      <c r="F37" s="164" t="s">
        <v>275</v>
      </c>
      <c r="G37" s="164" t="s">
        <v>271</v>
      </c>
      <c r="H37" s="164" t="s">
        <v>272</v>
      </c>
      <c r="I37" s="164" t="s">
        <v>276</v>
      </c>
      <c r="J37" s="164" t="s">
        <v>277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3.5" thickBot="1" x14ac:dyDescent="0.25">
      <c r="D38" s="157">
        <f>SUM(I2:I20)</f>
        <v>487.64604000000008</v>
      </c>
      <c r="E38" s="157">
        <f>SUM(J2:J4,J6:J11,J13:J20)</f>
        <v>2286.2774062008211</v>
      </c>
      <c r="F38" s="157">
        <f>SUM(K2:K4,K6:K11,K13:K20)</f>
        <v>23.617864845125631</v>
      </c>
      <c r="G38" s="157">
        <f>SUM(L6:L11,L13:L20,L22:L25)</f>
        <v>532.53395999999998</v>
      </c>
      <c r="H38" s="157">
        <f>SUM(M6:M11,M13:M20,M22:M25)</f>
        <v>366.29283370680002</v>
      </c>
      <c r="I38" s="157">
        <f>SUM(N6:N11,N13:N20,N22:N25)</f>
        <v>4623.5443958684291</v>
      </c>
      <c r="J38" s="157">
        <f>SUM(O6:O11,O13:O20,O22:O25)</f>
        <v>31.213304794701877</v>
      </c>
      <c r="P38" s="26"/>
      <c r="Q38" s="25"/>
      <c r="R38" s="25"/>
      <c r="S38" s="26"/>
      <c r="T38" s="18"/>
      <c r="U38" s="18"/>
      <c r="V38" s="181"/>
      <c r="W38" s="18"/>
      <c r="X38" s="30"/>
      <c r="Y38" s="30"/>
      <c r="Z38" s="181"/>
      <c r="AC38" s="18"/>
      <c r="AH38" s="30"/>
    </row>
    <row r="39" spans="1:34" ht="13.5" thickTop="1" x14ac:dyDescent="0.2">
      <c r="D39" s="158">
        <f>D35-D38</f>
        <v>9.9519599999998718</v>
      </c>
      <c r="E39" s="158">
        <f>E35-E38</f>
        <v>2.6733937991784842</v>
      </c>
      <c r="F39" s="158">
        <f>F35-F38</f>
        <v>1.8040154874366721E-2</v>
      </c>
      <c r="G39" s="158">
        <f>SUM(D2:D4)-G38</f>
        <v>10.868039999999951</v>
      </c>
      <c r="H39" s="158">
        <f>E32-H38</f>
        <v>1.9002576978440402</v>
      </c>
      <c r="I39" s="158">
        <f>F32-I38</f>
        <v>0.65995643443966401</v>
      </c>
      <c r="J39" s="158">
        <f>G32-J38</f>
        <v>4.317824529812242E-2</v>
      </c>
      <c r="P39" s="26"/>
      <c r="Q39" s="25"/>
      <c r="R39" s="25"/>
      <c r="S39" s="26"/>
      <c r="T39" s="18"/>
      <c r="U39" s="18"/>
      <c r="V39" s="181"/>
      <c r="W39" s="18"/>
      <c r="X39" s="30"/>
      <c r="Y39" s="30"/>
      <c r="Z39" s="181"/>
      <c r="AC39" s="18"/>
      <c r="AH39" s="30"/>
    </row>
    <row r="40" spans="1:34" x14ac:dyDescent="0.2">
      <c r="K40" s="26"/>
      <c r="M40" s="26"/>
      <c r="N40" s="25"/>
      <c r="O40" s="26"/>
      <c r="P40" s="26"/>
      <c r="Q40" s="25"/>
      <c r="R40" s="25"/>
      <c r="S40" s="26"/>
      <c r="T40" s="18"/>
      <c r="U40" s="18"/>
      <c r="V40" s="181"/>
      <c r="W40" s="18"/>
      <c r="X40" s="30"/>
      <c r="Y40" s="30"/>
      <c r="Z40" s="181"/>
      <c r="AC40" s="18"/>
      <c r="AH40" s="30"/>
    </row>
    <row r="41" spans="1:34" x14ac:dyDescent="0.2">
      <c r="N41" s="23"/>
      <c r="O41" s="23"/>
      <c r="V41" s="181"/>
      <c r="X41" s="30"/>
      <c r="Y41" s="30"/>
      <c r="Z41" s="181"/>
      <c r="AH41" s="30"/>
    </row>
    <row r="42" spans="1:34" x14ac:dyDescent="0.2">
      <c r="V42" s="181"/>
      <c r="X42" s="30"/>
      <c r="Y42" s="30"/>
      <c r="Z42" s="181"/>
      <c r="AH42" s="30"/>
    </row>
    <row r="43" spans="1:34" x14ac:dyDescent="0.2">
      <c r="V43" s="181"/>
      <c r="X43" s="30"/>
      <c r="Y43" s="30"/>
      <c r="Z43" s="181"/>
      <c r="AH43" s="30"/>
    </row>
    <row r="44" spans="1:34" x14ac:dyDescent="0.2">
      <c r="V44" s="181"/>
      <c r="X44" s="30"/>
      <c r="Y44" s="30"/>
      <c r="Z44" s="181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sortState xmlns:xlrd2="http://schemas.microsoft.com/office/spreadsheetml/2017/richdata2" ref="A6:AH11">
    <sortCondition descending="1" ref="J6:J11"/>
  </sortState>
  <conditionalFormatting sqref="D39:J39">
    <cfRule type="cellIs" dxfId="14" priority="1" operator="lessThan">
      <formula>0</formula>
    </cfRule>
  </conditionalFormatting>
  <conditionalFormatting sqref="W28">
    <cfRule type="cellIs" dxfId="13" priority="2" operator="greaterThan">
      <formula>1</formula>
    </cfRule>
  </conditionalFormatting>
  <conditionalFormatting sqref="AA28:AG28">
    <cfRule type="cellIs" dxfId="12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2">
    <tabColor rgb="FF008000"/>
  </sheetPr>
  <dimension ref="A1:AN64"/>
  <sheetViews>
    <sheetView showGridLines="0" zoomScale="85" zoomScaleNormal="85"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defaultColWidth="8.7109375" defaultRowHeight="12.75" x14ac:dyDescent="0.2"/>
  <cols>
    <col min="1" max="1" width="22.5703125" style="17" customWidth="1"/>
    <col min="2" max="3" width="8.7109375" style="18"/>
    <col min="4" max="13" width="8.7109375" style="23"/>
    <col min="14" max="15" width="8.7109375" style="18"/>
    <col min="16" max="16" width="4.7109375" style="18" customWidth="1"/>
    <col min="17" max="18" width="8.7109375" style="26"/>
    <col min="19" max="19" width="8.7109375" style="23"/>
    <col min="20" max="21" width="8.7109375" style="26"/>
    <col min="22" max="23" width="8.7109375" style="25"/>
    <col min="24" max="25" width="8.7109375" style="26"/>
    <col min="26" max="26" width="8.7109375" style="25"/>
    <col min="27" max="27" width="8.7109375" style="18"/>
    <col min="28" max="28" width="0" style="18" hidden="1" customWidth="1"/>
    <col min="29" max="29" width="8.7109375" style="26"/>
    <col min="30" max="30" width="4.7109375" style="17" customWidth="1"/>
    <col min="31" max="32" width="8.7109375" style="18"/>
    <col min="33" max="16384" width="8.7109375" style="17"/>
  </cols>
  <sheetData>
    <row r="1" spans="1:40" s="15" customFormat="1" ht="25.5" customHeight="1" x14ac:dyDescent="0.2">
      <c r="A1" s="15" t="s">
        <v>0</v>
      </c>
      <c r="B1" s="15" t="s">
        <v>8</v>
      </c>
      <c r="C1" s="15" t="s">
        <v>122</v>
      </c>
      <c r="D1" s="159" t="s">
        <v>210</v>
      </c>
      <c r="E1" s="159" t="s">
        <v>1</v>
      </c>
      <c r="F1" s="159" t="s">
        <v>213</v>
      </c>
      <c r="G1" s="159" t="s">
        <v>228</v>
      </c>
      <c r="H1" s="159" t="s">
        <v>2</v>
      </c>
      <c r="I1" s="159" t="s">
        <v>229</v>
      </c>
      <c r="J1" s="159" t="s">
        <v>217</v>
      </c>
      <c r="K1" s="159" t="s">
        <v>230</v>
      </c>
      <c r="L1" s="159" t="s">
        <v>219</v>
      </c>
      <c r="M1" s="159" t="s">
        <v>4</v>
      </c>
      <c r="N1" s="159" t="s">
        <v>223</v>
      </c>
      <c r="O1" s="159" t="s">
        <v>231</v>
      </c>
      <c r="Q1" s="160" t="s">
        <v>281</v>
      </c>
      <c r="R1" s="133" t="s">
        <v>232</v>
      </c>
      <c r="S1" s="134" t="s">
        <v>451</v>
      </c>
      <c r="T1" s="133" t="s">
        <v>205</v>
      </c>
      <c r="U1" s="133" t="s">
        <v>209</v>
      </c>
      <c r="V1" s="135" t="s">
        <v>280</v>
      </c>
      <c r="W1" s="161" t="s">
        <v>282</v>
      </c>
      <c r="X1" s="133" t="s">
        <v>233</v>
      </c>
      <c r="Y1" s="179" t="s">
        <v>234</v>
      </c>
      <c r="Z1" s="135" t="s">
        <v>235</v>
      </c>
      <c r="AA1" s="160" t="s">
        <v>236</v>
      </c>
      <c r="AB1" s="160" t="s">
        <v>237</v>
      </c>
      <c r="AC1" s="10" t="s">
        <v>262</v>
      </c>
      <c r="AE1" s="136" t="s">
        <v>283</v>
      </c>
      <c r="AF1" s="137" t="s">
        <v>284</v>
      </c>
      <c r="AG1" s="136" t="s">
        <v>285</v>
      </c>
      <c r="AH1" s="136" t="s">
        <v>450</v>
      </c>
      <c r="AN1" s="15" t="s">
        <v>113</v>
      </c>
    </row>
    <row r="2" spans="1:40" x14ac:dyDescent="0.2">
      <c r="A2" s="17" t="s">
        <v>177</v>
      </c>
      <c r="B2" s="18" t="s">
        <v>9</v>
      </c>
      <c r="C2" s="18">
        <f>VLOOKUP($AN$1,DST!C:D,2,FALSE)</f>
        <v>10</v>
      </c>
      <c r="D2" s="146">
        <f>D$32*Q2</f>
        <v>533.09609999999998</v>
      </c>
      <c r="E2" s="146">
        <f>D2*R2</f>
        <v>351.78113362458947</v>
      </c>
      <c r="F2" s="146">
        <f>E2*S2</f>
        <v>3905.2688817822068</v>
      </c>
      <c r="G2" s="146">
        <f>D2*T2</f>
        <v>24.547322032075023</v>
      </c>
      <c r="H2" s="146">
        <f>E2*U2</f>
        <v>6.9770339945520314</v>
      </c>
      <c r="I2" s="146">
        <f>D$35*W2</f>
        <v>39.133084619999998</v>
      </c>
      <c r="J2" s="146">
        <f>I2*V2</f>
        <v>171.10632306721794</v>
      </c>
      <c r="K2" s="146">
        <f>I2*X2</f>
        <v>1.2131256232199998</v>
      </c>
      <c r="L2" s="147"/>
      <c r="M2" s="147"/>
      <c r="N2" s="147"/>
      <c r="O2" s="147"/>
      <c r="Q2" s="150">
        <f>(AE2/SUM(AE$2:AE$25))</f>
        <v>0.9</v>
      </c>
      <c r="R2" s="19">
        <v>0.65988314981968443</v>
      </c>
      <c r="S2" s="107">
        <v>11.101416501630231</v>
      </c>
      <c r="T2" s="19">
        <v>4.6046710962760792E-2</v>
      </c>
      <c r="U2" s="19">
        <v>1.983345133567543E-2</v>
      </c>
      <c r="V2" s="107">
        <v>4.3724210531507532</v>
      </c>
      <c r="W2" s="150">
        <f>(AF2/SUM(AF$2:AF$20))*0.98</f>
        <v>8.7219999999999992E-2</v>
      </c>
      <c r="X2" s="19">
        <v>3.1E-2</v>
      </c>
      <c r="Y2" s="21"/>
      <c r="Z2" s="22"/>
      <c r="AA2" s="1"/>
      <c r="AB2" s="1"/>
      <c r="AC2" s="1"/>
      <c r="AE2" s="19">
        <v>0.9</v>
      </c>
      <c r="AF2" s="19">
        <v>8.8999999999999996E-2</v>
      </c>
      <c r="AG2" s="168"/>
      <c r="AH2" s="168"/>
    </row>
    <row r="3" spans="1:40" x14ac:dyDescent="0.2">
      <c r="A3" s="17" t="s">
        <v>414</v>
      </c>
      <c r="B3" s="18" t="s">
        <v>9</v>
      </c>
      <c r="C3" s="18">
        <f>VLOOKUP($AN$1,DST!C:D,2,FALSE)</f>
        <v>10</v>
      </c>
      <c r="D3" s="146">
        <f>D$32*Q3</f>
        <v>59.232900000000001</v>
      </c>
      <c r="E3" s="146">
        <f t="shared" ref="E3:F4" si="0">D3*R3</f>
        <v>37.896985495522486</v>
      </c>
      <c r="F3" s="146">
        <f t="shared" si="0"/>
        <v>410.07288672727765</v>
      </c>
      <c r="G3" s="146">
        <f t="shared" ref="G3:G4" si="1">D3*T3</f>
        <v>2.5049663933148976</v>
      </c>
      <c r="H3" s="146">
        <f t="shared" ref="H3:H4" si="2">E3*U3</f>
        <v>1.0350363508504383</v>
      </c>
      <c r="I3" s="146">
        <f>D$35*W3</f>
        <v>5.2763709600000004</v>
      </c>
      <c r="J3" s="146">
        <f>I3*V3</f>
        <v>25.781551494869269</v>
      </c>
      <c r="K3" s="146">
        <f>I3*X3</f>
        <v>0.12622213791413409</v>
      </c>
      <c r="L3" s="147"/>
      <c r="M3" s="147"/>
      <c r="N3" s="147"/>
      <c r="O3" s="147"/>
      <c r="Q3" s="150">
        <f>(AE3/SUM(AE$2:AE$25))</f>
        <v>0.1</v>
      </c>
      <c r="R3" s="19">
        <v>0.63979621959286959</v>
      </c>
      <c r="S3" s="107">
        <v>10.820725748113333</v>
      </c>
      <c r="T3" s="19">
        <v>4.2290119060773616E-2</v>
      </c>
      <c r="U3" s="19">
        <v>2.7311838588658387E-2</v>
      </c>
      <c r="V3" s="107">
        <v>4.8862279946422245</v>
      </c>
      <c r="W3" s="150">
        <f>(AF3/SUM(AF$2:AF$20))*0.98</f>
        <v>1.176E-2</v>
      </c>
      <c r="X3" s="19">
        <v>2.3922150066972184E-2</v>
      </c>
      <c r="Y3" s="21"/>
      <c r="Z3" s="22"/>
      <c r="AA3" s="1"/>
      <c r="AB3" s="1"/>
      <c r="AC3" s="1"/>
      <c r="AE3" s="19">
        <v>0.1</v>
      </c>
      <c r="AF3" s="19">
        <v>1.2E-2</v>
      </c>
      <c r="AG3" s="168"/>
      <c r="AH3" s="168"/>
    </row>
    <row r="4" spans="1:40" x14ac:dyDescent="0.2">
      <c r="B4" s="18" t="s">
        <v>9</v>
      </c>
      <c r="C4" s="18">
        <f>VLOOKUP($AN$1,DST!C:D,2,FALSE)</f>
        <v>10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/>
      <c r="AF4" s="19"/>
      <c r="AG4" s="168"/>
      <c r="AH4" s="168"/>
    </row>
    <row r="5" spans="1:40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40" x14ac:dyDescent="0.2">
      <c r="A6" s="172" t="s">
        <v>522</v>
      </c>
      <c r="B6" s="18" t="s">
        <v>207</v>
      </c>
      <c r="C6" s="18">
        <f>VLOOKUP($AN$1,DST!C:D,2,FALSE)</f>
        <v>10</v>
      </c>
      <c r="D6" s="147"/>
      <c r="E6" s="147"/>
      <c r="F6" s="147"/>
      <c r="G6" s="147"/>
      <c r="H6" s="147"/>
      <c r="I6" s="146">
        <f t="shared" ref="I6:I11" si="3">D$35*W6</f>
        <v>234.79850772000003</v>
      </c>
      <c r="J6" s="146">
        <f>I6*V6</f>
        <v>1028.4174638136001</v>
      </c>
      <c r="K6" s="146">
        <f>I6*X6</f>
        <v>8.969302994904</v>
      </c>
      <c r="L6" s="146">
        <f>((D$2+D$3+D$4)*AA6)</f>
        <v>34.828945199999993</v>
      </c>
      <c r="M6" s="146">
        <f t="shared" ref="M6:N11" si="4">L6*Y6</f>
        <v>26.853116749199991</v>
      </c>
      <c r="N6" s="146">
        <f t="shared" si="4"/>
        <v>209.55563946416092</v>
      </c>
      <c r="O6" s="146">
        <f>M6*AH6</f>
        <v>0.8845376682785584</v>
      </c>
      <c r="Q6" s="13"/>
      <c r="R6" s="139"/>
      <c r="S6" s="138"/>
      <c r="T6" s="139"/>
      <c r="U6" s="139"/>
      <c r="V6" s="107">
        <v>4.38</v>
      </c>
      <c r="W6" s="150">
        <f t="shared" ref="W6:W11" si="5">(AF6/SUM(AF$2:AF$20))*0.98</f>
        <v>0.52332000000000001</v>
      </c>
      <c r="X6" s="19">
        <v>3.8199999999999998E-2</v>
      </c>
      <c r="Y6" s="19">
        <v>0.77099999999999991</v>
      </c>
      <c r="Z6" s="20">
        <v>7.803773447281646</v>
      </c>
      <c r="AA6" s="150">
        <f t="shared" ref="AA6:AA11" si="6">(AG6/SUM(AG$6:AG$25))*0.98</f>
        <v>5.8799999999999998E-2</v>
      </c>
      <c r="AB6" s="7">
        <v>0.1070680511147743</v>
      </c>
      <c r="AC6" s="150">
        <f t="shared" ref="AC6:AC11" si="7">(AH6/SUM(AH$6:AH$25))*0.98</f>
        <v>4.83487497015265E-2</v>
      </c>
      <c r="AE6" s="168"/>
      <c r="AF6" s="19">
        <v>0.53400000000000003</v>
      </c>
      <c r="AG6" s="19">
        <v>0.06</v>
      </c>
      <c r="AH6" s="19">
        <v>3.293985113682979E-2</v>
      </c>
    </row>
    <row r="7" spans="1:40" x14ac:dyDescent="0.2">
      <c r="A7" s="176" t="s">
        <v>513</v>
      </c>
      <c r="B7" s="18" t="s">
        <v>207</v>
      </c>
      <c r="C7" s="18">
        <f>VLOOKUP($AN$1,DST!C:D,2,FALSE)</f>
        <v>10</v>
      </c>
      <c r="D7" s="147"/>
      <c r="E7" s="147"/>
      <c r="F7" s="147"/>
      <c r="G7" s="147"/>
      <c r="H7" s="147"/>
      <c r="I7" s="146">
        <f t="shared" si="3"/>
        <v>139.38413286000002</v>
      </c>
      <c r="J7" s="146">
        <f>I7*V7</f>
        <v>599.51784552252548</v>
      </c>
      <c r="K7" s="146">
        <f>I7*X7</f>
        <v>4.3209081186600002</v>
      </c>
      <c r="L7" s="146">
        <f>((D$2+D$3+D$4)*AA7)</f>
        <v>50.501970539999988</v>
      </c>
      <c r="M7" s="146">
        <f t="shared" si="4"/>
        <v>40.149066579299991</v>
      </c>
      <c r="N7" s="146">
        <f t="shared" si="4"/>
        <v>282.01774910547431</v>
      </c>
      <c r="O7" s="146">
        <f t="shared" ref="O7:O11" si="8">M7*AH7</f>
        <v>1.1341392900789073</v>
      </c>
      <c r="Q7" s="13"/>
      <c r="R7" s="139"/>
      <c r="S7" s="138"/>
      <c r="T7" s="139"/>
      <c r="U7" s="139"/>
      <c r="V7" s="107">
        <v>4.3011914858679949</v>
      </c>
      <c r="W7" s="150">
        <f t="shared" si="5"/>
        <v>0.31065999999999999</v>
      </c>
      <c r="X7" s="19">
        <v>3.1E-2</v>
      </c>
      <c r="Y7" s="19">
        <v>0.79500000000000004</v>
      </c>
      <c r="Z7" s="20">
        <v>7.0242666426241822</v>
      </c>
      <c r="AA7" s="150">
        <f t="shared" si="6"/>
        <v>8.5259999999999989E-2</v>
      </c>
      <c r="AB7" s="7">
        <v>3.8978641072082904E-2</v>
      </c>
      <c r="AC7" s="150">
        <f t="shared" si="7"/>
        <v>4.1462411608798204E-2</v>
      </c>
      <c r="AE7" s="168"/>
      <c r="AF7" s="19">
        <v>0.317</v>
      </c>
      <c r="AG7" s="19">
        <v>8.6999999999999994E-2</v>
      </c>
      <c r="AH7" s="19">
        <v>2.8248210648654175E-2</v>
      </c>
    </row>
    <row r="8" spans="1:40" x14ac:dyDescent="0.2">
      <c r="A8" s="176" t="s">
        <v>527</v>
      </c>
      <c r="B8" s="18" t="s">
        <v>207</v>
      </c>
      <c r="C8" s="18">
        <f>VLOOKUP($AN$1,DST!C:D,2,FALSE)</f>
        <v>10</v>
      </c>
      <c r="D8" s="147"/>
      <c r="E8" s="147"/>
      <c r="F8" s="147"/>
      <c r="G8" s="147"/>
      <c r="H8" s="147"/>
      <c r="I8" s="146">
        <f t="shared" si="3"/>
        <v>21.105483840000002</v>
      </c>
      <c r="J8" s="146">
        <f>I8*V8</f>
        <v>88.148358063441336</v>
      </c>
      <c r="K8" s="146">
        <f>I8*X8</f>
        <v>0.62107045057355181</v>
      </c>
      <c r="L8" s="146">
        <f>((D$2+D$3+D$4)*AA8)</f>
        <v>14.512060499999999</v>
      </c>
      <c r="M8" s="146">
        <f t="shared" si="4"/>
        <v>11.406479552999997</v>
      </c>
      <c r="N8" s="146">
        <f t="shared" si="4"/>
        <v>81.936250497506833</v>
      </c>
      <c r="O8" s="146">
        <f t="shared" si="8"/>
        <v>0.32451372086553132</v>
      </c>
      <c r="Q8" s="13"/>
      <c r="R8" s="139"/>
      <c r="S8" s="138"/>
      <c r="T8" s="139"/>
      <c r="U8" s="139"/>
      <c r="V8" s="107">
        <v>4.1765618230641488</v>
      </c>
      <c r="W8" s="150">
        <f t="shared" si="5"/>
        <v>4.7039999999999998E-2</v>
      </c>
      <c r="X8" s="19">
        <v>2.9426970510691302E-2</v>
      </c>
      <c r="Y8" s="19">
        <v>0.78599999999999992</v>
      </c>
      <c r="Z8" s="20">
        <v>7.1833075329501579</v>
      </c>
      <c r="AA8" s="150">
        <f t="shared" si="6"/>
        <v>2.4500000000000001E-2</v>
      </c>
      <c r="AB8" s="7">
        <v>3.6429375557923881E-2</v>
      </c>
      <c r="AC8" s="150">
        <f t="shared" si="7"/>
        <v>4.1758515697251093E-2</v>
      </c>
      <c r="AE8" s="168"/>
      <c r="AF8" s="19">
        <v>4.8000000000000001E-2</v>
      </c>
      <c r="AG8" s="19">
        <v>2.5000000000000001E-2</v>
      </c>
      <c r="AH8" s="19">
        <v>2.8449945433004487E-2</v>
      </c>
    </row>
    <row r="9" spans="1:40" x14ac:dyDescent="0.2">
      <c r="A9" s="172"/>
      <c r="B9" s="18" t="s">
        <v>207</v>
      </c>
      <c r="C9" s="18">
        <f>VLOOKUP($AN$1,DST!C:D,2,FALSE)</f>
        <v>10</v>
      </c>
      <c r="D9" s="147"/>
      <c r="E9" s="147"/>
      <c r="F9" s="147"/>
      <c r="G9" s="147"/>
      <c r="H9" s="147"/>
      <c r="I9" s="146">
        <f t="shared" si="3"/>
        <v>0</v>
      </c>
      <c r="J9" s="146">
        <f t="shared" ref="J9:J11" si="9">I9*V9</f>
        <v>0</v>
      </c>
      <c r="K9" s="146">
        <f t="shared" ref="K9:K11" si="10">I9*X9</f>
        <v>0</v>
      </c>
      <c r="L9" s="146">
        <f t="shared" ref="L9:L11" si="11">((D$2+D$3+D$4)*AA9)</f>
        <v>0</v>
      </c>
      <c r="M9" s="146">
        <f t="shared" si="4"/>
        <v>0</v>
      </c>
      <c r="N9" s="146">
        <f t="shared" si="4"/>
        <v>0</v>
      </c>
      <c r="O9" s="146">
        <f t="shared" si="8"/>
        <v>0</v>
      </c>
      <c r="Q9" s="13"/>
      <c r="R9" s="139"/>
      <c r="S9" s="138"/>
      <c r="T9" s="139"/>
      <c r="U9" s="139"/>
      <c r="V9" s="107">
        <v>0</v>
      </c>
      <c r="W9" s="150">
        <f t="shared" si="5"/>
        <v>0</v>
      </c>
      <c r="X9" s="19">
        <v>0</v>
      </c>
      <c r="Y9" s="19">
        <v>0</v>
      </c>
      <c r="Z9" s="20">
        <v>0</v>
      </c>
      <c r="AA9" s="150">
        <f t="shared" si="6"/>
        <v>0</v>
      </c>
      <c r="AB9" s="7">
        <v>5.3838524086909662E-3</v>
      </c>
      <c r="AC9" s="150">
        <f t="shared" si="7"/>
        <v>0</v>
      </c>
      <c r="AE9" s="168"/>
      <c r="AF9" s="19">
        <v>0</v>
      </c>
      <c r="AG9" s="19">
        <v>0</v>
      </c>
      <c r="AH9" s="19">
        <v>0</v>
      </c>
    </row>
    <row r="10" spans="1:40" x14ac:dyDescent="0.2">
      <c r="A10" s="172"/>
      <c r="B10" s="18" t="s">
        <v>207</v>
      </c>
      <c r="C10" s="18">
        <f>VLOOKUP($AN$1,DST!C:D,2,FALSE)</f>
        <v>10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9"/>
        <v>0</v>
      </c>
      <c r="K10" s="146">
        <f t="shared" si="10"/>
        <v>0</v>
      </c>
      <c r="L10" s="146">
        <f t="shared" si="11"/>
        <v>0</v>
      </c>
      <c r="M10" s="146">
        <f t="shared" si="4"/>
        <v>0</v>
      </c>
      <c r="N10" s="146">
        <f t="shared" si="4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5"/>
        <v>0</v>
      </c>
      <c r="X10" s="19">
        <v>0</v>
      </c>
      <c r="Y10" s="19">
        <v>0</v>
      </c>
      <c r="Z10" s="20">
        <v>0</v>
      </c>
      <c r="AA10" s="150">
        <f t="shared" si="6"/>
        <v>0</v>
      </c>
      <c r="AB10" s="7">
        <v>1.8730144186191514E-2</v>
      </c>
      <c r="AC10" s="150">
        <f t="shared" si="7"/>
        <v>0</v>
      </c>
      <c r="AE10" s="168"/>
      <c r="AF10" s="19">
        <v>0</v>
      </c>
      <c r="AG10" s="19">
        <v>0</v>
      </c>
      <c r="AH10" s="19">
        <v>0</v>
      </c>
    </row>
    <row r="11" spans="1:40" x14ac:dyDescent="0.2">
      <c r="A11" s="172"/>
      <c r="B11" s="18" t="s">
        <v>207</v>
      </c>
      <c r="C11" s="18">
        <f>VLOOKUP($AN$1,DST!C:D,2,FALSE)</f>
        <v>10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9"/>
        <v>0</v>
      </c>
      <c r="K11" s="146">
        <f t="shared" si="10"/>
        <v>0</v>
      </c>
      <c r="L11" s="146">
        <f t="shared" si="11"/>
        <v>0</v>
      </c>
      <c r="M11" s="146">
        <f t="shared" si="4"/>
        <v>0</v>
      </c>
      <c r="N11" s="146">
        <f t="shared" si="4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5"/>
        <v>0</v>
      </c>
      <c r="X11" s="19">
        <v>0</v>
      </c>
      <c r="Y11" s="19">
        <v>0</v>
      </c>
      <c r="Z11" s="20">
        <v>0</v>
      </c>
      <c r="AA11" s="150">
        <f t="shared" si="6"/>
        <v>0</v>
      </c>
      <c r="AB11" s="7">
        <v>0</v>
      </c>
      <c r="AC11" s="150">
        <f t="shared" si="7"/>
        <v>0</v>
      </c>
      <c r="AE11" s="168"/>
      <c r="AF11" s="19">
        <v>0</v>
      </c>
      <c r="AG11" s="19">
        <v>0</v>
      </c>
      <c r="AH11" s="19">
        <v>0</v>
      </c>
    </row>
    <row r="12" spans="1:40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40" x14ac:dyDescent="0.2">
      <c r="A13" s="17" t="s">
        <v>169</v>
      </c>
      <c r="B13" s="18" t="s">
        <v>208</v>
      </c>
      <c r="C13" s="18">
        <f>VLOOKUP($AN$1,DST!C:D,2,FALSE)</f>
        <v>10</v>
      </c>
      <c r="D13" s="147"/>
      <c r="E13" s="147"/>
      <c r="F13" s="147"/>
      <c r="G13" s="147"/>
      <c r="H13" s="147"/>
      <c r="I13" s="146">
        <f t="shared" ref="I13:I20" si="12">D$35*W13</f>
        <v>0</v>
      </c>
      <c r="J13" s="146">
        <f t="shared" ref="J13:J20" si="13">I13*V13</f>
        <v>0</v>
      </c>
      <c r="K13" s="146">
        <f t="shared" ref="K13:K20" si="14">I13*X13</f>
        <v>0</v>
      </c>
      <c r="L13" s="146">
        <f t="shared" ref="L13:L20" si="15">((D$2+D$3+D$4)*AA13)</f>
        <v>123.64275545999998</v>
      </c>
      <c r="M13" s="146">
        <f t="shared" ref="M13:N20" si="16">L13*Y13</f>
        <v>73.443796743239986</v>
      </c>
      <c r="N13" s="146">
        <f t="shared" si="16"/>
        <v>1102.3913891160321</v>
      </c>
      <c r="O13" s="146">
        <f t="shared" ref="O13:O20" si="17">M13*AH13</f>
        <v>8.2991490319861185</v>
      </c>
      <c r="Q13" s="13"/>
      <c r="R13" s="139"/>
      <c r="S13" s="138"/>
      <c r="T13" s="139"/>
      <c r="U13" s="139"/>
      <c r="V13" s="107">
        <v>5.0199999999999996</v>
      </c>
      <c r="W13" s="150">
        <f t="shared" ref="W13:W20" si="18">(AF13/SUM(AF$2:AF$20))*0.98</f>
        <v>0</v>
      </c>
      <c r="X13" s="19">
        <v>0</v>
      </c>
      <c r="Y13" s="19">
        <v>0.59399999999999997</v>
      </c>
      <c r="Z13" s="20">
        <v>15.01</v>
      </c>
      <c r="AA13" s="150">
        <f t="shared" ref="AA13:AA20" si="19">(AG13/SUM(AG$6:AG$25))*0.98</f>
        <v>0.20873999999999998</v>
      </c>
      <c r="AB13" s="7">
        <v>0.20728868073355985</v>
      </c>
      <c r="AC13" s="150">
        <f t="shared" ref="AC13:AC20" si="20">(AH13/SUM(AH$6:AH$25))*0.98</f>
        <v>0.16586015199576601</v>
      </c>
      <c r="AE13" s="168"/>
      <c r="AF13" s="19">
        <v>0</v>
      </c>
      <c r="AG13" s="19">
        <v>0.21299999999999999</v>
      </c>
      <c r="AH13" s="19">
        <v>0.113</v>
      </c>
    </row>
    <row r="14" spans="1:40" x14ac:dyDescent="0.2">
      <c r="A14" s="17" t="s">
        <v>63</v>
      </c>
      <c r="B14" s="18" t="s">
        <v>208</v>
      </c>
      <c r="C14" s="18">
        <f>VLOOKUP($AN$1,DST!C:D,2,FALSE)</f>
        <v>10</v>
      </c>
      <c r="D14" s="147"/>
      <c r="E14" s="147"/>
      <c r="F14" s="147"/>
      <c r="G14" s="147"/>
      <c r="H14" s="147"/>
      <c r="I14" s="146">
        <f t="shared" si="12"/>
        <v>0</v>
      </c>
      <c r="J14" s="146">
        <f t="shared" si="13"/>
        <v>0</v>
      </c>
      <c r="K14" s="146">
        <f t="shared" si="14"/>
        <v>0</v>
      </c>
      <c r="L14" s="146">
        <f t="shared" si="15"/>
        <v>118.99889609999998</v>
      </c>
      <c r="M14" s="146">
        <f t="shared" si="16"/>
        <v>77.587280257199993</v>
      </c>
      <c r="N14" s="146">
        <f t="shared" si="16"/>
        <v>890.7254198585324</v>
      </c>
      <c r="O14" s="146">
        <f t="shared" si="17"/>
        <v>5.7414587390327991</v>
      </c>
      <c r="Q14" s="13"/>
      <c r="R14" s="139"/>
      <c r="S14" s="138"/>
      <c r="T14" s="139"/>
      <c r="U14" s="139"/>
      <c r="V14" s="107">
        <v>5.0199999999999996</v>
      </c>
      <c r="W14" s="150">
        <f t="shared" si="18"/>
        <v>0</v>
      </c>
      <c r="X14" s="19">
        <v>0</v>
      </c>
      <c r="Y14" s="19">
        <v>0.65200000000000002</v>
      </c>
      <c r="Z14" s="20">
        <v>11.480302143673535</v>
      </c>
      <c r="AA14" s="150">
        <f t="shared" si="19"/>
        <v>0.2009</v>
      </c>
      <c r="AB14" s="7">
        <v>0.22006126333134546</v>
      </c>
      <c r="AC14" s="150">
        <f t="shared" si="20"/>
        <v>0.10861638272289101</v>
      </c>
      <c r="AE14" s="168"/>
      <c r="AF14" s="19">
        <v>0</v>
      </c>
      <c r="AG14" s="19">
        <v>0.20499999999999999</v>
      </c>
      <c r="AH14" s="19">
        <v>7.3999999999999996E-2</v>
      </c>
    </row>
    <row r="15" spans="1:40" x14ac:dyDescent="0.2">
      <c r="A15" s="17" t="s">
        <v>514</v>
      </c>
      <c r="B15" s="18" t="s">
        <v>208</v>
      </c>
      <c r="C15" s="18">
        <f>VLOOKUP($AN$1,DST!C:D,2,FALSE)</f>
        <v>10</v>
      </c>
      <c r="D15" s="147"/>
      <c r="E15" s="147"/>
      <c r="F15" s="147"/>
      <c r="G15" s="147"/>
      <c r="H15" s="147"/>
      <c r="I15" s="146">
        <f t="shared" si="12"/>
        <v>0</v>
      </c>
      <c r="J15" s="146">
        <f t="shared" si="13"/>
        <v>0</v>
      </c>
      <c r="K15" s="146">
        <f t="shared" si="14"/>
        <v>0</v>
      </c>
      <c r="L15" s="146">
        <f t="shared" si="15"/>
        <v>120.15986093999999</v>
      </c>
      <c r="M15" s="146">
        <f t="shared" si="16"/>
        <v>79.786147664159998</v>
      </c>
      <c r="N15" s="146">
        <f t="shared" si="16"/>
        <v>899.63366099845041</v>
      </c>
      <c r="O15" s="146">
        <f t="shared" si="17"/>
        <v>5.6648164841553594</v>
      </c>
      <c r="Q15" s="13"/>
      <c r="R15" s="139"/>
      <c r="S15" s="138"/>
      <c r="T15" s="139"/>
      <c r="U15" s="139"/>
      <c r="V15" s="107">
        <v>5.0199999999999996</v>
      </c>
      <c r="W15" s="150">
        <f t="shared" si="18"/>
        <v>0</v>
      </c>
      <c r="X15" s="19">
        <v>0</v>
      </c>
      <c r="Y15" s="19">
        <v>0.66400000000000003</v>
      </c>
      <c r="Z15" s="20">
        <v>11.275562078585812</v>
      </c>
      <c r="AA15" s="150">
        <f t="shared" si="19"/>
        <v>0.20285999999999998</v>
      </c>
      <c r="AB15" s="7">
        <v>8.3548874942313098E-2</v>
      </c>
      <c r="AC15" s="150">
        <f t="shared" si="20"/>
        <v>0.10421301585574679</v>
      </c>
      <c r="AE15" s="168"/>
      <c r="AF15" s="19">
        <v>0</v>
      </c>
      <c r="AG15" s="19">
        <v>0.20699999999999999</v>
      </c>
      <c r="AH15" s="19">
        <v>7.0999999999999994E-2</v>
      </c>
    </row>
    <row r="16" spans="1:40" x14ac:dyDescent="0.2">
      <c r="A16" s="17" t="s">
        <v>546</v>
      </c>
      <c r="B16" s="18" t="s">
        <v>208</v>
      </c>
      <c r="C16" s="18">
        <f>VLOOKUP($AN$1,DST!C:D,2,FALSE)</f>
        <v>10</v>
      </c>
      <c r="D16" s="147"/>
      <c r="E16" s="147"/>
      <c r="F16" s="147"/>
      <c r="G16" s="147"/>
      <c r="H16" s="147"/>
      <c r="I16" s="146">
        <f t="shared" si="12"/>
        <v>0</v>
      </c>
      <c r="J16" s="146">
        <f t="shared" si="13"/>
        <v>0</v>
      </c>
      <c r="K16" s="146">
        <f t="shared" si="14"/>
        <v>0</v>
      </c>
      <c r="L16" s="146">
        <f t="shared" si="15"/>
        <v>26.121708899999998</v>
      </c>
      <c r="M16" s="146">
        <f t="shared" si="16"/>
        <v>17.188084456199999</v>
      </c>
      <c r="N16" s="146">
        <f t="shared" si="16"/>
        <v>187.34551148138038</v>
      </c>
      <c r="O16" s="146">
        <f t="shared" si="17"/>
        <v>1.1687897430215999</v>
      </c>
      <c r="Q16" s="13"/>
      <c r="R16" s="139"/>
      <c r="S16" s="138"/>
      <c r="T16" s="139"/>
      <c r="U16" s="139"/>
      <c r="V16" s="107">
        <v>5.0199999999999996</v>
      </c>
      <c r="W16" s="150">
        <f t="shared" si="18"/>
        <v>0</v>
      </c>
      <c r="X16" s="19">
        <v>1.171875E-2</v>
      </c>
      <c r="Y16" s="19">
        <v>0.65800000000000003</v>
      </c>
      <c r="Z16" s="20">
        <v>10.899731843812418</v>
      </c>
      <c r="AA16" s="150">
        <f t="shared" si="19"/>
        <v>4.41E-2</v>
      </c>
      <c r="AB16" s="7">
        <v>3.5415477643150291E-2</v>
      </c>
      <c r="AC16" s="150">
        <f t="shared" si="20"/>
        <v>9.9809648988602562E-2</v>
      </c>
      <c r="AE16" s="168"/>
      <c r="AF16" s="19">
        <v>0</v>
      </c>
      <c r="AG16" s="19">
        <v>4.4999999999999998E-2</v>
      </c>
      <c r="AH16" s="19">
        <v>6.8000000000000005E-2</v>
      </c>
    </row>
    <row r="17" spans="1:34" x14ac:dyDescent="0.2">
      <c r="A17" s="17" t="s">
        <v>442</v>
      </c>
      <c r="B17" s="18" t="s">
        <v>208</v>
      </c>
      <c r="C17" s="18">
        <f>VLOOKUP($AN$1,DST!C:D,2,FALSE)</f>
        <v>10</v>
      </c>
      <c r="D17" s="147"/>
      <c r="E17" s="147"/>
      <c r="F17" s="147"/>
      <c r="G17" s="147"/>
      <c r="H17" s="147"/>
      <c r="I17" s="146">
        <f t="shared" si="12"/>
        <v>0</v>
      </c>
      <c r="J17" s="146">
        <f t="shared" si="13"/>
        <v>0</v>
      </c>
      <c r="K17" s="146">
        <f t="shared" si="14"/>
        <v>0</v>
      </c>
      <c r="L17" s="146">
        <f t="shared" si="15"/>
        <v>11.609648399999999</v>
      </c>
      <c r="M17" s="146">
        <f t="shared" si="16"/>
        <v>7.9990477475999988</v>
      </c>
      <c r="N17" s="146">
        <f t="shared" si="16"/>
        <v>78.422703608191242</v>
      </c>
      <c r="O17" s="146">
        <f t="shared" si="17"/>
        <v>0.46458328906608864</v>
      </c>
      <c r="Q17" s="13"/>
      <c r="R17" s="139"/>
      <c r="S17" s="138"/>
      <c r="T17" s="139"/>
      <c r="U17" s="139"/>
      <c r="V17" s="107">
        <v>4.95</v>
      </c>
      <c r="W17" s="150">
        <f t="shared" si="18"/>
        <v>0</v>
      </c>
      <c r="X17" s="19">
        <v>5.7803468208092483E-3</v>
      </c>
      <c r="Y17" s="19">
        <v>0.68899999999999995</v>
      </c>
      <c r="Z17" s="20">
        <v>9.8040049369277575</v>
      </c>
      <c r="AA17" s="150">
        <f t="shared" si="19"/>
        <v>1.9599999999999999E-2</v>
      </c>
      <c r="AB17" s="7">
        <v>2.690521441900991E-2</v>
      </c>
      <c r="AC17" s="150">
        <f t="shared" si="20"/>
        <v>8.5248924899270981E-2</v>
      </c>
      <c r="AE17" s="168"/>
      <c r="AF17" s="19">
        <v>0</v>
      </c>
      <c r="AG17" s="19">
        <v>0.02</v>
      </c>
      <c r="AH17" s="19">
        <v>5.8079824464790861E-2</v>
      </c>
    </row>
    <row r="18" spans="1:34" x14ac:dyDescent="0.2">
      <c r="B18" s="18" t="s">
        <v>208</v>
      </c>
      <c r="C18" s="18">
        <f>VLOOKUP($AN$1,DST!C:D,2,FALSE)</f>
        <v>10</v>
      </c>
      <c r="D18" s="147"/>
      <c r="E18" s="147"/>
      <c r="F18" s="147"/>
      <c r="G18" s="147"/>
      <c r="H18" s="147"/>
      <c r="I18" s="146">
        <f t="shared" si="12"/>
        <v>0</v>
      </c>
      <c r="J18" s="146">
        <f t="shared" si="13"/>
        <v>0</v>
      </c>
      <c r="K18" s="146">
        <f t="shared" si="14"/>
        <v>0</v>
      </c>
      <c r="L18" s="146">
        <f t="shared" si="15"/>
        <v>0</v>
      </c>
      <c r="M18" s="146">
        <f t="shared" si="16"/>
        <v>0</v>
      </c>
      <c r="N18" s="146">
        <f t="shared" si="16"/>
        <v>0</v>
      </c>
      <c r="O18" s="146">
        <f t="shared" si="17"/>
        <v>0</v>
      </c>
      <c r="Q18" s="13"/>
      <c r="R18" s="139"/>
      <c r="S18" s="138"/>
      <c r="T18" s="139"/>
      <c r="U18" s="139"/>
      <c r="V18" s="107">
        <v>0</v>
      </c>
      <c r="W18" s="150">
        <f t="shared" si="18"/>
        <v>0</v>
      </c>
      <c r="X18" s="19">
        <v>0</v>
      </c>
      <c r="Y18" s="19">
        <v>0</v>
      </c>
      <c r="Z18" s="20">
        <v>0</v>
      </c>
      <c r="AA18" s="150">
        <f t="shared" si="19"/>
        <v>0</v>
      </c>
      <c r="AB18" s="7">
        <v>0</v>
      </c>
      <c r="AC18" s="150">
        <f t="shared" si="20"/>
        <v>0</v>
      </c>
      <c r="AE18" s="168"/>
      <c r="AF18" s="19">
        <v>0</v>
      </c>
      <c r="AG18" s="19">
        <v>0</v>
      </c>
      <c r="AH18" s="19">
        <v>0</v>
      </c>
    </row>
    <row r="19" spans="1:34" x14ac:dyDescent="0.2">
      <c r="B19" s="18" t="s">
        <v>208</v>
      </c>
      <c r="C19" s="18">
        <f>VLOOKUP($AN$1,DST!C:D,2,FALSE)</f>
        <v>10</v>
      </c>
      <c r="D19" s="147"/>
      <c r="E19" s="147"/>
      <c r="F19" s="147"/>
      <c r="G19" s="147"/>
      <c r="H19" s="147"/>
      <c r="I19" s="146">
        <f t="shared" si="12"/>
        <v>0</v>
      </c>
      <c r="J19" s="146">
        <f t="shared" si="13"/>
        <v>0</v>
      </c>
      <c r="K19" s="146">
        <f t="shared" si="14"/>
        <v>0</v>
      </c>
      <c r="L19" s="146">
        <f t="shared" si="15"/>
        <v>0</v>
      </c>
      <c r="M19" s="146">
        <f t="shared" si="16"/>
        <v>0</v>
      </c>
      <c r="N19" s="146">
        <f t="shared" si="16"/>
        <v>0</v>
      </c>
      <c r="O19" s="146">
        <f t="shared" si="17"/>
        <v>0</v>
      </c>
      <c r="Q19" s="13"/>
      <c r="R19" s="139"/>
      <c r="S19" s="138"/>
      <c r="T19" s="139"/>
      <c r="U19" s="139"/>
      <c r="V19" s="107">
        <v>0</v>
      </c>
      <c r="W19" s="150">
        <f t="shared" si="18"/>
        <v>0</v>
      </c>
      <c r="X19" s="19">
        <v>0</v>
      </c>
      <c r="Y19" s="19">
        <v>0</v>
      </c>
      <c r="Z19" s="20">
        <v>0</v>
      </c>
      <c r="AA19" s="150">
        <f t="shared" si="19"/>
        <v>0</v>
      </c>
      <c r="AB19" s="7">
        <v>0</v>
      </c>
      <c r="AC19" s="150">
        <f t="shared" si="20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208</v>
      </c>
      <c r="C20" s="18">
        <f>VLOOKUP($AN$1,DST!C:D,2,FALSE)</f>
        <v>10</v>
      </c>
      <c r="D20" s="147"/>
      <c r="E20" s="147"/>
      <c r="F20" s="147"/>
      <c r="G20" s="147"/>
      <c r="H20" s="147"/>
      <c r="I20" s="146">
        <f t="shared" si="12"/>
        <v>0</v>
      </c>
      <c r="J20" s="146">
        <f t="shared" si="13"/>
        <v>0</v>
      </c>
      <c r="K20" s="146">
        <f t="shared" si="14"/>
        <v>0</v>
      </c>
      <c r="L20" s="146">
        <f t="shared" si="15"/>
        <v>0</v>
      </c>
      <c r="M20" s="146">
        <f t="shared" si="16"/>
        <v>0</v>
      </c>
      <c r="N20" s="146">
        <f t="shared" si="16"/>
        <v>0</v>
      </c>
      <c r="O20" s="146">
        <f t="shared" si="17"/>
        <v>0</v>
      </c>
      <c r="Q20" s="13"/>
      <c r="R20" s="139"/>
      <c r="S20" s="138"/>
      <c r="T20" s="139"/>
      <c r="U20" s="139"/>
      <c r="V20" s="107">
        <v>0</v>
      </c>
      <c r="W20" s="150">
        <f t="shared" si="18"/>
        <v>0</v>
      </c>
      <c r="X20" s="19">
        <v>0</v>
      </c>
      <c r="Y20" s="19">
        <v>0</v>
      </c>
      <c r="Z20" s="20">
        <v>0</v>
      </c>
      <c r="AA20" s="150">
        <f t="shared" si="19"/>
        <v>0</v>
      </c>
      <c r="AB20" s="7">
        <v>0</v>
      </c>
      <c r="AC20" s="150">
        <f t="shared" si="20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38</v>
      </c>
      <c r="B22" s="18" t="s">
        <v>10</v>
      </c>
      <c r="C22" s="18">
        <f>VLOOKUP($AN$1,DST!C:D,2,FALSE)</f>
        <v>10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56.887277159999996</v>
      </c>
      <c r="M22" s="146">
        <f t="shared" ref="M22:N25" si="21">L22*Y22</f>
        <v>39.422883071879994</v>
      </c>
      <c r="N22" s="146">
        <f t="shared" si="21"/>
        <v>424.1451221671137</v>
      </c>
      <c r="O22" s="146">
        <f t="shared" ref="O22:O25" si="22">M22*AH22</f>
        <v>2.3773813994617345</v>
      </c>
      <c r="Q22" s="13"/>
      <c r="R22" s="139"/>
      <c r="S22" s="138"/>
      <c r="T22" s="139"/>
      <c r="U22" s="139"/>
      <c r="V22" s="140"/>
      <c r="W22" s="154"/>
      <c r="X22" s="139"/>
      <c r="Y22" s="19">
        <v>0.69299999999999995</v>
      </c>
      <c r="Z22" s="20">
        <v>10.758856002331621</v>
      </c>
      <c r="AA22" s="150">
        <f>(AG22/SUM(AG$6:AG$25))*0.98</f>
        <v>9.604E-2</v>
      </c>
      <c r="AB22" s="7">
        <v>0.12027831168368815</v>
      </c>
      <c r="AC22" s="150">
        <f>(AH22/SUM(AH$6:AH$25))*0.98</f>
        <v>8.8514433490041247E-2</v>
      </c>
      <c r="AE22" s="168"/>
      <c r="AF22" s="168"/>
      <c r="AG22" s="19">
        <v>9.8000000000000004E-2</v>
      </c>
      <c r="AH22" s="19">
        <v>6.0304605199143851E-2</v>
      </c>
    </row>
    <row r="23" spans="1:34" x14ac:dyDescent="0.2">
      <c r="A23" s="17" t="s">
        <v>640</v>
      </c>
      <c r="B23" s="18" t="s">
        <v>10</v>
      </c>
      <c r="C23" s="18">
        <f>VLOOKUP($AN$1,DST!C:D,2,FALSE)</f>
        <v>10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17.414472599999996</v>
      </c>
      <c r="M23" s="146">
        <f t="shared" si="21"/>
        <v>11.319407189999996</v>
      </c>
      <c r="N23" s="146">
        <f t="shared" si="21"/>
        <v>117.37499404445633</v>
      </c>
      <c r="O23" s="146">
        <f t="shared" si="22"/>
        <v>0.67231172218580615</v>
      </c>
      <c r="Q23" s="13"/>
      <c r="R23" s="139"/>
      <c r="S23" s="138"/>
      <c r="T23" s="139"/>
      <c r="U23" s="139"/>
      <c r="V23" s="140"/>
      <c r="W23" s="154"/>
      <c r="X23" s="139"/>
      <c r="Y23" s="19">
        <v>0.64999999999999991</v>
      </c>
      <c r="Z23" s="20">
        <v>10.369358754772065</v>
      </c>
      <c r="AA23" s="150">
        <f>(AG23/SUM(AG$6:AG$25))*0.98</f>
        <v>2.9399999999999999E-2</v>
      </c>
      <c r="AB23" s="7">
        <v>5.9721342767752948E-2</v>
      </c>
      <c r="AC23" s="150">
        <f>(AH23/SUM(AH$6:AH$25))*0.98</f>
        <v>8.717874567615809E-2</v>
      </c>
      <c r="AE23" s="168"/>
      <c r="AF23" s="168"/>
      <c r="AG23" s="19">
        <v>0.03</v>
      </c>
      <c r="AH23" s="19">
        <v>5.9394605291675735E-2</v>
      </c>
    </row>
    <row r="24" spans="1:34" x14ac:dyDescent="0.2">
      <c r="A24" s="17" t="s">
        <v>630</v>
      </c>
      <c r="B24" s="18" t="s">
        <v>10</v>
      </c>
      <c r="C24" s="18">
        <f>VLOOKUP($AN$1,DST!C:D,2,FALSE)</f>
        <v>10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5.8048241999999997</v>
      </c>
      <c r="M24" s="146">
        <f t="shared" si="21"/>
        <v>3.8950370381999995</v>
      </c>
      <c r="N24" s="146">
        <f t="shared" si="21"/>
        <v>38.793821749006035</v>
      </c>
      <c r="O24" s="146">
        <f t="shared" si="22"/>
        <v>0.28922159791899582</v>
      </c>
      <c r="Q24" s="13"/>
      <c r="R24" s="139"/>
      <c r="S24" s="138"/>
      <c r="T24" s="139"/>
      <c r="U24" s="139"/>
      <c r="V24" s="140"/>
      <c r="W24" s="154"/>
      <c r="X24" s="139"/>
      <c r="Y24" s="19">
        <v>0.67099999999999993</v>
      </c>
      <c r="Z24" s="20">
        <v>9.9598081785978838</v>
      </c>
      <c r="AA24" s="150">
        <f>(AG24/SUM(AG$6:AG$25))*0.98</f>
        <v>9.7999999999999997E-3</v>
      </c>
      <c r="AB24" s="7">
        <v>1.5190770139516549E-2</v>
      </c>
      <c r="AC24" s="150">
        <f>(AH24/SUM(AH$6:AH$25))*0.98</f>
        <v>0.10898901936394745</v>
      </c>
      <c r="AE24" s="168"/>
      <c r="AF24" s="168"/>
      <c r="AG24" s="19">
        <v>0.01</v>
      </c>
      <c r="AH24" s="19">
        <v>7.425387617177906E-2</v>
      </c>
    </row>
    <row r="25" spans="1:34" x14ac:dyDescent="0.2">
      <c r="B25" s="18" t="s">
        <v>10</v>
      </c>
      <c r="C25" s="18">
        <f>VLOOKUP($AN$1,DST!C:D,2,FALSE)</f>
        <v>10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21"/>
        <v>0</v>
      </c>
      <c r="N25" s="146">
        <f t="shared" si="21"/>
        <v>0</v>
      </c>
      <c r="O25" s="146">
        <f t="shared" si="22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0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264</v>
      </c>
      <c r="X27" s="30"/>
      <c r="Y27" s="30"/>
      <c r="Z27" s="31"/>
      <c r="AA27" s="9" t="s">
        <v>264</v>
      </c>
      <c r="AB27" s="9" t="s">
        <v>264</v>
      </c>
      <c r="AC27" s="9" t="s">
        <v>264</v>
      </c>
      <c r="AD27" s="44"/>
      <c r="AE27" s="9" t="s">
        <v>264</v>
      </c>
      <c r="AF27" s="9" t="s">
        <v>264</v>
      </c>
      <c r="AG27" s="9" t="s">
        <v>264</v>
      </c>
    </row>
    <row r="28" spans="1:34" s="27" customFormat="1" x14ac:dyDescent="0.2">
      <c r="A28" s="45" t="s">
        <v>265</v>
      </c>
      <c r="B28" s="28"/>
      <c r="C28" s="28"/>
      <c r="D28" s="34" t="s">
        <v>269</v>
      </c>
      <c r="E28" s="34" t="s">
        <v>266</v>
      </c>
      <c r="F28" s="155" t="s">
        <v>267</v>
      </c>
      <c r="G28" s="34" t="s">
        <v>286</v>
      </c>
      <c r="H28" s="34" t="s">
        <v>268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0.98</v>
      </c>
      <c r="X28" s="30"/>
      <c r="Y28" s="30"/>
      <c r="Z28" s="31"/>
      <c r="AA28" s="150">
        <f>SUM(AA6:AA25)</f>
        <v>0.97999999999999987</v>
      </c>
      <c r="AB28" s="150">
        <f>SUM(AB2:AB4,AB6:AB11,AB13:AB20,AB22:AB25)</f>
        <v>0.97499999999999998</v>
      </c>
      <c r="AC28" s="150">
        <f>SUM(AC6:AC25)</f>
        <v>0.98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</v>
      </c>
    </row>
    <row r="29" spans="1:34" s="27" customFormat="1" x14ac:dyDescent="0.2">
      <c r="A29" s="43"/>
      <c r="B29" s="28"/>
      <c r="C29" s="28"/>
      <c r="D29" s="46">
        <v>1041</v>
      </c>
      <c r="E29" s="47">
        <v>0.56899999999999995</v>
      </c>
      <c r="F29" s="2">
        <f>1-E29</f>
        <v>0.43100000000000005</v>
      </c>
      <c r="G29" s="106">
        <v>4.3</v>
      </c>
      <c r="H29" s="126">
        <v>3.4000000000000002E-2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265</v>
      </c>
      <c r="B31" s="28"/>
      <c r="C31" s="28"/>
      <c r="D31" s="162" t="s">
        <v>278</v>
      </c>
      <c r="E31" s="162" t="s">
        <v>1</v>
      </c>
      <c r="F31" s="162" t="s">
        <v>263</v>
      </c>
      <c r="G31" s="162" t="s">
        <v>137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592.32899999999995</v>
      </c>
      <c r="E32" s="156">
        <f>SUM(E2:E4)</f>
        <v>389.67811912011194</v>
      </c>
      <c r="F32" s="156">
        <f>SUM(F2:F4)</f>
        <v>4315.3417685094846</v>
      </c>
      <c r="G32" s="156">
        <f>SUM(G2:G4)</f>
        <v>27.052288425389921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265</v>
      </c>
      <c r="B34" s="28"/>
      <c r="C34" s="28"/>
      <c r="D34" s="162" t="s">
        <v>270</v>
      </c>
      <c r="E34" s="162" t="s">
        <v>263</v>
      </c>
      <c r="F34" s="162" t="s">
        <v>137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448.67100000000005</v>
      </c>
      <c r="E35" s="156">
        <f>D35*G29</f>
        <v>1929.2853000000002</v>
      </c>
      <c r="F35" s="156">
        <f>D35*H29</f>
        <v>15.254814000000003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279</v>
      </c>
      <c r="B37" s="37"/>
      <c r="C37" s="37"/>
      <c r="D37" s="164" t="s">
        <v>273</v>
      </c>
      <c r="E37" s="164" t="s">
        <v>274</v>
      </c>
      <c r="F37" s="164" t="s">
        <v>275</v>
      </c>
      <c r="G37" s="164" t="s">
        <v>271</v>
      </c>
      <c r="H37" s="164" t="s">
        <v>272</v>
      </c>
      <c r="I37" s="164" t="s">
        <v>276</v>
      </c>
      <c r="J37" s="164" t="s">
        <v>277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3.5" thickBot="1" x14ac:dyDescent="0.25">
      <c r="D38" s="157">
        <f>SUM(I2:I20)</f>
        <v>439.69758000000002</v>
      </c>
      <c r="E38" s="157">
        <f>SUM(J2:J4,J6:J11,J13:J20)</f>
        <v>1912.9715419616541</v>
      </c>
      <c r="F38" s="157">
        <f>SUM(K2:K4,K6:K11,K13:K20)</f>
        <v>15.250629325271685</v>
      </c>
      <c r="G38" s="157">
        <f>SUM(L6:L11,L13:L20,L22:L25)</f>
        <v>580.48241999999982</v>
      </c>
      <c r="H38" s="157">
        <f>SUM(M6:M11,M13:M20,M22:M25)</f>
        <v>389.05034704997991</v>
      </c>
      <c r="I38" s="157">
        <f>SUM(N6:N11,N13:N20,N22:N25)</f>
        <v>4312.3422620903048</v>
      </c>
      <c r="J38" s="157">
        <f>SUM(O6:O11,O13:O20,O22:O25)</f>
        <v>27.020902686051496</v>
      </c>
      <c r="V38" s="181"/>
      <c r="X38" s="30"/>
      <c r="Y38" s="30"/>
      <c r="Z38" s="181"/>
      <c r="AH38" s="30"/>
    </row>
    <row r="39" spans="1:34" ht="13.5" thickTop="1" x14ac:dyDescent="0.2">
      <c r="D39" s="158">
        <f>D35-D38</f>
        <v>8.9734200000000328</v>
      </c>
      <c r="E39" s="158">
        <f>E35-E38</f>
        <v>16.313758038346123</v>
      </c>
      <c r="F39" s="158">
        <f>F35-F38</f>
        <v>4.1846747283180719E-3</v>
      </c>
      <c r="G39" s="158">
        <f>SUM(D2:D4)-G38</f>
        <v>11.846580000000131</v>
      </c>
      <c r="H39" s="158">
        <f>E32-H38</f>
        <v>0.62777207013203906</v>
      </c>
      <c r="I39" s="158">
        <f>F32-I38</f>
        <v>2.9995064191798519</v>
      </c>
      <c r="J39" s="158">
        <f>G32-J38</f>
        <v>3.1385739338425367E-2</v>
      </c>
      <c r="V39" s="181"/>
      <c r="X39" s="30"/>
      <c r="Y39" s="30"/>
      <c r="Z39" s="181"/>
      <c r="AH39" s="30"/>
    </row>
    <row r="40" spans="1:34" x14ac:dyDescent="0.2">
      <c r="N40" s="23"/>
      <c r="O40" s="23"/>
      <c r="V40" s="181"/>
      <c r="X40" s="30"/>
      <c r="Y40" s="30"/>
      <c r="Z40" s="181"/>
      <c r="AH40" s="30"/>
    </row>
    <row r="41" spans="1:34" x14ac:dyDescent="0.2">
      <c r="N41" s="23"/>
      <c r="O41" s="23"/>
      <c r="V41" s="181"/>
      <c r="X41" s="30"/>
      <c r="Y41" s="30"/>
      <c r="Z41" s="181"/>
      <c r="AH41" s="30"/>
    </row>
    <row r="42" spans="1:34" x14ac:dyDescent="0.2">
      <c r="N42" s="23"/>
      <c r="O42" s="23"/>
      <c r="V42" s="181"/>
      <c r="X42" s="30"/>
      <c r="Y42" s="30"/>
      <c r="Z42" s="181"/>
      <c r="AH42" s="30"/>
    </row>
    <row r="43" spans="1:34" x14ac:dyDescent="0.2">
      <c r="L43" s="18"/>
      <c r="M43" s="26"/>
      <c r="N43" s="23"/>
      <c r="O43" s="26"/>
      <c r="P43" s="25"/>
      <c r="S43" s="26"/>
      <c r="T43" s="25"/>
      <c r="U43" s="25"/>
      <c r="V43" s="181"/>
      <c r="W43" s="26"/>
      <c r="X43" s="30"/>
      <c r="Y43" s="30"/>
      <c r="Z43" s="181"/>
      <c r="AC43" s="18"/>
      <c r="AH43" s="30"/>
    </row>
    <row r="44" spans="1:34" x14ac:dyDescent="0.2">
      <c r="V44" s="181"/>
      <c r="X44" s="30"/>
      <c r="Y44" s="30"/>
      <c r="Z44" s="181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conditionalFormatting sqref="D39:J39">
    <cfRule type="cellIs" dxfId="11" priority="1" operator="lessThan">
      <formula>0</formula>
    </cfRule>
  </conditionalFormatting>
  <conditionalFormatting sqref="W28">
    <cfRule type="cellIs" dxfId="10" priority="2" operator="greaterThan">
      <formula>1</formula>
    </cfRule>
  </conditionalFormatting>
  <conditionalFormatting sqref="AA28:AG28">
    <cfRule type="cellIs" dxfId="9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>
    <tabColor rgb="FFDA0000"/>
  </sheetPr>
  <dimension ref="A1:AN64"/>
  <sheetViews>
    <sheetView showGridLines="0" zoomScale="85" zoomScaleNormal="85"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defaultColWidth="8.7109375" defaultRowHeight="12.75" x14ac:dyDescent="0.2"/>
  <cols>
    <col min="1" max="1" width="22.5703125" style="17" customWidth="1"/>
    <col min="2" max="3" width="8.7109375" style="18"/>
    <col min="4" max="13" width="8.7109375" style="23"/>
    <col min="14" max="15" width="8.7109375" style="18"/>
    <col min="16" max="16" width="4.7109375" style="18" customWidth="1"/>
    <col min="17" max="18" width="8.7109375" style="26"/>
    <col min="19" max="19" width="8.7109375" style="23"/>
    <col min="20" max="21" width="8.7109375" style="26"/>
    <col min="22" max="23" width="8.7109375" style="25"/>
    <col min="24" max="25" width="8.7109375" style="26"/>
    <col min="26" max="26" width="8.7109375" style="25"/>
    <col min="27" max="27" width="8.7109375" style="18"/>
    <col min="28" max="28" width="0" style="18" hidden="1" customWidth="1"/>
    <col min="29" max="29" width="8.7109375" style="26"/>
    <col min="30" max="30" width="4.7109375" style="17" customWidth="1"/>
    <col min="31" max="32" width="8.7109375" style="18"/>
    <col min="33" max="16384" width="8.7109375" style="17"/>
  </cols>
  <sheetData>
    <row r="1" spans="1:40" s="15" customFormat="1" ht="25.5" customHeight="1" x14ac:dyDescent="0.2">
      <c r="A1" s="15" t="s">
        <v>0</v>
      </c>
      <c r="B1" s="15" t="s">
        <v>8</v>
      </c>
      <c r="C1" s="15" t="s">
        <v>122</v>
      </c>
      <c r="D1" s="159" t="s">
        <v>210</v>
      </c>
      <c r="E1" s="159" t="s">
        <v>1</v>
      </c>
      <c r="F1" s="159" t="s">
        <v>213</v>
      </c>
      <c r="G1" s="159" t="s">
        <v>228</v>
      </c>
      <c r="H1" s="159" t="s">
        <v>2</v>
      </c>
      <c r="I1" s="159" t="s">
        <v>229</v>
      </c>
      <c r="J1" s="159" t="s">
        <v>217</v>
      </c>
      <c r="K1" s="159" t="s">
        <v>230</v>
      </c>
      <c r="L1" s="159" t="s">
        <v>219</v>
      </c>
      <c r="M1" s="159" t="s">
        <v>4</v>
      </c>
      <c r="N1" s="159" t="s">
        <v>223</v>
      </c>
      <c r="O1" s="159" t="s">
        <v>231</v>
      </c>
      <c r="Q1" s="160" t="s">
        <v>281</v>
      </c>
      <c r="R1" s="133" t="s">
        <v>232</v>
      </c>
      <c r="S1" s="134" t="s">
        <v>451</v>
      </c>
      <c r="T1" s="133" t="s">
        <v>205</v>
      </c>
      <c r="U1" s="133" t="s">
        <v>209</v>
      </c>
      <c r="V1" s="135" t="s">
        <v>280</v>
      </c>
      <c r="W1" s="161" t="s">
        <v>282</v>
      </c>
      <c r="X1" s="133" t="s">
        <v>233</v>
      </c>
      <c r="Y1" s="179" t="s">
        <v>234</v>
      </c>
      <c r="Z1" s="135" t="s">
        <v>235</v>
      </c>
      <c r="AA1" s="160" t="s">
        <v>236</v>
      </c>
      <c r="AB1" s="160" t="s">
        <v>237</v>
      </c>
      <c r="AC1" s="10" t="s">
        <v>262</v>
      </c>
      <c r="AE1" s="136" t="s">
        <v>283</v>
      </c>
      <c r="AF1" s="137" t="s">
        <v>284</v>
      </c>
      <c r="AG1" s="136" t="s">
        <v>285</v>
      </c>
      <c r="AH1" s="136" t="s">
        <v>450</v>
      </c>
      <c r="AN1" s="15" t="s">
        <v>115</v>
      </c>
    </row>
    <row r="2" spans="1:40" x14ac:dyDescent="0.2">
      <c r="A2" s="17" t="s">
        <v>456</v>
      </c>
      <c r="B2" s="18" t="s">
        <v>9</v>
      </c>
      <c r="C2" s="18">
        <f>VLOOKUP($AN$1,DST!C:D,2,FALSE)</f>
        <v>11</v>
      </c>
      <c r="D2" s="146">
        <f>D$32*Q2</f>
        <v>574.8963</v>
      </c>
      <c r="E2" s="146">
        <f>D2*R2</f>
        <v>365.75749830423888</v>
      </c>
      <c r="F2" s="146">
        <f>E2*S2</f>
        <v>4151.3904426181143</v>
      </c>
      <c r="G2" s="146">
        <f>D2*T2</f>
        <v>26.562103720590617</v>
      </c>
      <c r="H2" s="146">
        <f>E2*U2</f>
        <v>6.6527377498817559</v>
      </c>
      <c r="I2" s="146">
        <f>D$35*W2</f>
        <v>46.660798800000002</v>
      </c>
      <c r="J2" s="146">
        <f>I2*V2</f>
        <v>145.32301606830376</v>
      </c>
      <c r="K2" s="146">
        <f>I2*X2</f>
        <v>0.97987677480000013</v>
      </c>
      <c r="L2" s="147"/>
      <c r="M2" s="147"/>
      <c r="N2" s="147"/>
      <c r="O2" s="147"/>
      <c r="Q2" s="150">
        <f>(AE2/SUM(AE$2:AE$25))</f>
        <v>0.95</v>
      </c>
      <c r="R2" s="19">
        <v>0.63621473699559183</v>
      </c>
      <c r="S2" s="107">
        <v>11.350117118214122</v>
      </c>
      <c r="T2" s="19">
        <v>4.6203295656261169E-2</v>
      </c>
      <c r="U2" s="19">
        <v>1.818893059124102E-2</v>
      </c>
      <c r="V2" s="107">
        <v>3.1144562417629196</v>
      </c>
      <c r="W2" s="150">
        <f>(AF2/SUM(AF$2:AF$20))*0.98</f>
        <v>0.10779999999999999</v>
      </c>
      <c r="X2" s="19">
        <v>2.1000000000000001E-2</v>
      </c>
      <c r="Y2" s="21"/>
      <c r="Z2" s="22"/>
      <c r="AA2" s="1"/>
      <c r="AB2" s="1"/>
      <c r="AC2" s="1"/>
      <c r="AE2" s="19">
        <v>0.95</v>
      </c>
      <c r="AF2" s="19">
        <v>0.11</v>
      </c>
      <c r="AG2" s="168"/>
      <c r="AH2" s="168"/>
    </row>
    <row r="3" spans="1:40" x14ac:dyDescent="0.2">
      <c r="A3" s="17" t="s">
        <v>433</v>
      </c>
      <c r="B3" s="18" t="s">
        <v>9</v>
      </c>
      <c r="C3" s="18">
        <f>VLOOKUP($AN$1,DST!C:D,2,FALSE)</f>
        <v>11</v>
      </c>
      <c r="D3" s="146">
        <f>D$32*Q3</f>
        <v>30.2577</v>
      </c>
      <c r="E3" s="146">
        <f t="shared" ref="E3:F4" si="0">D3*R3</f>
        <v>18.279242523265864</v>
      </c>
      <c r="F3" s="146">
        <f t="shared" si="0"/>
        <v>195.47625204549624</v>
      </c>
      <c r="G3" s="146">
        <f t="shared" ref="G3:G4" si="1">D3*T3</f>
        <v>1.3221907651230136</v>
      </c>
      <c r="H3" s="146">
        <f t="shared" ref="H3:H4" si="2">E3*U3</f>
        <v>0.33145689666325179</v>
      </c>
      <c r="I3" s="146">
        <f>D$35*W3</f>
        <v>0</v>
      </c>
      <c r="J3" s="146">
        <f>I3*V3</f>
        <v>0</v>
      </c>
      <c r="K3" s="146">
        <f>I3*X3</f>
        <v>0</v>
      </c>
      <c r="L3" s="147"/>
      <c r="M3" s="147"/>
      <c r="N3" s="147"/>
      <c r="O3" s="147"/>
      <c r="Q3" s="150">
        <f>(AE3/SUM(AE$2:AE$25))</f>
        <v>0.05</v>
      </c>
      <c r="R3" s="19">
        <v>0.60411870443774196</v>
      </c>
      <c r="S3" s="107">
        <v>10.693892364341334</v>
      </c>
      <c r="T3" s="19">
        <v>4.3697662582516637E-2</v>
      </c>
      <c r="U3" s="19">
        <v>1.813296673761906E-2</v>
      </c>
      <c r="V3" s="107">
        <v>2.7636363636363637</v>
      </c>
      <c r="W3" s="150">
        <f>(AF3/SUM(AF$2:AF$20))*0.98</f>
        <v>0</v>
      </c>
      <c r="X3" s="19">
        <v>1.8181818181818181E-2</v>
      </c>
      <c r="Y3" s="21"/>
      <c r="Z3" s="22"/>
      <c r="AA3" s="1"/>
      <c r="AB3" s="1"/>
      <c r="AC3" s="1"/>
      <c r="AE3" s="19">
        <v>0.05</v>
      </c>
      <c r="AF3" s="19">
        <v>0</v>
      </c>
      <c r="AG3" s="168"/>
      <c r="AH3" s="168"/>
    </row>
    <row r="4" spans="1:40" x14ac:dyDescent="0.2">
      <c r="B4" s="18" t="s">
        <v>9</v>
      </c>
      <c r="C4" s="18">
        <f>VLOOKUP($AN$1,DST!C:D,2,FALSE)</f>
        <v>11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/>
      <c r="AF4" s="19"/>
      <c r="AG4" s="168"/>
      <c r="AH4" s="168"/>
    </row>
    <row r="5" spans="1:40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40" x14ac:dyDescent="0.2">
      <c r="A6" s="172" t="s">
        <v>418</v>
      </c>
      <c r="B6" s="18" t="s">
        <v>207</v>
      </c>
      <c r="C6" s="18">
        <f>VLOOKUP($AN$1,DST!C:D,2,FALSE)</f>
        <v>11</v>
      </c>
      <c r="D6" s="147"/>
      <c r="E6" s="147"/>
      <c r="F6" s="147"/>
      <c r="G6" s="147"/>
      <c r="H6" s="147"/>
      <c r="I6" s="146">
        <f t="shared" ref="I6:I11" si="3">D$35*W6</f>
        <v>216.33643080000004</v>
      </c>
      <c r="J6" s="146">
        <f t="shared" ref="J6:J11" si="4">I6*V6</f>
        <v>869.67245181600003</v>
      </c>
      <c r="K6" s="146">
        <f t="shared" ref="K6:K11" si="5">I6*X6</f>
        <v>6.4900929240000007</v>
      </c>
      <c r="L6" s="146">
        <f t="shared" ref="L6:L11" si="6">((D$2+D$3+D$4)*AA6)</f>
        <v>56.932888319999996</v>
      </c>
      <c r="M6" s="146">
        <f t="shared" ref="M6:N11" si="7">L6*Y6</f>
        <v>46.45723686912001</v>
      </c>
      <c r="N6" s="146">
        <f t="shared" si="7"/>
        <v>360.93497968080663</v>
      </c>
      <c r="O6" s="146">
        <f t="shared" ref="O6:O11" si="8">M6*AH6</f>
        <v>2.0362990196558814</v>
      </c>
      <c r="Q6" s="13"/>
      <c r="R6" s="139"/>
      <c r="S6" s="138"/>
      <c r="T6" s="139"/>
      <c r="U6" s="139"/>
      <c r="V6" s="107">
        <v>4.0199999999999996</v>
      </c>
      <c r="W6" s="150">
        <f t="shared" ref="W6:W11" si="9">(AF6/SUM(AF$2:AF$20))*0.98</f>
        <v>0.49980000000000002</v>
      </c>
      <c r="X6" s="19">
        <v>0.03</v>
      </c>
      <c r="Y6" s="19">
        <v>0.81600000000000017</v>
      </c>
      <c r="Z6" s="20">
        <v>7.7691874077151386</v>
      </c>
      <c r="AA6" s="150">
        <f t="shared" ref="AA6:AA11" si="10">(AG6/SUM(AG$6:AG$25))*0.98</f>
        <v>9.4079999999999997E-2</v>
      </c>
      <c r="AB6" s="7">
        <v>3.3595991528852176E-2</v>
      </c>
      <c r="AC6" s="150">
        <f t="shared" ref="AC6:AC11" si="11">(AH6/SUM(AH$6:AH$25))*0.98</f>
        <v>6.1225211521852133E-2</v>
      </c>
      <c r="AE6" s="168"/>
      <c r="AF6" s="19">
        <v>0.51</v>
      </c>
      <c r="AG6" s="19">
        <v>9.6000000000000002E-2</v>
      </c>
      <c r="AH6" s="19">
        <v>4.3831686016810943E-2</v>
      </c>
    </row>
    <row r="7" spans="1:40" x14ac:dyDescent="0.2">
      <c r="A7" s="176" t="s">
        <v>632</v>
      </c>
      <c r="B7" s="18" t="s">
        <v>207</v>
      </c>
      <c r="C7" s="18">
        <f>VLOOKUP($AN$1,DST!C:D,2,FALSE)</f>
        <v>11</v>
      </c>
      <c r="D7" s="147"/>
      <c r="E7" s="147"/>
      <c r="F7" s="147"/>
      <c r="G7" s="147"/>
      <c r="H7" s="147"/>
      <c r="I7" s="146">
        <f t="shared" si="3"/>
        <v>100.10862288000001</v>
      </c>
      <c r="J7" s="146">
        <f t="shared" si="4"/>
        <v>414.44969872320002</v>
      </c>
      <c r="K7" s="146">
        <f t="shared" si="5"/>
        <v>3.2034759321600004</v>
      </c>
      <c r="L7" s="146">
        <f t="shared" si="6"/>
        <v>38.548309800000006</v>
      </c>
      <c r="M7" s="146">
        <f t="shared" si="7"/>
        <v>31.069937698800008</v>
      </c>
      <c r="N7" s="146">
        <f t="shared" si="7"/>
        <v>251.80779797119325</v>
      </c>
      <c r="O7" s="146">
        <f t="shared" si="8"/>
        <v>1.1185177571568001</v>
      </c>
      <c r="Q7" s="13"/>
      <c r="R7" s="139"/>
      <c r="S7" s="138"/>
      <c r="T7" s="139"/>
      <c r="U7" s="139"/>
      <c r="V7" s="107">
        <v>4.1399999999999997</v>
      </c>
      <c r="W7" s="150">
        <f t="shared" si="9"/>
        <v>0.23127999999999999</v>
      </c>
      <c r="X7" s="19">
        <v>3.2000000000000001E-2</v>
      </c>
      <c r="Y7" s="19">
        <v>0.80600000000000005</v>
      </c>
      <c r="Z7" s="20">
        <v>8.1045478884535598</v>
      </c>
      <c r="AA7" s="150">
        <f t="shared" si="10"/>
        <v>6.3700000000000007E-2</v>
      </c>
      <c r="AB7" s="7">
        <v>1.0415354030662981E-2</v>
      </c>
      <c r="AC7" s="150">
        <f t="shared" si="11"/>
        <v>5.0285713717271252E-2</v>
      </c>
      <c r="AE7" s="168"/>
      <c r="AF7" s="19">
        <v>0.23599999999999999</v>
      </c>
      <c r="AG7" s="19">
        <v>6.5000000000000002E-2</v>
      </c>
      <c r="AH7" s="19">
        <v>3.5999999999999997E-2</v>
      </c>
    </row>
    <row r="8" spans="1:40" x14ac:dyDescent="0.2">
      <c r="A8" s="176" t="s">
        <v>515</v>
      </c>
      <c r="B8" s="18" t="s">
        <v>207</v>
      </c>
      <c r="C8" s="18">
        <f>VLOOKUP($AN$1,DST!C:D,2,FALSE)</f>
        <v>11</v>
      </c>
      <c r="D8" s="147"/>
      <c r="E8" s="147"/>
      <c r="F8" s="147"/>
      <c r="G8" s="147"/>
      <c r="H8" s="147"/>
      <c r="I8" s="146">
        <f t="shared" si="3"/>
        <v>52.599445920000008</v>
      </c>
      <c r="J8" s="146">
        <f t="shared" si="4"/>
        <v>212.50176151680003</v>
      </c>
      <c r="K8" s="146">
        <f t="shared" si="5"/>
        <v>1.5779833776000001</v>
      </c>
      <c r="L8" s="146">
        <f t="shared" si="6"/>
        <v>13.640171159999998</v>
      </c>
      <c r="M8" s="146">
        <f t="shared" si="7"/>
        <v>9.8072830640399982</v>
      </c>
      <c r="N8" s="146">
        <f t="shared" si="7"/>
        <v>67.440637143735884</v>
      </c>
      <c r="O8" s="146">
        <f t="shared" si="8"/>
        <v>0.26479664272907993</v>
      </c>
      <c r="Q8" s="13"/>
      <c r="R8" s="139"/>
      <c r="S8" s="138"/>
      <c r="T8" s="139"/>
      <c r="U8" s="139"/>
      <c r="V8" s="107">
        <v>4.04</v>
      </c>
      <c r="W8" s="150">
        <f t="shared" si="9"/>
        <v>0.12152</v>
      </c>
      <c r="X8" s="19">
        <v>0.03</v>
      </c>
      <c r="Y8" s="19">
        <v>0.71899999999999997</v>
      </c>
      <c r="Z8" s="20">
        <v>6.8765871957971694</v>
      </c>
      <c r="AA8" s="150">
        <f t="shared" si="10"/>
        <v>2.2539999999999998E-2</v>
      </c>
      <c r="AB8" s="7">
        <v>7.0896253682675769E-2</v>
      </c>
      <c r="AC8" s="150">
        <f t="shared" si="11"/>
        <v>3.7714285287953446E-2</v>
      </c>
      <c r="AE8" s="168"/>
      <c r="AF8" s="19">
        <v>0.124</v>
      </c>
      <c r="AG8" s="19">
        <v>2.3E-2</v>
      </c>
      <c r="AH8" s="19">
        <v>2.7E-2</v>
      </c>
    </row>
    <row r="9" spans="1:40" x14ac:dyDescent="0.2">
      <c r="A9" s="172"/>
      <c r="B9" s="18" t="s">
        <v>207</v>
      </c>
      <c r="C9" s="18">
        <f>VLOOKUP($AN$1,DST!C:D,2,FALSE)</f>
        <v>11</v>
      </c>
      <c r="D9" s="147"/>
      <c r="E9" s="147"/>
      <c r="F9" s="147"/>
      <c r="G9" s="147"/>
      <c r="H9" s="147"/>
      <c r="I9" s="146">
        <f t="shared" si="3"/>
        <v>0</v>
      </c>
      <c r="J9" s="146">
        <f t="shared" si="4"/>
        <v>0</v>
      </c>
      <c r="K9" s="146">
        <f t="shared" si="5"/>
        <v>0</v>
      </c>
      <c r="L9" s="146">
        <f t="shared" si="6"/>
        <v>0</v>
      </c>
      <c r="M9" s="146">
        <f t="shared" si="7"/>
        <v>0</v>
      </c>
      <c r="N9" s="146">
        <f t="shared" si="7"/>
        <v>0</v>
      </c>
      <c r="O9" s="146">
        <f t="shared" si="8"/>
        <v>0</v>
      </c>
      <c r="Q9" s="13"/>
      <c r="R9" s="139"/>
      <c r="S9" s="138"/>
      <c r="T9" s="139"/>
      <c r="U9" s="139"/>
      <c r="V9" s="107">
        <v>0</v>
      </c>
      <c r="W9" s="150">
        <f t="shared" si="9"/>
        <v>0</v>
      </c>
      <c r="X9" s="19">
        <v>0</v>
      </c>
      <c r="Y9" s="19">
        <v>0</v>
      </c>
      <c r="Z9" s="20">
        <v>0</v>
      </c>
      <c r="AA9" s="150">
        <f t="shared" si="10"/>
        <v>0</v>
      </c>
      <c r="AB9" s="7">
        <v>5.3655302356648456E-2</v>
      </c>
      <c r="AC9" s="150">
        <f t="shared" si="11"/>
        <v>0</v>
      </c>
      <c r="AE9" s="168"/>
      <c r="AF9" s="19">
        <v>0</v>
      </c>
      <c r="AG9" s="19">
        <v>0</v>
      </c>
      <c r="AH9" s="19">
        <v>0</v>
      </c>
    </row>
    <row r="10" spans="1:40" x14ac:dyDescent="0.2">
      <c r="A10" s="172"/>
      <c r="B10" s="18" t="s">
        <v>207</v>
      </c>
      <c r="C10" s="18">
        <f>VLOOKUP($AN$1,DST!C:D,2,FALSE)</f>
        <v>11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4"/>
        <v>0</v>
      </c>
      <c r="K10" s="146">
        <f t="shared" si="5"/>
        <v>0</v>
      </c>
      <c r="L10" s="146">
        <f t="shared" si="6"/>
        <v>0</v>
      </c>
      <c r="M10" s="146">
        <f t="shared" si="7"/>
        <v>0</v>
      </c>
      <c r="N10" s="146">
        <f t="shared" si="7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9"/>
        <v>0</v>
      </c>
      <c r="X10" s="19">
        <v>0</v>
      </c>
      <c r="Y10" s="19">
        <v>0</v>
      </c>
      <c r="Z10" s="20">
        <v>0</v>
      </c>
      <c r="AA10" s="150">
        <f t="shared" si="10"/>
        <v>0</v>
      </c>
      <c r="AB10" s="7">
        <v>0</v>
      </c>
      <c r="AC10" s="150">
        <f t="shared" si="11"/>
        <v>0</v>
      </c>
      <c r="AE10" s="168"/>
      <c r="AF10" s="19">
        <v>0</v>
      </c>
      <c r="AG10" s="19">
        <v>0</v>
      </c>
      <c r="AH10" s="19">
        <v>0</v>
      </c>
    </row>
    <row r="11" spans="1:40" x14ac:dyDescent="0.2">
      <c r="A11" s="172"/>
      <c r="B11" s="18" t="s">
        <v>207</v>
      </c>
      <c r="C11" s="18">
        <f>VLOOKUP($AN$1,DST!C:D,2,FALSE)</f>
        <v>11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4"/>
        <v>0</v>
      </c>
      <c r="K11" s="146">
        <f t="shared" si="5"/>
        <v>0</v>
      </c>
      <c r="L11" s="146">
        <f t="shared" si="6"/>
        <v>0</v>
      </c>
      <c r="M11" s="146">
        <f t="shared" si="7"/>
        <v>0</v>
      </c>
      <c r="N11" s="146">
        <f t="shared" si="7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9"/>
        <v>0</v>
      </c>
      <c r="X11" s="19">
        <v>0</v>
      </c>
      <c r="Y11" s="19">
        <v>0</v>
      </c>
      <c r="Z11" s="20">
        <v>0</v>
      </c>
      <c r="AA11" s="150">
        <f t="shared" si="10"/>
        <v>0</v>
      </c>
      <c r="AB11" s="7">
        <v>0</v>
      </c>
      <c r="AC11" s="150">
        <f t="shared" si="11"/>
        <v>0</v>
      </c>
      <c r="AE11" s="168"/>
      <c r="AF11" s="19">
        <v>0</v>
      </c>
      <c r="AG11" s="19">
        <v>0</v>
      </c>
      <c r="AH11" s="19">
        <v>0</v>
      </c>
    </row>
    <row r="12" spans="1:40" x14ac:dyDescent="0.2">
      <c r="A12" s="172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Q12" s="99"/>
      <c r="R12" s="101"/>
      <c r="S12" s="132"/>
      <c r="T12" s="101"/>
      <c r="U12" s="101"/>
      <c r="V12" s="100"/>
      <c r="W12" s="166"/>
      <c r="X12" s="101"/>
      <c r="Y12" s="101"/>
      <c r="Z12" s="100"/>
      <c r="AA12" s="152"/>
      <c r="AB12" s="167"/>
      <c r="AC12"/>
      <c r="AE12" s="124"/>
      <c r="AF12" s="124"/>
      <c r="AG12" s="26"/>
      <c r="AH12" s="26"/>
    </row>
    <row r="13" spans="1:40" x14ac:dyDescent="0.2">
      <c r="A13" s="17" t="s">
        <v>60</v>
      </c>
      <c r="B13" s="18" t="s">
        <v>208</v>
      </c>
      <c r="C13" s="18">
        <f>VLOOKUP($AN$1,DST!C:D,2,FALSE)</f>
        <v>11</v>
      </c>
      <c r="D13" s="147"/>
      <c r="E13" s="147"/>
      <c r="F13" s="147"/>
      <c r="G13" s="147"/>
      <c r="H13" s="147"/>
      <c r="I13" s="146">
        <f t="shared" ref="I13:I20" si="12">D$35*W13</f>
        <v>0</v>
      </c>
      <c r="J13" s="146">
        <f t="shared" ref="J13:J20" si="13">I13*V13</f>
        <v>0</v>
      </c>
      <c r="K13" s="146">
        <f t="shared" ref="K13:K20" si="14">I13*X13</f>
        <v>0</v>
      </c>
      <c r="L13" s="146">
        <f t="shared" ref="L13:L20" si="15">((D$2+D$3+D$4)*AA13)</f>
        <v>132.25035516</v>
      </c>
      <c r="M13" s="146">
        <f t="shared" ref="M13:N20" si="16">L13*Y13</f>
        <v>77.234207413439989</v>
      </c>
      <c r="N13" s="146">
        <f t="shared" si="16"/>
        <v>1153.8790587567935</v>
      </c>
      <c r="O13" s="146">
        <f t="shared" ref="O13:O20" si="17">M13*AH13</f>
        <v>9.2681048896127987</v>
      </c>
      <c r="Q13" s="13"/>
      <c r="R13" s="139"/>
      <c r="S13" s="138"/>
      <c r="T13" s="139"/>
      <c r="U13" s="139"/>
      <c r="V13" s="107">
        <v>5.0199999999999996</v>
      </c>
      <c r="W13" s="150">
        <f t="shared" ref="W13:W20" si="18">(AF13/SUM(AF$2:AF$20))*0.98</f>
        <v>0</v>
      </c>
      <c r="X13" s="19">
        <v>0</v>
      </c>
      <c r="Y13" s="19">
        <v>0.58399999999999996</v>
      </c>
      <c r="Z13" s="20">
        <v>14.94</v>
      </c>
      <c r="AA13" s="150">
        <f t="shared" ref="AA13:AA20" si="19">(AG13/SUM(AG$6:AG$25))*0.98</f>
        <v>0.21854000000000001</v>
      </c>
      <c r="AB13" s="7">
        <v>0.16554122006311245</v>
      </c>
      <c r="AC13" s="150">
        <f t="shared" ref="AC13:AC20" si="20">(AH13/SUM(AH$6:AH$25))*0.98</f>
        <v>0.1676190457242375</v>
      </c>
      <c r="AE13" s="168"/>
      <c r="AF13" s="19">
        <v>0</v>
      </c>
      <c r="AG13" s="19">
        <v>0.223</v>
      </c>
      <c r="AH13" s="19">
        <v>0.12</v>
      </c>
    </row>
    <row r="14" spans="1:40" x14ac:dyDescent="0.2">
      <c r="A14" s="17" t="s">
        <v>61</v>
      </c>
      <c r="B14" s="18" t="s">
        <v>208</v>
      </c>
      <c r="C14" s="18">
        <f>VLOOKUP($AN$1,DST!C:D,2,FALSE)</f>
        <v>11</v>
      </c>
      <c r="D14" s="147"/>
      <c r="E14" s="147"/>
      <c r="F14" s="147"/>
      <c r="G14" s="147"/>
      <c r="H14" s="147"/>
      <c r="I14" s="146">
        <f t="shared" si="12"/>
        <v>4.2418908000000002</v>
      </c>
      <c r="J14" s="146">
        <f t="shared" si="13"/>
        <v>21.251872907999999</v>
      </c>
      <c r="K14" s="146">
        <f t="shared" si="14"/>
        <v>4.793562356510904E-2</v>
      </c>
      <c r="L14" s="146">
        <f t="shared" si="15"/>
        <v>124.54069319999999</v>
      </c>
      <c r="M14" s="146">
        <f t="shared" si="16"/>
        <v>78.211555329599989</v>
      </c>
      <c r="N14" s="146">
        <f t="shared" si="16"/>
        <v>954.11667382665075</v>
      </c>
      <c r="O14" s="146">
        <f t="shared" si="17"/>
        <v>5.0603068112553515</v>
      </c>
      <c r="Q14" s="13"/>
      <c r="R14" s="139"/>
      <c r="S14" s="138"/>
      <c r="T14" s="139"/>
      <c r="U14" s="139"/>
      <c r="V14" s="107">
        <v>5.01</v>
      </c>
      <c r="W14" s="150">
        <f t="shared" si="18"/>
        <v>9.7999999999999997E-3</v>
      </c>
      <c r="X14" s="19">
        <v>1.1300532197837115E-2</v>
      </c>
      <c r="Y14" s="19">
        <v>0.628</v>
      </c>
      <c r="Z14" s="20">
        <v>12.199177855571365</v>
      </c>
      <c r="AA14" s="150">
        <f t="shared" si="19"/>
        <v>0.20579999999999998</v>
      </c>
      <c r="AB14" s="7">
        <v>0.14253792246286248</v>
      </c>
      <c r="AC14" s="150">
        <f t="shared" si="20"/>
        <v>9.0374944725236106E-2</v>
      </c>
      <c r="AE14" s="168"/>
      <c r="AF14" s="19">
        <v>0.01</v>
      </c>
      <c r="AG14" s="19">
        <v>0.21</v>
      </c>
      <c r="AH14" s="19">
        <v>6.4700245250591829E-2</v>
      </c>
    </row>
    <row r="15" spans="1:40" x14ac:dyDescent="0.2">
      <c r="A15" s="17" t="s">
        <v>516</v>
      </c>
      <c r="B15" s="18" t="s">
        <v>208</v>
      </c>
      <c r="C15" s="18">
        <f>VLOOKUP($AN$1,DST!C:D,2,FALSE)</f>
        <v>11</v>
      </c>
      <c r="D15" s="147"/>
      <c r="E15" s="147"/>
      <c r="F15" s="147"/>
      <c r="G15" s="147"/>
      <c r="H15" s="147"/>
      <c r="I15" s="146">
        <f t="shared" si="12"/>
        <v>4.2418908000000002</v>
      </c>
      <c r="J15" s="146">
        <f t="shared" si="13"/>
        <v>24.730223364</v>
      </c>
      <c r="K15" s="146">
        <f t="shared" si="14"/>
        <v>3.2946763054159951E-2</v>
      </c>
      <c r="L15" s="146">
        <f t="shared" si="15"/>
        <v>36.769157040000003</v>
      </c>
      <c r="M15" s="146">
        <f t="shared" si="16"/>
        <v>21.65703349656</v>
      </c>
      <c r="N15" s="146">
        <f t="shared" si="16"/>
        <v>256.85241726920157</v>
      </c>
      <c r="O15" s="146">
        <f t="shared" si="17"/>
        <v>1.5350635864914943</v>
      </c>
      <c r="Q15" s="13"/>
      <c r="R15" s="139"/>
      <c r="S15" s="138"/>
      <c r="T15" s="139"/>
      <c r="U15" s="139"/>
      <c r="V15" s="107">
        <v>5.83</v>
      </c>
      <c r="W15" s="150">
        <f t="shared" si="18"/>
        <v>9.7999999999999997E-3</v>
      </c>
      <c r="X15" s="19">
        <v>7.7669993424064453E-3</v>
      </c>
      <c r="Y15" s="19">
        <v>0.58899999999999997</v>
      </c>
      <c r="Z15" s="20">
        <v>11.86</v>
      </c>
      <c r="AA15" s="150">
        <f t="shared" si="19"/>
        <v>6.0760000000000002E-2</v>
      </c>
      <c r="AB15" s="7">
        <v>0.12728498853548104</v>
      </c>
      <c r="AC15" s="150">
        <f t="shared" si="20"/>
        <v>9.9007824846140721E-2</v>
      </c>
      <c r="AE15" s="168"/>
      <c r="AF15" s="19">
        <v>0.01</v>
      </c>
      <c r="AG15" s="19">
        <v>6.2E-2</v>
      </c>
      <c r="AH15" s="19">
        <v>7.0880602679740209E-2</v>
      </c>
    </row>
    <row r="16" spans="1:40" x14ac:dyDescent="0.2">
      <c r="A16" s="17" t="s">
        <v>631</v>
      </c>
      <c r="B16" s="18" t="s">
        <v>208</v>
      </c>
      <c r="C16" s="18">
        <f>VLOOKUP($AN$1,DST!C:D,2,FALSE)</f>
        <v>11</v>
      </c>
      <c r="D16" s="147"/>
      <c r="E16" s="147"/>
      <c r="F16" s="147"/>
      <c r="G16" s="147"/>
      <c r="H16" s="147"/>
      <c r="I16" s="146">
        <f t="shared" si="12"/>
        <v>0</v>
      </c>
      <c r="J16" s="146">
        <f t="shared" si="13"/>
        <v>0</v>
      </c>
      <c r="K16" s="146">
        <f t="shared" si="14"/>
        <v>0</v>
      </c>
      <c r="L16" s="146">
        <f t="shared" si="15"/>
        <v>81.841026959999994</v>
      </c>
      <c r="M16" s="146">
        <f t="shared" si="16"/>
        <v>49.923026445599987</v>
      </c>
      <c r="N16" s="146">
        <f t="shared" si="16"/>
        <v>617.5554387832201</v>
      </c>
      <c r="O16" s="146">
        <f t="shared" si="17"/>
        <v>3.7331631957992308</v>
      </c>
      <c r="Q16" s="13"/>
      <c r="R16" s="139"/>
      <c r="S16" s="138"/>
      <c r="T16" s="139"/>
      <c r="U16" s="139"/>
      <c r="V16" s="107">
        <v>5.0199999999999996</v>
      </c>
      <c r="W16" s="150">
        <f t="shared" si="18"/>
        <v>0</v>
      </c>
      <c r="X16" s="19">
        <v>0</v>
      </c>
      <c r="Y16" s="19">
        <v>0.60999999999999988</v>
      </c>
      <c r="Z16" s="20">
        <v>12.370152267434278</v>
      </c>
      <c r="AA16" s="150">
        <f t="shared" si="19"/>
        <v>0.13524</v>
      </c>
      <c r="AB16" s="7">
        <v>3.5792586135455981E-2</v>
      </c>
      <c r="AC16" s="150">
        <f t="shared" si="20"/>
        <v>0.1044523434315721</v>
      </c>
      <c r="AE16" s="168"/>
      <c r="AF16" s="19">
        <v>0</v>
      </c>
      <c r="AG16" s="19">
        <v>0.13800000000000001</v>
      </c>
      <c r="AH16" s="19">
        <v>7.4778383074735583E-2</v>
      </c>
    </row>
    <row r="17" spans="1:34" x14ac:dyDescent="0.2">
      <c r="A17" s="17" t="s">
        <v>697</v>
      </c>
      <c r="B17" s="18" t="s">
        <v>208</v>
      </c>
      <c r="C17" s="18">
        <f>VLOOKUP($AN$1,DST!C:D,2,FALSE)</f>
        <v>11</v>
      </c>
      <c r="D17" s="147"/>
      <c r="E17" s="147"/>
      <c r="F17" s="147"/>
      <c r="G17" s="147"/>
      <c r="H17" s="147"/>
      <c r="I17" s="146">
        <f t="shared" si="12"/>
        <v>0</v>
      </c>
      <c r="J17" s="146">
        <f t="shared" si="13"/>
        <v>0</v>
      </c>
      <c r="K17" s="146">
        <f t="shared" si="14"/>
        <v>0</v>
      </c>
      <c r="L17" s="146">
        <f t="shared" si="15"/>
        <v>8.3027128799999996</v>
      </c>
      <c r="M17" s="146">
        <f t="shared" si="16"/>
        <v>4.8155734703999995</v>
      </c>
      <c r="N17" s="146">
        <f t="shared" si="16"/>
        <v>48.05579627257822</v>
      </c>
      <c r="O17" s="146">
        <f t="shared" si="17"/>
        <v>0.30819670210559996</v>
      </c>
      <c r="Q17" s="13"/>
      <c r="R17" s="139"/>
      <c r="S17" s="138"/>
      <c r="T17" s="139"/>
      <c r="U17" s="139"/>
      <c r="V17" s="107">
        <v>5.88</v>
      </c>
      <c r="W17" s="150">
        <f t="shared" si="18"/>
        <v>0</v>
      </c>
      <c r="X17" s="19">
        <v>0</v>
      </c>
      <c r="Y17" s="19">
        <v>0.57999999999999996</v>
      </c>
      <c r="Z17" s="20">
        <v>9.9792468265646725</v>
      </c>
      <c r="AA17" s="150">
        <f t="shared" si="19"/>
        <v>1.372E-2</v>
      </c>
      <c r="AB17" s="7">
        <v>5.8351912385236793E-2</v>
      </c>
      <c r="AC17" s="150">
        <f t="shared" si="20"/>
        <v>8.9396824386260024E-2</v>
      </c>
      <c r="AE17" s="168"/>
      <c r="AF17" s="19">
        <v>0</v>
      </c>
      <c r="AG17" s="19">
        <v>1.4E-2</v>
      </c>
      <c r="AH17" s="19">
        <v>6.4000000000000001E-2</v>
      </c>
    </row>
    <row r="18" spans="1:34" x14ac:dyDescent="0.2">
      <c r="B18" s="18" t="s">
        <v>208</v>
      </c>
      <c r="C18" s="18">
        <f>VLOOKUP($AN$1,DST!C:D,2,FALSE)</f>
        <v>11</v>
      </c>
      <c r="D18" s="147"/>
      <c r="E18" s="147"/>
      <c r="F18" s="147"/>
      <c r="G18" s="147"/>
      <c r="H18" s="147"/>
      <c r="I18" s="146">
        <f t="shared" si="12"/>
        <v>0</v>
      </c>
      <c r="J18" s="146">
        <f t="shared" si="13"/>
        <v>0</v>
      </c>
      <c r="K18" s="146">
        <f t="shared" si="14"/>
        <v>0</v>
      </c>
      <c r="L18" s="146">
        <f t="shared" si="15"/>
        <v>0</v>
      </c>
      <c r="M18" s="146">
        <f t="shared" si="16"/>
        <v>0</v>
      </c>
      <c r="N18" s="146">
        <f t="shared" si="16"/>
        <v>0</v>
      </c>
      <c r="O18" s="146">
        <f t="shared" si="17"/>
        <v>0</v>
      </c>
      <c r="Q18" s="13"/>
      <c r="R18" s="139"/>
      <c r="S18" s="138"/>
      <c r="T18" s="139"/>
      <c r="U18" s="139"/>
      <c r="V18" s="107">
        <v>0</v>
      </c>
      <c r="W18" s="150">
        <f t="shared" si="18"/>
        <v>0</v>
      </c>
      <c r="X18" s="19">
        <v>0</v>
      </c>
      <c r="Y18" s="19">
        <v>0</v>
      </c>
      <c r="Z18" s="20">
        <v>0</v>
      </c>
      <c r="AA18" s="150">
        <f t="shared" si="19"/>
        <v>0</v>
      </c>
      <c r="AB18" s="7">
        <v>4.8416185017190957E-2</v>
      </c>
      <c r="AC18" s="150">
        <f t="shared" si="20"/>
        <v>0</v>
      </c>
      <c r="AE18" s="168"/>
      <c r="AF18" s="19">
        <v>0</v>
      </c>
      <c r="AG18" s="19">
        <v>0</v>
      </c>
      <c r="AH18" s="19">
        <v>0</v>
      </c>
    </row>
    <row r="19" spans="1:34" x14ac:dyDescent="0.2">
      <c r="B19" s="18" t="s">
        <v>208</v>
      </c>
      <c r="C19" s="18">
        <f>VLOOKUP($AN$1,DST!C:D,2,FALSE)</f>
        <v>11</v>
      </c>
      <c r="D19" s="147"/>
      <c r="E19" s="147"/>
      <c r="F19" s="147"/>
      <c r="G19" s="147"/>
      <c r="H19" s="147"/>
      <c r="I19" s="146">
        <f t="shared" si="12"/>
        <v>0</v>
      </c>
      <c r="J19" s="146">
        <f t="shared" si="13"/>
        <v>0</v>
      </c>
      <c r="K19" s="146">
        <f t="shared" si="14"/>
        <v>0</v>
      </c>
      <c r="L19" s="146">
        <f t="shared" si="15"/>
        <v>0</v>
      </c>
      <c r="M19" s="146">
        <f t="shared" si="16"/>
        <v>0</v>
      </c>
      <c r="N19" s="146">
        <f t="shared" si="16"/>
        <v>0</v>
      </c>
      <c r="O19" s="146">
        <f t="shared" si="17"/>
        <v>0</v>
      </c>
      <c r="Q19" s="13"/>
      <c r="R19" s="139"/>
      <c r="S19" s="138"/>
      <c r="T19" s="139"/>
      <c r="U19" s="139"/>
      <c r="V19" s="107">
        <v>0</v>
      </c>
      <c r="W19" s="150">
        <f t="shared" si="18"/>
        <v>0</v>
      </c>
      <c r="X19" s="19">
        <v>0</v>
      </c>
      <c r="Y19" s="19">
        <v>0</v>
      </c>
      <c r="Z19" s="20">
        <v>0</v>
      </c>
      <c r="AA19" s="150">
        <f t="shared" si="19"/>
        <v>0</v>
      </c>
      <c r="AB19" s="7">
        <v>1.6298685731047181E-2</v>
      </c>
      <c r="AC19" s="150">
        <f t="shared" si="20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208</v>
      </c>
      <c r="C20" s="18">
        <f>VLOOKUP($AN$1,DST!C:D,2,FALSE)</f>
        <v>11</v>
      </c>
      <c r="D20" s="147"/>
      <c r="E20" s="147"/>
      <c r="F20" s="147"/>
      <c r="G20" s="147"/>
      <c r="H20" s="147"/>
      <c r="I20" s="146">
        <f t="shared" si="12"/>
        <v>0</v>
      </c>
      <c r="J20" s="146">
        <f t="shared" si="13"/>
        <v>0</v>
      </c>
      <c r="K20" s="146">
        <f t="shared" si="14"/>
        <v>0</v>
      </c>
      <c r="L20" s="146">
        <f t="shared" si="15"/>
        <v>0</v>
      </c>
      <c r="M20" s="146">
        <f t="shared" si="16"/>
        <v>0</v>
      </c>
      <c r="N20" s="146">
        <f t="shared" si="16"/>
        <v>0</v>
      </c>
      <c r="O20" s="146">
        <f t="shared" si="17"/>
        <v>0</v>
      </c>
      <c r="Q20" s="13"/>
      <c r="R20" s="139"/>
      <c r="S20" s="138"/>
      <c r="T20" s="139"/>
      <c r="U20" s="139"/>
      <c r="V20" s="107">
        <v>0</v>
      </c>
      <c r="W20" s="150">
        <f t="shared" si="18"/>
        <v>0</v>
      </c>
      <c r="X20" s="19">
        <v>0</v>
      </c>
      <c r="Y20" s="19">
        <v>0</v>
      </c>
      <c r="Z20" s="20">
        <v>0</v>
      </c>
      <c r="AA20" s="150">
        <f t="shared" si="19"/>
        <v>0</v>
      </c>
      <c r="AB20" s="7">
        <v>0</v>
      </c>
      <c r="AC20" s="150">
        <f t="shared" si="20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417</v>
      </c>
      <c r="B22" s="18" t="s">
        <v>10</v>
      </c>
      <c r="C22" s="18">
        <f>VLOOKUP($AN$1,DST!C:D,2,FALSE)</f>
        <v>11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73.538314080000006</v>
      </c>
      <c r="M22" s="146">
        <f t="shared" ref="M22:N25" si="21">L22*Y22</f>
        <v>48.167595722400009</v>
      </c>
      <c r="N22" s="146">
        <f t="shared" si="21"/>
        <v>481.12730607497372</v>
      </c>
      <c r="O22" s="146">
        <f t="shared" ref="O22:O25" si="22">M22*AH22</f>
        <v>3.5836691217465604</v>
      </c>
      <c r="Q22" s="13"/>
      <c r="R22" s="139"/>
      <c r="S22" s="138"/>
      <c r="T22" s="139"/>
      <c r="U22" s="139"/>
      <c r="V22" s="140"/>
      <c r="W22" s="154"/>
      <c r="X22" s="139"/>
      <c r="Y22" s="19">
        <v>0.65500000000000003</v>
      </c>
      <c r="Z22" s="20">
        <v>9.9886095384085944</v>
      </c>
      <c r="AA22" s="150">
        <f>(AG22/SUM(AG$6:AG$25))*0.98</f>
        <v>0.12152</v>
      </c>
      <c r="AB22" s="7">
        <v>9.1585925676698793E-2</v>
      </c>
      <c r="AC22" s="150">
        <f>(AH22/SUM(AH$6:AH$25))*0.98</f>
        <v>0.10392380834902726</v>
      </c>
      <c r="AE22" s="168"/>
      <c r="AF22" s="168"/>
      <c r="AG22" s="19">
        <v>0.124</v>
      </c>
      <c r="AH22" s="19">
        <v>7.4399999999999994E-2</v>
      </c>
    </row>
    <row r="23" spans="1:34" x14ac:dyDescent="0.2">
      <c r="A23" s="17" t="s">
        <v>445</v>
      </c>
      <c r="B23" s="18" t="s">
        <v>10</v>
      </c>
      <c r="C23" s="18">
        <f>VLOOKUP($AN$1,DST!C:D,2,FALSE)</f>
        <v>11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20.756782200000004</v>
      </c>
      <c r="M23" s="146">
        <f t="shared" si="21"/>
        <v>12.661637142000002</v>
      </c>
      <c r="N23" s="146">
        <f t="shared" si="21"/>
        <v>116.49334482614039</v>
      </c>
      <c r="O23" s="146">
        <f t="shared" si="22"/>
        <v>0.70905167995200014</v>
      </c>
      <c r="Q23" s="13"/>
      <c r="R23" s="139"/>
      <c r="S23" s="138"/>
      <c r="T23" s="139"/>
      <c r="U23" s="139"/>
      <c r="V23" s="140"/>
      <c r="W23" s="154"/>
      <c r="X23" s="139"/>
      <c r="Y23" s="19">
        <v>0.61</v>
      </c>
      <c r="Z23" s="20">
        <v>9.2004962328070139</v>
      </c>
      <c r="AA23" s="150">
        <f>(AG23/SUM(AG$6:AG$25))*0.98</f>
        <v>3.4300000000000004E-2</v>
      </c>
      <c r="AB23" s="7">
        <v>7.0109403762887379E-2</v>
      </c>
      <c r="AC23" s="150">
        <f>(AH23/SUM(AH$6:AH$25))*0.98</f>
        <v>7.8222221337977516E-2</v>
      </c>
      <c r="AE23" s="168"/>
      <c r="AF23" s="168"/>
      <c r="AG23" s="19">
        <v>3.5000000000000003E-2</v>
      </c>
      <c r="AH23" s="19">
        <v>5.6000000000000001E-2</v>
      </c>
    </row>
    <row r="24" spans="1:34" x14ac:dyDescent="0.2">
      <c r="A24" s="17" t="s">
        <v>517</v>
      </c>
      <c r="B24" s="18" t="s">
        <v>10</v>
      </c>
      <c r="C24" s="18">
        <f>VLOOKUP($AN$1,DST!C:D,2,FALSE)</f>
        <v>11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5.9305091999999995</v>
      </c>
      <c r="M24" s="146">
        <f t="shared" si="21"/>
        <v>3.6057495936000001</v>
      </c>
      <c r="N24" s="146">
        <f t="shared" si="21"/>
        <v>38.338544183838074</v>
      </c>
      <c r="O24" s="146">
        <f t="shared" si="22"/>
        <v>0.25240247155200002</v>
      </c>
      <c r="Q24" s="13"/>
      <c r="R24" s="139"/>
      <c r="S24" s="138"/>
      <c r="T24" s="139"/>
      <c r="U24" s="139"/>
      <c r="V24" s="140"/>
      <c r="W24" s="154"/>
      <c r="X24" s="139"/>
      <c r="Y24" s="19">
        <v>0.6080000000000001</v>
      </c>
      <c r="Z24" s="20">
        <v>10.632614159310121</v>
      </c>
      <c r="AA24" s="150">
        <f>(AG24/SUM(AG$6:AG$25))*0.98</f>
        <v>9.7999999999999997E-3</v>
      </c>
      <c r="AB24" s="7">
        <v>4.7233375561925223E-2</v>
      </c>
      <c r="AC24" s="150">
        <f>(AH24/SUM(AH$6:AH$25))*0.98</f>
        <v>9.7777776672471894E-2</v>
      </c>
      <c r="AE24" s="168"/>
      <c r="AF24" s="168"/>
      <c r="AG24" s="19">
        <v>0.01</v>
      </c>
      <c r="AH24" s="19">
        <v>7.0000000000000007E-2</v>
      </c>
    </row>
    <row r="25" spans="1:34" x14ac:dyDescent="0.2">
      <c r="B25" s="18" t="s">
        <v>10</v>
      </c>
      <c r="C25" s="18">
        <f>VLOOKUP($AN$1,DST!C:D,2,FALSE)</f>
        <v>11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21"/>
        <v>0</v>
      </c>
      <c r="N25" s="146">
        <f t="shared" si="21"/>
        <v>0</v>
      </c>
      <c r="O25" s="146">
        <f t="shared" si="22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3.2848930692624327E-3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264</v>
      </c>
      <c r="X27" s="30"/>
      <c r="Y27" s="30"/>
      <c r="Z27" s="31"/>
      <c r="AA27" s="9" t="s">
        <v>264</v>
      </c>
      <c r="AB27" s="9" t="s">
        <v>264</v>
      </c>
      <c r="AC27" s="9" t="s">
        <v>264</v>
      </c>
      <c r="AD27" s="44"/>
      <c r="AE27" s="9" t="s">
        <v>264</v>
      </c>
      <c r="AF27" s="9" t="s">
        <v>264</v>
      </c>
      <c r="AG27" s="9" t="s">
        <v>264</v>
      </c>
    </row>
    <row r="28" spans="1:34" s="27" customFormat="1" x14ac:dyDescent="0.2">
      <c r="A28" s="45" t="s">
        <v>265</v>
      </c>
      <c r="B28" s="28"/>
      <c r="C28" s="28"/>
      <c r="D28" s="34" t="s">
        <v>269</v>
      </c>
      <c r="E28" s="34" t="s">
        <v>266</v>
      </c>
      <c r="F28" s="155" t="s">
        <v>267</v>
      </c>
      <c r="G28" s="34" t="s">
        <v>286</v>
      </c>
      <c r="H28" s="34" t="s">
        <v>268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0.98000000000000009</v>
      </c>
      <c r="X28" s="30"/>
      <c r="Y28" s="30"/>
      <c r="Z28" s="31"/>
      <c r="AA28" s="150">
        <f>SUM(AA6:AA25)</f>
        <v>0.98</v>
      </c>
      <c r="AB28" s="150">
        <f>SUM(AB2:AB4,AB6:AB11,AB13:AB20,AB22:AB25)</f>
        <v>0.97499999999999987</v>
      </c>
      <c r="AC28" s="150">
        <f>SUM(AC6:AC25)</f>
        <v>0.97999999999999987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</v>
      </c>
    </row>
    <row r="29" spans="1:34" s="27" customFormat="1" x14ac:dyDescent="0.2">
      <c r="A29" s="43"/>
      <c r="B29" s="28"/>
      <c r="C29" s="28"/>
      <c r="D29" s="46">
        <v>1038</v>
      </c>
      <c r="E29" s="47">
        <v>0.58299999999999996</v>
      </c>
      <c r="F29" s="2">
        <f>1-E29</f>
        <v>0.41700000000000004</v>
      </c>
      <c r="G29" s="106">
        <v>3.9</v>
      </c>
      <c r="H29" s="126">
        <v>2.8500000000000001E-2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265</v>
      </c>
      <c r="B31" s="28"/>
      <c r="C31" s="28"/>
      <c r="D31" s="162" t="s">
        <v>278</v>
      </c>
      <c r="E31" s="162" t="s">
        <v>1</v>
      </c>
      <c r="F31" s="162" t="s">
        <v>263</v>
      </c>
      <c r="G31" s="162" t="s">
        <v>137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605.154</v>
      </c>
      <c r="E32" s="156">
        <f>SUM(E2:E4)</f>
        <v>384.03674082750473</v>
      </c>
      <c r="F32" s="156">
        <f>SUM(F2:F4)</f>
        <v>4346.8666946636104</v>
      </c>
      <c r="G32" s="156">
        <f>SUM(G2:G4)</f>
        <v>27.884294485713632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265</v>
      </c>
      <c r="B34" s="28"/>
      <c r="C34" s="28"/>
      <c r="D34" s="162" t="s">
        <v>270</v>
      </c>
      <c r="E34" s="162" t="s">
        <v>263</v>
      </c>
      <c r="F34" s="162" t="s">
        <v>137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432.84600000000006</v>
      </c>
      <c r="E35" s="156">
        <f>D35*G29</f>
        <v>1688.0994000000003</v>
      </c>
      <c r="F35" s="156">
        <f>D35*H29</f>
        <v>12.336111000000002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279</v>
      </c>
      <c r="B37" s="37"/>
      <c r="C37" s="37"/>
      <c r="D37" s="164" t="s">
        <v>273</v>
      </c>
      <c r="E37" s="164" t="s">
        <v>274</v>
      </c>
      <c r="F37" s="164" t="s">
        <v>275</v>
      </c>
      <c r="G37" s="164" t="s">
        <v>271</v>
      </c>
      <c r="H37" s="164" t="s">
        <v>272</v>
      </c>
      <c r="I37" s="164" t="s">
        <v>276</v>
      </c>
      <c r="J37" s="164" t="s">
        <v>277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3.5" thickBot="1" x14ac:dyDescent="0.25">
      <c r="D38" s="157">
        <f>SUM(I2:I20)</f>
        <v>424.1890800000001</v>
      </c>
      <c r="E38" s="157">
        <f>SUM(J2:J4,J6:J11,J13:J20)</f>
        <v>1687.9290243963039</v>
      </c>
      <c r="F38" s="157">
        <f>SUM(K2:K4,K6:K11,K13:K20)</f>
        <v>12.332311395179271</v>
      </c>
      <c r="G38" s="157">
        <f>SUM(L6:L11,L13:L20,L22:L25)</f>
        <v>593.05091999999991</v>
      </c>
      <c r="H38" s="157">
        <f>SUM(M6:M11,M13:M20,M22:M25)</f>
        <v>383.61083624556005</v>
      </c>
      <c r="I38" s="157">
        <f>SUM(N6:N11,N13:N20,N22:N25)</f>
        <v>4346.6019947891318</v>
      </c>
      <c r="J38" s="157">
        <f>SUM(O6:O11,O13:O20,O22:O25)</f>
        <v>27.869571878056799</v>
      </c>
      <c r="V38" s="181"/>
      <c r="X38" s="30"/>
      <c r="Y38" s="30"/>
      <c r="Z38" s="181"/>
      <c r="AH38" s="30"/>
    </row>
    <row r="39" spans="1:34" ht="13.5" thickTop="1" x14ac:dyDescent="0.2">
      <c r="D39" s="158">
        <f>D35-D38</f>
        <v>8.6569199999999569</v>
      </c>
      <c r="E39" s="158">
        <f>E35-E38</f>
        <v>0.17037560369635685</v>
      </c>
      <c r="F39" s="158">
        <f>F35-F38</f>
        <v>3.7996048207311617E-3</v>
      </c>
      <c r="G39" s="158">
        <f>SUM(D2:D4)-G38</f>
        <v>12.103080000000091</v>
      </c>
      <c r="H39" s="158">
        <f>E32-H38</f>
        <v>0.42590458194467828</v>
      </c>
      <c r="I39" s="158">
        <f>F32-I38</f>
        <v>0.26469987447853782</v>
      </c>
      <c r="J39" s="158">
        <f>G32-J38</f>
        <v>1.4722607656832309E-2</v>
      </c>
      <c r="V39" s="181"/>
      <c r="X39" s="30"/>
      <c r="Y39" s="30"/>
      <c r="Z39" s="181"/>
      <c r="AH39" s="30"/>
    </row>
    <row r="40" spans="1:34" x14ac:dyDescent="0.2">
      <c r="V40" s="181"/>
      <c r="X40" s="30"/>
      <c r="Y40" s="30"/>
      <c r="Z40" s="181"/>
      <c r="AH40" s="30"/>
    </row>
    <row r="41" spans="1:34" x14ac:dyDescent="0.2">
      <c r="V41" s="181"/>
      <c r="X41" s="30"/>
      <c r="Y41" s="30"/>
      <c r="Z41" s="181"/>
      <c r="AH41" s="30"/>
    </row>
    <row r="42" spans="1:34" x14ac:dyDescent="0.2">
      <c r="V42" s="181"/>
      <c r="X42" s="30"/>
      <c r="Y42" s="30"/>
      <c r="Z42" s="181"/>
      <c r="AH42" s="30"/>
    </row>
    <row r="43" spans="1:34" x14ac:dyDescent="0.2">
      <c r="V43" s="181"/>
      <c r="X43" s="30"/>
      <c r="Y43" s="30"/>
      <c r="Z43" s="181"/>
      <c r="AH43" s="30"/>
    </row>
    <row r="44" spans="1:34" x14ac:dyDescent="0.2">
      <c r="V44" s="181"/>
      <c r="X44" s="30"/>
      <c r="Y44" s="30"/>
      <c r="Z44" s="181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sortState xmlns:xlrd2="http://schemas.microsoft.com/office/spreadsheetml/2017/richdata2" ref="A6:AH11">
    <sortCondition descending="1" ref="J6:J11"/>
  </sortState>
  <conditionalFormatting sqref="D39:J39">
    <cfRule type="cellIs" dxfId="8" priority="1" operator="lessThan">
      <formula>0</formula>
    </cfRule>
  </conditionalFormatting>
  <conditionalFormatting sqref="W28">
    <cfRule type="cellIs" dxfId="7" priority="2" operator="greaterThan">
      <formula>1</formula>
    </cfRule>
  </conditionalFormatting>
  <conditionalFormatting sqref="AA28:AG28">
    <cfRule type="cellIs" dxfId="6" priority="3" operator="greaterThan">
      <formula>1</formula>
    </cfRule>
  </conditionalFormatting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>
    <tabColor theme="4" tint="0.39997558519241921"/>
  </sheetPr>
  <dimension ref="A1:AN64"/>
  <sheetViews>
    <sheetView showGridLines="0" zoomScale="85" zoomScaleNormal="85"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defaultColWidth="8.7109375" defaultRowHeight="12.75" x14ac:dyDescent="0.2"/>
  <cols>
    <col min="1" max="1" width="22.5703125" style="17" customWidth="1"/>
    <col min="2" max="3" width="8.7109375" style="18"/>
    <col min="4" max="13" width="8.7109375" style="23"/>
    <col min="14" max="15" width="8.7109375" style="18"/>
    <col min="16" max="16" width="4.7109375" style="18" customWidth="1"/>
    <col min="17" max="18" width="8.7109375" style="26"/>
    <col min="19" max="19" width="8.7109375" style="23"/>
    <col min="20" max="21" width="8.7109375" style="26"/>
    <col min="22" max="23" width="8.7109375" style="25"/>
    <col min="24" max="25" width="8.7109375" style="26"/>
    <col min="26" max="26" width="8.7109375" style="25"/>
    <col min="27" max="27" width="8.7109375" style="18"/>
    <col min="28" max="28" width="0" style="18" hidden="1" customWidth="1"/>
    <col min="29" max="29" width="8.7109375" style="26"/>
    <col min="30" max="30" width="4.7109375" style="17" customWidth="1"/>
    <col min="31" max="32" width="8.7109375" style="18"/>
    <col min="33" max="16384" width="8.7109375" style="17"/>
  </cols>
  <sheetData>
    <row r="1" spans="1:40" s="15" customFormat="1" ht="25.5" customHeight="1" x14ac:dyDescent="0.2">
      <c r="A1" s="15" t="s">
        <v>0</v>
      </c>
      <c r="B1" s="15" t="s">
        <v>8</v>
      </c>
      <c r="C1" s="15" t="s">
        <v>122</v>
      </c>
      <c r="D1" s="159" t="s">
        <v>210</v>
      </c>
      <c r="E1" s="159" t="s">
        <v>1</v>
      </c>
      <c r="F1" s="159" t="s">
        <v>213</v>
      </c>
      <c r="G1" s="159" t="s">
        <v>228</v>
      </c>
      <c r="H1" s="159" t="s">
        <v>2</v>
      </c>
      <c r="I1" s="159" t="s">
        <v>229</v>
      </c>
      <c r="J1" s="159" t="s">
        <v>217</v>
      </c>
      <c r="K1" s="159" t="s">
        <v>230</v>
      </c>
      <c r="L1" s="159" t="s">
        <v>219</v>
      </c>
      <c r="M1" s="159" t="s">
        <v>4</v>
      </c>
      <c r="N1" s="159" t="s">
        <v>223</v>
      </c>
      <c r="O1" s="159" t="s">
        <v>231</v>
      </c>
      <c r="Q1" s="160" t="s">
        <v>281</v>
      </c>
      <c r="R1" s="133" t="s">
        <v>232</v>
      </c>
      <c r="S1" s="134" t="s">
        <v>451</v>
      </c>
      <c r="T1" s="133" t="s">
        <v>205</v>
      </c>
      <c r="U1" s="133" t="s">
        <v>209</v>
      </c>
      <c r="V1" s="135" t="s">
        <v>280</v>
      </c>
      <c r="W1" s="161" t="s">
        <v>282</v>
      </c>
      <c r="X1" s="133" t="s">
        <v>233</v>
      </c>
      <c r="Y1" s="179" t="s">
        <v>234</v>
      </c>
      <c r="Z1" s="135" t="s">
        <v>235</v>
      </c>
      <c r="AA1" s="160" t="s">
        <v>236</v>
      </c>
      <c r="AB1" s="160" t="s">
        <v>237</v>
      </c>
      <c r="AC1" s="10" t="s">
        <v>262</v>
      </c>
      <c r="AE1" s="136" t="s">
        <v>283</v>
      </c>
      <c r="AF1" s="137" t="s">
        <v>284</v>
      </c>
      <c r="AG1" s="136" t="s">
        <v>285</v>
      </c>
      <c r="AH1" s="136" t="s">
        <v>450</v>
      </c>
      <c r="AN1" s="15" t="s">
        <v>116</v>
      </c>
    </row>
    <row r="2" spans="1:40" x14ac:dyDescent="0.2">
      <c r="A2" s="17" t="s">
        <v>518</v>
      </c>
      <c r="B2" s="18" t="s">
        <v>9</v>
      </c>
      <c r="C2" s="18">
        <f>VLOOKUP($AN$1,DST!C:D,2,FALSE)</f>
        <v>5</v>
      </c>
      <c r="D2" s="146">
        <f>D$32*Q2</f>
        <v>560.75744999999995</v>
      </c>
      <c r="E2" s="146">
        <f>D2*R2</f>
        <v>348.98979724909157</v>
      </c>
      <c r="F2" s="146">
        <f>E2*S2</f>
        <v>4037.8119541719893</v>
      </c>
      <c r="G2" s="146">
        <f>D2*T2</f>
        <v>24.112570349999995</v>
      </c>
      <c r="H2" s="146">
        <f>E2*U2</f>
        <v>6.6374964967695069</v>
      </c>
      <c r="I2" s="146">
        <f>D$35*W2</f>
        <v>42.407442000000003</v>
      </c>
      <c r="J2" s="146">
        <f>I2*V2</f>
        <v>148.26717505603435</v>
      </c>
      <c r="K2" s="146">
        <f>I2*X2</f>
        <v>1.7873073197129588</v>
      </c>
      <c r="L2" s="147"/>
      <c r="M2" s="147"/>
      <c r="N2" s="147"/>
      <c r="O2" s="147"/>
      <c r="Q2" s="150">
        <f>(AE2/SUM(AE$2:AE$25))</f>
        <v>0.95</v>
      </c>
      <c r="R2" s="19">
        <v>0.62235427678953104</v>
      </c>
      <c r="S2" s="107">
        <v>11.57</v>
      </c>
      <c r="T2" s="19">
        <v>4.2999999999999997E-2</v>
      </c>
      <c r="U2" s="19">
        <v>1.9019170614985034E-2</v>
      </c>
      <c r="V2" s="107">
        <v>3.4962536777397308</v>
      </c>
      <c r="W2" s="150">
        <f>(AF2/SUM(AF$2:AF$20))*0.98</f>
        <v>9.8000000000000004E-2</v>
      </c>
      <c r="X2" s="19">
        <v>4.2146077089793781E-2</v>
      </c>
      <c r="Y2" s="21"/>
      <c r="Z2" s="22"/>
      <c r="AA2" s="1"/>
      <c r="AB2" s="1"/>
      <c r="AC2" s="1"/>
      <c r="AE2" s="19">
        <v>0.95</v>
      </c>
      <c r="AF2" s="19">
        <v>0.1</v>
      </c>
      <c r="AG2" s="168"/>
      <c r="AH2" s="168"/>
    </row>
    <row r="3" spans="1:40" x14ac:dyDescent="0.2">
      <c r="A3" s="17" t="s">
        <v>568</v>
      </c>
      <c r="B3" s="18" t="s">
        <v>9</v>
      </c>
      <c r="C3" s="18">
        <f>VLOOKUP($AN$1,DST!C:D,2,FALSE)</f>
        <v>5</v>
      </c>
      <c r="D3" s="146">
        <f>D$32*Q3</f>
        <v>29.513549999999999</v>
      </c>
      <c r="E3" s="146">
        <f t="shared" ref="E3:F4" si="0">D3*R3</f>
        <v>17.938462494703408</v>
      </c>
      <c r="F3" s="146">
        <f t="shared" si="0"/>
        <v>195.53891869097635</v>
      </c>
      <c r="G3" s="146">
        <f t="shared" ref="G3:G4" si="1">D3*T3</f>
        <v>1.1577646694624721</v>
      </c>
      <c r="H3" s="146">
        <f t="shared" ref="H3:H4" si="2">E3*U3</f>
        <v>0.39208804466841635</v>
      </c>
      <c r="I3" s="146">
        <f>D$35*W3</f>
        <v>0</v>
      </c>
      <c r="J3" s="146">
        <f>I3*V3</f>
        <v>0</v>
      </c>
      <c r="K3" s="146">
        <f>I3*X3</f>
        <v>0</v>
      </c>
      <c r="L3" s="147"/>
      <c r="M3" s="147"/>
      <c r="N3" s="147"/>
      <c r="O3" s="147"/>
      <c r="Q3" s="150">
        <f>(AE3/SUM(AE$2:AE$25))</f>
        <v>0.05</v>
      </c>
      <c r="R3" s="19">
        <v>0.60780429649104939</v>
      </c>
      <c r="S3" s="107">
        <v>10.900539483175443</v>
      </c>
      <c r="T3" s="19">
        <v>3.922824158606715E-2</v>
      </c>
      <c r="U3" s="19">
        <v>2.1857394120827583E-2</v>
      </c>
      <c r="V3" s="107">
        <v>3.4528301886792456</v>
      </c>
      <c r="W3" s="150">
        <f>(AF3/SUM(AF$2:AF$20))*0.98</f>
        <v>0</v>
      </c>
      <c r="X3" s="19">
        <v>1.8867924528301886E-2</v>
      </c>
      <c r="Y3" s="21"/>
      <c r="Z3" s="22"/>
      <c r="AA3" s="1"/>
      <c r="AB3" s="1"/>
      <c r="AC3" s="1"/>
      <c r="AE3" s="19">
        <v>0.05</v>
      </c>
      <c r="AF3" s="19">
        <v>0</v>
      </c>
      <c r="AG3" s="168"/>
      <c r="AH3" s="168"/>
    </row>
    <row r="4" spans="1:40" x14ac:dyDescent="0.2">
      <c r="B4" s="18" t="s">
        <v>9</v>
      </c>
      <c r="C4" s="18">
        <f>VLOOKUP($AN$1,DST!C:D,2,FALSE)</f>
        <v>5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>
        <v>0</v>
      </c>
      <c r="AF4" s="19">
        <v>0</v>
      </c>
      <c r="AG4" s="168"/>
      <c r="AH4" s="168"/>
    </row>
    <row r="5" spans="1:40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40" x14ac:dyDescent="0.2">
      <c r="A6" s="176" t="s">
        <v>35</v>
      </c>
      <c r="B6" s="18" t="s">
        <v>207</v>
      </c>
      <c r="C6" s="18">
        <f>VLOOKUP($AN$1,DST!C:D,2,FALSE)</f>
        <v>5</v>
      </c>
      <c r="D6" s="147"/>
      <c r="E6" s="147"/>
      <c r="F6" s="147"/>
      <c r="G6" s="147"/>
      <c r="H6" s="147"/>
      <c r="I6" s="146">
        <f t="shared" ref="I6:I11" si="3">D$35*W6</f>
        <v>206.10016812000001</v>
      </c>
      <c r="J6" s="146">
        <f>I6*V6</f>
        <v>867.00173278565296</v>
      </c>
      <c r="K6" s="146">
        <f>I6*X6</f>
        <v>6.3891052117200005</v>
      </c>
      <c r="L6" s="146">
        <f>((D$2+D$3+D$4)*AA6)</f>
        <v>43.384918499999998</v>
      </c>
      <c r="M6" s="146">
        <f t="shared" ref="M6:N11" si="4">L6*Y6</f>
        <v>33.276232489499996</v>
      </c>
      <c r="N6" s="146">
        <f t="shared" si="4"/>
        <v>251.23555529572496</v>
      </c>
      <c r="O6" s="146">
        <f>M6*AH6</f>
        <v>1.397601764559</v>
      </c>
      <c r="Q6" s="13"/>
      <c r="R6" s="139"/>
      <c r="S6" s="138"/>
      <c r="T6" s="139"/>
      <c r="U6" s="139"/>
      <c r="V6" s="107">
        <v>4.2067007547555653</v>
      </c>
      <c r="W6" s="150">
        <f t="shared" ref="W6:W11" si="5">(AF6/SUM(AF$2:AF$20))*0.98</f>
        <v>0.47627999999999998</v>
      </c>
      <c r="X6" s="19">
        <v>3.1E-2</v>
      </c>
      <c r="Y6" s="19">
        <v>0.76700000000000002</v>
      </c>
      <c r="Z6" s="20">
        <v>7.55</v>
      </c>
      <c r="AA6" s="150">
        <f t="shared" ref="AA6:AA11" si="6">(AG6/SUM(AG$6:AG$25))*0.98</f>
        <v>7.3499999999999996E-2</v>
      </c>
      <c r="AB6" s="7">
        <v>6.766231240602695E-2</v>
      </c>
      <c r="AC6" s="150">
        <f t="shared" ref="AC6:AC11" si="7">(AH6/SUM(AH$6:AH$25))*0.98</f>
        <v>5.681356936406308E-2</v>
      </c>
      <c r="AE6" s="168"/>
      <c r="AF6" s="19">
        <v>0.48599999999999999</v>
      </c>
      <c r="AG6" s="19">
        <v>7.4999999999999997E-2</v>
      </c>
      <c r="AH6" s="19">
        <v>4.2000000000000003E-2</v>
      </c>
    </row>
    <row r="7" spans="1:40" x14ac:dyDescent="0.2">
      <c r="A7" s="172" t="s">
        <v>519</v>
      </c>
      <c r="B7" s="18" t="s">
        <v>207</v>
      </c>
      <c r="C7" s="18">
        <f>VLOOKUP($AN$1,DST!C:D,2,FALSE)</f>
        <v>5</v>
      </c>
      <c r="D7" s="147"/>
      <c r="E7" s="147"/>
      <c r="F7" s="147"/>
      <c r="G7" s="147"/>
      <c r="H7" s="147"/>
      <c r="I7" s="146">
        <f t="shared" si="3"/>
        <v>162.84457728000001</v>
      </c>
      <c r="J7" s="146">
        <f>I7*V7</f>
        <v>704.62867835808731</v>
      </c>
      <c r="K7" s="146">
        <f>I7*X7</f>
        <v>5.2110264729600004</v>
      </c>
      <c r="L7" s="146">
        <f>((D$2+D$3+D$4)*AA7)</f>
        <v>60.738885899999993</v>
      </c>
      <c r="M7" s="146">
        <f t="shared" si="4"/>
        <v>45.857858854500002</v>
      </c>
      <c r="N7" s="146">
        <f>M7*Z7</f>
        <v>372.36581389853995</v>
      </c>
      <c r="O7" s="146">
        <f t="shared" ref="O7:O11" si="8">M7*AH7</f>
        <v>2.017745789598</v>
      </c>
      <c r="Q7" s="13"/>
      <c r="R7" s="139"/>
      <c r="S7" s="138"/>
      <c r="T7" s="139"/>
      <c r="U7" s="139"/>
      <c r="V7" s="107">
        <v>4.3270011819093428</v>
      </c>
      <c r="W7" s="150">
        <f t="shared" si="5"/>
        <v>0.37631999999999999</v>
      </c>
      <c r="X7" s="19">
        <v>3.2000000000000001E-2</v>
      </c>
      <c r="Y7" s="19">
        <v>0.75500000000000012</v>
      </c>
      <c r="Z7" s="20">
        <v>8.1199999999999992</v>
      </c>
      <c r="AA7" s="150">
        <f t="shared" si="6"/>
        <v>0.10289999999999999</v>
      </c>
      <c r="AB7" s="7">
        <v>1.6022973907447016E-2</v>
      </c>
      <c r="AC7" s="150">
        <f t="shared" si="7"/>
        <v>5.9518977429018453E-2</v>
      </c>
      <c r="AE7" s="168"/>
      <c r="AF7" s="19">
        <v>0.38400000000000001</v>
      </c>
      <c r="AG7" s="19">
        <v>0.105</v>
      </c>
      <c r="AH7" s="19">
        <v>4.3999999999999997E-2</v>
      </c>
    </row>
    <row r="8" spans="1:40" x14ac:dyDescent="0.2">
      <c r="A8" s="176" t="s">
        <v>573</v>
      </c>
      <c r="B8" s="18" t="s">
        <v>207</v>
      </c>
      <c r="C8" s="18">
        <f>VLOOKUP($AN$1,DST!C:D,2,FALSE)</f>
        <v>5</v>
      </c>
      <c r="D8" s="147"/>
      <c r="E8" s="147"/>
      <c r="F8" s="147"/>
      <c r="G8" s="147"/>
      <c r="H8" s="147"/>
      <c r="I8" s="146">
        <f t="shared" si="3"/>
        <v>12.722232600000002</v>
      </c>
      <c r="J8" s="146">
        <f>I8*V8</f>
        <v>51.173623511287431</v>
      </c>
      <c r="K8" s="146">
        <f>I8*X8</f>
        <v>0.41533032922111501</v>
      </c>
      <c r="L8" s="146">
        <f>((D$2+D$3+D$4)*AA8)</f>
        <v>8.6769836999999992</v>
      </c>
      <c r="M8" s="146">
        <f t="shared" si="4"/>
        <v>5.8569639974999994</v>
      </c>
      <c r="N8" s="146">
        <f>M8*Z8</f>
        <v>43.243540584677085</v>
      </c>
      <c r="O8" s="146">
        <f t="shared" si="8"/>
        <v>0.1314787301101748</v>
      </c>
      <c r="Q8" s="13"/>
      <c r="R8" s="139"/>
      <c r="S8" s="138"/>
      <c r="T8" s="139"/>
      <c r="U8" s="139"/>
      <c r="V8" s="107">
        <v>4.0223776062141345</v>
      </c>
      <c r="W8" s="150">
        <f t="shared" si="5"/>
        <v>2.9399999999999999E-2</v>
      </c>
      <c r="X8" s="19">
        <v>3.26460254484826E-2</v>
      </c>
      <c r="Y8" s="19">
        <v>0.67500000000000004</v>
      </c>
      <c r="Z8" s="20">
        <v>7.3832689774318681</v>
      </c>
      <c r="AA8" s="150">
        <f t="shared" si="6"/>
        <v>1.47E-2</v>
      </c>
      <c r="AB8" s="7">
        <v>4.551645359361401E-2</v>
      </c>
      <c r="AC8" s="150">
        <f t="shared" si="7"/>
        <v>3.0365870181376282E-2</v>
      </c>
      <c r="AE8" s="168"/>
      <c r="AF8" s="19">
        <v>0.03</v>
      </c>
      <c r="AG8" s="19">
        <v>1.4999999999999999E-2</v>
      </c>
      <c r="AH8" s="19">
        <v>2.2448273570794614E-2</v>
      </c>
    </row>
    <row r="9" spans="1:40" x14ac:dyDescent="0.2">
      <c r="A9" s="172"/>
      <c r="B9" s="18" t="s">
        <v>207</v>
      </c>
      <c r="C9" s="18">
        <f>VLOOKUP($AN$1,DST!C:D,2,FALSE)</f>
        <v>5</v>
      </c>
      <c r="D9" s="147"/>
      <c r="E9" s="147"/>
      <c r="F9" s="147"/>
      <c r="G9" s="147"/>
      <c r="H9" s="147"/>
      <c r="I9" s="146">
        <f t="shared" si="3"/>
        <v>0</v>
      </c>
      <c r="J9" s="146">
        <f t="shared" ref="J9:J11" si="9">I9*V9</f>
        <v>0</v>
      </c>
      <c r="K9" s="146">
        <f t="shared" ref="K9:K11" si="10">I9*X9</f>
        <v>0</v>
      </c>
      <c r="L9" s="146">
        <f t="shared" ref="L9:L11" si="11">((D$2+D$3+D$4)*AA9)</f>
        <v>0</v>
      </c>
      <c r="M9" s="146">
        <f t="shared" si="4"/>
        <v>0</v>
      </c>
      <c r="N9" s="146">
        <f>M9*Z9</f>
        <v>0</v>
      </c>
      <c r="O9" s="146">
        <f t="shared" si="8"/>
        <v>0</v>
      </c>
      <c r="Q9" s="13"/>
      <c r="R9" s="139"/>
      <c r="S9" s="138"/>
      <c r="T9" s="139"/>
      <c r="U9" s="139"/>
      <c r="V9" s="107">
        <v>0</v>
      </c>
      <c r="W9" s="150">
        <f t="shared" si="5"/>
        <v>0</v>
      </c>
      <c r="X9" s="19">
        <v>0</v>
      </c>
      <c r="Y9" s="19">
        <v>0</v>
      </c>
      <c r="Z9" s="20">
        <v>0</v>
      </c>
      <c r="AA9" s="150">
        <f t="shared" si="6"/>
        <v>0</v>
      </c>
      <c r="AB9" s="7">
        <v>1.7878882490393575E-2</v>
      </c>
      <c r="AC9" s="150">
        <f t="shared" si="7"/>
        <v>0</v>
      </c>
      <c r="AE9" s="168"/>
      <c r="AF9" s="19">
        <v>0</v>
      </c>
      <c r="AG9" s="19">
        <v>0</v>
      </c>
      <c r="AH9" s="19">
        <v>0</v>
      </c>
    </row>
    <row r="10" spans="1:40" x14ac:dyDescent="0.2">
      <c r="A10" s="172"/>
      <c r="B10" s="18" t="s">
        <v>207</v>
      </c>
      <c r="C10" s="18">
        <f>VLOOKUP($AN$1,DST!C:D,2,FALSE)</f>
        <v>5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9"/>
        <v>0</v>
      </c>
      <c r="K10" s="146">
        <f t="shared" si="10"/>
        <v>0</v>
      </c>
      <c r="L10" s="146">
        <f t="shared" si="11"/>
        <v>0</v>
      </c>
      <c r="M10" s="146">
        <f t="shared" si="4"/>
        <v>0</v>
      </c>
      <c r="N10" s="146">
        <f>M10*Z10</f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5"/>
        <v>0</v>
      </c>
      <c r="X10" s="19">
        <v>0</v>
      </c>
      <c r="Y10" s="19">
        <v>0</v>
      </c>
      <c r="Z10" s="20">
        <v>0</v>
      </c>
      <c r="AA10" s="150">
        <f t="shared" si="6"/>
        <v>0</v>
      </c>
      <c r="AB10" s="7">
        <v>2.7741635502223148E-3</v>
      </c>
      <c r="AC10" s="150">
        <f t="shared" si="7"/>
        <v>0</v>
      </c>
      <c r="AE10" s="168"/>
      <c r="AF10" s="19">
        <v>0</v>
      </c>
      <c r="AG10" s="19">
        <v>0</v>
      </c>
      <c r="AH10" s="19">
        <v>0</v>
      </c>
    </row>
    <row r="11" spans="1:40" x14ac:dyDescent="0.2">
      <c r="A11" s="172"/>
      <c r="B11" s="18" t="s">
        <v>207</v>
      </c>
      <c r="C11" s="18">
        <f>VLOOKUP($AN$1,DST!C:D,2,FALSE)</f>
        <v>5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9"/>
        <v>0</v>
      </c>
      <c r="K11" s="146">
        <f t="shared" si="10"/>
        <v>0</v>
      </c>
      <c r="L11" s="146">
        <f t="shared" si="11"/>
        <v>0</v>
      </c>
      <c r="M11" s="146">
        <f t="shared" si="4"/>
        <v>0</v>
      </c>
      <c r="N11" s="146">
        <f>M11*Z11</f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5"/>
        <v>0</v>
      </c>
      <c r="X11" s="19">
        <v>0</v>
      </c>
      <c r="Y11" s="19">
        <v>0</v>
      </c>
      <c r="Z11" s="20">
        <v>0</v>
      </c>
      <c r="AA11" s="150">
        <f t="shared" si="6"/>
        <v>0</v>
      </c>
      <c r="AB11" s="7">
        <v>0</v>
      </c>
      <c r="AC11" s="150">
        <f t="shared" si="7"/>
        <v>0</v>
      </c>
      <c r="AE11" s="168"/>
      <c r="AF11" s="19">
        <v>0</v>
      </c>
      <c r="AG11" s="19">
        <v>0</v>
      </c>
      <c r="AH11" s="19">
        <v>0</v>
      </c>
    </row>
    <row r="12" spans="1:40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40" x14ac:dyDescent="0.2">
      <c r="A13" s="17" t="s">
        <v>166</v>
      </c>
      <c r="B13" s="18" t="s">
        <v>208</v>
      </c>
      <c r="C13" s="18">
        <f>VLOOKUP($AN$1,DST!C:D,2,FALSE)</f>
        <v>5</v>
      </c>
      <c r="D13" s="147"/>
      <c r="E13" s="147"/>
      <c r="F13" s="147"/>
      <c r="G13" s="147"/>
      <c r="H13" s="147"/>
      <c r="I13" s="146">
        <f t="shared" ref="I13:I20" si="12">D$35*W13</f>
        <v>0</v>
      </c>
      <c r="J13" s="146">
        <f t="shared" ref="J13:J20" si="13">I13*V13</f>
        <v>0</v>
      </c>
      <c r="K13" s="146">
        <f t="shared" ref="K13:K20" si="14">I13*X13</f>
        <v>0</v>
      </c>
      <c r="L13" s="146">
        <f t="shared" ref="L13:L20" si="15">((D$2+D$3+D$4)*AA13)</f>
        <v>123.21316853999998</v>
      </c>
      <c r="M13" s="146">
        <f t="shared" ref="M13:N20" si="16">L13*Y13</f>
        <v>71.956490427359981</v>
      </c>
      <c r="N13" s="146">
        <f t="shared" si="16"/>
        <v>978.60826981209573</v>
      </c>
      <c r="O13" s="146">
        <f t="shared" ref="O13:O20" si="17">M13*AH13</f>
        <v>6.0596069195461588</v>
      </c>
      <c r="Q13" s="13"/>
      <c r="R13" s="139"/>
      <c r="S13" s="138"/>
      <c r="T13" s="139"/>
      <c r="U13" s="139"/>
      <c r="V13" s="107">
        <v>5.0199999999999996</v>
      </c>
      <c r="W13" s="150">
        <f t="shared" ref="W13:W20" si="18">(AF13/SUM(AF$2:AF$20))*0.98</f>
        <v>0</v>
      </c>
      <c r="X13" s="19">
        <v>0</v>
      </c>
      <c r="Y13" s="19">
        <v>0.58399999999999996</v>
      </c>
      <c r="Z13" s="20">
        <v>13.6</v>
      </c>
      <c r="AA13" s="150">
        <f t="shared" ref="AA13:AA20" si="19">(AG13/SUM(AG$6:AG$25))*0.98</f>
        <v>0.20873999999999998</v>
      </c>
      <c r="AB13" s="7">
        <v>0.23091547885977109</v>
      </c>
      <c r="AC13" s="150">
        <f t="shared" ref="AC13:AC20" si="20">(AH13/SUM(AH$6:AH$25))*0.98</f>
        <v>0.11391404259181505</v>
      </c>
      <c r="AE13" s="168"/>
      <c r="AF13" s="19">
        <v>0</v>
      </c>
      <c r="AG13" s="19">
        <v>0.21299999999999999</v>
      </c>
      <c r="AH13" s="19">
        <v>8.4212096553865801E-2</v>
      </c>
    </row>
    <row r="14" spans="1:40" x14ac:dyDescent="0.2">
      <c r="A14" s="17" t="s">
        <v>465</v>
      </c>
      <c r="B14" s="18" t="s">
        <v>208</v>
      </c>
      <c r="C14" s="18">
        <f>VLOOKUP($AN$1,DST!C:D,2,FALSE)</f>
        <v>5</v>
      </c>
      <c r="D14" s="147"/>
      <c r="E14" s="147"/>
      <c r="F14" s="147"/>
      <c r="G14" s="147"/>
      <c r="H14" s="147"/>
      <c r="I14" s="146">
        <f t="shared" si="12"/>
        <v>0</v>
      </c>
      <c r="J14" s="146">
        <f t="shared" si="13"/>
        <v>0</v>
      </c>
      <c r="K14" s="146">
        <f t="shared" si="14"/>
        <v>0</v>
      </c>
      <c r="L14" s="146">
        <f t="shared" si="15"/>
        <v>130.73322107999999</v>
      </c>
      <c r="M14" s="146">
        <f t="shared" si="16"/>
        <v>73.341337025880009</v>
      </c>
      <c r="N14" s="146">
        <f t="shared" si="16"/>
        <v>1039.9801590269785</v>
      </c>
      <c r="O14" s="146">
        <f t="shared" si="17"/>
        <v>7.0407683544844808</v>
      </c>
      <c r="Q14" s="13"/>
      <c r="R14" s="139"/>
      <c r="S14" s="138"/>
      <c r="T14" s="139"/>
      <c r="U14" s="139"/>
      <c r="V14" s="107">
        <v>4.68</v>
      </c>
      <c r="W14" s="150">
        <f t="shared" si="18"/>
        <v>0</v>
      </c>
      <c r="X14" s="19">
        <v>0</v>
      </c>
      <c r="Y14" s="19">
        <v>0.56100000000000005</v>
      </c>
      <c r="Z14" s="20">
        <v>14.18</v>
      </c>
      <c r="AA14" s="150">
        <f t="shared" si="19"/>
        <v>0.22148000000000001</v>
      </c>
      <c r="AB14" s="7">
        <v>0.2258883375128273</v>
      </c>
      <c r="AC14" s="150">
        <f t="shared" si="20"/>
        <v>0.12985958711785844</v>
      </c>
      <c r="AE14" s="168"/>
      <c r="AF14" s="19">
        <v>0</v>
      </c>
      <c r="AG14" s="19">
        <v>0.22600000000000001</v>
      </c>
      <c r="AH14" s="19">
        <v>9.6000000000000002E-2</v>
      </c>
    </row>
    <row r="15" spans="1:40" x14ac:dyDescent="0.2">
      <c r="A15" s="17" t="s">
        <v>638</v>
      </c>
      <c r="B15" s="18" t="s">
        <v>208</v>
      </c>
      <c r="C15" s="18">
        <f>VLOOKUP($AN$1,DST!C:D,2,FALSE)</f>
        <v>5</v>
      </c>
      <c r="D15" s="147"/>
      <c r="E15" s="147"/>
      <c r="F15" s="147"/>
      <c r="G15" s="147"/>
      <c r="H15" s="147"/>
      <c r="I15" s="146">
        <f t="shared" si="12"/>
        <v>0</v>
      </c>
      <c r="J15" s="146">
        <f t="shared" si="13"/>
        <v>0</v>
      </c>
      <c r="K15" s="146">
        <f t="shared" si="14"/>
        <v>0</v>
      </c>
      <c r="L15" s="146">
        <f t="shared" si="15"/>
        <v>65.366610539999996</v>
      </c>
      <c r="M15" s="146">
        <f t="shared" si="16"/>
        <v>40.8541315875</v>
      </c>
      <c r="N15" s="146">
        <f t="shared" si="16"/>
        <v>466.55418272924999</v>
      </c>
      <c r="O15" s="146">
        <f t="shared" si="17"/>
        <v>2.4122013247784739</v>
      </c>
      <c r="Q15" s="13"/>
      <c r="R15" s="139"/>
      <c r="S15" s="138"/>
      <c r="T15" s="139"/>
      <c r="U15" s="139"/>
      <c r="V15" s="107">
        <v>5.84</v>
      </c>
      <c r="W15" s="150">
        <f t="shared" si="18"/>
        <v>0</v>
      </c>
      <c r="X15" s="19">
        <v>0</v>
      </c>
      <c r="Y15" s="19">
        <v>0.625</v>
      </c>
      <c r="Z15" s="20">
        <v>11.42</v>
      </c>
      <c r="AA15" s="150">
        <f t="shared" si="19"/>
        <v>0.11074000000000001</v>
      </c>
      <c r="AB15" s="7">
        <v>9.988529849482794E-2</v>
      </c>
      <c r="AC15" s="150">
        <f t="shared" si="20"/>
        <v>7.9869387314898663E-2</v>
      </c>
      <c r="AE15" s="168"/>
      <c r="AF15" s="19">
        <v>0</v>
      </c>
      <c r="AG15" s="19">
        <v>0.113</v>
      </c>
      <c r="AH15" s="19">
        <v>5.9044244267243882E-2</v>
      </c>
    </row>
    <row r="16" spans="1:40" x14ac:dyDescent="0.2">
      <c r="A16" s="17" t="s">
        <v>396</v>
      </c>
      <c r="B16" s="18" t="s">
        <v>208</v>
      </c>
      <c r="C16" s="18">
        <f>VLOOKUP($AN$1,DST!C:D,2,FALSE)</f>
        <v>5</v>
      </c>
      <c r="D16" s="147"/>
      <c r="E16" s="147"/>
      <c r="F16" s="147"/>
      <c r="G16" s="147"/>
      <c r="H16" s="147"/>
      <c r="I16" s="146">
        <f t="shared" ref="I16:I19" si="21">D$35*W16</f>
        <v>0</v>
      </c>
      <c r="J16" s="146">
        <f t="shared" ref="J16:J19" si="22">I16*V16</f>
        <v>0</v>
      </c>
      <c r="K16" s="146">
        <f t="shared" ref="K16:K19" si="23">I16*X16</f>
        <v>0</v>
      </c>
      <c r="L16" s="146">
        <f t="shared" ref="L16:L19" si="24">((D$2+D$3+D$4)*AA16)</f>
        <v>21.981692039999995</v>
      </c>
      <c r="M16" s="146">
        <f t="shared" ref="M16:M19" si="25">L16*Y16</f>
        <v>12.859289843399996</v>
      </c>
      <c r="N16" s="146">
        <f t="shared" ref="N16:N19" si="26">M16*Z16</f>
        <v>175.50014692074271</v>
      </c>
      <c r="O16" s="146">
        <f t="shared" ref="O16:O19" si="27">M16*AH16</f>
        <v>0.793082619589497</v>
      </c>
      <c r="Q16" s="13"/>
      <c r="R16" s="139"/>
      <c r="S16" s="138"/>
      <c r="T16" s="139"/>
      <c r="U16" s="139"/>
      <c r="V16" s="107">
        <v>5.84</v>
      </c>
      <c r="W16" s="150">
        <f t="shared" ref="W16:W19" si="28">(AF16/SUM(AF$2:AF$20))*0.98</f>
        <v>0</v>
      </c>
      <c r="X16" s="19">
        <v>9.433962264150943E-3</v>
      </c>
      <c r="Y16" s="19">
        <v>0.58499999999999996</v>
      </c>
      <c r="Z16" s="20">
        <v>13.647732422083775</v>
      </c>
      <c r="AA16" s="150">
        <f t="shared" ref="AA16:AA19" si="29">(AG16/SUM(AG$6:AG$25))*0.98</f>
        <v>3.7239999999999995E-2</v>
      </c>
      <c r="AB16" s="7">
        <v>9.988529849482794E-2</v>
      </c>
      <c r="AC16" s="150">
        <f t="shared" ref="AC16:AC19" si="30">(AH16/SUM(AH$6:AH$25))*0.98</f>
        <v>8.3426539931153343E-2</v>
      </c>
      <c r="AE16" s="168"/>
      <c r="AF16" s="19">
        <v>0</v>
      </c>
      <c r="AG16" s="19">
        <v>3.7999999999999999E-2</v>
      </c>
      <c r="AH16" s="19">
        <v>6.1673904954910479E-2</v>
      </c>
    </row>
    <row r="17" spans="1:34" x14ac:dyDescent="0.2">
      <c r="A17" s="17" t="s">
        <v>203</v>
      </c>
      <c r="B17" s="18" t="s">
        <v>208</v>
      </c>
      <c r="C17" s="18">
        <f>VLOOKUP($AN$1,DST!C:D,2,FALSE)</f>
        <v>5</v>
      </c>
      <c r="D17" s="147"/>
      <c r="E17" s="147"/>
      <c r="F17" s="147"/>
      <c r="G17" s="147"/>
      <c r="H17" s="147"/>
      <c r="I17" s="146">
        <f t="shared" si="21"/>
        <v>0</v>
      </c>
      <c r="J17" s="146">
        <f t="shared" si="22"/>
        <v>0</v>
      </c>
      <c r="K17" s="146">
        <f t="shared" si="23"/>
        <v>0</v>
      </c>
      <c r="L17" s="146">
        <f t="shared" si="24"/>
        <v>15.61857066</v>
      </c>
      <c r="M17" s="146">
        <f t="shared" si="25"/>
        <v>9.2930495426999986</v>
      </c>
      <c r="N17" s="146">
        <f t="shared" si="26"/>
        <v>107.52896919621344</v>
      </c>
      <c r="O17" s="146">
        <f t="shared" si="27"/>
        <v>0.5436624076441573</v>
      </c>
      <c r="Q17" s="13"/>
      <c r="R17" s="139"/>
      <c r="S17" s="138"/>
      <c r="T17" s="139"/>
      <c r="U17" s="139"/>
      <c r="V17" s="107">
        <v>5.0199999999999996</v>
      </c>
      <c r="W17" s="150">
        <f t="shared" si="28"/>
        <v>0</v>
      </c>
      <c r="X17" s="19">
        <v>0</v>
      </c>
      <c r="Y17" s="19">
        <v>0.59499999999999997</v>
      </c>
      <c r="Z17" s="20">
        <v>11.570902393464699</v>
      </c>
      <c r="AA17" s="150">
        <f t="shared" si="29"/>
        <v>2.6460000000000001E-2</v>
      </c>
      <c r="AB17" s="7">
        <v>5.0639687787776361E-2</v>
      </c>
      <c r="AC17" s="150">
        <f t="shared" si="30"/>
        <v>7.913595292349164E-2</v>
      </c>
      <c r="AE17" s="168"/>
      <c r="AF17" s="19">
        <v>0</v>
      </c>
      <c r="AG17" s="19">
        <v>2.7E-2</v>
      </c>
      <c r="AH17" s="19">
        <v>5.8502045549861763E-2</v>
      </c>
    </row>
    <row r="18" spans="1:34" x14ac:dyDescent="0.2">
      <c r="A18" s="17" t="s">
        <v>416</v>
      </c>
      <c r="B18" s="18" t="s">
        <v>208</v>
      </c>
      <c r="C18" s="18">
        <f>VLOOKUP($AN$1,DST!C:D,2,FALSE)</f>
        <v>5</v>
      </c>
      <c r="D18" s="147"/>
      <c r="E18" s="147"/>
      <c r="F18" s="147"/>
      <c r="G18" s="147"/>
      <c r="H18" s="147"/>
      <c r="I18" s="146">
        <f t="shared" si="21"/>
        <v>0</v>
      </c>
      <c r="J18" s="146">
        <f t="shared" si="22"/>
        <v>0</v>
      </c>
      <c r="K18" s="146">
        <f t="shared" si="23"/>
        <v>0</v>
      </c>
      <c r="L18" s="146">
        <f t="shared" si="24"/>
        <v>5.7846557999999995</v>
      </c>
      <c r="M18" s="146">
        <f t="shared" si="25"/>
        <v>3.5691326285999989</v>
      </c>
      <c r="N18" s="146">
        <f t="shared" si="26"/>
        <v>44.423951259866186</v>
      </c>
      <c r="O18" s="146">
        <f t="shared" si="27"/>
        <v>0.23097231149554279</v>
      </c>
      <c r="Q18" s="13"/>
      <c r="R18" s="139"/>
      <c r="S18" s="138"/>
      <c r="T18" s="139"/>
      <c r="U18" s="139"/>
      <c r="V18" s="107">
        <v>5.0199999999999996</v>
      </c>
      <c r="W18" s="150">
        <f t="shared" si="28"/>
        <v>0</v>
      </c>
      <c r="X18" s="19">
        <v>0</v>
      </c>
      <c r="Y18" s="19">
        <v>0.61699999999999988</v>
      </c>
      <c r="Z18" s="20">
        <v>12.446707893085943</v>
      </c>
      <c r="AA18" s="150">
        <f t="shared" si="29"/>
        <v>9.7999999999999997E-3</v>
      </c>
      <c r="AB18" s="7">
        <v>2.2881694533849081E-2</v>
      </c>
      <c r="AC18" s="150">
        <f t="shared" si="30"/>
        <v>8.7538685070739058E-2</v>
      </c>
      <c r="AE18" s="168"/>
      <c r="AF18" s="19">
        <v>0</v>
      </c>
      <c r="AG18" s="19">
        <v>0.01</v>
      </c>
      <c r="AH18" s="19">
        <v>6.4713849422329328E-2</v>
      </c>
    </row>
    <row r="19" spans="1:34" x14ac:dyDescent="0.2">
      <c r="A19" s="17" t="s">
        <v>633</v>
      </c>
      <c r="B19" s="18" t="s">
        <v>208</v>
      </c>
      <c r="C19" s="18">
        <f>VLOOKUP($AN$1,DST!C:D,2,FALSE)</f>
        <v>5</v>
      </c>
      <c r="D19" s="147"/>
      <c r="E19" s="147"/>
      <c r="F19" s="147"/>
      <c r="G19" s="147"/>
      <c r="H19" s="147"/>
      <c r="I19" s="146">
        <f t="shared" si="21"/>
        <v>0</v>
      </c>
      <c r="J19" s="146">
        <f t="shared" si="22"/>
        <v>0</v>
      </c>
      <c r="K19" s="146">
        <f t="shared" si="23"/>
        <v>0</v>
      </c>
      <c r="L19" s="146">
        <f t="shared" si="24"/>
        <v>5.7846557999999995</v>
      </c>
      <c r="M19" s="146">
        <f t="shared" si="25"/>
        <v>3.3493157081999994</v>
      </c>
      <c r="N19" s="146">
        <f t="shared" si="26"/>
        <v>39.990829555907993</v>
      </c>
      <c r="O19" s="146">
        <f t="shared" si="27"/>
        <v>0.20095894249199994</v>
      </c>
      <c r="Q19" s="13"/>
      <c r="R19" s="139"/>
      <c r="S19" s="138"/>
      <c r="T19" s="139"/>
      <c r="U19" s="139"/>
      <c r="V19" s="107">
        <v>5.0199999999999996</v>
      </c>
      <c r="W19" s="150">
        <f t="shared" si="28"/>
        <v>0</v>
      </c>
      <c r="X19" s="19">
        <v>0</v>
      </c>
      <c r="Y19" s="19">
        <v>0.57899999999999996</v>
      </c>
      <c r="Z19" s="20">
        <v>11.940000000000001</v>
      </c>
      <c r="AA19" s="150">
        <f t="shared" si="29"/>
        <v>9.7999999999999997E-3</v>
      </c>
      <c r="AB19" s="7">
        <v>3.6603666957532545E-3</v>
      </c>
      <c r="AC19" s="150">
        <f t="shared" si="30"/>
        <v>8.1162241948661534E-2</v>
      </c>
      <c r="AE19" s="168"/>
      <c r="AF19" s="19">
        <v>0</v>
      </c>
      <c r="AG19" s="19">
        <v>0.01</v>
      </c>
      <c r="AH19" s="19">
        <v>0.06</v>
      </c>
    </row>
    <row r="20" spans="1:34" x14ac:dyDescent="0.2">
      <c r="B20" s="18" t="s">
        <v>208</v>
      </c>
      <c r="C20" s="18">
        <f>VLOOKUP($AN$1,DST!C:D,2,FALSE)</f>
        <v>5</v>
      </c>
      <c r="D20" s="147"/>
      <c r="E20" s="147"/>
      <c r="F20" s="147"/>
      <c r="G20" s="147"/>
      <c r="H20" s="147"/>
      <c r="I20" s="146">
        <f t="shared" si="12"/>
        <v>0</v>
      </c>
      <c r="J20" s="146">
        <f t="shared" si="13"/>
        <v>0</v>
      </c>
      <c r="K20" s="146">
        <f t="shared" si="14"/>
        <v>0</v>
      </c>
      <c r="L20" s="146">
        <f t="shared" si="15"/>
        <v>0</v>
      </c>
      <c r="M20" s="146">
        <f t="shared" si="16"/>
        <v>0</v>
      </c>
      <c r="N20" s="146">
        <f t="shared" si="16"/>
        <v>0</v>
      </c>
      <c r="O20" s="146">
        <f t="shared" si="17"/>
        <v>0</v>
      </c>
      <c r="Q20" s="13"/>
      <c r="R20" s="139"/>
      <c r="S20" s="138"/>
      <c r="T20" s="139"/>
      <c r="U20" s="139"/>
      <c r="V20" s="107">
        <v>0</v>
      </c>
      <c r="W20" s="150">
        <f t="shared" si="18"/>
        <v>0</v>
      </c>
      <c r="X20" s="19">
        <v>0</v>
      </c>
      <c r="Y20" s="19">
        <v>0</v>
      </c>
      <c r="Z20" s="20">
        <v>0</v>
      </c>
      <c r="AA20" s="150">
        <f t="shared" si="19"/>
        <v>0</v>
      </c>
      <c r="AB20" s="7">
        <v>1.7008047629251413E-2</v>
      </c>
      <c r="AC20" s="150">
        <f t="shared" si="20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444</v>
      </c>
      <c r="B22" s="18" t="s">
        <v>10</v>
      </c>
      <c r="C22" s="18">
        <f>VLOOKUP($AN$1,DST!C:D,2,FALSE)</f>
        <v>5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82.720577939999984</v>
      </c>
      <c r="M22" s="146">
        <f t="shared" ref="M22:N25" si="31">L22*Y22</f>
        <v>54.595581440399975</v>
      </c>
      <c r="N22" s="146">
        <f t="shared" si="31"/>
        <v>601.64330747320776</v>
      </c>
      <c r="O22" s="146">
        <f t="shared" ref="O22:O25" si="32">M22*AH22</f>
        <v>3.8216907008279986</v>
      </c>
      <c r="Q22" s="13"/>
      <c r="R22" s="139"/>
      <c r="S22" s="138"/>
      <c r="T22" s="139"/>
      <c r="U22" s="139"/>
      <c r="V22" s="140"/>
      <c r="W22" s="154"/>
      <c r="X22" s="139"/>
      <c r="Y22" s="19">
        <v>0.65999999999999981</v>
      </c>
      <c r="Z22" s="20">
        <v>11.02</v>
      </c>
      <c r="AA22" s="150">
        <f>(AG22/SUM(AG$6:AG$25))*0.98</f>
        <v>0.14013999999999999</v>
      </c>
      <c r="AB22" s="7">
        <v>0.1265010019302108</v>
      </c>
      <c r="AC22" s="150">
        <f>(AH22/SUM(AH$6:AH$25))*0.98</f>
        <v>9.468928227343848E-2</v>
      </c>
      <c r="AE22" s="168"/>
      <c r="AF22" s="168"/>
      <c r="AG22" s="19">
        <v>0.14299999999999999</v>
      </c>
      <c r="AH22" s="19">
        <v>7.0000000000000007E-2</v>
      </c>
    </row>
    <row r="23" spans="1:34" x14ac:dyDescent="0.2">
      <c r="A23" s="17" t="s">
        <v>520</v>
      </c>
      <c r="B23" s="18" t="s">
        <v>10</v>
      </c>
      <c r="C23" s="18">
        <f>VLOOKUP($AN$1,DST!C:D,2,FALSE)</f>
        <v>5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14.461639499999999</v>
      </c>
      <c r="M23" s="146">
        <f t="shared" si="31"/>
        <v>9.414527314499999</v>
      </c>
      <c r="N23" s="146">
        <f t="shared" si="31"/>
        <v>98.473787421521408</v>
      </c>
      <c r="O23" s="146">
        <f t="shared" si="32"/>
        <v>0.58257469683816998</v>
      </c>
      <c r="Q23" s="13"/>
      <c r="R23" s="139"/>
      <c r="S23" s="138"/>
      <c r="T23" s="139"/>
      <c r="U23" s="139"/>
      <c r="V23" s="140"/>
      <c r="W23" s="154"/>
      <c r="X23" s="139"/>
      <c r="Y23" s="19">
        <v>0.65100000000000002</v>
      </c>
      <c r="Z23" s="20">
        <v>10.45976968698734</v>
      </c>
      <c r="AA23" s="150">
        <f>(AG23/SUM(AG$6:AG$25))*0.98</f>
        <v>2.4500000000000001E-2</v>
      </c>
      <c r="AB23" s="7">
        <v>2.9560287775929821E-2</v>
      </c>
      <c r="AC23" s="150">
        <f>(AH23/SUM(AH$6:AH$25))*0.98</f>
        <v>8.3705863853485954E-2</v>
      </c>
      <c r="AE23" s="168"/>
      <c r="AF23" s="168"/>
      <c r="AG23" s="19">
        <v>2.5000000000000001E-2</v>
      </c>
      <c r="AH23" s="19">
        <v>6.1880397961234256E-2</v>
      </c>
    </row>
    <row r="24" spans="1:34" x14ac:dyDescent="0.2">
      <c r="B24" s="18" t="s">
        <v>10</v>
      </c>
      <c r="C24" s="18">
        <f>VLOOKUP($AN$1,DST!C:D,2,FALSE)</f>
        <v>5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0</v>
      </c>
      <c r="M24" s="146">
        <f t="shared" si="31"/>
        <v>0</v>
      </c>
      <c r="N24" s="146">
        <f t="shared" si="31"/>
        <v>0</v>
      </c>
      <c r="O24" s="146">
        <f t="shared" si="32"/>
        <v>0</v>
      </c>
      <c r="Q24" s="13"/>
      <c r="R24" s="139"/>
      <c r="S24" s="138"/>
      <c r="T24" s="139"/>
      <c r="U24" s="139"/>
      <c r="V24" s="140"/>
      <c r="W24" s="154"/>
      <c r="X24" s="139"/>
      <c r="Y24" s="19">
        <v>0</v>
      </c>
      <c r="Z24" s="20">
        <v>0</v>
      </c>
      <c r="AA24" s="150">
        <f>(AG24/SUM(AG$6:AG$25))*0.98</f>
        <v>0</v>
      </c>
      <c r="AB24" s="7">
        <v>4.5361380243270303E-3</v>
      </c>
      <c r="AC24" s="150">
        <f>(AH24/SUM(AH$6:AH$25))*0.98</f>
        <v>0</v>
      </c>
      <c r="AE24" s="168"/>
      <c r="AF24" s="168"/>
      <c r="AG24" s="19">
        <v>0</v>
      </c>
      <c r="AH24" s="19">
        <v>0</v>
      </c>
    </row>
    <row r="25" spans="1:34" x14ac:dyDescent="0.2">
      <c r="B25" s="18" t="s">
        <v>10</v>
      </c>
      <c r="C25" s="18">
        <f>VLOOKUP($AN$1,DST!C:D,2,FALSE)</f>
        <v>5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31"/>
        <v>0</v>
      </c>
      <c r="N25" s="146">
        <f t="shared" si="31"/>
        <v>0</v>
      </c>
      <c r="O25" s="146">
        <f t="shared" si="32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0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264</v>
      </c>
      <c r="X27" s="30"/>
      <c r="Y27" s="30"/>
      <c r="Z27" s="31"/>
      <c r="AA27" s="9" t="s">
        <v>264</v>
      </c>
      <c r="AB27" s="9" t="s">
        <v>264</v>
      </c>
      <c r="AC27" s="9" t="s">
        <v>264</v>
      </c>
      <c r="AD27" s="44"/>
      <c r="AE27" s="9" t="s">
        <v>264</v>
      </c>
      <c r="AF27" s="9" t="s">
        <v>264</v>
      </c>
      <c r="AG27" s="9" t="s">
        <v>264</v>
      </c>
    </row>
    <row r="28" spans="1:34" s="27" customFormat="1" x14ac:dyDescent="0.2">
      <c r="A28" s="45" t="s">
        <v>265</v>
      </c>
      <c r="B28" s="28"/>
      <c r="C28" s="28"/>
      <c r="D28" s="34" t="s">
        <v>269</v>
      </c>
      <c r="E28" s="34" t="s">
        <v>266</v>
      </c>
      <c r="F28" s="155" t="s">
        <v>267</v>
      </c>
      <c r="G28" s="34" t="s">
        <v>286</v>
      </c>
      <c r="H28" s="34" t="s">
        <v>268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0.98</v>
      </c>
      <c r="X28" s="30"/>
      <c r="Y28" s="30"/>
      <c r="Z28" s="31"/>
      <c r="AA28" s="150">
        <f>SUM(AA6:AA25)</f>
        <v>0.98</v>
      </c>
      <c r="AB28" s="150">
        <f>SUM(AB2:AB4,AB6:AB11,AB13:AB20,AB22:AB25)</f>
        <v>1.0612164236870558</v>
      </c>
      <c r="AC28" s="150">
        <f>SUM(AC6:AC25)</f>
        <v>0.98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</v>
      </c>
    </row>
    <row r="29" spans="1:34" s="27" customFormat="1" x14ac:dyDescent="0.2">
      <c r="A29" s="43"/>
      <c r="B29" s="28"/>
      <c r="C29" s="28"/>
      <c r="D29" s="46">
        <v>1023</v>
      </c>
      <c r="E29" s="47">
        <v>0.57699999999999996</v>
      </c>
      <c r="F29" s="2">
        <f>1-E29</f>
        <v>0.42300000000000004</v>
      </c>
      <c r="G29" s="106">
        <v>4.0999999999999996</v>
      </c>
      <c r="H29" s="126">
        <v>3.2000000000000001E-2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265</v>
      </c>
      <c r="B31" s="28"/>
      <c r="C31" s="28"/>
      <c r="D31" s="162" t="s">
        <v>278</v>
      </c>
      <c r="E31" s="162" t="s">
        <v>1</v>
      </c>
      <c r="F31" s="162" t="s">
        <v>263</v>
      </c>
      <c r="G31" s="162" t="s">
        <v>137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590.27099999999996</v>
      </c>
      <c r="E32" s="156">
        <f>SUM(E2:E4)</f>
        <v>366.92825974379497</v>
      </c>
      <c r="F32" s="156">
        <f>SUM(F2:F4)</f>
        <v>4233.3508728629658</v>
      </c>
      <c r="G32" s="156">
        <f>SUM(G2:G4)</f>
        <v>25.270335019462468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265</v>
      </c>
      <c r="B34" s="28"/>
      <c r="C34" s="28"/>
      <c r="D34" s="162" t="s">
        <v>270</v>
      </c>
      <c r="E34" s="162" t="s">
        <v>263</v>
      </c>
      <c r="F34" s="162" t="s">
        <v>137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432.72900000000004</v>
      </c>
      <c r="E35" s="156">
        <f>D35*G29</f>
        <v>1774.1889000000001</v>
      </c>
      <c r="F35" s="156">
        <f>D35*H29</f>
        <v>13.847328000000001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279</v>
      </c>
      <c r="B37" s="37"/>
      <c r="C37" s="37"/>
      <c r="D37" s="164" t="s">
        <v>273</v>
      </c>
      <c r="E37" s="164" t="s">
        <v>274</v>
      </c>
      <c r="F37" s="164" t="s">
        <v>275</v>
      </c>
      <c r="G37" s="164" t="s">
        <v>271</v>
      </c>
      <c r="H37" s="164" t="s">
        <v>272</v>
      </c>
      <c r="I37" s="164" t="s">
        <v>276</v>
      </c>
      <c r="J37" s="164" t="s">
        <v>277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3.5" thickBot="1" x14ac:dyDescent="0.25">
      <c r="D38" s="157">
        <f>SUM(I2:I20)</f>
        <v>424.07442000000003</v>
      </c>
      <c r="E38" s="157">
        <f>SUM(J2:J4,J6:J11,J13:J20)</f>
        <v>1771.071209711062</v>
      </c>
      <c r="F38" s="157">
        <f>SUM(K2:K4,K6:K11,K13:K20)</f>
        <v>13.802769333614075</v>
      </c>
      <c r="G38" s="157">
        <f>SUM(L6:L11,L13:L20,L22:L25)</f>
        <v>578.46557999999993</v>
      </c>
      <c r="H38" s="157">
        <f>SUM(M6:M11,M13:M20,M22:M25)</f>
        <v>364.22391086003995</v>
      </c>
      <c r="I38" s="157">
        <f>SUM(N6:N11,N13:N20,N22:N25)</f>
        <v>4219.5485131747255</v>
      </c>
      <c r="J38" s="157">
        <f>SUM(O6:O11,O13:O20,O22:O25)</f>
        <v>25.232344561963654</v>
      </c>
      <c r="V38" s="181"/>
      <c r="X38" s="30"/>
      <c r="Y38" s="30"/>
      <c r="Z38" s="181"/>
      <c r="AH38" s="30"/>
    </row>
    <row r="39" spans="1:34" ht="13.5" thickTop="1" x14ac:dyDescent="0.2">
      <c r="D39" s="158">
        <f>D35-D38</f>
        <v>8.6545800000000099</v>
      </c>
      <c r="E39" s="158">
        <f>E35-E38</f>
        <v>3.1176902889380926</v>
      </c>
      <c r="F39" s="158">
        <f>F35-F38</f>
        <v>4.4558666385926315E-2</v>
      </c>
      <c r="G39" s="158">
        <f>SUM(D2:D4)-G38</f>
        <v>11.805420000000026</v>
      </c>
      <c r="H39" s="158">
        <f>E32-H38</f>
        <v>2.7043488837550171</v>
      </c>
      <c r="I39" s="158">
        <f>F32-I38</f>
        <v>13.802359688240358</v>
      </c>
      <c r="J39" s="158">
        <f>G32-J38</f>
        <v>3.7990457498814578E-2</v>
      </c>
      <c r="V39" s="181"/>
      <c r="X39" s="30"/>
      <c r="Y39" s="30"/>
      <c r="Z39" s="181"/>
      <c r="AH39" s="30"/>
    </row>
    <row r="40" spans="1:34" x14ac:dyDescent="0.2">
      <c r="N40" s="23"/>
      <c r="O40" s="23"/>
      <c r="V40" s="181"/>
      <c r="X40" s="30"/>
      <c r="Y40" s="30"/>
      <c r="Z40" s="181"/>
      <c r="AH40" s="30"/>
    </row>
    <row r="41" spans="1:34" x14ac:dyDescent="0.2">
      <c r="N41" s="23"/>
      <c r="O41" s="23"/>
      <c r="V41" s="181"/>
      <c r="X41" s="30"/>
      <c r="Y41" s="30"/>
      <c r="Z41" s="181"/>
      <c r="AH41" s="30"/>
    </row>
    <row r="42" spans="1:34" x14ac:dyDescent="0.2">
      <c r="N42" s="23"/>
      <c r="O42" s="23"/>
      <c r="V42" s="181"/>
      <c r="X42" s="30"/>
      <c r="Y42" s="30"/>
      <c r="Z42" s="181"/>
      <c r="AH42" s="30"/>
    </row>
    <row r="43" spans="1:34" x14ac:dyDescent="0.2">
      <c r="V43" s="181"/>
      <c r="X43" s="30"/>
      <c r="Y43" s="30"/>
      <c r="Z43" s="181"/>
      <c r="AH43" s="30"/>
    </row>
    <row r="44" spans="1:34" x14ac:dyDescent="0.2">
      <c r="V44" s="181"/>
      <c r="X44" s="30"/>
      <c r="Y44" s="30"/>
      <c r="Z44" s="181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conditionalFormatting sqref="D39:J39">
    <cfRule type="cellIs" dxfId="5" priority="1" operator="lessThan">
      <formula>0</formula>
    </cfRule>
  </conditionalFormatting>
  <conditionalFormatting sqref="W28">
    <cfRule type="cellIs" dxfId="4" priority="2" operator="greaterThan">
      <formula>1</formula>
    </cfRule>
  </conditionalFormatting>
  <conditionalFormatting sqref="AA28:AG28">
    <cfRule type="cellIs" dxfId="3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>
    <tabColor rgb="FFA50021"/>
  </sheetPr>
  <dimension ref="A1:AN64"/>
  <sheetViews>
    <sheetView showGridLines="0" zoomScale="85" zoomScaleNormal="85"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defaultColWidth="8.7109375" defaultRowHeight="12.75" x14ac:dyDescent="0.2"/>
  <cols>
    <col min="1" max="1" width="22.5703125" style="17" customWidth="1"/>
    <col min="2" max="3" width="8.7109375" style="18"/>
    <col min="4" max="13" width="8.7109375" style="23"/>
    <col min="14" max="15" width="8.7109375" style="18"/>
    <col min="16" max="16" width="4.7109375" style="18" customWidth="1"/>
    <col min="17" max="18" width="8.7109375" style="26"/>
    <col min="19" max="19" width="8.7109375" style="23"/>
    <col min="20" max="21" width="8.7109375" style="26"/>
    <col min="22" max="23" width="8.7109375" style="25"/>
    <col min="24" max="25" width="8.7109375" style="26"/>
    <col min="26" max="26" width="8.7109375" style="25"/>
    <col min="27" max="27" width="8.7109375" style="18"/>
    <col min="28" max="28" width="0" style="18" hidden="1" customWidth="1"/>
    <col min="29" max="29" width="8.7109375" style="26"/>
    <col min="30" max="30" width="4.7109375" style="17" customWidth="1"/>
    <col min="31" max="32" width="8.7109375" style="18"/>
    <col min="33" max="16384" width="8.7109375" style="17"/>
  </cols>
  <sheetData>
    <row r="1" spans="1:40" s="15" customFormat="1" ht="25.5" customHeight="1" x14ac:dyDescent="0.2">
      <c r="A1" s="15" t="s">
        <v>0</v>
      </c>
      <c r="B1" s="15" t="s">
        <v>8</v>
      </c>
      <c r="C1" s="15" t="s">
        <v>122</v>
      </c>
      <c r="D1" s="159" t="s">
        <v>210</v>
      </c>
      <c r="E1" s="159" t="s">
        <v>1</v>
      </c>
      <c r="F1" s="159" t="s">
        <v>213</v>
      </c>
      <c r="G1" s="159" t="s">
        <v>228</v>
      </c>
      <c r="H1" s="159" t="s">
        <v>2</v>
      </c>
      <c r="I1" s="159" t="s">
        <v>229</v>
      </c>
      <c r="J1" s="159" t="s">
        <v>217</v>
      </c>
      <c r="K1" s="159" t="s">
        <v>230</v>
      </c>
      <c r="L1" s="159" t="s">
        <v>219</v>
      </c>
      <c r="M1" s="159" t="s">
        <v>4</v>
      </c>
      <c r="N1" s="159" t="s">
        <v>223</v>
      </c>
      <c r="O1" s="159" t="s">
        <v>231</v>
      </c>
      <c r="Q1" s="160" t="s">
        <v>281</v>
      </c>
      <c r="R1" s="133" t="s">
        <v>232</v>
      </c>
      <c r="S1" s="134" t="s">
        <v>451</v>
      </c>
      <c r="T1" s="133" t="s">
        <v>205</v>
      </c>
      <c r="U1" s="133" t="s">
        <v>209</v>
      </c>
      <c r="V1" s="135" t="s">
        <v>280</v>
      </c>
      <c r="W1" s="161" t="s">
        <v>282</v>
      </c>
      <c r="X1" s="133" t="s">
        <v>233</v>
      </c>
      <c r="Y1" s="179" t="s">
        <v>234</v>
      </c>
      <c r="Z1" s="135" t="s">
        <v>235</v>
      </c>
      <c r="AA1" s="160" t="s">
        <v>236</v>
      </c>
      <c r="AB1" s="160" t="s">
        <v>237</v>
      </c>
      <c r="AC1" s="10" t="s">
        <v>262</v>
      </c>
      <c r="AE1" s="136" t="s">
        <v>283</v>
      </c>
      <c r="AF1" s="137" t="s">
        <v>284</v>
      </c>
      <c r="AG1" s="136" t="s">
        <v>285</v>
      </c>
      <c r="AH1" s="136" t="s">
        <v>450</v>
      </c>
      <c r="AN1" s="15" t="s">
        <v>119</v>
      </c>
    </row>
    <row r="2" spans="1:40" x14ac:dyDescent="0.2">
      <c r="A2" s="17" t="s">
        <v>569</v>
      </c>
      <c r="B2" s="18" t="s">
        <v>9</v>
      </c>
      <c r="C2" s="18">
        <f>VLOOKUP($AN$1,DST!C:D,2,FALSE)</f>
        <v>14</v>
      </c>
      <c r="D2" s="146">
        <f>D$32*Q2</f>
        <v>549.23300000000006</v>
      </c>
      <c r="E2" s="146">
        <f>D2*R2</f>
        <v>345.9729880268273</v>
      </c>
      <c r="F2" s="146">
        <f>E2*S2</f>
        <v>3836.8404372175146</v>
      </c>
      <c r="G2" s="146">
        <f>D2*T2</f>
        <v>24.276098600000005</v>
      </c>
      <c r="H2" s="146">
        <f>E2*U2</f>
        <v>7.8683544631080684</v>
      </c>
      <c r="I2" s="146">
        <f>D$35*W2</f>
        <v>121.503928</v>
      </c>
      <c r="J2" s="146">
        <f>I2*V2</f>
        <v>721.73333232000005</v>
      </c>
      <c r="K2" s="146">
        <f>I2*X2</f>
        <v>5.6134814736000003</v>
      </c>
      <c r="L2" s="147"/>
      <c r="M2" s="147"/>
      <c r="N2" s="147"/>
      <c r="O2" s="147"/>
      <c r="Q2" s="150">
        <f>(AE2/SUM(AE$2:AE$25))</f>
        <v>0.95</v>
      </c>
      <c r="R2" s="19">
        <v>0.62992024883214826</v>
      </c>
      <c r="S2" s="107">
        <v>11.09</v>
      </c>
      <c r="T2" s="19">
        <v>4.4200000000000003E-2</v>
      </c>
      <c r="U2" s="19">
        <v>2.2742684358057295E-2</v>
      </c>
      <c r="V2" s="107">
        <v>5.94</v>
      </c>
      <c r="W2" s="150">
        <f>(AF2/SUM(AF$2:AF$20))*0.98</f>
        <v>0.25480000000000003</v>
      </c>
      <c r="X2" s="19">
        <v>4.6199999999999998E-2</v>
      </c>
      <c r="Y2" s="21"/>
      <c r="Z2" s="22"/>
      <c r="AA2" s="1"/>
      <c r="AB2" s="1"/>
      <c r="AC2" s="1"/>
      <c r="AE2" s="19">
        <v>0.95</v>
      </c>
      <c r="AF2" s="19">
        <v>0.26</v>
      </c>
      <c r="AG2" s="168"/>
      <c r="AH2" s="168"/>
    </row>
    <row r="3" spans="1:40" x14ac:dyDescent="0.2">
      <c r="A3" s="17" t="s">
        <v>174</v>
      </c>
      <c r="B3" s="18" t="s">
        <v>9</v>
      </c>
      <c r="C3" s="18">
        <f>VLOOKUP($AN$1,DST!C:D,2,FALSE)</f>
        <v>14</v>
      </c>
      <c r="D3" s="146">
        <f>D$32*Q3</f>
        <v>28.907000000000007</v>
      </c>
      <c r="E3" s="146">
        <f t="shared" ref="E3:F4" si="0">D3*R3</f>
        <v>17.869970931708892</v>
      </c>
      <c r="F3" s="146">
        <f t="shared" si="0"/>
        <v>192.98012616920033</v>
      </c>
      <c r="G3" s="146">
        <f t="shared" ref="G3:G4" si="1">D3*T3</f>
        <v>1.0816178234964848</v>
      </c>
      <c r="H3" s="146">
        <f t="shared" ref="H3:H4" si="2">E3*U3</f>
        <v>0.43381455056679014</v>
      </c>
      <c r="I3" s="146">
        <f>D$35*W3</f>
        <v>0</v>
      </c>
      <c r="J3" s="146">
        <f>I3*V3</f>
        <v>0</v>
      </c>
      <c r="K3" s="146">
        <f>I3*X3</f>
        <v>0</v>
      </c>
      <c r="L3" s="147"/>
      <c r="M3" s="147"/>
      <c r="N3" s="147"/>
      <c r="O3" s="147"/>
      <c r="Q3" s="150">
        <f>(AE3/SUM(AE$2:AE$25))</f>
        <v>0.05</v>
      </c>
      <c r="R3" s="19">
        <v>0.61818836031787761</v>
      </c>
      <c r="S3" s="107">
        <v>10.799129271484819</v>
      </c>
      <c r="T3" s="19">
        <v>3.7417159286556353E-2</v>
      </c>
      <c r="U3" s="19">
        <v>2.4276175502726729E-2</v>
      </c>
      <c r="V3" s="107">
        <v>5.25</v>
      </c>
      <c r="W3" s="150">
        <f>(AF3/SUM(AF$2:AF$20))*0.98</f>
        <v>0</v>
      </c>
      <c r="X3" s="19">
        <v>3.3000000000000002E-2</v>
      </c>
      <c r="Y3" s="21"/>
      <c r="Z3" s="22"/>
      <c r="AA3" s="1"/>
      <c r="AB3" s="1"/>
      <c r="AC3" s="1"/>
      <c r="AE3" s="19">
        <v>0.05</v>
      </c>
      <c r="AF3" s="19">
        <v>0</v>
      </c>
      <c r="AG3" s="168"/>
      <c r="AH3" s="168"/>
    </row>
    <row r="4" spans="1:40" x14ac:dyDescent="0.2">
      <c r="B4" s="18" t="s">
        <v>9</v>
      </c>
      <c r="C4" s="18">
        <f>VLOOKUP($AN$1,DST!C:D,2,FALSE)</f>
        <v>14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>
        <v>0</v>
      </c>
      <c r="AF4" s="19">
        <v>0</v>
      </c>
      <c r="AG4" s="168"/>
      <c r="AH4" s="168"/>
    </row>
    <row r="5" spans="1:40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69"/>
      <c r="AF5" s="169"/>
      <c r="AG5" s="124"/>
      <c r="AH5" s="124"/>
    </row>
    <row r="6" spans="1:40" x14ac:dyDescent="0.2">
      <c r="A6" s="176" t="s">
        <v>14</v>
      </c>
      <c r="B6" s="18" t="s">
        <v>207</v>
      </c>
      <c r="C6" s="18">
        <f>VLOOKUP($AN$1,DST!C:D,2,FALSE)</f>
        <v>14</v>
      </c>
      <c r="D6" s="147"/>
      <c r="E6" s="147"/>
      <c r="F6" s="147"/>
      <c r="G6" s="147"/>
      <c r="H6" s="147"/>
      <c r="I6" s="146">
        <f t="shared" ref="I6:I11" si="3">D$35*W6</f>
        <v>107.484244</v>
      </c>
      <c r="J6" s="146">
        <f>I6*V6</f>
        <v>454.65835212000007</v>
      </c>
      <c r="K6" s="146">
        <f>I6*X6</f>
        <v>3.5469800520000003</v>
      </c>
      <c r="L6" s="146">
        <f>((D$2+D$3+D$4)*AA6)</f>
        <v>67.989264000000006</v>
      </c>
      <c r="M6" s="146">
        <f t="shared" ref="M6:N11" si="4">L6*Y6</f>
        <v>51.263905055999999</v>
      </c>
      <c r="N6" s="146">
        <f t="shared" si="4"/>
        <v>431.64208057152001</v>
      </c>
      <c r="O6" s="146">
        <f>M6*AH6</f>
        <v>2.5631952527999999</v>
      </c>
      <c r="Q6" s="13"/>
      <c r="R6" s="139"/>
      <c r="S6" s="138"/>
      <c r="T6" s="139"/>
      <c r="U6" s="139"/>
      <c r="V6" s="107">
        <v>4.2300000000000004</v>
      </c>
      <c r="W6" s="150">
        <f t="shared" ref="W6:W11" si="5">(AF6/SUM(AF$2:AF$20))*0.98</f>
        <v>0.22540000000000002</v>
      </c>
      <c r="X6" s="19">
        <v>3.3000000000000002E-2</v>
      </c>
      <c r="Y6" s="19">
        <v>0.75399999999999989</v>
      </c>
      <c r="Z6" s="20">
        <v>8.42</v>
      </c>
      <c r="AA6" s="150">
        <f t="shared" ref="AA6:AA11" si="6">(AG6/SUM(AG$6:AG$25))*0.98</f>
        <v>0.1176</v>
      </c>
      <c r="AB6" s="7">
        <v>8.4073180034031858E-2</v>
      </c>
      <c r="AC6" s="150">
        <f t="shared" ref="AC6:AC11" si="7">(AH6/SUM(AH$6:AH$25))*0.98</f>
        <v>6.7288106959027746E-2</v>
      </c>
      <c r="AE6" s="170"/>
      <c r="AF6" s="19">
        <v>0.23</v>
      </c>
      <c r="AG6" s="19">
        <v>0.12</v>
      </c>
      <c r="AH6" s="19">
        <v>0.05</v>
      </c>
    </row>
    <row r="7" spans="1:40" x14ac:dyDescent="0.2">
      <c r="A7" s="172" t="s">
        <v>415</v>
      </c>
      <c r="B7" s="18" t="s">
        <v>207</v>
      </c>
      <c r="C7" s="18">
        <f>VLOOKUP($AN$1,DST!C:D,2,FALSE)</f>
        <v>14</v>
      </c>
      <c r="D7" s="147"/>
      <c r="E7" s="147"/>
      <c r="F7" s="147"/>
      <c r="G7" s="147"/>
      <c r="H7" s="147"/>
      <c r="I7" s="146">
        <f t="shared" si="3"/>
        <v>221.04368439999996</v>
      </c>
      <c r="J7" s="146">
        <f>I7*V7</f>
        <v>959.32959029599976</v>
      </c>
      <c r="K7" s="146">
        <f>I7*X7</f>
        <v>7.1176066376799989</v>
      </c>
      <c r="L7" s="146">
        <f>((D$2+D$3+D$4)*AA7)</f>
        <v>33.994632000000003</v>
      </c>
      <c r="M7" s="146">
        <f t="shared" si="4"/>
        <v>25.190022312000004</v>
      </c>
      <c r="N7" s="146">
        <f t="shared" si="4"/>
        <v>202.52777938848001</v>
      </c>
      <c r="O7" s="146">
        <f t="shared" ref="O7:O11" si="8">M7*AH7</f>
        <v>1.4862113164080002</v>
      </c>
      <c r="Q7" s="13"/>
      <c r="R7" s="139"/>
      <c r="S7" s="138"/>
      <c r="T7" s="139"/>
      <c r="U7" s="139"/>
      <c r="V7" s="107">
        <v>4.34</v>
      </c>
      <c r="W7" s="150">
        <f t="shared" si="5"/>
        <v>0.46353999999999995</v>
      </c>
      <c r="X7" s="19">
        <v>3.2199999999999999E-2</v>
      </c>
      <c r="Y7" s="19">
        <v>0.74099999999999999</v>
      </c>
      <c r="Z7" s="20">
        <v>8.0399999999999991</v>
      </c>
      <c r="AA7" s="150">
        <f t="shared" si="6"/>
        <v>5.8799999999999998E-2</v>
      </c>
      <c r="AB7" s="7">
        <v>9.7656082020110141E-2</v>
      </c>
      <c r="AC7" s="150">
        <f t="shared" si="7"/>
        <v>7.9399966211652726E-2</v>
      </c>
      <c r="AE7" s="170"/>
      <c r="AF7" s="19">
        <v>0.47299999999999998</v>
      </c>
      <c r="AG7" s="19">
        <v>0.06</v>
      </c>
      <c r="AH7" s="19">
        <v>5.8999999999999997E-2</v>
      </c>
    </row>
    <row r="8" spans="1:40" x14ac:dyDescent="0.2">
      <c r="A8" s="176" t="s">
        <v>698</v>
      </c>
      <c r="B8" s="18" t="s">
        <v>207</v>
      </c>
      <c r="C8" s="18">
        <f>VLOOKUP($AN$1,DST!C:D,2,FALSE)</f>
        <v>14</v>
      </c>
      <c r="D8" s="147"/>
      <c r="E8" s="147"/>
      <c r="F8" s="147"/>
      <c r="G8" s="147"/>
      <c r="H8" s="147"/>
      <c r="I8" s="146">
        <f t="shared" si="3"/>
        <v>12.617715599999999</v>
      </c>
      <c r="J8" s="146">
        <f>I8*V8</f>
        <v>51.732633959999987</v>
      </c>
      <c r="K8" s="146">
        <f>I8*X8</f>
        <v>0.35329603679999999</v>
      </c>
      <c r="L8" s="146">
        <f>((D$2+D$3+D$4)*AA8)</f>
        <v>5.6657720000000005</v>
      </c>
      <c r="M8" s="146">
        <f t="shared" si="4"/>
        <v>4.0963531560000002</v>
      </c>
      <c r="N8" s="146">
        <f t="shared" si="4"/>
        <v>28.934527040205502</v>
      </c>
      <c r="O8" s="146">
        <f t="shared" si="8"/>
        <v>0.11146953929390682</v>
      </c>
      <c r="Q8" s="13"/>
      <c r="R8" s="139"/>
      <c r="S8" s="138"/>
      <c r="T8" s="139"/>
      <c r="U8" s="139"/>
      <c r="V8" s="107">
        <v>4.0999999999999996</v>
      </c>
      <c r="W8" s="150">
        <f t="shared" si="5"/>
        <v>2.6460000000000001E-2</v>
      </c>
      <c r="X8" s="19">
        <v>2.8000000000000001E-2</v>
      </c>
      <c r="Y8" s="19">
        <v>0.72299999999999998</v>
      </c>
      <c r="Z8" s="20">
        <v>7.0634845039726599</v>
      </c>
      <c r="AA8" s="150">
        <f t="shared" si="6"/>
        <v>9.7999999999999997E-3</v>
      </c>
      <c r="AB8" s="7">
        <v>6.4050162823481071E-3</v>
      </c>
      <c r="AC8" s="150">
        <f t="shared" si="7"/>
        <v>3.6620740434431177E-2</v>
      </c>
      <c r="AE8" s="170"/>
      <c r="AF8" s="19">
        <v>2.7E-2</v>
      </c>
      <c r="AG8" s="19">
        <v>0.01</v>
      </c>
      <c r="AH8" s="19">
        <v>2.7211896789376043E-2</v>
      </c>
    </row>
    <row r="9" spans="1:40" x14ac:dyDescent="0.2">
      <c r="A9" s="172"/>
      <c r="B9" s="18" t="s">
        <v>207</v>
      </c>
      <c r="C9" s="18">
        <f>VLOOKUP($AN$1,DST!C:D,2,FALSE)</f>
        <v>14</v>
      </c>
      <c r="D9" s="147"/>
      <c r="E9" s="147"/>
      <c r="F9" s="147"/>
      <c r="G9" s="147"/>
      <c r="H9" s="147"/>
      <c r="I9" s="146">
        <f t="shared" si="3"/>
        <v>0</v>
      </c>
      <c r="J9" s="146">
        <f t="shared" ref="J9:J11" si="9">I9*V9</f>
        <v>0</v>
      </c>
      <c r="K9" s="146">
        <f t="shared" ref="K9:K11" si="10">I9*X9</f>
        <v>0</v>
      </c>
      <c r="L9" s="146">
        <f t="shared" ref="L9:L11" si="11">((D$2+D$3+D$4)*AA9)</f>
        <v>0</v>
      </c>
      <c r="M9" s="146">
        <f t="shared" si="4"/>
        <v>0</v>
      </c>
      <c r="N9" s="146">
        <f t="shared" si="4"/>
        <v>0</v>
      </c>
      <c r="O9" s="146">
        <f t="shared" si="8"/>
        <v>0</v>
      </c>
      <c r="Q9" s="13"/>
      <c r="R9" s="139"/>
      <c r="S9" s="138"/>
      <c r="T9" s="139"/>
      <c r="U9" s="139"/>
      <c r="V9" s="107">
        <v>0</v>
      </c>
      <c r="W9" s="150">
        <f t="shared" si="5"/>
        <v>0</v>
      </c>
      <c r="X9" s="19">
        <v>0</v>
      </c>
      <c r="Y9" s="19">
        <v>0</v>
      </c>
      <c r="Z9" s="20">
        <v>0</v>
      </c>
      <c r="AA9" s="150">
        <f t="shared" si="6"/>
        <v>0</v>
      </c>
      <c r="AB9" s="7">
        <v>1.041573265430025E-2</v>
      </c>
      <c r="AC9" s="150">
        <f t="shared" si="7"/>
        <v>0</v>
      </c>
      <c r="AE9" s="170"/>
      <c r="AF9" s="19">
        <v>0</v>
      </c>
      <c r="AG9" s="19">
        <v>0</v>
      </c>
      <c r="AH9" s="19">
        <v>0</v>
      </c>
    </row>
    <row r="10" spans="1:40" x14ac:dyDescent="0.2">
      <c r="A10" s="172"/>
      <c r="B10" s="18" t="s">
        <v>207</v>
      </c>
      <c r="C10" s="18">
        <f>VLOOKUP($AN$1,DST!C:D,2,FALSE)</f>
        <v>14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9"/>
        <v>0</v>
      </c>
      <c r="K10" s="146">
        <f t="shared" si="10"/>
        <v>0</v>
      </c>
      <c r="L10" s="146">
        <f t="shared" si="11"/>
        <v>0</v>
      </c>
      <c r="M10" s="146">
        <f t="shared" si="4"/>
        <v>0</v>
      </c>
      <c r="N10" s="146">
        <f t="shared" si="4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5"/>
        <v>0</v>
      </c>
      <c r="X10" s="19">
        <v>0</v>
      </c>
      <c r="Y10" s="19">
        <v>0</v>
      </c>
      <c r="Z10" s="20">
        <v>0</v>
      </c>
      <c r="AA10" s="150">
        <f t="shared" si="6"/>
        <v>0</v>
      </c>
      <c r="AB10" s="7">
        <v>0</v>
      </c>
      <c r="AC10" s="150">
        <f t="shared" si="7"/>
        <v>0</v>
      </c>
      <c r="AE10" s="170"/>
      <c r="AF10" s="19">
        <v>0</v>
      </c>
      <c r="AG10" s="19">
        <v>0</v>
      </c>
      <c r="AH10" s="19">
        <v>0</v>
      </c>
    </row>
    <row r="11" spans="1:40" x14ac:dyDescent="0.2">
      <c r="A11" s="172"/>
      <c r="B11" s="18" t="s">
        <v>207</v>
      </c>
      <c r="C11" s="18">
        <f>VLOOKUP($AN$1,DST!C:D,2,FALSE)</f>
        <v>14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9"/>
        <v>0</v>
      </c>
      <c r="K11" s="146">
        <f t="shared" si="10"/>
        <v>0</v>
      </c>
      <c r="L11" s="146">
        <f t="shared" si="11"/>
        <v>0</v>
      </c>
      <c r="M11" s="146">
        <f t="shared" si="4"/>
        <v>0</v>
      </c>
      <c r="N11" s="146">
        <f t="shared" si="4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5"/>
        <v>0</v>
      </c>
      <c r="X11" s="19">
        <v>0</v>
      </c>
      <c r="Y11" s="19">
        <v>0</v>
      </c>
      <c r="Z11" s="20">
        <v>0</v>
      </c>
      <c r="AA11" s="150">
        <f t="shared" si="6"/>
        <v>0</v>
      </c>
      <c r="AB11" s="7">
        <v>0</v>
      </c>
      <c r="AC11" s="150">
        <f t="shared" si="7"/>
        <v>0</v>
      </c>
      <c r="AE11" s="170"/>
      <c r="AF11" s="19">
        <v>0</v>
      </c>
      <c r="AG11" s="19">
        <v>0</v>
      </c>
      <c r="AH11" s="19">
        <v>0</v>
      </c>
    </row>
    <row r="12" spans="1:40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 s="3"/>
      <c r="AE12" s="169"/>
      <c r="AF12" s="124"/>
      <c r="AG12" s="26"/>
      <c r="AH12" s="26"/>
    </row>
    <row r="13" spans="1:40" x14ac:dyDescent="0.2">
      <c r="A13" s="17" t="s">
        <v>56</v>
      </c>
      <c r="B13" s="18" t="s">
        <v>208</v>
      </c>
      <c r="C13" s="18">
        <f>VLOOKUP($AN$1,DST!C:D,2,FALSE)</f>
        <v>14</v>
      </c>
      <c r="D13" s="147"/>
      <c r="E13" s="147"/>
      <c r="F13" s="147"/>
      <c r="G13" s="147"/>
      <c r="H13" s="147"/>
      <c r="I13" s="146">
        <f t="shared" ref="I13:I19" si="12">D$35*W13</f>
        <v>0</v>
      </c>
      <c r="J13" s="146">
        <f t="shared" ref="J13:J19" si="13">I13*V13</f>
        <v>0</v>
      </c>
      <c r="K13" s="146">
        <f t="shared" ref="K13:K19" si="14">I13*X13</f>
        <v>0</v>
      </c>
      <c r="L13" s="146">
        <f t="shared" ref="L13:L19" si="15">((D$2+D$3+D$4)*AA13)</f>
        <v>139.37799120000003</v>
      </c>
      <c r="M13" s="146">
        <f t="shared" ref="M13:N19" si="16">L13*Y13</f>
        <v>85.717464588000013</v>
      </c>
      <c r="N13" s="146">
        <f t="shared" si="16"/>
        <v>1146.8996761874403</v>
      </c>
      <c r="O13" s="146">
        <f t="shared" ref="O13:O19" si="17">M13*AH13</f>
        <v>6.5145273086880007</v>
      </c>
      <c r="Q13" s="13"/>
      <c r="R13" s="139"/>
      <c r="S13" s="138"/>
      <c r="T13" s="139"/>
      <c r="U13" s="139"/>
      <c r="V13" s="107">
        <v>5.18</v>
      </c>
      <c r="W13" s="150">
        <f t="shared" ref="W13:W19" si="18">(AF13/SUM(AF$2:AF$20))*0.98</f>
        <v>0</v>
      </c>
      <c r="X13" s="19">
        <v>0</v>
      </c>
      <c r="Y13" s="19">
        <v>0.61499999999999999</v>
      </c>
      <c r="Z13" s="20">
        <v>13.38</v>
      </c>
      <c r="AA13" s="150">
        <f t="shared" ref="AA13:AA19" si="19">(AG13/SUM(AG$6:AG$25))*0.98</f>
        <v>0.24107999999999999</v>
      </c>
      <c r="AB13" s="7">
        <v>0.1922923325788353</v>
      </c>
      <c r="AC13" s="150">
        <f t="shared" ref="AC13:AC19" si="20">(AH13/SUM(AH$6:AH$25))*0.98</f>
        <v>0.10227792257772217</v>
      </c>
      <c r="AE13" s="170"/>
      <c r="AF13" s="19">
        <v>0</v>
      </c>
      <c r="AG13" s="19">
        <v>0.246</v>
      </c>
      <c r="AH13" s="19">
        <v>7.5999999999999998E-2</v>
      </c>
    </row>
    <row r="14" spans="1:40" x14ac:dyDescent="0.2">
      <c r="A14" s="17" t="s">
        <v>634</v>
      </c>
      <c r="B14" s="18" t="s">
        <v>208</v>
      </c>
      <c r="C14" s="18">
        <f>VLOOKUP($AN$1,DST!C:D,2,FALSE)</f>
        <v>14</v>
      </c>
      <c r="D14" s="147"/>
      <c r="E14" s="147"/>
      <c r="F14" s="147"/>
      <c r="G14" s="147"/>
      <c r="H14" s="147"/>
      <c r="I14" s="146">
        <f t="shared" si="12"/>
        <v>4.673227999999999</v>
      </c>
      <c r="J14" s="146">
        <f t="shared" si="13"/>
        <v>29.908659199999995</v>
      </c>
      <c r="K14" s="146">
        <f t="shared" si="14"/>
        <v>4.4541704374999998E-2</v>
      </c>
      <c r="L14" s="146">
        <f t="shared" si="15"/>
        <v>55.52456560000001</v>
      </c>
      <c r="M14" s="146">
        <f t="shared" si="16"/>
        <v>34.258656975200012</v>
      </c>
      <c r="N14" s="146">
        <f t="shared" si="16"/>
        <v>390.54868951728014</v>
      </c>
      <c r="O14" s="146">
        <f t="shared" si="17"/>
        <v>2.0555194185120005</v>
      </c>
      <c r="Q14" s="13"/>
      <c r="R14" s="139"/>
      <c r="S14" s="138"/>
      <c r="T14" s="139"/>
      <c r="U14" s="139"/>
      <c r="V14" s="107">
        <v>6.4</v>
      </c>
      <c r="W14" s="150">
        <f t="shared" si="18"/>
        <v>9.7999999999999997E-3</v>
      </c>
      <c r="X14" s="19">
        <v>9.5312500000000015E-3</v>
      </c>
      <c r="Y14" s="19">
        <v>0.6170000000000001</v>
      </c>
      <c r="Z14" s="20">
        <v>11.4</v>
      </c>
      <c r="AA14" s="150">
        <f t="shared" si="19"/>
        <v>9.604E-2</v>
      </c>
      <c r="AB14" s="7">
        <v>0.14622800044087528</v>
      </c>
      <c r="AC14" s="150">
        <f t="shared" si="20"/>
        <v>8.0745728350833296E-2</v>
      </c>
      <c r="AE14" s="170"/>
      <c r="AF14" s="19">
        <v>0.01</v>
      </c>
      <c r="AG14" s="19">
        <v>9.8000000000000004E-2</v>
      </c>
      <c r="AH14" s="19">
        <v>0.06</v>
      </c>
    </row>
    <row r="15" spans="1:40" x14ac:dyDescent="0.2">
      <c r="A15" s="17" t="s">
        <v>570</v>
      </c>
      <c r="B15" s="18" t="s">
        <v>208</v>
      </c>
      <c r="C15" s="18">
        <f>VLOOKUP($AN$1,DST!C:D,2,FALSE)</f>
        <v>14</v>
      </c>
      <c r="D15" s="147"/>
      <c r="E15" s="147"/>
      <c r="F15" s="147"/>
      <c r="G15" s="147"/>
      <c r="H15" s="147"/>
      <c r="I15" s="146">
        <f t="shared" si="12"/>
        <v>0</v>
      </c>
      <c r="J15" s="146">
        <f t="shared" si="13"/>
        <v>0</v>
      </c>
      <c r="K15" s="146">
        <f t="shared" si="14"/>
        <v>0</v>
      </c>
      <c r="L15" s="146">
        <f t="shared" si="15"/>
        <v>11.898121200000002</v>
      </c>
      <c r="M15" s="146">
        <f t="shared" si="16"/>
        <v>7.4958163559999997</v>
      </c>
      <c r="N15" s="146">
        <f t="shared" si="16"/>
        <v>75.257996214239995</v>
      </c>
      <c r="O15" s="146">
        <f t="shared" si="17"/>
        <v>0.44225316500399997</v>
      </c>
      <c r="Q15" s="13"/>
      <c r="R15" s="139"/>
      <c r="S15" s="138"/>
      <c r="T15" s="139"/>
      <c r="U15" s="139"/>
      <c r="V15" s="107">
        <v>5.0199999999999996</v>
      </c>
      <c r="W15" s="150">
        <f t="shared" si="18"/>
        <v>0</v>
      </c>
      <c r="X15" s="19">
        <v>8.0000000000000002E-3</v>
      </c>
      <c r="Y15" s="19">
        <v>0.62999999999999989</v>
      </c>
      <c r="Z15" s="20">
        <v>10.039999999999999</v>
      </c>
      <c r="AA15" s="150">
        <f t="shared" si="19"/>
        <v>2.0580000000000001E-2</v>
      </c>
      <c r="AB15" s="7">
        <v>7.9953635813665505E-2</v>
      </c>
      <c r="AC15" s="150">
        <f t="shared" si="20"/>
        <v>7.9399966211652726E-2</v>
      </c>
      <c r="AE15" s="170"/>
      <c r="AF15" s="19">
        <v>0</v>
      </c>
      <c r="AG15" s="19">
        <v>2.1000000000000001E-2</v>
      </c>
      <c r="AH15" s="19">
        <v>5.8999999999999997E-2</v>
      </c>
    </row>
    <row r="16" spans="1:40" x14ac:dyDescent="0.2">
      <c r="A16" s="17" t="s">
        <v>574</v>
      </c>
      <c r="B16" s="18" t="s">
        <v>208</v>
      </c>
      <c r="C16" s="18">
        <f>VLOOKUP($AN$1,DST!C:D,2,FALSE)</f>
        <v>14</v>
      </c>
      <c r="D16" s="147"/>
      <c r="E16" s="147"/>
      <c r="F16" s="147"/>
      <c r="G16" s="147"/>
      <c r="H16" s="147"/>
      <c r="I16" s="146">
        <f t="shared" si="12"/>
        <v>0</v>
      </c>
      <c r="J16" s="146">
        <f t="shared" si="13"/>
        <v>0</v>
      </c>
      <c r="K16" s="146">
        <f t="shared" si="14"/>
        <v>0</v>
      </c>
      <c r="L16" s="146">
        <f t="shared" si="15"/>
        <v>41.926712800000011</v>
      </c>
      <c r="M16" s="146">
        <f t="shared" si="16"/>
        <v>24.904467403200005</v>
      </c>
      <c r="N16" s="146">
        <f t="shared" si="16"/>
        <v>261.99499708166405</v>
      </c>
      <c r="O16" s="146">
        <f t="shared" si="17"/>
        <v>1.8429305878368003</v>
      </c>
      <c r="Q16" s="13"/>
      <c r="R16" s="139"/>
      <c r="S16" s="138"/>
      <c r="T16" s="139"/>
      <c r="U16" s="139"/>
      <c r="V16" s="107">
        <v>5.0199999999999996</v>
      </c>
      <c r="W16" s="150">
        <f t="shared" si="18"/>
        <v>0</v>
      </c>
      <c r="X16" s="19">
        <v>0</v>
      </c>
      <c r="Y16" s="19">
        <v>0.59399999999999997</v>
      </c>
      <c r="Z16" s="20">
        <v>10.52</v>
      </c>
      <c r="AA16" s="150">
        <f t="shared" si="19"/>
        <v>7.2520000000000001E-2</v>
      </c>
      <c r="AB16" s="7">
        <v>7.9859126348044471E-2</v>
      </c>
      <c r="AC16" s="150">
        <f t="shared" si="20"/>
        <v>9.9586398299361056E-2</v>
      </c>
      <c r="AE16" s="170"/>
      <c r="AF16" s="19">
        <v>0</v>
      </c>
      <c r="AG16" s="19">
        <v>7.3999999999999996E-2</v>
      </c>
      <c r="AH16" s="19">
        <v>7.3999999999999996E-2</v>
      </c>
    </row>
    <row r="17" spans="1:34" x14ac:dyDescent="0.2">
      <c r="A17" s="17" t="s">
        <v>204</v>
      </c>
      <c r="B17" s="18" t="s">
        <v>208</v>
      </c>
      <c r="C17" s="18">
        <f>VLOOKUP($AN$1,DST!C:D,2,FALSE)</f>
        <v>14</v>
      </c>
      <c r="D17" s="147"/>
      <c r="E17" s="147"/>
      <c r="F17" s="147"/>
      <c r="G17" s="147"/>
      <c r="H17" s="147"/>
      <c r="I17" s="146">
        <f t="shared" si="12"/>
        <v>0</v>
      </c>
      <c r="J17" s="146">
        <f t="shared" si="13"/>
        <v>0</v>
      </c>
      <c r="K17" s="146">
        <f t="shared" si="14"/>
        <v>0</v>
      </c>
      <c r="L17" s="146">
        <f t="shared" si="15"/>
        <v>75.921344800000014</v>
      </c>
      <c r="M17" s="146">
        <f t="shared" si="16"/>
        <v>40.314234088799999</v>
      </c>
      <c r="N17" s="146">
        <f t="shared" si="16"/>
        <v>566.01184660675199</v>
      </c>
      <c r="O17" s="146">
        <f t="shared" si="17"/>
        <v>3.7492237702583999</v>
      </c>
      <c r="Q17" s="13"/>
      <c r="R17" s="139"/>
      <c r="S17" s="138"/>
      <c r="T17" s="139"/>
      <c r="U17" s="139"/>
      <c r="V17" s="107">
        <v>5.0199999999999996</v>
      </c>
      <c r="W17" s="150">
        <f t="shared" si="18"/>
        <v>0</v>
      </c>
      <c r="X17" s="19">
        <v>0</v>
      </c>
      <c r="Y17" s="19">
        <v>0.53099999999999992</v>
      </c>
      <c r="Z17" s="20">
        <v>14.04</v>
      </c>
      <c r="AA17" s="150">
        <f t="shared" si="19"/>
        <v>0.13131999999999999</v>
      </c>
      <c r="AB17" s="7">
        <v>4.8800519473424689E-2</v>
      </c>
      <c r="AC17" s="150">
        <f t="shared" si="20"/>
        <v>0.1251558789437916</v>
      </c>
      <c r="AE17" s="170"/>
      <c r="AF17" s="19">
        <v>0</v>
      </c>
      <c r="AG17" s="19">
        <v>0.13400000000000001</v>
      </c>
      <c r="AH17" s="19">
        <v>9.2999999999999999E-2</v>
      </c>
    </row>
    <row r="18" spans="1:34" x14ac:dyDescent="0.2">
      <c r="A18" s="17" t="s">
        <v>705</v>
      </c>
      <c r="B18" s="18" t="s">
        <v>208</v>
      </c>
      <c r="C18" s="18">
        <f>VLOOKUP($AN$1,DST!C:D,2,FALSE)</f>
        <v>14</v>
      </c>
      <c r="D18" s="147"/>
      <c r="E18" s="147"/>
      <c r="F18" s="147"/>
      <c r="G18" s="147"/>
      <c r="H18" s="147"/>
      <c r="I18" s="146">
        <f t="shared" si="12"/>
        <v>0</v>
      </c>
      <c r="J18" s="146">
        <f t="shared" si="13"/>
        <v>0</v>
      </c>
      <c r="K18" s="146">
        <f t="shared" si="14"/>
        <v>0</v>
      </c>
      <c r="L18" s="146">
        <f t="shared" si="15"/>
        <v>28.328860000000006</v>
      </c>
      <c r="M18" s="146">
        <f t="shared" si="16"/>
        <v>16.572383100000003</v>
      </c>
      <c r="N18" s="146">
        <f t="shared" si="16"/>
        <v>224.39006717400002</v>
      </c>
      <c r="O18" s="146">
        <f t="shared" si="17"/>
        <v>1.3257906480000003</v>
      </c>
      <c r="Q18" s="13"/>
      <c r="R18" s="139"/>
      <c r="S18" s="138"/>
      <c r="T18" s="139"/>
      <c r="U18" s="139"/>
      <c r="V18" s="107">
        <v>5.0199999999999996</v>
      </c>
      <c r="W18" s="150">
        <f t="shared" si="18"/>
        <v>0</v>
      </c>
      <c r="X18" s="19">
        <v>0</v>
      </c>
      <c r="Y18" s="19">
        <v>0.58499999999999996</v>
      </c>
      <c r="Z18" s="20">
        <v>13.54</v>
      </c>
      <c r="AA18" s="150">
        <f t="shared" si="19"/>
        <v>4.9000000000000002E-2</v>
      </c>
      <c r="AB18" s="7">
        <v>1.4733470973034185E-2</v>
      </c>
      <c r="AC18" s="150">
        <f t="shared" si="20"/>
        <v>0.10766097113444439</v>
      </c>
      <c r="AE18" s="170"/>
      <c r="AF18" s="19">
        <v>0</v>
      </c>
      <c r="AG18" s="19">
        <v>0.05</v>
      </c>
      <c r="AH18" s="19">
        <v>0.08</v>
      </c>
    </row>
    <row r="19" spans="1:34" x14ac:dyDescent="0.2">
      <c r="B19" s="18" t="s">
        <v>208</v>
      </c>
      <c r="C19" s="18">
        <f>VLOOKUP($AN$1,DST!C:D,2,FALSE)</f>
        <v>14</v>
      </c>
      <c r="D19" s="147"/>
      <c r="E19" s="147"/>
      <c r="F19" s="147"/>
      <c r="G19" s="147"/>
      <c r="H19" s="147"/>
      <c r="I19" s="146">
        <f t="shared" si="12"/>
        <v>0</v>
      </c>
      <c r="J19" s="146">
        <f t="shared" si="13"/>
        <v>0</v>
      </c>
      <c r="K19" s="146">
        <f t="shared" si="14"/>
        <v>0</v>
      </c>
      <c r="L19" s="146">
        <f t="shared" si="15"/>
        <v>0</v>
      </c>
      <c r="M19" s="146">
        <f t="shared" si="16"/>
        <v>0</v>
      </c>
      <c r="N19" s="146">
        <f t="shared" si="16"/>
        <v>0</v>
      </c>
      <c r="O19" s="146">
        <f t="shared" si="17"/>
        <v>0</v>
      </c>
      <c r="Q19" s="13"/>
      <c r="R19" s="139"/>
      <c r="S19" s="138"/>
      <c r="T19" s="139"/>
      <c r="U19" s="139"/>
      <c r="V19" s="107">
        <v>0</v>
      </c>
      <c r="W19" s="150">
        <f t="shared" si="18"/>
        <v>0</v>
      </c>
      <c r="X19" s="19">
        <v>0</v>
      </c>
      <c r="Y19" s="19">
        <v>0</v>
      </c>
      <c r="Z19" s="20">
        <v>0</v>
      </c>
      <c r="AA19" s="150">
        <f t="shared" si="19"/>
        <v>0</v>
      </c>
      <c r="AB19" s="7">
        <v>5.0620814626722611E-2</v>
      </c>
      <c r="AC19" s="150">
        <f t="shared" si="20"/>
        <v>0</v>
      </c>
      <c r="AE19" s="170"/>
      <c r="AF19" s="19">
        <v>0</v>
      </c>
      <c r="AG19" s="19">
        <v>0</v>
      </c>
      <c r="AH19" s="19">
        <v>0</v>
      </c>
    </row>
    <row r="20" spans="1:34" x14ac:dyDescent="0.2">
      <c r="B20" s="18" t="s">
        <v>208</v>
      </c>
      <c r="C20" s="18">
        <f>VLOOKUP($AN$1,DST!C:D,2,FALSE)</f>
        <v>14</v>
      </c>
      <c r="D20" s="147"/>
      <c r="E20" s="147"/>
      <c r="F20" s="147"/>
      <c r="G20" s="147"/>
      <c r="H20" s="147"/>
      <c r="I20" s="146">
        <f t="shared" ref="I20" si="21">D$35*W20</f>
        <v>0</v>
      </c>
      <c r="J20" s="146">
        <f t="shared" ref="J20" si="22">I20*V20</f>
        <v>0</v>
      </c>
      <c r="K20" s="146">
        <f t="shared" ref="K20" si="23">I20*X20</f>
        <v>0</v>
      </c>
      <c r="L20" s="146">
        <f t="shared" ref="L20" si="24">((D$2+D$3+D$4)*AA20)</f>
        <v>0</v>
      </c>
      <c r="M20" s="146">
        <f t="shared" ref="M20:N20" si="25">L20*Y20</f>
        <v>0</v>
      </c>
      <c r="N20" s="146">
        <f t="shared" si="25"/>
        <v>0</v>
      </c>
      <c r="O20" s="146">
        <f t="shared" ref="O20" si="26">M20*AH20</f>
        <v>0</v>
      </c>
      <c r="Q20" s="13"/>
      <c r="R20" s="139"/>
      <c r="S20" s="138"/>
      <c r="T20" s="139"/>
      <c r="U20" s="139"/>
      <c r="V20" s="107">
        <v>0</v>
      </c>
      <c r="W20" s="150">
        <f t="shared" ref="W20" si="27">(AF20/SUM(AF$2:AF$20))*0.98</f>
        <v>0</v>
      </c>
      <c r="X20" s="19">
        <v>0</v>
      </c>
      <c r="Y20" s="19">
        <v>0</v>
      </c>
      <c r="Z20" s="20">
        <v>0</v>
      </c>
      <c r="AA20" s="150">
        <f t="shared" ref="AA20" si="28">(AG20/SUM(AG$6:AG$25))*0.98</f>
        <v>0</v>
      </c>
      <c r="AB20" s="7">
        <v>0</v>
      </c>
      <c r="AC20" s="150">
        <f t="shared" ref="AC20" si="29">(AH20/SUM(AH$6:AH$25))*0.98</f>
        <v>0</v>
      </c>
      <c r="AE20" s="170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 s="3"/>
      <c r="AE21" s="169"/>
      <c r="AF21" s="124"/>
      <c r="AG21" s="26"/>
      <c r="AH21" s="26"/>
    </row>
    <row r="22" spans="1:34" x14ac:dyDescent="0.2">
      <c r="A22" s="17" t="s">
        <v>68</v>
      </c>
      <c r="B22" s="18" t="s">
        <v>10</v>
      </c>
      <c r="C22" s="18">
        <f>VLOOKUP($AN$1,DST!C:D,2,FALSE)</f>
        <v>14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45.892753200000008</v>
      </c>
      <c r="M22" s="146">
        <f t="shared" ref="M22:N25" si="30">L22*Y22</f>
        <v>29.784396826800005</v>
      </c>
      <c r="N22" s="146">
        <f t="shared" si="30"/>
        <v>287.41942937862007</v>
      </c>
      <c r="O22" s="146">
        <f t="shared" ref="O22:O25" si="31">M22*AH22</f>
        <v>2.0849077778760008</v>
      </c>
      <c r="Q22" s="13"/>
      <c r="R22" s="139"/>
      <c r="S22" s="138"/>
      <c r="T22" s="139"/>
      <c r="U22" s="139"/>
      <c r="V22" s="140"/>
      <c r="W22" s="154"/>
      <c r="X22" s="139"/>
      <c r="Y22" s="19">
        <v>0.64900000000000002</v>
      </c>
      <c r="Z22" s="20">
        <v>9.65</v>
      </c>
      <c r="AA22" s="150">
        <f>(AG22/SUM(AG$6:AG$25))*0.98</f>
        <v>7.9380000000000006E-2</v>
      </c>
      <c r="AB22" s="7">
        <v>0.13714946989377905</v>
      </c>
      <c r="AC22" s="150">
        <f>(AH22/SUM(AH$6:AH$25))*0.98</f>
        <v>9.4203349742638845E-2</v>
      </c>
      <c r="AE22" s="170"/>
      <c r="AF22" s="168"/>
      <c r="AG22" s="19">
        <v>8.1000000000000003E-2</v>
      </c>
      <c r="AH22" s="19">
        <v>7.0000000000000007E-2</v>
      </c>
    </row>
    <row r="23" spans="1:34" x14ac:dyDescent="0.2">
      <c r="A23" s="17" t="s">
        <v>592</v>
      </c>
      <c r="B23" s="18" t="s">
        <v>10</v>
      </c>
      <c r="C23" s="18">
        <f>VLOOKUP($AN$1,DST!C:D,2,FALSE)</f>
        <v>14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60.057183200000011</v>
      </c>
      <c r="M23" s="146">
        <f t="shared" si="30"/>
        <v>39.157283446400008</v>
      </c>
      <c r="N23" s="146">
        <f t="shared" si="30"/>
        <v>411.1514761872001</v>
      </c>
      <c r="O23" s="146">
        <f t="shared" si="31"/>
        <v>3.1325826757120008</v>
      </c>
      <c r="Q23" s="13"/>
      <c r="R23" s="139"/>
      <c r="S23" s="138"/>
      <c r="T23" s="139"/>
      <c r="U23" s="139"/>
      <c r="V23" s="140"/>
      <c r="W23" s="154"/>
      <c r="X23" s="139"/>
      <c r="Y23" s="19">
        <v>0.65200000000000002</v>
      </c>
      <c r="Z23" s="20">
        <v>10.5</v>
      </c>
      <c r="AA23" s="150">
        <f>(AG23/SUM(AG$6:AG$25))*0.98</f>
        <v>0.10388</v>
      </c>
      <c r="AB23" s="7">
        <v>1.7460909603359023E-2</v>
      </c>
      <c r="AC23" s="150">
        <f>(AH23/SUM(AH$6:AH$25))*0.98</f>
        <v>0.10766097113444439</v>
      </c>
      <c r="AE23" s="170"/>
      <c r="AF23" s="168"/>
      <c r="AG23" s="19">
        <v>0.106</v>
      </c>
      <c r="AH23" s="19">
        <v>0.08</v>
      </c>
    </row>
    <row r="24" spans="1:34" x14ac:dyDescent="0.2">
      <c r="B24" s="18" t="s">
        <v>10</v>
      </c>
      <c r="C24" s="18">
        <f>VLOOKUP($AN$1,DST!C:D,2,FALSE)</f>
        <v>14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0</v>
      </c>
      <c r="M24" s="146">
        <f t="shared" ref="M24" si="32">L24*Y24</f>
        <v>0</v>
      </c>
      <c r="N24" s="146">
        <f t="shared" ref="N24" si="33">M24*Z24</f>
        <v>0</v>
      </c>
      <c r="O24" s="146">
        <f t="shared" ref="O24" si="34">M24*AH24</f>
        <v>0</v>
      </c>
      <c r="Q24" s="13"/>
      <c r="R24" s="139"/>
      <c r="S24" s="138"/>
      <c r="T24" s="139"/>
      <c r="U24" s="139"/>
      <c r="V24" s="140"/>
      <c r="W24" s="154"/>
      <c r="X24" s="139"/>
      <c r="Y24" s="19">
        <v>0</v>
      </c>
      <c r="Z24" s="20">
        <v>0</v>
      </c>
      <c r="AA24" s="150">
        <f>(AG24/SUM(AG$6:AG$25))*0.98</f>
        <v>0</v>
      </c>
      <c r="AB24" s="7">
        <v>1.7460909603359023E-2</v>
      </c>
      <c r="AC24" s="150">
        <f>(AH24/SUM(AH$6:AH$25))*0.98</f>
        <v>0</v>
      </c>
      <c r="AE24" s="170"/>
      <c r="AF24" s="168"/>
      <c r="AG24" s="19">
        <v>0</v>
      </c>
      <c r="AH24" s="19">
        <v>0</v>
      </c>
    </row>
    <row r="25" spans="1:34" x14ac:dyDescent="0.2">
      <c r="B25" s="18" t="s">
        <v>10</v>
      </c>
      <c r="C25" s="18">
        <f>VLOOKUP($AN$1,DST!C:D,2,FALSE)</f>
        <v>14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30"/>
        <v>0</v>
      </c>
      <c r="N25" s="146">
        <f t="shared" si="30"/>
        <v>0</v>
      </c>
      <c r="O25" s="146">
        <f t="shared" si="31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0</v>
      </c>
      <c r="AC25" s="150">
        <f>(AH25/SUM(AH$6:AH$25))*0.98</f>
        <v>0</v>
      </c>
      <c r="AE25" s="170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264</v>
      </c>
      <c r="X27" s="30"/>
      <c r="Y27" s="30"/>
      <c r="Z27" s="31"/>
      <c r="AA27" s="9" t="s">
        <v>264</v>
      </c>
      <c r="AB27" s="9" t="s">
        <v>264</v>
      </c>
      <c r="AC27" s="9" t="s">
        <v>264</v>
      </c>
      <c r="AD27" s="44"/>
      <c r="AE27" s="9" t="s">
        <v>264</v>
      </c>
      <c r="AF27" s="9" t="s">
        <v>264</v>
      </c>
      <c r="AG27" s="9" t="s">
        <v>264</v>
      </c>
    </row>
    <row r="28" spans="1:34" s="27" customFormat="1" x14ac:dyDescent="0.2">
      <c r="A28" s="45" t="s">
        <v>265</v>
      </c>
      <c r="B28" s="28"/>
      <c r="C28" s="28"/>
      <c r="D28" s="34" t="s">
        <v>269</v>
      </c>
      <c r="E28" s="34" t="s">
        <v>266</v>
      </c>
      <c r="F28" s="155" t="s">
        <v>267</v>
      </c>
      <c r="G28" s="34" t="s">
        <v>286</v>
      </c>
      <c r="H28" s="34" t="s">
        <v>268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0.98000000000000009</v>
      </c>
      <c r="X28" s="30"/>
      <c r="Y28" s="30"/>
      <c r="Z28" s="31"/>
      <c r="AA28" s="150">
        <f>SUM(AA6:AA25)</f>
        <v>0.98000000000000009</v>
      </c>
      <c r="AB28" s="150">
        <f>SUM(AB2:AB4,AB6:AB11,AB13:AB20,AB22:AB25)</f>
        <v>0.98310920034588956</v>
      </c>
      <c r="AC28" s="150">
        <f>SUM(AC6:AC25)</f>
        <v>0.9800000000000002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</v>
      </c>
    </row>
    <row r="29" spans="1:34" s="27" customFormat="1" x14ac:dyDescent="0.2">
      <c r="A29" s="43"/>
      <c r="B29" s="28"/>
      <c r="C29" s="28"/>
      <c r="D29" s="46">
        <v>1055</v>
      </c>
      <c r="E29" s="47">
        <v>0.54800000000000004</v>
      </c>
      <c r="F29" s="2">
        <f>1-E29</f>
        <v>0.45199999999999996</v>
      </c>
      <c r="G29" s="106">
        <v>4.6500000000000004</v>
      </c>
      <c r="H29" s="126">
        <v>3.5000000000000003E-2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265</v>
      </c>
      <c r="B31" s="28"/>
      <c r="C31" s="28"/>
      <c r="D31" s="162" t="s">
        <v>278</v>
      </c>
      <c r="E31" s="162" t="s">
        <v>1</v>
      </c>
      <c r="F31" s="162" t="s">
        <v>263</v>
      </c>
      <c r="G31" s="162" t="s">
        <v>137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578.1400000000001</v>
      </c>
      <c r="E32" s="156">
        <f>SUM(E2:E4)</f>
        <v>363.8429589585362</v>
      </c>
      <c r="F32" s="156">
        <f>SUM(F2:F4)</f>
        <v>4029.8205633867151</v>
      </c>
      <c r="G32" s="156">
        <f>SUM(G2:G4)</f>
        <v>25.357716423496491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265</v>
      </c>
      <c r="B34" s="28"/>
      <c r="C34" s="28"/>
      <c r="D34" s="162" t="s">
        <v>270</v>
      </c>
      <c r="E34" s="162" t="s">
        <v>263</v>
      </c>
      <c r="F34" s="162" t="s">
        <v>137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476.85999999999996</v>
      </c>
      <c r="E35" s="156">
        <f>D35*G29</f>
        <v>2217.3989999999999</v>
      </c>
      <c r="F35" s="156">
        <f>D35*H29</f>
        <v>16.690100000000001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279</v>
      </c>
      <c r="B37" s="37"/>
      <c r="C37" s="37"/>
      <c r="D37" s="164" t="s">
        <v>273</v>
      </c>
      <c r="E37" s="164" t="s">
        <v>274</v>
      </c>
      <c r="F37" s="10" t="s">
        <v>275</v>
      </c>
      <c r="G37" s="160" t="s">
        <v>271</v>
      </c>
      <c r="H37" s="160" t="s">
        <v>272</v>
      </c>
      <c r="I37" s="160" t="s">
        <v>276</v>
      </c>
      <c r="J37" s="160" t="s">
        <v>277</v>
      </c>
      <c r="P37" s="37"/>
      <c r="Q37" s="37"/>
      <c r="R37" s="37"/>
      <c r="S37" s="37"/>
      <c r="T37" s="37"/>
      <c r="U37" s="37"/>
      <c r="V37" s="181"/>
      <c r="W37" s="37"/>
      <c r="X37" s="30"/>
      <c r="Y37" s="30"/>
      <c r="Z37" s="181"/>
      <c r="AA37" s="37"/>
      <c r="AB37" s="37"/>
      <c r="AC37" s="37"/>
      <c r="AE37" s="37"/>
      <c r="AF37" s="37"/>
      <c r="AH37" s="30"/>
    </row>
    <row r="38" spans="1:34" ht="13.5" thickBot="1" x14ac:dyDescent="0.25">
      <c r="D38" s="157">
        <f>SUM(I2:I20)</f>
        <v>467.32279999999997</v>
      </c>
      <c r="E38" s="157">
        <f>SUM(J2:J4,J6:J11,J13:J20)</f>
        <v>2217.3625678959997</v>
      </c>
      <c r="F38" s="157">
        <f>SUM(K2:K4,K6:K11,K13:K20)</f>
        <v>16.675905904455</v>
      </c>
      <c r="G38" s="157">
        <f>SUM(L6:L11,L13:L20,L22:L25)</f>
        <v>566.57720000000006</v>
      </c>
      <c r="H38" s="157">
        <f>SUM(M6:M11,M13:M20,M22:M25)</f>
        <v>358.75498330840009</v>
      </c>
      <c r="I38" s="157">
        <f>SUM(N6:N11,N13:N20,N22:N25)</f>
        <v>4026.778565347402</v>
      </c>
      <c r="J38" s="157">
        <f>SUM(O6:O11,O13:O20,O22:O25)</f>
        <v>25.308611460389113</v>
      </c>
      <c r="Q38" s="18"/>
      <c r="R38" s="18"/>
      <c r="S38" s="18"/>
      <c r="T38" s="18"/>
      <c r="U38" s="18"/>
      <c r="V38" s="181"/>
      <c r="W38" s="18"/>
      <c r="X38" s="30"/>
      <c r="Y38" s="30"/>
      <c r="Z38" s="181"/>
      <c r="AC38" s="18"/>
      <c r="AH38" s="30"/>
    </row>
    <row r="39" spans="1:34" ht="13.5" thickTop="1" x14ac:dyDescent="0.2">
      <c r="D39" s="158">
        <f>D35-D38</f>
        <v>9.5371999999999844</v>
      </c>
      <c r="E39" s="158">
        <f>E35-E38</f>
        <v>3.6432104000141408E-2</v>
      </c>
      <c r="F39" s="158">
        <f>F35-F38</f>
        <v>1.4194095545001062E-2</v>
      </c>
      <c r="G39" s="158">
        <f>SUM(D2:D4)-G38</f>
        <v>11.562800000000038</v>
      </c>
      <c r="H39" s="158">
        <f>E32-H38</f>
        <v>5.0879756501361157</v>
      </c>
      <c r="I39" s="158">
        <f>F32-I38</f>
        <v>3.0419980393130572</v>
      </c>
      <c r="J39" s="158">
        <f>G32-J38</f>
        <v>4.9104963107378552E-2</v>
      </c>
      <c r="Q39" s="18"/>
      <c r="R39" s="18"/>
      <c r="S39" s="18"/>
      <c r="T39" s="18"/>
      <c r="U39" s="18"/>
      <c r="V39" s="181"/>
      <c r="W39" s="18"/>
      <c r="X39" s="30"/>
      <c r="Y39" s="30"/>
      <c r="Z39" s="181"/>
      <c r="AC39" s="18"/>
      <c r="AH39" s="30"/>
    </row>
    <row r="40" spans="1:34" x14ac:dyDescent="0.2">
      <c r="N40" s="23"/>
      <c r="O40" s="23"/>
      <c r="V40" s="181"/>
      <c r="X40" s="30"/>
      <c r="Y40" s="30"/>
      <c r="Z40" s="181"/>
      <c r="AH40" s="30"/>
    </row>
    <row r="41" spans="1:34" x14ac:dyDescent="0.2">
      <c r="N41" s="23"/>
      <c r="O41" s="23"/>
      <c r="V41" s="181"/>
      <c r="X41" s="30"/>
      <c r="Y41" s="30"/>
      <c r="Z41" s="181"/>
      <c r="AH41" s="30"/>
    </row>
    <row r="42" spans="1:34" x14ac:dyDescent="0.2">
      <c r="V42" s="181"/>
      <c r="X42" s="30"/>
      <c r="Y42" s="30"/>
      <c r="Z42" s="181"/>
      <c r="AH42" s="30"/>
    </row>
    <row r="43" spans="1:34" x14ac:dyDescent="0.2">
      <c r="V43" s="181"/>
      <c r="X43" s="30"/>
      <c r="Y43" s="30"/>
      <c r="Z43" s="181"/>
      <c r="AH43" s="30"/>
    </row>
    <row r="44" spans="1:34" x14ac:dyDescent="0.2">
      <c r="V44" s="181"/>
      <c r="X44" s="30"/>
      <c r="Y44" s="30"/>
      <c r="Z44" s="181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sortState xmlns:xlrd2="http://schemas.microsoft.com/office/spreadsheetml/2017/richdata2" ref="A13:AH19">
    <sortCondition descending="1" ref="N13:N19"/>
  </sortState>
  <conditionalFormatting sqref="D39:J39">
    <cfRule type="cellIs" dxfId="2" priority="1" operator="lessThan">
      <formula>0</formula>
    </cfRule>
  </conditionalFormatting>
  <conditionalFormatting sqref="W28">
    <cfRule type="cellIs" dxfId="1" priority="2" operator="greaterThan">
      <formula>1</formula>
    </cfRule>
  </conditionalFormatting>
  <conditionalFormatting sqref="AA28:AG28">
    <cfRule type="cellIs" dxfId="0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>
    <tabColor rgb="FFFFC87D"/>
  </sheetPr>
  <dimension ref="A1:AA66"/>
  <sheetViews>
    <sheetView showGridLines="0" topLeftCell="B1" zoomScale="85" zoomScaleNormal="85" workbookViewId="0">
      <selection activeCell="B1" sqref="B1"/>
    </sheetView>
  </sheetViews>
  <sheetFormatPr defaultColWidth="8.7109375" defaultRowHeight="12.75" x14ac:dyDescent="0.2"/>
  <cols>
    <col min="1" max="1" width="6.42578125" hidden="1" customWidth="1"/>
    <col min="2" max="2" width="22.140625" style="83" bestFit="1" customWidth="1"/>
    <col min="3" max="3" width="10" style="83" bestFit="1" customWidth="1"/>
    <col min="4" max="4" width="6.7109375" style="148" bestFit="1" customWidth="1"/>
    <col min="5" max="5" width="8.7109375" style="148" bestFit="1" customWidth="1"/>
    <col min="6" max="6" width="6.42578125" style="148" bestFit="1" customWidth="1"/>
    <col min="7" max="7" width="10.140625" style="148" bestFit="1" customWidth="1"/>
    <col min="8" max="8" width="10.7109375" style="188" bestFit="1" customWidth="1"/>
    <col min="9" max="9" width="10.5703125" style="148" bestFit="1" customWidth="1"/>
    <col min="10" max="10" width="9" style="148" bestFit="1" customWidth="1"/>
    <col min="11" max="11" width="9.7109375" style="148" bestFit="1" customWidth="1"/>
    <col min="12" max="14" width="9.5703125" style="148" bestFit="1" customWidth="1"/>
    <col min="15" max="17" width="10.5703125" style="148" bestFit="1" customWidth="1"/>
    <col min="18" max="18" width="9.5703125" style="148" bestFit="1" customWidth="1"/>
    <col min="19" max="19" width="9.28515625" style="6" bestFit="1" customWidth="1"/>
  </cols>
  <sheetData>
    <row r="1" spans="1:27" s="85" customFormat="1" ht="25.5" x14ac:dyDescent="0.2">
      <c r="A1" s="84" t="s">
        <v>326</v>
      </c>
      <c r="B1" s="85" t="s">
        <v>170</v>
      </c>
      <c r="C1" s="85" t="s">
        <v>452</v>
      </c>
      <c r="D1" s="182" t="s">
        <v>122</v>
      </c>
      <c r="E1" s="183" t="s">
        <v>225</v>
      </c>
      <c r="F1" s="183" t="s">
        <v>2</v>
      </c>
      <c r="G1" s="183" t="s">
        <v>241</v>
      </c>
      <c r="H1" s="183" t="s">
        <v>240</v>
      </c>
      <c r="I1" s="184" t="s">
        <v>226</v>
      </c>
      <c r="J1" s="183" t="s">
        <v>227</v>
      </c>
      <c r="K1" s="183" t="s">
        <v>238</v>
      </c>
      <c r="L1" s="183" t="s">
        <v>255</v>
      </c>
      <c r="M1" s="183" t="s">
        <v>256</v>
      </c>
      <c r="N1" s="183" t="s">
        <v>257</v>
      </c>
      <c r="O1" s="183" t="s">
        <v>258</v>
      </c>
      <c r="P1" s="183" t="s">
        <v>260</v>
      </c>
      <c r="Q1" s="183" t="s">
        <v>261</v>
      </c>
      <c r="R1" s="183" t="s">
        <v>259</v>
      </c>
      <c r="S1" s="183" t="s">
        <v>239</v>
      </c>
    </row>
    <row r="2" spans="1:27" x14ac:dyDescent="0.2">
      <c r="A2" s="57" t="s">
        <v>327</v>
      </c>
      <c r="B2" t="s">
        <v>649</v>
      </c>
      <c r="C2" t="s">
        <v>87</v>
      </c>
      <c r="D2" s="185">
        <v>11</v>
      </c>
      <c r="E2" s="148">
        <v>39.35</v>
      </c>
      <c r="F2" s="148">
        <v>12.2</v>
      </c>
      <c r="G2" s="148">
        <v>12.7</v>
      </c>
      <c r="H2" s="148">
        <v>9.1999999999999993</v>
      </c>
      <c r="I2" s="186">
        <v>0</v>
      </c>
      <c r="J2" s="148">
        <v>1.9</v>
      </c>
      <c r="K2" s="148">
        <v>25.85</v>
      </c>
      <c r="L2" s="187"/>
      <c r="M2" s="187"/>
      <c r="N2" s="187"/>
      <c r="O2" s="187"/>
      <c r="P2" s="187"/>
      <c r="Q2" s="187"/>
      <c r="R2" s="187"/>
      <c r="S2" s="148">
        <v>352.53823529411761</v>
      </c>
      <c r="T2" s="81"/>
      <c r="U2" s="81"/>
      <c r="V2" s="81"/>
      <c r="W2" s="81"/>
      <c r="X2" s="81"/>
      <c r="Y2" s="81"/>
      <c r="Z2" s="81"/>
      <c r="AA2" s="82"/>
    </row>
    <row r="3" spans="1:27" x14ac:dyDescent="0.2">
      <c r="A3" s="57" t="s">
        <v>332</v>
      </c>
      <c r="B3" t="s">
        <v>650</v>
      </c>
      <c r="C3" t="s">
        <v>88</v>
      </c>
      <c r="D3" s="185">
        <v>12</v>
      </c>
      <c r="E3" s="148">
        <v>41.424999999999997</v>
      </c>
      <c r="F3" s="148">
        <v>12.55</v>
      </c>
      <c r="G3" s="148">
        <v>13.275</v>
      </c>
      <c r="H3" s="148">
        <v>9.1</v>
      </c>
      <c r="I3" s="186">
        <v>0.25</v>
      </c>
      <c r="J3" s="148">
        <v>1.8666666666666667</v>
      </c>
      <c r="K3" s="148">
        <v>23.370588235294118</v>
      </c>
      <c r="L3" s="187"/>
      <c r="M3" s="187"/>
      <c r="N3" s="187"/>
      <c r="O3" s="187"/>
      <c r="P3" s="187"/>
      <c r="Q3" s="187"/>
      <c r="R3" s="187"/>
      <c r="S3" s="148">
        <v>326.69411764705882</v>
      </c>
      <c r="T3" s="81"/>
      <c r="U3" s="81"/>
      <c r="V3" s="81"/>
      <c r="W3" s="81"/>
      <c r="X3" s="81"/>
      <c r="Y3" s="81"/>
      <c r="Z3" s="81"/>
      <c r="AA3" s="82"/>
    </row>
    <row r="4" spans="1:27" x14ac:dyDescent="0.2">
      <c r="A4" s="57" t="s">
        <v>333</v>
      </c>
      <c r="B4" t="s">
        <v>651</v>
      </c>
      <c r="C4" t="s">
        <v>89</v>
      </c>
      <c r="D4" s="185">
        <v>14</v>
      </c>
      <c r="E4" s="148">
        <v>49.575000000000003</v>
      </c>
      <c r="F4" s="148">
        <v>14.375</v>
      </c>
      <c r="G4" s="148">
        <v>15.65</v>
      </c>
      <c r="H4" s="148">
        <v>10.5</v>
      </c>
      <c r="I4" s="186">
        <v>0</v>
      </c>
      <c r="J4" s="148">
        <v>2.1333333333333333</v>
      </c>
      <c r="K4" s="148">
        <v>19.529411764705884</v>
      </c>
      <c r="L4" s="187"/>
      <c r="M4" s="187"/>
      <c r="N4" s="187"/>
      <c r="O4" s="187"/>
      <c r="P4" s="187"/>
      <c r="Q4" s="187"/>
      <c r="R4" s="187"/>
      <c r="S4" s="148">
        <v>306.49117647058824</v>
      </c>
      <c r="T4" s="81"/>
      <c r="U4" s="81"/>
      <c r="V4" s="81"/>
      <c r="W4" s="81"/>
      <c r="X4" s="81"/>
      <c r="Y4" s="81"/>
      <c r="Z4" s="81"/>
      <c r="AA4" s="82"/>
    </row>
    <row r="5" spans="1:27" x14ac:dyDescent="0.2">
      <c r="A5" s="57" t="s">
        <v>334</v>
      </c>
      <c r="B5" t="s">
        <v>652</v>
      </c>
      <c r="C5" t="s">
        <v>90</v>
      </c>
      <c r="D5" s="185">
        <v>12</v>
      </c>
      <c r="E5" s="148">
        <v>44.774999999999999</v>
      </c>
      <c r="F5" s="148">
        <v>13.875</v>
      </c>
      <c r="G5" s="148">
        <v>17.324999999999999</v>
      </c>
      <c r="H5" s="148">
        <v>10.824999999999999</v>
      </c>
      <c r="I5" s="186">
        <v>0.25</v>
      </c>
      <c r="J5" s="148">
        <v>2.0499999999999998</v>
      </c>
      <c r="K5" s="148">
        <v>21.147058823529413</v>
      </c>
      <c r="L5" s="187"/>
      <c r="M5" s="187"/>
      <c r="N5" s="187"/>
      <c r="O5" s="187"/>
      <c r="P5" s="187"/>
      <c r="Q5" s="187"/>
      <c r="R5" s="187"/>
      <c r="S5" s="148">
        <v>329.24411764705883</v>
      </c>
      <c r="T5" s="81"/>
      <c r="U5" s="81"/>
      <c r="V5" s="81"/>
      <c r="W5" s="81"/>
      <c r="X5" s="81"/>
      <c r="Y5" s="81"/>
      <c r="Z5" s="81"/>
      <c r="AA5" s="82"/>
    </row>
    <row r="6" spans="1:27" x14ac:dyDescent="0.2">
      <c r="A6" s="57" t="s">
        <v>335</v>
      </c>
      <c r="B6" t="s">
        <v>653</v>
      </c>
      <c r="C6" t="s">
        <v>91</v>
      </c>
      <c r="D6" s="185">
        <v>11</v>
      </c>
      <c r="E6" s="148">
        <v>38.575000000000003</v>
      </c>
      <c r="F6" s="148">
        <v>12.425000000000001</v>
      </c>
      <c r="G6" s="148">
        <v>11.475000000000001</v>
      </c>
      <c r="H6" s="148">
        <v>8.4499999999999993</v>
      </c>
      <c r="I6" s="186">
        <v>0</v>
      </c>
      <c r="J6" s="148">
        <v>1.9</v>
      </c>
      <c r="K6" s="148">
        <v>24.088235294117649</v>
      </c>
      <c r="L6" s="187"/>
      <c r="M6" s="187"/>
      <c r="N6" s="187"/>
      <c r="O6" s="187"/>
      <c r="P6" s="187"/>
      <c r="Q6" s="187"/>
      <c r="R6" s="187"/>
      <c r="S6" s="148">
        <v>323.6764705882353</v>
      </c>
      <c r="T6" s="81"/>
      <c r="U6" s="81"/>
      <c r="V6" s="81"/>
      <c r="W6" s="81"/>
      <c r="X6" s="81"/>
      <c r="Y6" s="81"/>
      <c r="Z6" s="81"/>
      <c r="AA6" s="82"/>
    </row>
    <row r="7" spans="1:27" x14ac:dyDescent="0.2">
      <c r="A7" s="57" t="s">
        <v>328</v>
      </c>
      <c r="B7" t="s">
        <v>654</v>
      </c>
      <c r="C7" t="s">
        <v>92</v>
      </c>
      <c r="D7" s="185">
        <v>7</v>
      </c>
      <c r="E7" s="148">
        <v>36.9</v>
      </c>
      <c r="F7" s="148">
        <v>14.600000000000001</v>
      </c>
      <c r="G7" s="148">
        <v>12.8</v>
      </c>
      <c r="H7" s="148">
        <v>8.9</v>
      </c>
      <c r="I7" s="186">
        <v>0.25</v>
      </c>
      <c r="J7" s="148">
        <v>1.8666666666666667</v>
      </c>
      <c r="K7" s="148">
        <v>21.95</v>
      </c>
      <c r="L7" s="187"/>
      <c r="M7" s="187"/>
      <c r="N7" s="187"/>
      <c r="O7" s="187"/>
      <c r="P7" s="187"/>
      <c r="Q7" s="187"/>
      <c r="R7" s="187"/>
      <c r="S7" s="148">
        <v>320.59999999999997</v>
      </c>
      <c r="T7" s="81"/>
      <c r="U7" s="81"/>
      <c r="V7" s="81"/>
      <c r="W7" s="81"/>
      <c r="X7" s="81"/>
      <c r="Y7" s="81"/>
      <c r="Z7" s="81"/>
      <c r="AA7" s="82"/>
    </row>
    <row r="8" spans="1:27" x14ac:dyDescent="0.2">
      <c r="A8" s="57" t="s">
        <v>330</v>
      </c>
      <c r="B8" t="s">
        <v>655</v>
      </c>
      <c r="C8" t="s">
        <v>93</v>
      </c>
      <c r="D8" s="185">
        <v>12</v>
      </c>
      <c r="E8" s="148">
        <v>46.475000000000001</v>
      </c>
      <c r="F8" s="148">
        <v>13.824999999999999</v>
      </c>
      <c r="G8" s="148">
        <v>14.9</v>
      </c>
      <c r="H8" s="148">
        <v>10</v>
      </c>
      <c r="I8" s="186">
        <v>0</v>
      </c>
      <c r="J8" s="148">
        <v>2.0333333333333332</v>
      </c>
      <c r="K8" s="148">
        <v>21.685294117647057</v>
      </c>
      <c r="L8" s="187"/>
      <c r="M8" s="187"/>
      <c r="N8" s="187"/>
      <c r="O8" s="187"/>
      <c r="P8" s="187"/>
      <c r="Q8" s="187"/>
      <c r="R8" s="187"/>
      <c r="S8" s="148">
        <v>335.52058823529416</v>
      </c>
      <c r="T8" s="81"/>
      <c r="U8" s="81"/>
      <c r="V8" s="81"/>
      <c r="W8" s="81"/>
      <c r="X8" s="81"/>
      <c r="Y8" s="81"/>
      <c r="Z8" s="81"/>
      <c r="AA8" s="82"/>
    </row>
    <row r="9" spans="1:27" x14ac:dyDescent="0.2">
      <c r="A9" s="57" t="s">
        <v>329</v>
      </c>
      <c r="B9" t="s">
        <v>656</v>
      </c>
      <c r="C9" t="s">
        <v>94</v>
      </c>
      <c r="D9" s="185">
        <v>10</v>
      </c>
      <c r="E9" s="148">
        <v>47.599999999999994</v>
      </c>
      <c r="F9" s="148">
        <v>14.275</v>
      </c>
      <c r="G9" s="148">
        <v>14.05</v>
      </c>
      <c r="H9" s="148">
        <v>9.5500000000000007</v>
      </c>
      <c r="I9" s="186">
        <v>0</v>
      </c>
      <c r="J9" s="148">
        <v>2.2999999999999998</v>
      </c>
      <c r="K9" s="148">
        <v>21.264705882352942</v>
      </c>
      <c r="L9" s="187"/>
      <c r="M9" s="187"/>
      <c r="N9" s="187"/>
      <c r="O9" s="187"/>
      <c r="P9" s="187"/>
      <c r="Q9" s="187"/>
      <c r="R9" s="187"/>
      <c r="S9" s="148">
        <v>308.82058823529417</v>
      </c>
      <c r="T9" s="81"/>
      <c r="U9" s="81"/>
      <c r="V9" s="81"/>
      <c r="W9" s="81"/>
      <c r="X9" s="81"/>
      <c r="Y9" s="81"/>
      <c r="Z9" s="81"/>
      <c r="AA9" s="82"/>
    </row>
    <row r="10" spans="1:27" x14ac:dyDescent="0.2">
      <c r="A10" s="57" t="s">
        <v>331</v>
      </c>
      <c r="B10" t="s">
        <v>657</v>
      </c>
      <c r="C10" t="s">
        <v>95</v>
      </c>
      <c r="D10" s="185">
        <v>7</v>
      </c>
      <c r="E10" s="148">
        <v>49.975000000000001</v>
      </c>
      <c r="F10" s="148">
        <v>14.074999999999999</v>
      </c>
      <c r="G10" s="148">
        <v>16.2</v>
      </c>
      <c r="H10" s="148">
        <v>10.725000000000001</v>
      </c>
      <c r="I10" s="186">
        <v>0</v>
      </c>
      <c r="J10" s="148">
        <v>2.3666666666666667</v>
      </c>
      <c r="K10" s="148">
        <v>20.8</v>
      </c>
      <c r="L10" s="187"/>
      <c r="M10" s="187"/>
      <c r="N10" s="187"/>
      <c r="O10" s="187"/>
      <c r="P10" s="187"/>
      <c r="Q10" s="187"/>
      <c r="R10" s="187"/>
      <c r="S10" s="148">
        <v>315.55588235294124</v>
      </c>
      <c r="T10" s="81"/>
      <c r="U10" s="81"/>
      <c r="V10" s="81"/>
      <c r="W10" s="81"/>
      <c r="X10" s="81"/>
      <c r="Y10" s="81"/>
      <c r="Z10" s="81"/>
      <c r="AA10" s="82"/>
    </row>
    <row r="11" spans="1:27" x14ac:dyDescent="0.2">
      <c r="A11" s="57" t="s">
        <v>336</v>
      </c>
      <c r="B11" t="s">
        <v>658</v>
      </c>
      <c r="C11" t="s">
        <v>96</v>
      </c>
      <c r="D11" s="185">
        <v>14</v>
      </c>
      <c r="E11" s="148">
        <v>40.950000000000003</v>
      </c>
      <c r="F11" s="148">
        <v>11.3</v>
      </c>
      <c r="G11" s="148">
        <v>17.274999999999999</v>
      </c>
      <c r="H11" s="148">
        <v>11.024999999999999</v>
      </c>
      <c r="I11" s="186">
        <v>0.25</v>
      </c>
      <c r="J11" s="148">
        <v>2</v>
      </c>
      <c r="K11" s="148">
        <v>25.105882352941173</v>
      </c>
      <c r="L11" s="187"/>
      <c r="M11" s="187"/>
      <c r="N11" s="187"/>
      <c r="O11" s="187"/>
      <c r="P11" s="187"/>
      <c r="Q11" s="187"/>
      <c r="R11" s="187"/>
      <c r="S11" s="148">
        <v>352.36176470588231</v>
      </c>
      <c r="T11" s="81"/>
      <c r="U11" s="81"/>
      <c r="V11" s="81"/>
      <c r="W11" s="81"/>
      <c r="X11" s="81"/>
      <c r="Y11" s="81"/>
      <c r="Z11" s="81"/>
      <c r="AA11" s="82"/>
    </row>
    <row r="12" spans="1:27" x14ac:dyDescent="0.2">
      <c r="A12" s="57" t="s">
        <v>337</v>
      </c>
      <c r="B12" t="s">
        <v>659</v>
      </c>
      <c r="C12" t="s">
        <v>97</v>
      </c>
      <c r="D12" s="185">
        <v>5</v>
      </c>
      <c r="E12" s="148">
        <v>42.35</v>
      </c>
      <c r="F12" s="148">
        <v>14.574999999999999</v>
      </c>
      <c r="G12" s="148">
        <v>12.35</v>
      </c>
      <c r="H12" s="148">
        <v>9.3000000000000007</v>
      </c>
      <c r="I12" s="186">
        <v>0.25</v>
      </c>
      <c r="J12" s="148">
        <v>1.916666666666667</v>
      </c>
      <c r="K12" s="148">
        <v>23.526470588235298</v>
      </c>
      <c r="L12" s="187"/>
      <c r="M12" s="187"/>
      <c r="N12" s="187"/>
      <c r="O12" s="187"/>
      <c r="P12" s="187"/>
      <c r="Q12" s="187"/>
      <c r="R12" s="187"/>
      <c r="S12" s="148">
        <v>344.41470588235296</v>
      </c>
      <c r="T12" s="81"/>
      <c r="U12" s="81"/>
      <c r="V12" s="81"/>
      <c r="W12" s="81"/>
      <c r="X12" s="81"/>
      <c r="Y12" s="81"/>
      <c r="Z12" s="81"/>
      <c r="AA12" s="82"/>
    </row>
    <row r="13" spans="1:27" x14ac:dyDescent="0.2">
      <c r="A13" s="57" t="s">
        <v>338</v>
      </c>
      <c r="B13" t="s">
        <v>660</v>
      </c>
      <c r="C13" t="s">
        <v>98</v>
      </c>
      <c r="D13" s="185">
        <v>10</v>
      </c>
      <c r="E13" s="148">
        <v>43.674999999999997</v>
      </c>
      <c r="F13" s="148">
        <v>13.625</v>
      </c>
      <c r="G13" s="148">
        <v>13.95</v>
      </c>
      <c r="H13" s="148">
        <v>9.6</v>
      </c>
      <c r="I13" s="186">
        <v>0.25</v>
      </c>
      <c r="J13" s="148">
        <v>2</v>
      </c>
      <c r="K13" s="148">
        <v>22.523529411764706</v>
      </c>
      <c r="L13" s="187"/>
      <c r="M13" s="187"/>
      <c r="N13" s="187"/>
      <c r="O13" s="187"/>
      <c r="P13" s="187"/>
      <c r="Q13" s="187"/>
      <c r="R13" s="187"/>
      <c r="S13" s="148">
        <v>339.48235294117649</v>
      </c>
      <c r="T13" s="81"/>
      <c r="U13" s="81"/>
      <c r="V13" s="81"/>
      <c r="W13" s="81"/>
      <c r="X13" s="81"/>
      <c r="Y13" s="81"/>
      <c r="Z13" s="81"/>
      <c r="AA13" s="82"/>
    </row>
    <row r="14" spans="1:27" x14ac:dyDescent="0.2">
      <c r="A14" s="57" t="s">
        <v>339</v>
      </c>
      <c r="B14" t="s">
        <v>661</v>
      </c>
      <c r="C14" t="s">
        <v>99</v>
      </c>
      <c r="D14" s="185">
        <v>14</v>
      </c>
      <c r="E14" s="148">
        <v>48.025000000000006</v>
      </c>
      <c r="F14" s="148">
        <v>13.475000000000001</v>
      </c>
      <c r="G14" s="148">
        <v>14.024999999999999</v>
      </c>
      <c r="H14" s="148">
        <v>10.375</v>
      </c>
      <c r="I14" s="186">
        <v>0.25</v>
      </c>
      <c r="J14" s="148">
        <v>1.9833333333333334</v>
      </c>
      <c r="K14" s="148">
        <v>22.897058823529413</v>
      </c>
      <c r="L14" s="187"/>
      <c r="M14" s="187"/>
      <c r="N14" s="187"/>
      <c r="O14" s="187"/>
      <c r="P14" s="187"/>
      <c r="Q14" s="187"/>
      <c r="R14" s="187"/>
      <c r="S14" s="148">
        <v>331.64117647058822</v>
      </c>
      <c r="T14" s="81"/>
      <c r="U14" s="81"/>
      <c r="V14" s="81"/>
      <c r="W14" s="81"/>
      <c r="X14" s="81"/>
      <c r="Y14" s="81"/>
      <c r="Z14" s="81"/>
      <c r="AA14" s="82"/>
    </row>
    <row r="15" spans="1:27" x14ac:dyDescent="0.2">
      <c r="A15" s="57" t="s">
        <v>340</v>
      </c>
      <c r="B15" t="s">
        <v>662</v>
      </c>
      <c r="C15" t="s">
        <v>100</v>
      </c>
      <c r="D15" s="185">
        <v>14</v>
      </c>
      <c r="E15" s="148">
        <v>49.95</v>
      </c>
      <c r="F15" s="148">
        <v>12.725</v>
      </c>
      <c r="G15" s="148">
        <v>15.7</v>
      </c>
      <c r="H15" s="148">
        <v>9.9750000000000014</v>
      </c>
      <c r="I15" s="186">
        <v>0.25</v>
      </c>
      <c r="J15" s="148">
        <v>1.9666666666666666</v>
      </c>
      <c r="K15" s="148">
        <v>24.05</v>
      </c>
      <c r="L15" s="187"/>
      <c r="M15" s="187"/>
      <c r="N15" s="187"/>
      <c r="O15" s="187"/>
      <c r="P15" s="187"/>
      <c r="Q15" s="187"/>
      <c r="R15" s="187"/>
      <c r="S15" s="148">
        <v>327.84705882352938</v>
      </c>
      <c r="T15" s="81"/>
      <c r="U15" s="81"/>
      <c r="V15" s="81"/>
      <c r="W15" s="81"/>
      <c r="X15" s="81"/>
      <c r="Y15" s="81"/>
      <c r="Z15" s="81"/>
      <c r="AA15" s="82"/>
    </row>
    <row r="16" spans="1:27" x14ac:dyDescent="0.2">
      <c r="A16" s="57" t="s">
        <v>341</v>
      </c>
      <c r="B16" t="s">
        <v>663</v>
      </c>
      <c r="C16" t="s">
        <v>118</v>
      </c>
      <c r="D16" s="185">
        <v>12</v>
      </c>
      <c r="E16" s="148">
        <v>41.475000000000001</v>
      </c>
      <c r="F16" s="148">
        <v>13.15</v>
      </c>
      <c r="G16" s="148">
        <v>15.05</v>
      </c>
      <c r="H16" s="148">
        <v>10.850000000000001</v>
      </c>
      <c r="I16" s="186">
        <v>0</v>
      </c>
      <c r="J16" s="148">
        <v>2.1166666666666667</v>
      </c>
      <c r="K16" s="148">
        <v>22.21764705882353</v>
      </c>
      <c r="L16" s="187"/>
      <c r="M16" s="187"/>
      <c r="N16" s="187"/>
      <c r="O16" s="187"/>
      <c r="P16" s="187"/>
      <c r="Q16" s="187"/>
      <c r="R16" s="187"/>
      <c r="S16" s="148">
        <v>327.52352941176468</v>
      </c>
      <c r="T16" s="81"/>
      <c r="U16" s="81"/>
      <c r="V16" s="81"/>
      <c r="W16" s="81"/>
      <c r="X16" s="81"/>
      <c r="Y16" s="81"/>
      <c r="Z16" s="81"/>
      <c r="AA16" s="82"/>
    </row>
    <row r="17" spans="1:27" x14ac:dyDescent="0.2">
      <c r="A17" s="57" t="s">
        <v>342</v>
      </c>
      <c r="B17" t="s">
        <v>664</v>
      </c>
      <c r="C17" t="s">
        <v>102</v>
      </c>
      <c r="D17" s="185">
        <v>6</v>
      </c>
      <c r="E17" s="148">
        <v>48.599999999999994</v>
      </c>
      <c r="F17" s="148">
        <v>12.5</v>
      </c>
      <c r="G17" s="148">
        <v>15.350000000000001</v>
      </c>
      <c r="H17" s="148">
        <v>9.9250000000000007</v>
      </c>
      <c r="I17" s="186">
        <v>0.25</v>
      </c>
      <c r="J17" s="148">
        <v>2.1333333333333333</v>
      </c>
      <c r="K17" s="148">
        <v>20.25</v>
      </c>
      <c r="L17" s="187"/>
      <c r="M17" s="187"/>
      <c r="N17" s="187"/>
      <c r="O17" s="187"/>
      <c r="P17" s="187"/>
      <c r="Q17" s="187"/>
      <c r="R17" s="187"/>
      <c r="S17" s="148">
        <v>307.26764705882351</v>
      </c>
      <c r="T17" s="81"/>
      <c r="U17" s="81"/>
      <c r="V17" s="81"/>
      <c r="W17" s="81"/>
      <c r="X17" s="81"/>
      <c r="Y17" s="81"/>
      <c r="Z17" s="81"/>
      <c r="AA17" s="82"/>
    </row>
    <row r="18" spans="1:27" x14ac:dyDescent="0.2">
      <c r="A18" s="57" t="s">
        <v>343</v>
      </c>
      <c r="B18" t="s">
        <v>665</v>
      </c>
      <c r="C18" t="s">
        <v>162</v>
      </c>
      <c r="D18" s="185">
        <v>10</v>
      </c>
      <c r="E18" s="148">
        <v>42.825000000000003</v>
      </c>
      <c r="F18" s="148">
        <v>11.8</v>
      </c>
      <c r="G18" s="148">
        <v>14.274999999999999</v>
      </c>
      <c r="H18" s="148">
        <v>9.6999999999999993</v>
      </c>
      <c r="I18" s="186">
        <v>0.25</v>
      </c>
      <c r="J18" s="148">
        <v>2.0666666666666664</v>
      </c>
      <c r="K18" s="148">
        <v>22.664705882352937</v>
      </c>
      <c r="L18" s="187"/>
      <c r="M18" s="187"/>
      <c r="N18" s="187"/>
      <c r="O18" s="187"/>
      <c r="P18" s="187"/>
      <c r="Q18" s="187"/>
      <c r="R18" s="187"/>
      <c r="S18" s="148">
        <v>329.57058823529405</v>
      </c>
      <c r="T18" s="81"/>
      <c r="U18" s="81"/>
      <c r="V18" s="81"/>
      <c r="W18" s="81"/>
      <c r="X18" s="81"/>
      <c r="Y18" s="81"/>
      <c r="Z18" s="81"/>
      <c r="AA18" s="82"/>
    </row>
    <row r="19" spans="1:27" x14ac:dyDescent="0.2">
      <c r="A19" s="57" t="s">
        <v>344</v>
      </c>
      <c r="B19" t="s">
        <v>666</v>
      </c>
      <c r="C19" t="s">
        <v>103</v>
      </c>
      <c r="D19" s="185">
        <v>5</v>
      </c>
      <c r="E19" s="148">
        <v>45.325000000000003</v>
      </c>
      <c r="F19" s="148">
        <v>12.324999999999999</v>
      </c>
      <c r="G19" s="148">
        <v>17.149999999999999</v>
      </c>
      <c r="H19" s="148">
        <v>10.55</v>
      </c>
      <c r="I19" s="186">
        <v>0.25</v>
      </c>
      <c r="J19" s="148">
        <v>1.9666666666666668</v>
      </c>
      <c r="K19" s="148">
        <v>22.841176470588234</v>
      </c>
      <c r="L19" s="187"/>
      <c r="M19" s="187"/>
      <c r="N19" s="187"/>
      <c r="O19" s="187"/>
      <c r="P19" s="187"/>
      <c r="Q19" s="187"/>
      <c r="R19" s="187"/>
      <c r="S19" s="148">
        <v>336.08235294117645</v>
      </c>
      <c r="T19" s="81"/>
      <c r="U19" s="81"/>
      <c r="V19" s="81"/>
      <c r="W19" s="81"/>
      <c r="X19" s="81"/>
      <c r="Y19" s="81"/>
      <c r="Z19" s="81"/>
      <c r="AA19" s="82"/>
    </row>
    <row r="20" spans="1:27" x14ac:dyDescent="0.2">
      <c r="A20" s="57" t="s">
        <v>345</v>
      </c>
      <c r="B20" t="s">
        <v>667</v>
      </c>
      <c r="C20" t="s">
        <v>104</v>
      </c>
      <c r="D20" s="185">
        <v>6</v>
      </c>
      <c r="E20" s="148">
        <v>40.674999999999997</v>
      </c>
      <c r="F20" s="148">
        <v>13.600000000000001</v>
      </c>
      <c r="G20" s="148">
        <v>11.95</v>
      </c>
      <c r="H20" s="148">
        <v>8.5249999999999986</v>
      </c>
      <c r="I20" s="186">
        <v>0.25</v>
      </c>
      <c r="J20" s="148">
        <v>1.8333333333333335</v>
      </c>
      <c r="K20" s="148">
        <v>24.4</v>
      </c>
      <c r="L20" s="187"/>
      <c r="M20" s="187"/>
      <c r="N20" s="187"/>
      <c r="O20" s="187"/>
      <c r="P20" s="187"/>
      <c r="Q20" s="187"/>
      <c r="R20" s="187"/>
      <c r="S20" s="148">
        <v>343.71470588235292</v>
      </c>
      <c r="T20" s="81"/>
      <c r="U20" s="81"/>
      <c r="V20" s="81"/>
      <c r="W20" s="81"/>
      <c r="X20" s="81"/>
      <c r="Y20" s="81"/>
      <c r="Z20" s="81"/>
      <c r="AA20" s="82"/>
    </row>
    <row r="21" spans="1:27" x14ac:dyDescent="0.2">
      <c r="A21" s="57" t="s">
        <v>346</v>
      </c>
      <c r="B21" t="s">
        <v>668</v>
      </c>
      <c r="C21" t="s">
        <v>105</v>
      </c>
      <c r="D21" s="185">
        <v>6</v>
      </c>
      <c r="E21" s="148">
        <v>45.95</v>
      </c>
      <c r="F21" s="148">
        <v>12.55</v>
      </c>
      <c r="G21" s="148">
        <v>17.524999999999999</v>
      </c>
      <c r="H21" s="148">
        <v>10.45</v>
      </c>
      <c r="I21" s="186">
        <v>0.25</v>
      </c>
      <c r="J21" s="148">
        <v>2.0333333333333332</v>
      </c>
      <c r="K21" s="148">
        <v>22.108823529411765</v>
      </c>
      <c r="L21" s="187"/>
      <c r="M21" s="187"/>
      <c r="N21" s="187"/>
      <c r="O21" s="187"/>
      <c r="P21" s="187"/>
      <c r="Q21" s="187"/>
      <c r="R21" s="187"/>
      <c r="S21" s="148">
        <v>318.66764705882355</v>
      </c>
      <c r="T21" s="81"/>
      <c r="U21" s="81"/>
      <c r="V21" s="81"/>
      <c r="W21" s="81"/>
      <c r="X21" s="81"/>
      <c r="Y21" s="81"/>
      <c r="Z21" s="81"/>
      <c r="AA21" s="82"/>
    </row>
    <row r="22" spans="1:27" x14ac:dyDescent="0.2">
      <c r="A22" s="57" t="s">
        <v>347</v>
      </c>
      <c r="B22" t="s">
        <v>669</v>
      </c>
      <c r="C22" t="s">
        <v>106</v>
      </c>
      <c r="D22" s="185">
        <v>6</v>
      </c>
      <c r="E22" s="148">
        <v>42.774999999999999</v>
      </c>
      <c r="F22" s="148">
        <v>12.5</v>
      </c>
      <c r="G22" s="148">
        <v>17.174999999999997</v>
      </c>
      <c r="H22" s="148">
        <v>9.7749999999999986</v>
      </c>
      <c r="I22" s="186">
        <v>0</v>
      </c>
      <c r="J22" s="148">
        <v>1.9499999999999997</v>
      </c>
      <c r="K22" s="148">
        <v>23.811764705882354</v>
      </c>
      <c r="L22" s="187"/>
      <c r="M22" s="187"/>
      <c r="N22" s="187"/>
      <c r="O22" s="187"/>
      <c r="P22" s="187"/>
      <c r="Q22" s="187"/>
      <c r="R22" s="187"/>
      <c r="S22" s="148">
        <v>329.80882352941177</v>
      </c>
      <c r="T22" s="81"/>
      <c r="U22" s="81"/>
      <c r="V22" s="81"/>
      <c r="W22" s="81"/>
      <c r="X22" s="81"/>
      <c r="Y22" s="81"/>
      <c r="Z22" s="81"/>
      <c r="AA22" s="82"/>
    </row>
    <row r="23" spans="1:27" x14ac:dyDescent="0.2">
      <c r="A23" s="57" t="s">
        <v>348</v>
      </c>
      <c r="B23" t="s">
        <v>670</v>
      </c>
      <c r="C23" t="s">
        <v>107</v>
      </c>
      <c r="D23" s="185">
        <v>14</v>
      </c>
      <c r="E23" s="148">
        <v>39.375</v>
      </c>
      <c r="F23" s="148">
        <v>12.85</v>
      </c>
      <c r="G23" s="148">
        <v>13.8</v>
      </c>
      <c r="H23" s="148">
        <v>9.625</v>
      </c>
      <c r="I23" s="186">
        <v>0</v>
      </c>
      <c r="J23" s="148">
        <v>2.0166666666666666</v>
      </c>
      <c r="K23" s="148">
        <v>23.241176470588236</v>
      </c>
      <c r="L23" s="187"/>
      <c r="M23" s="187"/>
      <c r="N23" s="187"/>
      <c r="O23" s="187"/>
      <c r="P23" s="187"/>
      <c r="Q23" s="187"/>
      <c r="R23" s="187"/>
      <c r="S23" s="148">
        <v>319.48823529411766</v>
      </c>
      <c r="T23" s="81"/>
      <c r="U23" s="81"/>
      <c r="V23" s="81"/>
      <c r="W23" s="81"/>
      <c r="X23" s="81"/>
      <c r="Y23" s="81"/>
      <c r="Z23" s="81"/>
      <c r="AA23" s="82"/>
    </row>
    <row r="24" spans="1:27" x14ac:dyDescent="0.2">
      <c r="A24" s="57" t="s">
        <v>349</v>
      </c>
      <c r="B24" t="s">
        <v>671</v>
      </c>
      <c r="C24" t="s">
        <v>108</v>
      </c>
      <c r="D24" s="185">
        <v>12</v>
      </c>
      <c r="E24" s="148">
        <v>41.724999999999994</v>
      </c>
      <c r="F24" s="148">
        <v>14</v>
      </c>
      <c r="G24" s="148">
        <v>13.175000000000001</v>
      </c>
      <c r="H24" s="148">
        <v>9.9749999999999996</v>
      </c>
      <c r="I24" s="186">
        <v>0</v>
      </c>
      <c r="J24" s="148">
        <v>2.0833333333333335</v>
      </c>
      <c r="K24" s="148">
        <v>21.349999999999998</v>
      </c>
      <c r="L24" s="187"/>
      <c r="M24" s="187"/>
      <c r="N24" s="187"/>
      <c r="O24" s="187"/>
      <c r="P24" s="187"/>
      <c r="Q24" s="187"/>
      <c r="R24" s="187"/>
      <c r="S24" s="148">
        <v>323.5</v>
      </c>
      <c r="T24" s="81"/>
      <c r="U24" s="81"/>
      <c r="V24" s="81"/>
      <c r="W24" s="81"/>
      <c r="X24" s="81"/>
      <c r="Y24" s="81"/>
      <c r="Z24" s="81"/>
      <c r="AA24" s="82"/>
    </row>
    <row r="25" spans="1:27" x14ac:dyDescent="0.2">
      <c r="A25" s="57" t="s">
        <v>350</v>
      </c>
      <c r="B25" t="s">
        <v>672</v>
      </c>
      <c r="C25" t="s">
        <v>109</v>
      </c>
      <c r="D25" s="185">
        <v>11</v>
      </c>
      <c r="E25" s="148">
        <v>42.525000000000006</v>
      </c>
      <c r="F25" s="148">
        <v>12.925000000000001</v>
      </c>
      <c r="G25" s="148">
        <v>18.549999999999997</v>
      </c>
      <c r="H25" s="148">
        <v>11.074999999999999</v>
      </c>
      <c r="I25" s="186">
        <v>0</v>
      </c>
      <c r="J25" s="148">
        <v>2.0666666666666669</v>
      </c>
      <c r="K25" s="148">
        <v>23.708823529411767</v>
      </c>
      <c r="L25" s="187"/>
      <c r="M25" s="187"/>
      <c r="N25" s="187"/>
      <c r="O25" s="187"/>
      <c r="P25" s="187"/>
      <c r="Q25" s="187"/>
      <c r="R25" s="187"/>
      <c r="S25" s="148">
        <v>342.30882352941177</v>
      </c>
      <c r="T25" s="81"/>
      <c r="U25" s="81"/>
      <c r="V25" s="81"/>
      <c r="W25" s="81"/>
      <c r="X25" s="81"/>
      <c r="Y25" s="81"/>
      <c r="Z25" s="81"/>
      <c r="AA25" s="82"/>
    </row>
    <row r="26" spans="1:27" x14ac:dyDescent="0.2">
      <c r="A26" s="57" t="s">
        <v>351</v>
      </c>
      <c r="B26" t="s">
        <v>673</v>
      </c>
      <c r="C26" t="s">
        <v>110</v>
      </c>
      <c r="D26" s="185">
        <v>12</v>
      </c>
      <c r="E26" s="148">
        <v>46.7</v>
      </c>
      <c r="F26" s="148">
        <v>14.975000000000001</v>
      </c>
      <c r="G26" s="148">
        <v>15</v>
      </c>
      <c r="H26" s="148">
        <v>9.625</v>
      </c>
      <c r="I26" s="186">
        <v>0.5</v>
      </c>
      <c r="J26" s="148">
        <v>2.2166666666666668</v>
      </c>
      <c r="K26" s="148">
        <v>19.835294117647059</v>
      </c>
      <c r="L26" s="187"/>
      <c r="M26" s="187"/>
      <c r="N26" s="187"/>
      <c r="O26" s="187"/>
      <c r="P26" s="187"/>
      <c r="Q26" s="187"/>
      <c r="R26" s="187"/>
      <c r="S26" s="148">
        <v>296.75588235294117</v>
      </c>
      <c r="T26" s="81"/>
      <c r="U26" s="81"/>
      <c r="V26" s="81"/>
      <c r="W26" s="81"/>
      <c r="X26" s="81"/>
      <c r="Y26" s="81"/>
      <c r="Z26" s="81"/>
      <c r="AA26" s="82"/>
    </row>
    <row r="27" spans="1:27" x14ac:dyDescent="0.2">
      <c r="A27" s="57" t="s">
        <v>352</v>
      </c>
      <c r="B27" t="s">
        <v>674</v>
      </c>
      <c r="C27" t="s">
        <v>111</v>
      </c>
      <c r="D27" s="185">
        <v>5</v>
      </c>
      <c r="E27" s="148">
        <v>50.3</v>
      </c>
      <c r="F27" s="148">
        <v>14.175000000000001</v>
      </c>
      <c r="G27" s="148">
        <v>14.274999999999999</v>
      </c>
      <c r="H27" s="148">
        <v>10.25</v>
      </c>
      <c r="I27" s="186">
        <v>0</v>
      </c>
      <c r="J27" s="148">
        <v>2.0499999999999998</v>
      </c>
      <c r="K27" s="148">
        <v>22.741176470588236</v>
      </c>
      <c r="L27" s="187"/>
      <c r="M27" s="187"/>
      <c r="N27" s="187"/>
      <c r="O27" s="187"/>
      <c r="P27" s="187"/>
      <c r="Q27" s="187"/>
      <c r="R27" s="187"/>
      <c r="S27" s="148">
        <v>325.75882352941176</v>
      </c>
      <c r="T27" s="81"/>
      <c r="U27" s="81"/>
      <c r="V27" s="81"/>
      <c r="W27" s="81"/>
      <c r="X27" s="81"/>
      <c r="Y27" s="81"/>
      <c r="Z27" s="81"/>
      <c r="AA27" s="82"/>
    </row>
    <row r="28" spans="1:27" x14ac:dyDescent="0.2">
      <c r="A28" s="57" t="s">
        <v>353</v>
      </c>
      <c r="B28" t="s">
        <v>675</v>
      </c>
      <c r="C28" t="s">
        <v>112</v>
      </c>
      <c r="D28" s="185">
        <v>9</v>
      </c>
      <c r="E28" s="148">
        <v>46.924999999999997</v>
      </c>
      <c r="F28" s="148">
        <v>13.625</v>
      </c>
      <c r="G28" s="148">
        <v>15.574999999999999</v>
      </c>
      <c r="H28" s="148">
        <v>9.7250000000000014</v>
      </c>
      <c r="I28" s="186">
        <v>0</v>
      </c>
      <c r="J28" s="148">
        <v>2.15</v>
      </c>
      <c r="K28" s="148">
        <v>20.823529411764707</v>
      </c>
      <c r="L28" s="187"/>
      <c r="M28" s="187"/>
      <c r="N28" s="187"/>
      <c r="O28" s="187"/>
      <c r="P28" s="187"/>
      <c r="Q28" s="187"/>
      <c r="R28" s="187"/>
      <c r="S28" s="148">
        <v>326.42352941176478</v>
      </c>
      <c r="T28" s="81"/>
      <c r="U28" s="81"/>
      <c r="V28" s="81"/>
      <c r="W28" s="81"/>
      <c r="X28" s="81"/>
      <c r="Y28" s="81"/>
      <c r="Z28" s="81"/>
      <c r="AA28" s="82"/>
    </row>
    <row r="29" spans="1:27" x14ac:dyDescent="0.2">
      <c r="A29" s="57" t="s">
        <v>354</v>
      </c>
      <c r="B29" t="s">
        <v>676</v>
      </c>
      <c r="C29" t="s">
        <v>114</v>
      </c>
      <c r="D29" s="185">
        <v>9</v>
      </c>
      <c r="E29" s="148">
        <v>43.7</v>
      </c>
      <c r="F29" s="148">
        <v>15.25</v>
      </c>
      <c r="G29" s="148">
        <v>13.425000000000001</v>
      </c>
      <c r="H29" s="148">
        <v>9.5250000000000004</v>
      </c>
      <c r="I29" s="186">
        <v>0.25</v>
      </c>
      <c r="J29" s="148">
        <v>2.15</v>
      </c>
      <c r="K29" s="148">
        <v>19.388235294117649</v>
      </c>
      <c r="L29" s="187"/>
      <c r="M29" s="187"/>
      <c r="N29" s="187"/>
      <c r="O29" s="187"/>
      <c r="P29" s="187"/>
      <c r="Q29" s="187"/>
      <c r="R29" s="187"/>
      <c r="S29" s="148">
        <v>318.73529411764707</v>
      </c>
      <c r="T29" s="81"/>
      <c r="U29" s="81"/>
      <c r="V29" s="81"/>
      <c r="W29" s="81"/>
      <c r="X29" s="81"/>
      <c r="Y29" s="81"/>
      <c r="Z29" s="81"/>
      <c r="AA29" s="82"/>
    </row>
    <row r="30" spans="1:27" x14ac:dyDescent="0.2">
      <c r="A30" s="57" t="s">
        <v>355</v>
      </c>
      <c r="B30" t="s">
        <v>677</v>
      </c>
      <c r="C30" t="s">
        <v>113</v>
      </c>
      <c r="D30" s="185">
        <v>10</v>
      </c>
      <c r="E30" s="148">
        <v>44.724999999999994</v>
      </c>
      <c r="F30" s="148">
        <v>13.324999999999999</v>
      </c>
      <c r="G30" s="148">
        <v>14.025</v>
      </c>
      <c r="H30" s="148">
        <v>9.6</v>
      </c>
      <c r="I30" s="186">
        <v>0.25</v>
      </c>
      <c r="J30" s="148">
        <v>1.8333333333333335</v>
      </c>
      <c r="K30" s="148">
        <v>23.202941176470592</v>
      </c>
      <c r="L30" s="187"/>
      <c r="M30" s="187"/>
      <c r="N30" s="187"/>
      <c r="O30" s="187"/>
      <c r="P30" s="187"/>
      <c r="Q30" s="187"/>
      <c r="R30" s="187"/>
      <c r="S30" s="148">
        <v>342.14705882352939</v>
      </c>
      <c r="T30" s="81"/>
      <c r="U30" s="81"/>
      <c r="V30" s="81"/>
      <c r="W30" s="81"/>
      <c r="X30" s="81"/>
      <c r="Y30" s="81"/>
      <c r="Z30" s="81"/>
      <c r="AA30" s="82"/>
    </row>
    <row r="31" spans="1:27" x14ac:dyDescent="0.2">
      <c r="A31" s="57" t="s">
        <v>356</v>
      </c>
      <c r="B31" t="s">
        <v>678</v>
      </c>
      <c r="C31" t="s">
        <v>115</v>
      </c>
      <c r="D31" s="185">
        <v>11</v>
      </c>
      <c r="E31" s="148">
        <v>44.599999999999994</v>
      </c>
      <c r="F31" s="148">
        <v>12.125</v>
      </c>
      <c r="G31" s="148">
        <v>18.350000000000001</v>
      </c>
      <c r="H31" s="148">
        <v>10.274999999999999</v>
      </c>
      <c r="I31" s="186">
        <v>0</v>
      </c>
      <c r="J31" s="148">
        <v>1.9666666666666666</v>
      </c>
      <c r="K31" s="148">
        <v>21.720588235294116</v>
      </c>
      <c r="L31" s="187"/>
      <c r="M31" s="187"/>
      <c r="N31" s="187"/>
      <c r="O31" s="187"/>
      <c r="P31" s="187"/>
      <c r="Q31" s="187"/>
      <c r="R31" s="187"/>
      <c r="S31" s="148">
        <v>330.23235294117649</v>
      </c>
      <c r="T31" s="81"/>
      <c r="U31" s="81"/>
      <c r="V31" s="81"/>
      <c r="W31" s="81"/>
      <c r="X31" s="81"/>
      <c r="Y31" s="81"/>
      <c r="Z31" s="81"/>
      <c r="AA31" s="82"/>
    </row>
    <row r="32" spans="1:27" x14ac:dyDescent="0.2">
      <c r="A32" s="57" t="s">
        <v>357</v>
      </c>
      <c r="B32" t="s">
        <v>679</v>
      </c>
      <c r="C32" t="s">
        <v>116</v>
      </c>
      <c r="D32" s="185">
        <v>5</v>
      </c>
      <c r="E32" s="148">
        <v>41.724999999999994</v>
      </c>
      <c r="F32" s="148">
        <v>11.775</v>
      </c>
      <c r="G32" s="148">
        <v>12.649999999999999</v>
      </c>
      <c r="H32" s="148">
        <v>9.2250000000000014</v>
      </c>
      <c r="I32" s="186">
        <v>0</v>
      </c>
      <c r="J32" s="148">
        <v>1.8</v>
      </c>
      <c r="K32" s="148">
        <v>23.773529411764709</v>
      </c>
      <c r="L32" s="187"/>
      <c r="M32" s="187"/>
      <c r="N32" s="187"/>
      <c r="O32" s="187"/>
      <c r="P32" s="187"/>
      <c r="Q32" s="187"/>
      <c r="R32" s="187"/>
      <c r="S32" s="148">
        <v>336.81470588235294</v>
      </c>
      <c r="T32" s="81"/>
      <c r="U32" s="81"/>
      <c r="V32" s="81"/>
      <c r="W32" s="81"/>
      <c r="X32" s="81"/>
      <c r="Y32" s="81"/>
      <c r="Z32" s="81"/>
      <c r="AA32" s="82"/>
    </row>
    <row r="33" spans="1:27" x14ac:dyDescent="0.2">
      <c r="A33" s="57" t="s">
        <v>358</v>
      </c>
      <c r="B33" t="s">
        <v>680</v>
      </c>
      <c r="C33" t="s">
        <v>119</v>
      </c>
      <c r="D33" s="185">
        <v>14</v>
      </c>
      <c r="E33" s="148">
        <v>46.775000000000006</v>
      </c>
      <c r="F33" s="148">
        <v>12.35</v>
      </c>
      <c r="G33" s="148">
        <v>15.75</v>
      </c>
      <c r="H33" s="148">
        <v>9.9499999999999993</v>
      </c>
      <c r="I33" s="186">
        <v>0.25</v>
      </c>
      <c r="J33" s="148">
        <v>1.8333333333333335</v>
      </c>
      <c r="K33" s="148">
        <v>25.541176470588233</v>
      </c>
      <c r="L33" s="187"/>
      <c r="M33" s="187"/>
      <c r="N33" s="187"/>
      <c r="O33" s="187"/>
      <c r="P33" s="187"/>
      <c r="Q33" s="187"/>
      <c r="R33" s="187"/>
      <c r="S33" s="148">
        <v>337.41764705882355</v>
      </c>
      <c r="T33" s="81"/>
      <c r="U33" s="81"/>
      <c r="V33" s="81"/>
      <c r="W33" s="81"/>
      <c r="X33" s="81"/>
      <c r="Y33" s="81"/>
      <c r="Z33" s="81"/>
      <c r="AA33" s="82"/>
    </row>
    <row r="35" spans="1:27" x14ac:dyDescent="0.2">
      <c r="R35" s="153"/>
    </row>
    <row r="36" spans="1:27" x14ac:dyDescent="0.2">
      <c r="R36" s="153"/>
    </row>
    <row r="37" spans="1:27" x14ac:dyDescent="0.2">
      <c r="R37" s="153"/>
    </row>
    <row r="38" spans="1:27" x14ac:dyDescent="0.2">
      <c r="R38" s="153"/>
    </row>
    <row r="39" spans="1:27" x14ac:dyDescent="0.2">
      <c r="R39" s="153"/>
    </row>
    <row r="40" spans="1:27" x14ac:dyDescent="0.2">
      <c r="R40" s="153"/>
    </row>
    <row r="41" spans="1:27" x14ac:dyDescent="0.2">
      <c r="R41" s="153"/>
    </row>
    <row r="42" spans="1:27" x14ac:dyDescent="0.2">
      <c r="R42" s="153"/>
    </row>
    <row r="43" spans="1:27" x14ac:dyDescent="0.2">
      <c r="R43" s="153"/>
    </row>
    <row r="44" spans="1:27" x14ac:dyDescent="0.2">
      <c r="R44" s="153"/>
    </row>
    <row r="45" spans="1:27" x14ac:dyDescent="0.2">
      <c r="R45" s="153"/>
    </row>
    <row r="46" spans="1:27" x14ac:dyDescent="0.2">
      <c r="R46" s="153"/>
    </row>
    <row r="47" spans="1:27" x14ac:dyDescent="0.2">
      <c r="R47" s="153"/>
    </row>
    <row r="48" spans="1:27" x14ac:dyDescent="0.2">
      <c r="R48" s="153"/>
    </row>
    <row r="49" spans="18:18" x14ac:dyDescent="0.2">
      <c r="R49" s="153"/>
    </row>
    <row r="50" spans="18:18" x14ac:dyDescent="0.2">
      <c r="R50" s="153"/>
    </row>
    <row r="51" spans="18:18" x14ac:dyDescent="0.2">
      <c r="R51" s="153"/>
    </row>
    <row r="52" spans="18:18" x14ac:dyDescent="0.2">
      <c r="R52" s="153"/>
    </row>
    <row r="53" spans="18:18" x14ac:dyDescent="0.2">
      <c r="R53" s="153"/>
    </row>
    <row r="54" spans="18:18" x14ac:dyDescent="0.2">
      <c r="R54" s="153"/>
    </row>
    <row r="55" spans="18:18" x14ac:dyDescent="0.2">
      <c r="R55" s="153"/>
    </row>
    <row r="56" spans="18:18" x14ac:dyDescent="0.2">
      <c r="R56" s="153"/>
    </row>
    <row r="57" spans="18:18" x14ac:dyDescent="0.2">
      <c r="R57" s="153"/>
    </row>
    <row r="58" spans="18:18" x14ac:dyDescent="0.2">
      <c r="R58" s="153"/>
    </row>
    <row r="59" spans="18:18" x14ac:dyDescent="0.2">
      <c r="R59" s="153"/>
    </row>
    <row r="60" spans="18:18" x14ac:dyDescent="0.2">
      <c r="R60" s="153"/>
    </row>
    <row r="61" spans="18:18" x14ac:dyDescent="0.2">
      <c r="R61" s="153"/>
    </row>
    <row r="62" spans="18:18" x14ac:dyDescent="0.2">
      <c r="R62" s="153"/>
    </row>
    <row r="63" spans="18:18" x14ac:dyDescent="0.2">
      <c r="R63" s="153"/>
    </row>
    <row r="64" spans="18:18" x14ac:dyDescent="0.2">
      <c r="R64" s="153"/>
    </row>
    <row r="65" spans="18:18" x14ac:dyDescent="0.2">
      <c r="R65" s="153"/>
    </row>
    <row r="66" spans="18:18" x14ac:dyDescent="0.2">
      <c r="R66" s="153"/>
    </row>
  </sheetData>
  <sheetProtection selectLockedCells="1"/>
  <sortState xmlns:xlrd2="http://schemas.microsoft.com/office/spreadsheetml/2017/richdata2" ref="B2:S66">
    <sortCondition ref="B2:B66"/>
  </sortState>
  <phoneticPr fontId="19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1">
    <tabColor rgb="FFF5DCFF"/>
  </sheetPr>
  <dimension ref="A1:BN306"/>
  <sheetViews>
    <sheetView showGridLines="0" zoomScale="85" zoomScaleNormal="85" workbookViewId="0">
      <pane ySplit="1" topLeftCell="A2" activePane="bottomLeft" state="frozen"/>
      <selection activeCell="B1" sqref="B1"/>
      <selection pane="bottomLeft" activeCell="B1" sqref="B1"/>
    </sheetView>
  </sheetViews>
  <sheetFormatPr defaultColWidth="4.7109375" defaultRowHeight="12.75" x14ac:dyDescent="0.2"/>
  <cols>
    <col min="1" max="1" width="4.140625" bestFit="1" customWidth="1"/>
    <col min="2" max="2" width="23.5703125" bestFit="1" customWidth="1"/>
    <col min="3" max="3" width="4.85546875" bestFit="1" customWidth="1"/>
    <col min="4" max="4" width="4" bestFit="1" customWidth="1"/>
    <col min="5" max="5" width="5.7109375" style="52" bestFit="1" customWidth="1"/>
    <col min="6" max="6" width="7.5703125" style="124" bestFit="1" customWidth="1"/>
    <col min="7" max="7" width="4.7109375" customWidth="1"/>
    <col min="8" max="8" width="4.140625" bestFit="1" customWidth="1"/>
    <col min="9" max="9" width="19.28515625" bestFit="1" customWidth="1"/>
    <col min="10" max="10" width="4.85546875" bestFit="1" customWidth="1"/>
    <col min="11" max="11" width="4" bestFit="1" customWidth="1"/>
    <col min="12" max="12" width="5.7109375" style="52" bestFit="1" customWidth="1"/>
    <col min="13" max="13" width="7" style="52" bestFit="1" customWidth="1"/>
    <col min="14" max="14" width="4.7109375" customWidth="1"/>
    <col min="15" max="15" width="4.140625" bestFit="1" customWidth="1"/>
    <col min="16" max="16" width="22" bestFit="1" customWidth="1"/>
    <col min="17" max="17" width="4.85546875" bestFit="1" customWidth="1"/>
    <col min="18" max="18" width="4" bestFit="1" customWidth="1"/>
    <col min="19" max="19" width="5.7109375" style="52" bestFit="1" customWidth="1"/>
    <col min="20" max="20" width="7" style="52" bestFit="1" customWidth="1"/>
    <col min="21" max="21" width="4.7109375" customWidth="1"/>
    <col min="22" max="22" width="4.140625" bestFit="1" customWidth="1"/>
    <col min="23" max="23" width="18.28515625" bestFit="1" customWidth="1"/>
    <col min="24" max="24" width="4.85546875" bestFit="1" customWidth="1"/>
    <col min="25" max="25" width="4" bestFit="1" customWidth="1"/>
    <col min="26" max="26" width="5.7109375" style="52" bestFit="1" customWidth="1"/>
    <col min="27" max="27" width="6.5703125" style="52" bestFit="1" customWidth="1"/>
    <col min="28" max="28" width="4.7109375" hidden="1" customWidth="1"/>
    <col min="29" max="29" width="5.5703125" hidden="1" customWidth="1"/>
    <col min="30" max="30" width="4.28515625" hidden="1" customWidth="1"/>
    <col min="31" max="31" width="3.7109375" customWidth="1"/>
    <col min="32" max="33" width="4.140625" hidden="1" customWidth="1"/>
    <col min="34" max="34" width="6.85546875" hidden="1" customWidth="1"/>
    <col min="35" max="35" width="22" hidden="1" customWidth="1"/>
    <col min="36" max="36" width="6.85546875" style="57" hidden="1" customWidth="1"/>
    <col min="37" max="37" width="4" style="57" hidden="1" customWidth="1"/>
    <col min="38" max="38" width="7" style="82" hidden="1" customWidth="1"/>
    <col min="39" max="39" width="7.5703125" hidden="1" customWidth="1"/>
    <col min="40" max="40" width="6" hidden="1" customWidth="1"/>
    <col min="41" max="41" width="4.140625" bestFit="1" customWidth="1"/>
    <col min="42" max="42" width="22" bestFit="1" customWidth="1"/>
    <col min="43" max="43" width="6.85546875" style="57" bestFit="1" customWidth="1"/>
    <col min="44" max="44" width="4" style="57" bestFit="1" customWidth="1"/>
    <col min="45" max="45" width="5.7109375" bestFit="1" customWidth="1"/>
    <col min="46" max="46" width="7.5703125" bestFit="1" customWidth="1"/>
    <col min="47" max="47" width="4.7109375" customWidth="1"/>
    <col min="48" max="48" width="4.140625" bestFit="1" customWidth="1"/>
    <col min="49" max="49" width="22" bestFit="1" customWidth="1"/>
    <col min="50" max="50" width="6.85546875" bestFit="1" customWidth="1"/>
    <col min="51" max="51" width="4" style="52" bestFit="1" customWidth="1"/>
    <col min="52" max="52" width="5.7109375" style="52" bestFit="1" customWidth="1"/>
    <col min="53" max="53" width="6.28515625" bestFit="1" customWidth="1"/>
    <col min="54" max="54" width="4.7109375" hidden="1" customWidth="1"/>
    <col min="55" max="55" width="4.140625" hidden="1" customWidth="1"/>
    <col min="56" max="56" width="3.85546875" hidden="1" customWidth="1"/>
    <col min="57" max="57" width="7.85546875" hidden="1" customWidth="1"/>
    <col min="58" max="58" width="22.28515625" hidden="1" customWidth="1"/>
    <col min="59" max="59" width="6.85546875" hidden="1" customWidth="1"/>
    <col min="60" max="60" width="3.85546875" hidden="1" customWidth="1"/>
    <col min="61" max="61" width="7.140625" hidden="1" customWidth="1"/>
    <col min="62" max="62" width="6.28515625" hidden="1" customWidth="1"/>
    <col min="63" max="63" width="0" hidden="1" customWidth="1"/>
    <col min="64" max="64" width="3.7109375" hidden="1" customWidth="1"/>
    <col min="65" max="65" width="4.28515625" hidden="1" customWidth="1"/>
  </cols>
  <sheetData>
    <row r="1" spans="1:66" s="109" customFormat="1" x14ac:dyDescent="0.2">
      <c r="A1" s="109" t="s">
        <v>136</v>
      </c>
      <c r="B1" s="109" t="s">
        <v>374</v>
      </c>
      <c r="C1" s="109" t="s">
        <v>86</v>
      </c>
      <c r="D1" s="109" t="s">
        <v>122</v>
      </c>
      <c r="E1" s="110" t="s">
        <v>117</v>
      </c>
      <c r="F1" s="111" t="s">
        <v>368</v>
      </c>
      <c r="H1" s="109" t="s">
        <v>136</v>
      </c>
      <c r="I1" s="109" t="s">
        <v>373</v>
      </c>
      <c r="J1" s="109" t="s">
        <v>86</v>
      </c>
      <c r="K1" s="109" t="s">
        <v>122</v>
      </c>
      <c r="L1" s="110" t="s">
        <v>117</v>
      </c>
      <c r="M1" s="111" t="s">
        <v>368</v>
      </c>
      <c r="O1" s="109" t="s">
        <v>136</v>
      </c>
      <c r="P1" s="109" t="s">
        <v>372</v>
      </c>
      <c r="Q1" s="109" t="s">
        <v>86</v>
      </c>
      <c r="R1" s="109" t="s">
        <v>122</v>
      </c>
      <c r="S1" s="110" t="s">
        <v>117</v>
      </c>
      <c r="T1" s="111" t="s">
        <v>368</v>
      </c>
      <c r="V1" s="109" t="s">
        <v>136</v>
      </c>
      <c r="W1" s="109" t="s">
        <v>371</v>
      </c>
      <c r="X1" s="109" t="s">
        <v>86</v>
      </c>
      <c r="Y1" s="109" t="s">
        <v>122</v>
      </c>
      <c r="Z1" s="110" t="s">
        <v>117</v>
      </c>
      <c r="AA1" s="111" t="s">
        <v>368</v>
      </c>
      <c r="AC1" s="109" t="s">
        <v>375</v>
      </c>
      <c r="AD1" s="109" t="s">
        <v>376</v>
      </c>
      <c r="AF1" s="109" t="s">
        <v>8</v>
      </c>
      <c r="AG1" s="109" t="s">
        <v>136</v>
      </c>
      <c r="AH1" s="109" t="s">
        <v>377</v>
      </c>
      <c r="AI1" s="109" t="s">
        <v>370</v>
      </c>
      <c r="AJ1" s="109" t="s">
        <v>379</v>
      </c>
      <c r="AK1" s="109" t="s">
        <v>122</v>
      </c>
      <c r="AL1" s="110" t="s">
        <v>321</v>
      </c>
      <c r="AM1" s="111" t="s">
        <v>368</v>
      </c>
      <c r="AO1" s="109" t="s">
        <v>136</v>
      </c>
      <c r="AP1" s="109" t="s">
        <v>370</v>
      </c>
      <c r="AQ1" s="109" t="s">
        <v>379</v>
      </c>
      <c r="AR1" s="109" t="s">
        <v>122</v>
      </c>
      <c r="AS1" s="110" t="s">
        <v>117</v>
      </c>
      <c r="AT1" s="111" t="s">
        <v>368</v>
      </c>
      <c r="AV1" s="109" t="s">
        <v>136</v>
      </c>
      <c r="AW1" s="109" t="s">
        <v>369</v>
      </c>
      <c r="AX1" s="109" t="s">
        <v>379</v>
      </c>
      <c r="AY1" s="109" t="s">
        <v>122</v>
      </c>
      <c r="AZ1" s="110" t="s">
        <v>117</v>
      </c>
      <c r="BA1" s="111" t="s">
        <v>368</v>
      </c>
      <c r="BC1" s="109" t="s">
        <v>8</v>
      </c>
      <c r="BD1" s="109" t="s">
        <v>136</v>
      </c>
      <c r="BE1" s="109" t="s">
        <v>377</v>
      </c>
      <c r="BF1" s="109" t="s">
        <v>370</v>
      </c>
      <c r="BG1" s="109" t="s">
        <v>379</v>
      </c>
      <c r="BH1" s="109" t="s">
        <v>122</v>
      </c>
      <c r="BI1" s="110" t="s">
        <v>321</v>
      </c>
      <c r="BJ1" s="111" t="s">
        <v>368</v>
      </c>
    </row>
    <row r="2" spans="1:66" x14ac:dyDescent="0.2">
      <c r="A2">
        <v>1</v>
      </c>
      <c r="B2" s="112" t="str">
        <f>IFERROR(INDEX(TableQBCalcPts[PLAYER],MATCH(TableQBVORP[[#This Row],[RK]],TableQBCalcPts[RK],0)),"")</f>
        <v>Josh Allen</v>
      </c>
      <c r="C2" s="112" t="str">
        <f>IFERROR(INDEX(TableQBCalcPts[TM],MATCH(TableQBVORP[[#This Row],[RK]],TableQBCalcPts[RK],0)),"")</f>
        <v>BUF</v>
      </c>
      <c r="D2" s="112">
        <f>IFERROR(INDEX(TableQBCalcPts[BYE],MATCH(TableQBVORP[[#This Row],[RK]],TableQBCalcPts[RK],0)),"")</f>
        <v>12</v>
      </c>
      <c r="E2" s="113">
        <f>IFERROR(INDEX(TableQBCalcPts[Custom],MATCH(TableQBVORP[[#This Row],[RK]],TableQBCalcPts[RK],0)),"")</f>
        <v>396.35644294244599</v>
      </c>
      <c r="F2" s="114">
        <f>(IFERROR((TableQBVORP[[#This Row],[FPS]]-INDEX(TableQBVORP[FPS],MATCH(QBVORPCalc,TableQBVORP[RK],0)))/INDEX(TableQBVORP[FPS],MATCH(QBVORPCalc,TableQBVORP[RK],0)),""))+(TableRBVORP[[#This Row],[VORP]]*0.45)</f>
        <v>0.65942851080774334</v>
      </c>
      <c r="H2">
        <v>1</v>
      </c>
      <c r="I2" s="112" t="str">
        <f>IFERROR(INDEX(TableRBCalcPts[PLAYER],MATCH(TableRBVORP[[#This Row],[RK]],TableRBCalcPts[RK],0)),"")</f>
        <v>Christian McCaffrey</v>
      </c>
      <c r="J2" s="112" t="str">
        <f>IFERROR(INDEX(TableRBCalcPts[TM],MATCH(TableRBVORP[[#This Row],[RK]],TableRBCalcPts[RK],0)),"")</f>
        <v>SF</v>
      </c>
      <c r="K2" s="112">
        <f>IFERROR(INDEX(TableRBCalcPts[BYE],MATCH(TableRBVORP[[#This Row],[RK]],TableRBCalcPts[RK],0)),"")</f>
        <v>9</v>
      </c>
      <c r="L2" s="113">
        <f>IFERROR(INDEX(TableRBCalcPts[Custom],MATCH(TableRBVORP[[#This Row],[RK]],TableRBCalcPts[RK],0)),"")</f>
        <v>318.16897140131476</v>
      </c>
      <c r="M2" s="114">
        <f>(IFERROR((TableRBVORP[[#This Row],[FPS]]-INDEX(TableRBVORP[FPS],MATCH(RBVORPCalc,TableRBVORP[RK],0)))/INDEX(TableRBVORP[FPS],MATCH(RBVORPCalc,TableRBVORP[RK],0)),""))*0.8</f>
        <v>1.3226675978171283</v>
      </c>
      <c r="O2">
        <v>1</v>
      </c>
      <c r="P2" s="112" t="str">
        <f>IFERROR(INDEX(TableWRCalcPts[PLAYER],MATCH(TableWRVORP[[#This Row],[RK]],TableWRCalcPts[RK],0)),"")</f>
        <v>CeeDee Lamb</v>
      </c>
      <c r="Q2" s="112" t="str">
        <f>IFERROR(INDEX(TableWRCalcPts[TM],MATCH(TableWRVORP[[#This Row],[RK]],TableWRCalcPts[RK],0)),"")</f>
        <v>DAL</v>
      </c>
      <c r="R2" s="112">
        <f>IFERROR(INDEX(TableWRCalcPts[BYE],MATCH(TableWRVORP[[#This Row],[RK]],TableWRCalcPts[RK],0)),"")</f>
        <v>7</v>
      </c>
      <c r="S2" s="113">
        <f>IFERROR(INDEX(TableWRCalcPts[Custom],MATCH(TableWRVORP[[#This Row],[RK]],TableWRCalcPts[RK],0)),"")</f>
        <v>271.55717234290148</v>
      </c>
      <c r="T2" s="114">
        <f>(IFERROR((TableWRVORP[[#This Row],[FPS]]-INDEX(TableWRVORP[FPS],MATCH(WRVORPCalc,TableWRVORP[RK],0)))/INDEX(TableWRVORP[FPS],MATCH(WRVORPCalc,TableWRVORP[RK],0)),""))*1.2</f>
        <v>1.0134939053299514</v>
      </c>
      <c r="V2">
        <v>1</v>
      </c>
      <c r="W2" s="112" t="str">
        <f>IFERROR(INDEX(TableTECalcPts[PLAYER],MATCH(TableTEVORP[[#This Row],[RK]],TableTECalcPts[RK],0)),"")</f>
        <v>Travis Kelce</v>
      </c>
      <c r="X2" s="112" t="str">
        <f>IFERROR(INDEX(TableTECalcPts[TM],MATCH(TableTEVORP[[#This Row],[RK]],TableTECalcPts[RK],0)),"")</f>
        <v>KC</v>
      </c>
      <c r="Y2" s="112">
        <f>IFERROR(INDEX(TableTECalcPts[BYE],MATCH(TableTEVORP[[#This Row],[RK]],TableTECalcPts[RK],0)),"")</f>
        <v>6</v>
      </c>
      <c r="Z2" s="113">
        <f>IFERROR(INDEX(TableTECalcPts[Custom],MATCH(TableTEVORP[[#This Row],[RK]],TableTECalcPts[RK],0)),"")</f>
        <v>200.94815106912</v>
      </c>
      <c r="AA2" s="114">
        <f>IFERROR((TableTEVORP[[#This Row],[FPS]]-INDEX(TableTEVORP[FPS],MATCH(TEVORPCalc,TableTEVORP[RK],0)))/INDEX(TableTEVORP[FPS],MATCH(TEVORPCalc,TableTEVORP[RK],0)),"")</f>
        <v>0.52650891110472542</v>
      </c>
      <c r="AC2" t="s">
        <v>9</v>
      </c>
      <c r="AD2" s="83">
        <f>IF(STARTING_QB=2,((STARTING_QB*TEAMS)+(AD10)),IF(STARTING_SUPERFLEX=1,((STARTING_QB*(TEAMS*2))+(AD10)),IF(STARTING_SUPERFLEX=2,((STARTING_QB*(TEAMS*2))+(AD10)),((STARTING_QB*TEAMS)+(AD10-(TEAMS))))))</f>
        <v>2</v>
      </c>
      <c r="AF2" t="s">
        <v>9</v>
      </c>
      <c r="AG2">
        <v>1</v>
      </c>
      <c r="AH2" s="83">
        <f>RANK(TableOverallMaster[[#This Row],[VORP]],TableOverallMaster[VORP])+COUNTIF($AM$2:AM2,AM2)-1</f>
        <v>14</v>
      </c>
      <c r="AI2" s="115" t="str">
        <f>IFERROR(INDEX(TableQBVORP[QUARTERBACK],MATCH(TableOverallMaster[[#This Row],[RK]],TableQBVORP[RK],0)),"")</f>
        <v>Josh Allen</v>
      </c>
      <c r="AJ2" s="115" t="str">
        <f t="shared" ref="AJ2:AJ65" si="0">CONCATENATE(AF2,AG2)</f>
        <v>QB1</v>
      </c>
      <c r="AK2" s="115">
        <f>IFERROR(INDEX(TableQBVORP[BYE],MATCH(TableOverallMaster[[#This Row],[RK]],TableQBVORP[RK],0)),"")</f>
        <v>12</v>
      </c>
      <c r="AL2" s="116">
        <f>IFERROR(INDEX(TableQBVORP[FPS],MATCH(TableOverallMaster[[#This Row],[RK]],TableQBVORP[RK],0)),"")</f>
        <v>396.35644294244599</v>
      </c>
      <c r="AM2" s="117">
        <f>IFERROR(INDEX(TableQBVORP[VORP],MATCH(TableOverallMaster[[#This Row],[RK]],TableQBVORP[RK],0)),"")</f>
        <v>0.65942851080774334</v>
      </c>
      <c r="AO2">
        <v>1</v>
      </c>
      <c r="AP2" s="118" t="str">
        <f>IFERROR(INDEX(TableOverallMaster[OVERALL PLAYER],MATCH(TableOverallRank[[#This Row],[RK]],TableOverallMaster[OVR RK],0)),"")</f>
        <v>Christian McCaffrey</v>
      </c>
      <c r="AQ2" s="119" t="str">
        <f>IFERROR(INDEX(TableOverallMaster[POS RK],MATCH(TableOverallRank[[#This Row],[OVERALL PLAYER]],TableOverallMaster[OVERALL PLAYER],0)),"")</f>
        <v>RB1</v>
      </c>
      <c r="AR2" s="120">
        <f>IFERROR(INDEX(TableOverallMaster[BYE],MATCH(TableOverallRank[[#This Row],[OVERALL PLAYER]],TableOverallMaster[OVERALL PLAYER],0)),"")</f>
        <v>9</v>
      </c>
      <c r="AS2" s="119">
        <f>IFERROR(INDEX(TableOverallMaster[Custom],MATCH(TableOverallRank[[#This Row],[OVERALL PLAYER]],TableOverallMaster[OVERALL PLAYER],0)),"")</f>
        <v>318.16897140131476</v>
      </c>
      <c r="AT2" s="121">
        <f>IFERROR(INDEX(TableOverallMaster[VORP],MATCH(TableOverallRank[[#This Row],[OVERALL PLAYER]],TableOverallMaster[OVERALL PLAYER],0)),"")</f>
        <v>1.3226675978171283</v>
      </c>
      <c r="AV2">
        <v>1</v>
      </c>
      <c r="AW2" s="122" t="str">
        <f>IFERROR(INDEX(TableWRTECalcPts[PLAYER],MATCH(TableWRTERank[[#This Row],[RK]],TableWRTECalcPts[RK],0)),"")</f>
        <v>CeeDee Lamb</v>
      </c>
      <c r="AX2" s="122" t="str">
        <f>IFERROR(INDEX(TableWRTECalcPts[POS RK],MATCH(TableWRTERank[[#This Row],[WR and TE COMBINED]],TableWRTECalcPts[PLAYER],0)),"")</f>
        <v>WR1</v>
      </c>
      <c r="AY2" s="122">
        <f>IFERROR(INDEX(TableWRTECalcPts[BYE],MATCH(TableWRTERank[[#This Row],[RK]],TableWRTECalcPts[RK],0)),"")</f>
        <v>7</v>
      </c>
      <c r="AZ2" s="123">
        <f>IFERROR(INDEX(TableWRTECalcPts[Custom],MATCH(TableWRTERank[[#This Row],[RK]],TableWRTECalcPts[RK],0)),"")</f>
        <v>271.55717234290148</v>
      </c>
      <c r="BA2" s="174">
        <f>IFERROR((TableWRTERank[[#This Row],[FPS]]-INDEX(TableWRTERank[FPS],MATCH(WRTEVORPCalc,TableWRTERank[RK],0)))/INDEX(TableWRTERank[FPS],MATCH(WRTEVORPCalc,TableWRTERank[RK],0)),"")</f>
        <v>0.73051114903947434</v>
      </c>
      <c r="BC2" t="s">
        <v>208</v>
      </c>
      <c r="BD2">
        <v>1</v>
      </c>
      <c r="BE2" s="83">
        <f>RANK(TableWRTEMaster[[#This Row],[VORP]],TableWRTEMaster[VORP])+COUNTIF($BJ$2:BJ2,BJ2)-1</f>
        <v>1</v>
      </c>
      <c r="BF2" s="115" t="str">
        <f>IFERROR(INDEX(TableWRVORP[WIDE RECEIVER],MATCH(TableWRTEMaster[[#This Row],[RK]],TableWRVORP[RK],0)),"")</f>
        <v>CeeDee Lamb</v>
      </c>
      <c r="BG2" s="115" t="str">
        <f>_xlfn.CONCAT(TableWRTEMaster[[#This Row],[POS]],TableWRTEMaster[[#This Row],[RK]])</f>
        <v>WR1</v>
      </c>
      <c r="BH2" s="115">
        <f>IFERROR(INDEX(TableWRVORP[BYE],MATCH(TableWRTEMaster[[#This Row],[RK]],TableWRVORP[RK],0)),"")</f>
        <v>7</v>
      </c>
      <c r="BI2" s="116">
        <f>IFERROR(INDEX(TableWRVORP[FPS],MATCH(TableWRTEMaster[[#This Row],[RK]],TableWRVORP[RK],0)),"")</f>
        <v>271.55717234290148</v>
      </c>
      <c r="BJ2" s="117">
        <f>IFERROR(INDEX(TableWRVORP[VORP],MATCH(TableWRTEMaster[[#This Row],[RK]],TableWRVORP[RK],0)),"")</f>
        <v>1.0134939053299514</v>
      </c>
      <c r="BL2" t="s">
        <v>9</v>
      </c>
      <c r="BM2" s="57">
        <f>SUMIF(F:F,"&gt;0")</f>
        <v>3.603851645694427</v>
      </c>
    </row>
    <row r="3" spans="1:66" x14ac:dyDescent="0.2">
      <c r="A3">
        <v>2</v>
      </c>
      <c r="B3" s="112" t="str">
        <f>IFERROR(INDEX(TableQBCalcPts[PLAYER],MATCH(TableQBVORP[[#This Row],[RK]],TableQBCalcPts[RK],0)),"")</f>
        <v>Jalen Hurts</v>
      </c>
      <c r="C3" s="112" t="str">
        <f>IFERROR(INDEX(TableQBCalcPts[TM],MATCH(TableQBVORP[[#This Row],[RK]],TableQBCalcPts[RK],0)),"")</f>
        <v>PHI</v>
      </c>
      <c r="D3" s="112">
        <f>IFERROR(INDEX(TableQBCalcPts[BYE],MATCH(TableQBVORP[[#This Row],[RK]],TableQBCalcPts[RK],0)),"")</f>
        <v>5</v>
      </c>
      <c r="E3" s="113">
        <f>IFERROR(INDEX(TableQBCalcPts[Custom],MATCH(TableQBVORP[[#This Row],[RK]],TableQBCalcPts[RK],0)),"")</f>
        <v>372.4356141320917</v>
      </c>
      <c r="F3" s="114">
        <f>(IFERROR((TableQBVORP[[#This Row],[FPS]]-INDEX(TableQBVORP[FPS],MATCH(QBVORPCalc,TableQBVORP[RK],0)))/INDEX(TableQBVORP[FPS],MATCH(QBVORPCalc,TableQBVORP[RK],0)),""))+(TableRBVORP[[#This Row],[VORP]]*0.45)</f>
        <v>0.42569160650721771</v>
      </c>
      <c r="H3">
        <v>2</v>
      </c>
      <c r="I3" s="112" t="str">
        <f>IFERROR(INDEX(TableRBCalcPts[PLAYER],MATCH(TableRBVORP[[#This Row],[RK]],TableRBCalcPts[RK],0)),"")</f>
        <v>Jonathan Taylor</v>
      </c>
      <c r="J3" s="112" t="str">
        <f>IFERROR(INDEX(TableRBCalcPts[TM],MATCH(TableRBVORP[[#This Row],[RK]],TableRBCalcPts[RK],0)),"")</f>
        <v>IND</v>
      </c>
      <c r="K3" s="112">
        <f>IFERROR(INDEX(TableRBCalcPts[BYE],MATCH(TableRBVORP[[#This Row],[RK]],TableRBCalcPts[RK],0)),"")</f>
        <v>14</v>
      </c>
      <c r="L3" s="113">
        <f>IFERROR(INDEX(TableRBCalcPts[Custom],MATCH(TableRBVORP[[#This Row],[RK]],TableRBCalcPts[RK],0)),"")</f>
        <v>261.70705676419283</v>
      </c>
      <c r="M3" s="114">
        <f>(IFERROR((TableRBVORP[[#This Row],[FPS]]-INDEX(TableRBVORP[FPS],MATCH(RBVORPCalc,TableRBVORP[RK],0)))/INDEX(TableRBVORP[FPS],MATCH(RBVORPCalc,TableRBVORP[RK],0)),""))*0.8</f>
        <v>0.94598134779381715</v>
      </c>
      <c r="O3">
        <v>2</v>
      </c>
      <c r="P3" s="112" t="str">
        <f>IFERROR(INDEX(TableWRCalcPts[PLAYER],MATCH(TableWRVORP[[#This Row],[RK]],TableWRCalcPts[RK],0)),"")</f>
        <v>Tyreek Hill</v>
      </c>
      <c r="Q3" s="112" t="str">
        <f>IFERROR(INDEX(TableWRCalcPts[TM],MATCH(TableWRVORP[[#This Row],[RK]],TableWRCalcPts[RK],0)),"")</f>
        <v>MIA</v>
      </c>
      <c r="R3" s="112">
        <f>IFERROR(INDEX(TableWRCalcPts[BYE],MATCH(TableWRVORP[[#This Row],[RK]],TableWRCalcPts[RK],0)),"")</f>
        <v>6</v>
      </c>
      <c r="S3" s="113">
        <f>IFERROR(INDEX(TableWRCalcPts[Custom],MATCH(TableWRVORP[[#This Row],[RK]],TableWRCalcPts[RK],0)),"")</f>
        <v>266.35924114405168</v>
      </c>
      <c r="T3" s="114">
        <f>(IFERROR((TableWRVORP[[#This Row],[FPS]]-INDEX(TableWRVORP[FPS],MATCH(WRVORPCalc,TableWRVORP[RK],0)))/INDEX(TableWRVORP[FPS],MATCH(WRVORPCalc,TableWRVORP[RK],0)),""))*1.2</f>
        <v>0.97112496721753783</v>
      </c>
      <c r="V3">
        <v>2</v>
      </c>
      <c r="W3" s="112" t="str">
        <f>IFERROR(INDEX(TableTECalcPts[PLAYER],MATCH(TableTEVORP[[#This Row],[RK]],TableTECalcPts[RK],0)),"")</f>
        <v>Sam LaPorta</v>
      </c>
      <c r="X3" s="112" t="str">
        <f>IFERROR(INDEX(TableTECalcPts[TM],MATCH(TableTEVORP[[#This Row],[RK]],TableTECalcPts[RK],0)),"")</f>
        <v>DET</v>
      </c>
      <c r="Y3" s="112">
        <f>IFERROR(INDEX(TableTECalcPts[BYE],MATCH(TableTEVORP[[#This Row],[RK]],TableTECalcPts[RK],0)),"")</f>
        <v>5</v>
      </c>
      <c r="Z3" s="113">
        <f>IFERROR(INDEX(TableTECalcPts[Custom],MATCH(TableTEVORP[[#This Row],[RK]],TableTECalcPts[RK],0)),"")</f>
        <v>182.53673189245154</v>
      </c>
      <c r="AA3" s="114">
        <f>IFERROR((TableTEVORP[[#This Row],[FPS]]-INDEX(TableTEVORP[FPS],MATCH(TEVORPCalc,TableTEVORP[RK],0)))/INDEX(TableTEVORP[FPS],MATCH(TEVORPCalc,TableTEVORP[RK],0)),"")</f>
        <v>0.38664598980020687</v>
      </c>
      <c r="AC3" t="s">
        <v>207</v>
      </c>
      <c r="AD3" s="83">
        <f>(TEAMS*STARTING_RB)+(STARTING_RB)+(FLEXVORPCalc)</f>
        <v>44</v>
      </c>
      <c r="AF3" t="s">
        <v>9</v>
      </c>
      <c r="AG3">
        <v>2</v>
      </c>
      <c r="AH3" s="83">
        <f>RANK(TableOverallMaster[[#This Row],[VORP]],TableOverallMaster[VORP])+COUNTIF($AM$2:AM3,AM3)-1</f>
        <v>40</v>
      </c>
      <c r="AI3" s="115" t="str">
        <f>IFERROR(INDEX(TableQBVORP[QUARTERBACK],MATCH(TableOverallMaster[[#This Row],[RK]],TableQBVORP[RK],0)),"")</f>
        <v>Jalen Hurts</v>
      </c>
      <c r="AJ3" s="115" t="str">
        <f t="shared" si="0"/>
        <v>QB2</v>
      </c>
      <c r="AK3" s="115">
        <f>IFERROR(INDEX(TableQBVORP[BYE],MATCH(TableOverallMaster[[#This Row],[RK]],TableQBVORP[RK],0)),"")</f>
        <v>5</v>
      </c>
      <c r="AL3" s="116">
        <f>IFERROR(INDEX(TableQBVORP[FPS],MATCH(TableOverallMaster[[#This Row],[RK]],TableQBVORP[RK],0)),"")</f>
        <v>372.4356141320917</v>
      </c>
      <c r="AM3" s="117">
        <f>IFERROR(INDEX(TableQBVORP[VORP],MATCH(TableOverallMaster[[#This Row],[RK]],TableQBVORP[RK],0)),"")</f>
        <v>0.42569160650721771</v>
      </c>
      <c r="AO3">
        <v>2</v>
      </c>
      <c r="AP3" s="118" t="str">
        <f>IFERROR(INDEX(TableOverallMaster[OVERALL PLAYER],MATCH(TableOverallRank[[#This Row],[RK]],TableOverallMaster[OVR RK],0)),"")</f>
        <v>CeeDee Lamb</v>
      </c>
      <c r="AQ3" s="119" t="str">
        <f>IFERROR(INDEX(TableOverallMaster[POS RK],MATCH(TableOverallRank[[#This Row],[OVERALL PLAYER]],TableOverallMaster[OVERALL PLAYER],0)),"")</f>
        <v>WR1</v>
      </c>
      <c r="AR3" s="120">
        <f>IFERROR(INDEX(TableOverallMaster[BYE],MATCH(TableOverallRank[[#This Row],[OVERALL PLAYER]],TableOverallMaster[OVERALL PLAYER],0)),"")</f>
        <v>7</v>
      </c>
      <c r="AS3" s="119">
        <f>IFERROR(INDEX(TableOverallMaster[Custom],MATCH(TableOverallRank[[#This Row],[OVERALL PLAYER]],TableOverallMaster[OVERALL PLAYER],0)),"")</f>
        <v>271.55717234290148</v>
      </c>
      <c r="AT3" s="121">
        <f>IFERROR(INDEX(TableOverallMaster[VORP],MATCH(TableOverallRank[[#This Row],[OVERALL PLAYER]],TableOverallMaster[OVERALL PLAYER],0)),"")</f>
        <v>1.0134939053299514</v>
      </c>
      <c r="AV3">
        <v>2</v>
      </c>
      <c r="AW3" s="122" t="str">
        <f>IFERROR(INDEX(TableWRTECalcPts[PLAYER],MATCH(TableWRTERank[[#This Row],[RK]],TableWRTECalcPts[RK],0)),"")</f>
        <v>Tyreek Hill</v>
      </c>
      <c r="AX3" s="122" t="str">
        <f>IFERROR(INDEX(TableWRTECalcPts[POS RK],MATCH(TableWRTERank[[#This Row],[WR and TE COMBINED]],TableWRTECalcPts[PLAYER],0)),"")</f>
        <v>WR2</v>
      </c>
      <c r="AY3" s="122">
        <f>IFERROR(INDEX(TableWRTECalcPts[BYE],MATCH(TableWRTERank[[#This Row],[RK]],TableWRTECalcPts[RK],0)),"")</f>
        <v>6</v>
      </c>
      <c r="AZ3" s="123">
        <f>IFERROR(INDEX(TableWRTECalcPts[Custom],MATCH(TableWRTERank[[#This Row],[RK]],TableWRTECalcPts[RK],0)),"")</f>
        <v>266.35924114405168</v>
      </c>
      <c r="BA3" s="174">
        <f>IFERROR((TableWRTERank[[#This Row],[FPS]]-INDEX(TableWRTERank[FPS],MATCH(WRTEVORPCalc,TableWRTERank[RK],0)))/INDEX(TableWRTERank[FPS],MATCH(WRTEVORPCalc,TableWRTERank[RK],0)),"")</f>
        <v>0.69738708233210922</v>
      </c>
      <c r="BC3" t="s">
        <v>208</v>
      </c>
      <c r="BD3">
        <v>2</v>
      </c>
      <c r="BE3" s="83">
        <f>RANK(TableWRTEMaster[[#This Row],[VORP]],TableWRTEMaster[VORP])+COUNTIF($BJ$2:BJ3,BJ3)-1</f>
        <v>2</v>
      </c>
      <c r="BF3" s="115" t="str">
        <f>IFERROR(INDEX(TableWRVORP[WIDE RECEIVER],MATCH(TableWRTEMaster[[#This Row],[RK]],TableWRVORP[RK],0)),"")</f>
        <v>Tyreek Hill</v>
      </c>
      <c r="BG3" s="115" t="str">
        <f>_xlfn.CONCAT(TableWRTEMaster[[#This Row],[POS]],TableWRTEMaster[[#This Row],[RK]])</f>
        <v>WR2</v>
      </c>
      <c r="BH3" s="115">
        <f>IFERROR(INDEX(TableWRVORP[BYE],MATCH(TableWRTEMaster[[#This Row],[RK]],TableWRVORP[RK],0)),"")</f>
        <v>6</v>
      </c>
      <c r="BI3" s="116">
        <f>IFERROR(INDEX(TableWRVORP[FPS],MATCH(TableWRTEMaster[[#This Row],[RK]],TableWRVORP[RK],0)),"")</f>
        <v>266.35924114405168</v>
      </c>
      <c r="BJ3" s="117">
        <f>IFERROR(INDEX(TableWRVORP[VORP],MATCH(TableWRTEMaster[[#This Row],[RK]],TableWRVORP[RK],0)),"")</f>
        <v>0.97112496721753783</v>
      </c>
      <c r="BL3" t="s">
        <v>207</v>
      </c>
      <c r="BM3" s="57">
        <f>SUMIF(M:M,"&gt;0")</f>
        <v>19.564142339324977</v>
      </c>
    </row>
    <row r="4" spans="1:66" x14ac:dyDescent="0.2">
      <c r="A4">
        <v>3</v>
      </c>
      <c r="B4" s="112" t="str">
        <f>IFERROR(INDEX(TableQBCalcPts[PLAYER],MATCH(TableQBVORP[[#This Row],[RK]],TableQBCalcPts[RK],0)),"")</f>
        <v>Lamar Jackson</v>
      </c>
      <c r="C4" s="112" t="str">
        <f>IFERROR(INDEX(TableQBCalcPts[TM],MATCH(TableQBVORP[[#This Row],[RK]],TableQBCalcPts[RK],0)),"")</f>
        <v>BAL</v>
      </c>
      <c r="D4" s="112">
        <f>IFERROR(INDEX(TableQBCalcPts[BYE],MATCH(TableQBVORP[[#This Row],[RK]],TableQBCalcPts[RK],0)),"")</f>
        <v>14</v>
      </c>
      <c r="E4" s="113">
        <f>IFERROR(INDEX(TableQBCalcPts[Custom],MATCH(TableQBVORP[[#This Row],[RK]],TableQBCalcPts[RK],0)),"")</f>
        <v>370.84652487473829</v>
      </c>
      <c r="F4" s="114">
        <f>(IFERROR((TableQBVORP[[#This Row],[FPS]]-INDEX(TableQBVORP[FPS],MATCH(QBVORPCalc,TableQBVORP[RK],0)))/INDEX(TableQBVORP[FPS],MATCH(QBVORPCalc,TableQBVORP[RK],0)),""))+(TableRBVORP[[#This Row],[VORP]]*0.45)</f>
        <v>0.40637031489991138</v>
      </c>
      <c r="H4">
        <v>3</v>
      </c>
      <c r="I4" s="112" t="str">
        <f>IFERROR(INDEX(TableRBCalcPts[PLAYER],MATCH(TableRBVORP[[#This Row],[RK]],TableRBCalcPts[RK],0)),"")</f>
        <v>Breece Hall</v>
      </c>
      <c r="J4" s="112" t="str">
        <f>IFERROR(INDEX(TableRBCalcPts[TM],MATCH(TableRBVORP[[#This Row],[RK]],TableRBCalcPts[RK],0)),"")</f>
        <v>NYJ</v>
      </c>
      <c r="K4" s="112">
        <f>IFERROR(INDEX(TableRBCalcPts[BYE],MATCH(TableRBVORP[[#This Row],[RK]],TableRBCalcPts[RK],0)),"")</f>
        <v>12</v>
      </c>
      <c r="L4" s="113">
        <f>IFERROR(INDEX(TableRBCalcPts[Custom],MATCH(TableRBVORP[[#This Row],[RK]],TableRBCalcPts[RK],0)),"")</f>
        <v>256.69251922440355</v>
      </c>
      <c r="M4" s="114">
        <f>(IFERROR((TableRBVORP[[#This Row],[FPS]]-INDEX(TableRBVORP[FPS],MATCH(RBVORPCalc,TableRBVORP[RK],0)))/INDEX(TableRBVORP[FPS],MATCH(RBVORPCalc,TableRBVORP[RK],0)),""))*0.8</f>
        <v>0.91252680850650725</v>
      </c>
      <c r="O4">
        <v>3</v>
      </c>
      <c r="P4" s="112" t="str">
        <f>IFERROR(INDEX(TableWRCalcPts[PLAYER],MATCH(TableWRVORP[[#This Row],[RK]],TableWRCalcPts[RK],0)),"")</f>
        <v>Amon-Ra St. Brown</v>
      </c>
      <c r="Q4" s="112" t="str">
        <f>IFERROR(INDEX(TableWRCalcPts[TM],MATCH(TableWRVORP[[#This Row],[RK]],TableWRCalcPts[RK],0)),"")</f>
        <v>DET</v>
      </c>
      <c r="R4" s="112">
        <f>IFERROR(INDEX(TableWRCalcPts[BYE],MATCH(TableWRVORP[[#This Row],[RK]],TableWRCalcPts[RK],0)),"")</f>
        <v>5</v>
      </c>
      <c r="S4" s="113">
        <f>IFERROR(INDEX(TableWRCalcPts[Custom],MATCH(TableWRVORP[[#This Row],[RK]],TableWRCalcPts[RK],0)),"")</f>
        <v>251.21556304873667</v>
      </c>
      <c r="T4" s="114">
        <f>(IFERROR((TableWRVORP[[#This Row],[FPS]]-INDEX(TableWRVORP[FPS],MATCH(WRVORPCalc,TableWRVORP[RK],0)))/INDEX(TableWRVORP[FPS],MATCH(WRVORPCalc,TableWRVORP[RK],0)),""))*1.2</f>
        <v>0.84768709636678596</v>
      </c>
      <c r="V4">
        <v>3</v>
      </c>
      <c r="W4" s="112" t="str">
        <f>IFERROR(INDEX(TableTECalcPts[PLAYER],MATCH(TableTEVORP[[#This Row],[RK]],TableTECalcPts[RK],0)),"")</f>
        <v>Mark Andrews</v>
      </c>
      <c r="X4" s="112" t="str">
        <f>IFERROR(INDEX(TableTECalcPts[TM],MATCH(TableTEVORP[[#This Row],[RK]],TableTECalcPts[RK],0)),"")</f>
        <v>BAL</v>
      </c>
      <c r="Y4" s="112">
        <f>IFERROR(INDEX(TableTECalcPts[BYE],MATCH(TableTEVORP[[#This Row],[RK]],TableTECalcPts[RK],0)),"")</f>
        <v>14</v>
      </c>
      <c r="Z4" s="113">
        <f>IFERROR(INDEX(TableTECalcPts[Custom],MATCH(TableTEVORP[[#This Row],[RK]],TableTECalcPts[RK],0)),"")</f>
        <v>182.29298496535898</v>
      </c>
      <c r="AA4" s="114">
        <f>IFERROR((TableTEVORP[[#This Row],[FPS]]-INDEX(TableTEVORP[FPS],MATCH(TEVORPCalc,TableTEVORP[RK],0)))/INDEX(TableTEVORP[FPS],MATCH(TEVORPCalc,TableTEVORP[RK],0)),"")</f>
        <v>0.38479435864917827</v>
      </c>
      <c r="AC4" t="s">
        <v>208</v>
      </c>
      <c r="AD4" s="83">
        <f>(TEAMS*STARTING_WR)+(STARTING_WR)+(FLEXVORPCalc)</f>
        <v>57</v>
      </c>
      <c r="AF4" t="s">
        <v>9</v>
      </c>
      <c r="AG4">
        <v>3</v>
      </c>
      <c r="AH4" s="83">
        <f>RANK(TableOverallMaster[[#This Row],[VORP]],TableOverallMaster[VORP])+COUNTIF($AM$2:AM4,AM4)-1</f>
        <v>43</v>
      </c>
      <c r="AI4" s="115" t="str">
        <f>IFERROR(INDEX(TableQBVORP[QUARTERBACK],MATCH(TableOverallMaster[[#This Row],[RK]],TableQBVORP[RK],0)),"")</f>
        <v>Lamar Jackson</v>
      </c>
      <c r="AJ4" s="115" t="str">
        <f t="shared" si="0"/>
        <v>QB3</v>
      </c>
      <c r="AK4" s="115">
        <f>IFERROR(INDEX(TableQBVORP[BYE],MATCH(TableOverallMaster[[#This Row],[RK]],TableQBVORP[RK],0)),"")</f>
        <v>14</v>
      </c>
      <c r="AL4" s="116">
        <f>IFERROR(INDEX(TableQBVORP[FPS],MATCH(TableOverallMaster[[#This Row],[RK]],TableQBVORP[RK],0)),"")</f>
        <v>370.84652487473829</v>
      </c>
      <c r="AM4" s="117">
        <f>IFERROR(INDEX(TableQBVORP[VORP],MATCH(TableOverallMaster[[#This Row],[RK]],TableQBVORP[RK],0)),"")</f>
        <v>0.40637031489991138</v>
      </c>
      <c r="AO4">
        <v>3</v>
      </c>
      <c r="AP4" s="118" t="str">
        <f>IFERROR(INDEX(TableOverallMaster[OVERALL PLAYER],MATCH(TableOverallRank[[#This Row],[RK]],TableOverallMaster[OVR RK],0)),"")</f>
        <v>Tyreek Hill</v>
      </c>
      <c r="AQ4" s="119" t="str">
        <f>IFERROR(INDEX(TableOverallMaster[POS RK],MATCH(TableOverallRank[[#This Row],[OVERALL PLAYER]],TableOverallMaster[OVERALL PLAYER],0)),"")</f>
        <v>WR2</v>
      </c>
      <c r="AR4" s="120">
        <f>IFERROR(INDEX(TableOverallMaster[BYE],MATCH(TableOverallRank[[#This Row],[OVERALL PLAYER]],TableOverallMaster[OVERALL PLAYER],0)),"")</f>
        <v>6</v>
      </c>
      <c r="AS4" s="119">
        <f>IFERROR(INDEX(TableOverallMaster[Custom],MATCH(TableOverallRank[[#This Row],[OVERALL PLAYER]],TableOverallMaster[OVERALL PLAYER],0)),"")</f>
        <v>266.35924114405168</v>
      </c>
      <c r="AT4" s="121">
        <f>IFERROR(INDEX(TableOverallMaster[VORP],MATCH(TableOverallRank[[#This Row],[OVERALL PLAYER]],TableOverallMaster[OVERALL PLAYER],0)),"")</f>
        <v>0.97112496721753783</v>
      </c>
      <c r="AV4">
        <v>3</v>
      </c>
      <c r="AW4" s="122" t="str">
        <f>IFERROR(INDEX(TableWRTECalcPts[PLAYER],MATCH(TableWRTERank[[#This Row],[RK]],TableWRTECalcPts[RK],0)),"")</f>
        <v>Amon-Ra St. Brown</v>
      </c>
      <c r="AX4" s="122" t="str">
        <f>IFERROR(INDEX(TableWRTECalcPts[POS RK],MATCH(TableWRTERank[[#This Row],[WR and TE COMBINED]],TableWRTECalcPts[PLAYER],0)),"")</f>
        <v>WR3</v>
      </c>
      <c r="AY4" s="122">
        <f>IFERROR(INDEX(TableWRTECalcPts[BYE],MATCH(TableWRTERank[[#This Row],[RK]],TableWRTECalcPts[RK],0)),"")</f>
        <v>5</v>
      </c>
      <c r="AZ4" s="123">
        <f>IFERROR(INDEX(TableWRTECalcPts[Custom],MATCH(TableWRTERank[[#This Row],[RK]],TableWRTECalcPts[RK],0)),"")</f>
        <v>251.21556304873667</v>
      </c>
      <c r="BA4" s="174">
        <f>IFERROR((TableWRTERank[[#This Row],[FPS]]-INDEX(TableWRTERank[FPS],MATCH(WRTEVORPCalc,TableWRTERank[RK],0)))/INDEX(TableWRTERank[FPS],MATCH(WRTEVORPCalc,TableWRTERank[RK],0)),"")</f>
        <v>0.60088326490276811</v>
      </c>
      <c r="BC4" t="s">
        <v>208</v>
      </c>
      <c r="BD4">
        <v>3</v>
      </c>
      <c r="BE4" s="83">
        <f>RANK(TableWRTEMaster[[#This Row],[VORP]],TableWRTEMaster[VORP])+COUNTIF($BJ$2:BJ4,BJ4)-1</f>
        <v>3</v>
      </c>
      <c r="BF4" s="115" t="str">
        <f>IFERROR(INDEX(TableWRVORP[WIDE RECEIVER],MATCH(TableWRTEMaster[[#This Row],[RK]],TableWRVORP[RK],0)),"")</f>
        <v>Amon-Ra St. Brown</v>
      </c>
      <c r="BG4" s="115" t="str">
        <f>_xlfn.CONCAT(TableWRTEMaster[[#This Row],[POS]],TableWRTEMaster[[#This Row],[RK]])</f>
        <v>WR3</v>
      </c>
      <c r="BH4" s="115">
        <f>IFERROR(INDEX(TableWRVORP[BYE],MATCH(TableWRTEMaster[[#This Row],[RK]],TableWRVORP[RK],0)),"")</f>
        <v>5</v>
      </c>
      <c r="BI4" s="116">
        <f>IFERROR(INDEX(TableWRVORP[FPS],MATCH(TableWRTEMaster[[#This Row],[RK]],TableWRVORP[RK],0)),"")</f>
        <v>251.21556304873667</v>
      </c>
      <c r="BJ4" s="117">
        <f>IFERROR(INDEX(TableWRVORP[VORP],MATCH(TableWRTEMaster[[#This Row],[RK]],TableWRVORP[RK],0)),"")</f>
        <v>0.84768709636678596</v>
      </c>
      <c r="BL4" t="s">
        <v>208</v>
      </c>
      <c r="BM4" s="57">
        <f>SUMIF(T:T,"&gt;0")</f>
        <v>18.759595633105121</v>
      </c>
    </row>
    <row r="5" spans="1:66" x14ac:dyDescent="0.2">
      <c r="A5">
        <v>4</v>
      </c>
      <c r="B5" s="112" t="str">
        <f>IFERROR(INDEX(TableQBCalcPts[PLAYER],MATCH(TableQBVORP[[#This Row],[RK]],TableQBCalcPts[RK],0)),"")</f>
        <v>Patrick Mahomes</v>
      </c>
      <c r="C5" s="112" t="str">
        <f>IFERROR(INDEX(TableQBCalcPts[TM],MATCH(TableQBVORP[[#This Row],[RK]],TableQBCalcPts[RK],0)),"")</f>
        <v>KC</v>
      </c>
      <c r="D5" s="112">
        <f>IFERROR(INDEX(TableQBCalcPts[BYE],MATCH(TableQBVORP[[#This Row],[RK]],TableQBCalcPts[RK],0)),"")</f>
        <v>6</v>
      </c>
      <c r="E5" s="113">
        <f>IFERROR(INDEX(TableQBCalcPts[Custom],MATCH(TableQBVORP[[#This Row],[RK]],TableQBCalcPts[RK],0)),"")</f>
        <v>366.68296514016993</v>
      </c>
      <c r="F5" s="114">
        <f>(IFERROR((TableQBVORP[[#This Row],[FPS]]-INDEX(TableQBVORP[FPS],MATCH(QBVORPCalc,TableQBVORP[RK],0)))/INDEX(TableQBVORP[FPS],MATCH(QBVORPCalc,TableQBVORP[RK],0)),""))+(TableRBVORP[[#This Row],[VORP]]*0.45)</f>
        <v>0.36202463365118248</v>
      </c>
      <c r="H5">
        <v>4</v>
      </c>
      <c r="I5" s="112" t="str">
        <f>IFERROR(INDEX(TableRBCalcPts[PLAYER],MATCH(TableRBVORP[[#This Row],[RK]],TableRBCalcPts[RK],0)),"")</f>
        <v>Bijan Robinson</v>
      </c>
      <c r="J5" s="112" t="str">
        <f>IFERROR(INDEX(TableRBCalcPts[TM],MATCH(TableRBVORP[[#This Row],[RK]],TableRBCalcPts[RK],0)),"")</f>
        <v>ATL</v>
      </c>
      <c r="K5" s="112">
        <f>IFERROR(INDEX(TableRBCalcPts[BYE],MATCH(TableRBVORP[[#This Row],[RK]],TableRBCalcPts[RK],0)),"")</f>
        <v>12</v>
      </c>
      <c r="L5" s="113">
        <f>IFERROR(INDEX(TableRBCalcPts[Custom],MATCH(TableRBVORP[[#This Row],[RK]],TableRBCalcPts[RK],0)),"")</f>
        <v>245.64507671266452</v>
      </c>
      <c r="M5" s="114">
        <f>(IFERROR((TableRBVORP[[#This Row],[FPS]]-INDEX(TableRBVORP[FPS],MATCH(RBVORPCalc,TableRBVORP[RK],0)))/INDEX(TableRBVORP[FPS],MATCH(RBVORPCalc,TableRBVORP[RK],0)),""))*0.8</f>
        <v>0.83882368102951066</v>
      </c>
      <c r="O5">
        <v>4</v>
      </c>
      <c r="P5" s="112" t="str">
        <f>IFERROR(INDEX(TableWRCalcPts[PLAYER],MATCH(TableWRVORP[[#This Row],[RK]],TableWRCalcPts[RK],0)),"")</f>
        <v>Ja'Marr Chase</v>
      </c>
      <c r="Q5" s="112" t="str">
        <f>IFERROR(INDEX(TableWRCalcPts[TM],MATCH(TableWRVORP[[#This Row],[RK]],TableWRCalcPts[RK],0)),"")</f>
        <v>CIN</v>
      </c>
      <c r="R5" s="112">
        <f>IFERROR(INDEX(TableWRCalcPts[BYE],MATCH(TableWRVORP[[#This Row],[RK]],TableWRCalcPts[RK],0)),"")</f>
        <v>12</v>
      </c>
      <c r="S5" s="113">
        <f>IFERROR(INDEX(TableWRCalcPts[Custom],MATCH(TableWRVORP[[#This Row],[RK]],TableWRCalcPts[RK],0)),"")</f>
        <v>242.69240708914157</v>
      </c>
      <c r="T5" s="114">
        <f>(IFERROR((TableWRVORP[[#This Row],[FPS]]-INDEX(TableWRVORP[FPS],MATCH(WRVORPCalc,TableWRVORP[RK],0)))/INDEX(TableWRVORP[FPS],MATCH(WRVORPCalc,TableWRVORP[RK],0)),""))*1.2</f>
        <v>0.7782138668145282</v>
      </c>
      <c r="V5">
        <v>4</v>
      </c>
      <c r="W5" s="112" t="str">
        <f>IFERROR(INDEX(TableTECalcPts[PLAYER],MATCH(TableTEVORP[[#This Row],[RK]],TableTECalcPts[RK],0)),"")</f>
        <v>Kyle Pitts</v>
      </c>
      <c r="X5" s="112" t="str">
        <f>IFERROR(INDEX(TableTECalcPts[TM],MATCH(TableTEVORP[[#This Row],[RK]],TableTECalcPts[RK],0)),"")</f>
        <v>ATL</v>
      </c>
      <c r="Y5" s="112">
        <f>IFERROR(INDEX(TableTECalcPts[BYE],MATCH(TableTEVORP[[#This Row],[RK]],TableTECalcPts[RK],0)),"")</f>
        <v>12</v>
      </c>
      <c r="Z5" s="113">
        <f>IFERROR(INDEX(TableTECalcPts[Custom],MATCH(TableTEVORP[[#This Row],[RK]],TableTECalcPts[RK],0)),"")</f>
        <v>177.62908957073282</v>
      </c>
      <c r="AA5" s="114">
        <f>IFERROR((TableTEVORP[[#This Row],[FPS]]-INDEX(TableTEVORP[FPS],MATCH(TEVORPCalc,TableTEVORP[RK],0)))/INDEX(TableTEVORP[FPS],MATCH(TEVORPCalc,TableTEVORP[RK],0)),"")</f>
        <v>0.34936493149357206</v>
      </c>
      <c r="AC5" t="s">
        <v>10</v>
      </c>
      <c r="AD5" s="83">
        <f>TEAMS*STARTING_TE</f>
        <v>12</v>
      </c>
      <c r="AF5" t="s">
        <v>9</v>
      </c>
      <c r="AG5">
        <v>4</v>
      </c>
      <c r="AH5" s="83">
        <f>RANK(TableOverallMaster[[#This Row],[VORP]],TableOverallMaster[VORP])+COUNTIF($AM$2:AM5,AM5)-1</f>
        <v>57</v>
      </c>
      <c r="AI5" s="115" t="str">
        <f>IFERROR(INDEX(TableQBVORP[QUARTERBACK],MATCH(TableOverallMaster[[#This Row],[RK]],TableQBVORP[RK],0)),"")</f>
        <v>Patrick Mahomes</v>
      </c>
      <c r="AJ5" s="115" t="str">
        <f t="shared" si="0"/>
        <v>QB4</v>
      </c>
      <c r="AK5" s="115">
        <f>IFERROR(INDEX(TableQBVORP[BYE],MATCH(TableOverallMaster[[#This Row],[RK]],TableQBVORP[RK],0)),"")</f>
        <v>6</v>
      </c>
      <c r="AL5" s="116">
        <f>IFERROR(INDEX(TableQBVORP[FPS],MATCH(TableOverallMaster[[#This Row],[RK]],TableQBVORP[RK],0)),"")</f>
        <v>366.68296514016993</v>
      </c>
      <c r="AM5" s="117">
        <f>IFERROR(INDEX(TableQBVORP[VORP],MATCH(TableOverallMaster[[#This Row],[RK]],TableQBVORP[RK],0)),"")</f>
        <v>0.36202463365118248</v>
      </c>
      <c r="AO5">
        <v>4</v>
      </c>
      <c r="AP5" s="118" t="str">
        <f>IFERROR(INDEX(TableOverallMaster[OVERALL PLAYER],MATCH(TableOverallRank[[#This Row],[RK]],TableOverallMaster[OVR RK],0)),"")</f>
        <v>Jonathan Taylor</v>
      </c>
      <c r="AQ5" s="119" t="str">
        <f>IFERROR(INDEX(TableOverallMaster[POS RK],MATCH(TableOverallRank[[#This Row],[OVERALL PLAYER]],TableOverallMaster[OVERALL PLAYER],0)),"")</f>
        <v>RB2</v>
      </c>
      <c r="AR5" s="120">
        <f>IFERROR(INDEX(TableOverallMaster[BYE],MATCH(TableOverallRank[[#This Row],[OVERALL PLAYER]],TableOverallMaster[OVERALL PLAYER],0)),"")</f>
        <v>14</v>
      </c>
      <c r="AS5" s="119">
        <f>IFERROR(INDEX(TableOverallMaster[Custom],MATCH(TableOverallRank[[#This Row],[OVERALL PLAYER]],TableOverallMaster[OVERALL PLAYER],0)),"")</f>
        <v>261.70705676419283</v>
      </c>
      <c r="AT5" s="121">
        <f>IFERROR(INDEX(TableOverallMaster[VORP],MATCH(TableOverallRank[[#This Row],[OVERALL PLAYER]],TableOverallMaster[OVERALL PLAYER],0)),"")</f>
        <v>0.94598134779381715</v>
      </c>
      <c r="AV5">
        <v>4</v>
      </c>
      <c r="AW5" s="122" t="str">
        <f>IFERROR(INDEX(TableWRTECalcPts[PLAYER],MATCH(TableWRTERank[[#This Row],[RK]],TableWRTECalcPts[RK],0)),"")</f>
        <v>Ja'Marr Chase</v>
      </c>
      <c r="AX5" s="122" t="str">
        <f>IFERROR(INDEX(TableWRTECalcPts[POS RK],MATCH(TableWRTERank[[#This Row],[WR and TE COMBINED]],TableWRTECalcPts[PLAYER],0)),"")</f>
        <v>WR4</v>
      </c>
      <c r="AY5" s="122">
        <f>IFERROR(INDEX(TableWRTECalcPts[BYE],MATCH(TableWRTERank[[#This Row],[RK]],TableWRTECalcPts[RK],0)),"")</f>
        <v>12</v>
      </c>
      <c r="AZ5" s="123">
        <f>IFERROR(INDEX(TableWRTECalcPts[Custom],MATCH(TableWRTERank[[#This Row],[RK]],TableWRTECalcPts[RK],0)),"")</f>
        <v>242.69240708914157</v>
      </c>
      <c r="BA5" s="174">
        <f>IFERROR((TableWRTERank[[#This Row],[FPS]]-INDEX(TableWRTERank[FPS],MATCH(WRTEVORPCalc,TableWRTERank[RK],0)))/INDEX(TableWRTERank[FPS],MATCH(WRTEVORPCalc,TableWRTERank[RK],0)),"")</f>
        <v>0.54656904338606616</v>
      </c>
      <c r="BC5" t="s">
        <v>208</v>
      </c>
      <c r="BD5">
        <v>4</v>
      </c>
      <c r="BE5" s="83">
        <f>RANK(TableWRTEMaster[[#This Row],[VORP]],TableWRTEMaster[VORP])+COUNTIF($BJ$2:BJ5,BJ5)-1</f>
        <v>4</v>
      </c>
      <c r="BF5" s="115" t="str">
        <f>IFERROR(INDEX(TableWRVORP[WIDE RECEIVER],MATCH(TableWRTEMaster[[#This Row],[RK]],TableWRVORP[RK],0)),"")</f>
        <v>Ja'Marr Chase</v>
      </c>
      <c r="BG5" s="115" t="str">
        <f>_xlfn.CONCAT(TableWRTEMaster[[#This Row],[POS]],TableWRTEMaster[[#This Row],[RK]])</f>
        <v>WR4</v>
      </c>
      <c r="BH5" s="115">
        <f>IFERROR(INDEX(TableWRVORP[BYE],MATCH(TableWRTEMaster[[#This Row],[RK]],TableWRVORP[RK],0)),"")</f>
        <v>12</v>
      </c>
      <c r="BI5" s="116">
        <f>IFERROR(INDEX(TableWRVORP[FPS],MATCH(TableWRTEMaster[[#This Row],[RK]],TableWRVORP[RK],0)),"")</f>
        <v>242.69240708914157</v>
      </c>
      <c r="BJ5" s="117">
        <f>IFERROR(INDEX(TableWRVORP[VORP],MATCH(TableWRTEMaster[[#This Row],[RK]],TableWRVORP[RK],0)),"")</f>
        <v>0.7782138668145282</v>
      </c>
      <c r="BL5" t="s">
        <v>10</v>
      </c>
      <c r="BM5" s="57">
        <f>SUMIF(AA:AA,"&gt;0")</f>
        <v>2.9711989769416869</v>
      </c>
    </row>
    <row r="6" spans="1:66" x14ac:dyDescent="0.2">
      <c r="A6">
        <v>5</v>
      </c>
      <c r="B6" s="112" t="str">
        <f>IFERROR(INDEX(TableQBCalcPts[PLAYER],MATCH(TableQBVORP[[#This Row],[RK]],TableQBCalcPts[RK],0)),"")</f>
        <v>Anthony Richardson</v>
      </c>
      <c r="C6" s="112" t="str">
        <f>IFERROR(INDEX(TableQBCalcPts[TM],MATCH(TableQBVORP[[#This Row],[RK]],TableQBCalcPts[RK],0)),"")</f>
        <v>IND</v>
      </c>
      <c r="D6" s="112">
        <f>IFERROR(INDEX(TableQBCalcPts[BYE],MATCH(TableQBVORP[[#This Row],[RK]],TableQBCalcPts[RK],0)),"")</f>
        <v>14</v>
      </c>
      <c r="E6" s="113">
        <f>IFERROR(INDEX(TableQBCalcPts[Custom],MATCH(TableQBVORP[[#This Row],[RK]],TableQBCalcPts[RK],0)),"")</f>
        <v>343.30216825920456</v>
      </c>
      <c r="F6" s="114">
        <f>(IFERROR((TableQBVORP[[#This Row],[FPS]]-INDEX(TableQBVORP[FPS],MATCH(QBVORPCalc,TableQBVORP[RK],0)))/INDEX(TableQBVORP[FPS],MATCH(QBVORPCalc,TableQBVORP[RK],0)),""))+(TableRBVORP[[#This Row],[VORP]]*0.45)</f>
        <v>0.28753761962787988</v>
      </c>
      <c r="H6">
        <v>5</v>
      </c>
      <c r="I6" s="112" t="str">
        <f>IFERROR(INDEX(TableRBCalcPts[PLAYER],MATCH(TableRBVORP[[#This Row],[RK]],TableRBCalcPts[RK],0)),"")</f>
        <v>Saquon Barkley</v>
      </c>
      <c r="J6" s="112" t="str">
        <f>IFERROR(INDEX(TableRBCalcPts[TM],MATCH(TableRBVORP[[#This Row],[RK]],TableRBCalcPts[RK],0)),"")</f>
        <v>PHI</v>
      </c>
      <c r="K6" s="112">
        <f>IFERROR(INDEX(TableRBCalcPts[BYE],MATCH(TableRBVORP[[#This Row],[RK]],TableRBCalcPts[RK],0)),"")</f>
        <v>5</v>
      </c>
      <c r="L6" s="113">
        <f>IFERROR(INDEX(TableRBCalcPts[Custom],MATCH(TableRBVORP[[#This Row],[RK]],TableRBCalcPts[RK],0)),"")</f>
        <v>241.74493605547082</v>
      </c>
      <c r="M6" s="114">
        <f>(IFERROR((TableRBVORP[[#This Row],[FPS]]-INDEX(TableRBVORP[FPS],MATCH(RBVORPCalc,TableRBVORP[RK],0)))/INDEX(TableRBVORP[FPS],MATCH(RBVORPCalc,TableRBVORP[RK],0)),""))*0.8</f>
        <v>0.81280385212070072</v>
      </c>
      <c r="O6">
        <v>5</v>
      </c>
      <c r="P6" s="112" t="str">
        <f>IFERROR(INDEX(TableWRCalcPts[PLAYER],MATCH(TableWRVORP[[#This Row],[RK]],TableWRCalcPts[RK],0)),"")</f>
        <v>Justin Jefferson</v>
      </c>
      <c r="Q6" s="112" t="str">
        <f>IFERROR(INDEX(TableWRCalcPts[TM],MATCH(TableWRVORP[[#This Row],[RK]],TableWRCalcPts[RK],0)),"")</f>
        <v>MIN</v>
      </c>
      <c r="R6" s="112">
        <f>IFERROR(INDEX(TableWRCalcPts[BYE],MATCH(TableWRVORP[[#This Row],[RK]],TableWRCalcPts[RK],0)),"")</f>
        <v>6</v>
      </c>
      <c r="S6" s="113">
        <f>IFERROR(INDEX(TableWRCalcPts[Custom],MATCH(TableWRVORP[[#This Row],[RK]],TableWRCalcPts[RK],0)),"")</f>
        <v>241.32118821726243</v>
      </c>
      <c r="T6" s="114">
        <f>(IFERROR((TableWRVORP[[#This Row],[FPS]]-INDEX(TableWRVORP[FPS],MATCH(WRVORPCalc,TableWRVORP[RK],0)))/INDEX(TableWRVORP[FPS],MATCH(WRVORPCalc,TableWRVORP[RK],0)),""))*1.2</f>
        <v>0.76703690326909368</v>
      </c>
      <c r="V6">
        <v>5</v>
      </c>
      <c r="W6" s="112" t="str">
        <f>IFERROR(INDEX(TableTECalcPts[PLAYER],MATCH(TableTEVORP[[#This Row],[RK]],TableTECalcPts[RK],0)),"")</f>
        <v>Trey McBride</v>
      </c>
      <c r="X6" s="112" t="str">
        <f>IFERROR(INDEX(TableTECalcPts[TM],MATCH(TableTEVORP[[#This Row],[RK]],TableTECalcPts[RK],0)),"")</f>
        <v>ARI</v>
      </c>
      <c r="Y6" s="112">
        <f>IFERROR(INDEX(TableTECalcPts[BYE],MATCH(TableTEVORP[[#This Row],[RK]],TableTECalcPts[RK],0)),"")</f>
        <v>11</v>
      </c>
      <c r="Z6" s="113">
        <f>IFERROR(INDEX(TableTECalcPts[Custom],MATCH(TableTEVORP[[#This Row],[RK]],TableTECalcPts[RK],0)),"")</f>
        <v>170.05237121158649</v>
      </c>
      <c r="AA6" s="114">
        <f>IFERROR((TableTEVORP[[#This Row],[FPS]]-INDEX(TableTEVORP[FPS],MATCH(TEVORPCalc,TableTEVORP[RK],0)))/INDEX(TableTEVORP[FPS],MATCH(TEVORPCalc,TableTEVORP[RK],0)),"")</f>
        <v>0.2918081536350422</v>
      </c>
      <c r="AC6" t="s">
        <v>367</v>
      </c>
      <c r="AD6" s="83">
        <f>(TEAMS*STARTING_FLEX)*1.5</f>
        <v>18</v>
      </c>
      <c r="AF6" t="s">
        <v>9</v>
      </c>
      <c r="AG6">
        <v>5</v>
      </c>
      <c r="AH6" s="83">
        <f>RANK(TableOverallMaster[[#This Row],[VORP]],TableOverallMaster[VORP])+COUNTIF($AM$2:AM6,AM6)-1</f>
        <v>71</v>
      </c>
      <c r="AI6" s="115" t="str">
        <f>IFERROR(INDEX(TableQBVORP[QUARTERBACK],MATCH(TableOverallMaster[[#This Row],[RK]],TableQBVORP[RK],0)),"")</f>
        <v>Anthony Richardson</v>
      </c>
      <c r="AJ6" s="115" t="str">
        <f t="shared" si="0"/>
        <v>QB5</v>
      </c>
      <c r="AK6" s="115">
        <f>IFERROR(INDEX(TableQBVORP[BYE],MATCH(TableOverallMaster[[#This Row],[RK]],TableQBVORP[RK],0)),"")</f>
        <v>14</v>
      </c>
      <c r="AL6" s="116">
        <f>IFERROR(INDEX(TableQBVORP[FPS],MATCH(TableOverallMaster[[#This Row],[RK]],TableQBVORP[RK],0)),"")</f>
        <v>343.30216825920456</v>
      </c>
      <c r="AM6" s="117">
        <f>IFERROR(INDEX(TableQBVORP[VORP],MATCH(TableOverallMaster[[#This Row],[RK]],TableQBVORP[RK],0)),"")</f>
        <v>0.28753761962787988</v>
      </c>
      <c r="AO6">
        <v>5</v>
      </c>
      <c r="AP6" s="118" t="str">
        <f>IFERROR(INDEX(TableOverallMaster[OVERALL PLAYER],MATCH(TableOverallRank[[#This Row],[RK]],TableOverallMaster[OVR RK],0)),"")</f>
        <v>Breece Hall</v>
      </c>
      <c r="AQ6" s="119" t="str">
        <f>IFERROR(INDEX(TableOverallMaster[POS RK],MATCH(TableOverallRank[[#This Row],[OVERALL PLAYER]],TableOverallMaster[OVERALL PLAYER],0)),"")</f>
        <v>RB3</v>
      </c>
      <c r="AR6" s="120">
        <f>IFERROR(INDEX(TableOverallMaster[BYE],MATCH(TableOverallRank[[#This Row],[OVERALL PLAYER]],TableOverallMaster[OVERALL PLAYER],0)),"")</f>
        <v>12</v>
      </c>
      <c r="AS6" s="119">
        <f>IFERROR(INDEX(TableOverallMaster[Custom],MATCH(TableOverallRank[[#This Row],[OVERALL PLAYER]],TableOverallMaster[OVERALL PLAYER],0)),"")</f>
        <v>256.69251922440355</v>
      </c>
      <c r="AT6" s="121">
        <f>IFERROR(INDEX(TableOverallMaster[VORP],MATCH(TableOverallRank[[#This Row],[OVERALL PLAYER]],TableOverallMaster[OVERALL PLAYER],0)),"")</f>
        <v>0.91252680850650725</v>
      </c>
      <c r="AV6">
        <v>5</v>
      </c>
      <c r="AW6" s="122" t="str">
        <f>IFERROR(INDEX(TableWRTECalcPts[PLAYER],MATCH(TableWRTERank[[#This Row],[RK]],TableWRTECalcPts[RK],0)),"")</f>
        <v>Justin Jefferson</v>
      </c>
      <c r="AX6" s="122" t="str">
        <f>IFERROR(INDEX(TableWRTECalcPts[POS RK],MATCH(TableWRTERank[[#This Row],[WR and TE COMBINED]],TableWRTECalcPts[PLAYER],0)),"")</f>
        <v>WR5</v>
      </c>
      <c r="AY6" s="122">
        <f>IFERROR(INDEX(TableWRTECalcPts[BYE],MATCH(TableWRTERank[[#This Row],[RK]],TableWRTECalcPts[RK],0)),"")</f>
        <v>6</v>
      </c>
      <c r="AZ6" s="123">
        <f>IFERROR(INDEX(TableWRTECalcPts[Custom],MATCH(TableWRTERank[[#This Row],[RK]],TableWRTECalcPts[RK],0)),"")</f>
        <v>241.32118821726243</v>
      </c>
      <c r="BA6" s="174">
        <f>IFERROR((TableWRTERank[[#This Row],[FPS]]-INDEX(TableWRTERank[FPS],MATCH(WRTEVORPCalc,TableWRTERank[RK],0)))/INDEX(TableWRTERank[FPS],MATCH(WRTEVORPCalc,TableWRTERank[RK],0)),"")</f>
        <v>0.53783088513715105</v>
      </c>
      <c r="BC6" t="s">
        <v>208</v>
      </c>
      <c r="BD6">
        <v>5</v>
      </c>
      <c r="BE6" s="83">
        <f>RANK(TableWRTEMaster[[#This Row],[VORP]],TableWRTEMaster[VORP])+COUNTIF($BJ$2:BJ6,BJ6)-1</f>
        <v>5</v>
      </c>
      <c r="BF6" s="115" t="str">
        <f>IFERROR(INDEX(TableWRVORP[WIDE RECEIVER],MATCH(TableWRTEMaster[[#This Row],[RK]],TableWRVORP[RK],0)),"")</f>
        <v>Justin Jefferson</v>
      </c>
      <c r="BG6" s="115" t="str">
        <f>_xlfn.CONCAT(TableWRTEMaster[[#This Row],[POS]],TableWRTEMaster[[#This Row],[RK]])</f>
        <v>WR5</v>
      </c>
      <c r="BH6" s="115">
        <f>IFERROR(INDEX(TableWRVORP[BYE],MATCH(TableWRTEMaster[[#This Row],[RK]],TableWRVORP[RK],0)),"")</f>
        <v>6</v>
      </c>
      <c r="BI6" s="116">
        <f>IFERROR(INDEX(TableWRVORP[FPS],MATCH(TableWRTEMaster[[#This Row],[RK]],TableWRVORP[RK],0)),"")</f>
        <v>241.32118821726243</v>
      </c>
      <c r="BJ6" s="117">
        <f>IFERROR(INDEX(TableWRVORP[VORP],MATCH(TableWRTEMaster[[#This Row],[RK]],TableWRVORP[RK],0)),"")</f>
        <v>0.76703690326909368</v>
      </c>
      <c r="BM6" s="57">
        <f>SUM(BM2:BM5)</f>
        <v>44.898788595066215</v>
      </c>
      <c r="BN6" s="80"/>
    </row>
    <row r="7" spans="1:66" x14ac:dyDescent="0.2">
      <c r="A7">
        <v>6</v>
      </c>
      <c r="B7" s="112" t="str">
        <f>IFERROR(INDEX(TableQBCalcPts[PLAYER],MATCH(TableQBVORP[[#This Row],[RK]],TableQBCalcPts[RK],0)),"")</f>
        <v>Jayden Daniels</v>
      </c>
      <c r="C7" s="112" t="str">
        <f>IFERROR(INDEX(TableQBCalcPts[TM],MATCH(TableQBVORP[[#This Row],[RK]],TableQBCalcPts[RK],0)),"")</f>
        <v>WSH</v>
      </c>
      <c r="D7" s="112">
        <f>IFERROR(INDEX(TableQBCalcPts[BYE],MATCH(TableQBVORP[[#This Row],[RK]],TableQBCalcPts[RK],0)),"")</f>
        <v>14</v>
      </c>
      <c r="E7" s="113">
        <f>IFERROR(INDEX(TableQBCalcPts[Custom],MATCH(TableQBVORP[[#This Row],[RK]],TableQBCalcPts[RK],0)),"")</f>
        <v>340.69552503608452</v>
      </c>
      <c r="F7" s="114">
        <f>(IFERROR((TableQBVORP[[#This Row],[FPS]]-INDEX(TableQBVORP[FPS],MATCH(QBVORPCalc,TableQBVORP[RK],0)))/INDEX(TableQBVORP[FPS],MATCH(QBVORPCalc,TableQBVORP[RK],0)),""))+(TableRBVORP[[#This Row],[VORP]]*0.45)</f>
        <v>0.26200415021245677</v>
      </c>
      <c r="H7">
        <v>6</v>
      </c>
      <c r="I7" s="112" t="str">
        <f>IFERROR(INDEX(TableRBCalcPts[PLAYER],MATCH(TableRBVORP[[#This Row],[RK]],TableRBCalcPts[RK],0)),"")</f>
        <v>Derrick Henry</v>
      </c>
      <c r="J7" s="112" t="str">
        <f>IFERROR(INDEX(TableRBCalcPts[TM],MATCH(TableRBVORP[[#This Row],[RK]],TableRBCalcPts[RK],0)),"")</f>
        <v>BAL</v>
      </c>
      <c r="K7" s="112">
        <f>IFERROR(INDEX(TableRBCalcPts[BYE],MATCH(TableRBVORP[[#This Row],[RK]],TableRBCalcPts[RK],0)),"")</f>
        <v>14</v>
      </c>
      <c r="L7" s="113">
        <f>IFERROR(INDEX(TableRBCalcPts[Custom],MATCH(TableRBVORP[[#This Row],[RK]],TableRBCalcPts[RK],0)),"")</f>
        <v>235.57123502841006</v>
      </c>
      <c r="M7" s="114">
        <f>(IFERROR((TableRBVORP[[#This Row],[FPS]]-INDEX(TableRBVORP[FPS],MATCH(RBVORPCalc,TableRBVORP[RK],0)))/INDEX(TableRBVORP[FPS],MATCH(RBVORPCalc,TableRBVORP[RK],0)),""))*0.8</f>
        <v>0.7716159415867635</v>
      </c>
      <c r="O7">
        <v>6</v>
      </c>
      <c r="P7" s="112" t="str">
        <f>IFERROR(INDEX(TableWRCalcPts[PLAYER],MATCH(TableWRVORP[[#This Row],[RK]],TableWRCalcPts[RK],0)),"")</f>
        <v>Puka Nacua</v>
      </c>
      <c r="Q7" s="112" t="str">
        <f>IFERROR(INDEX(TableWRCalcPts[TM],MATCH(TableWRVORP[[#This Row],[RK]],TableWRCalcPts[RK],0)),"")</f>
        <v>LAR</v>
      </c>
      <c r="R7" s="112">
        <f>IFERROR(INDEX(TableWRCalcPts[BYE],MATCH(TableWRVORP[[#This Row],[RK]],TableWRCalcPts[RK],0)),"")</f>
        <v>6</v>
      </c>
      <c r="S7" s="113">
        <f>IFERROR(INDEX(TableWRCalcPts[Custom],MATCH(TableWRVORP[[#This Row],[RK]],TableWRCalcPts[RK],0)),"")</f>
        <v>229.19735538856321</v>
      </c>
      <c r="T7" s="114">
        <f>(IFERROR((TableWRVORP[[#This Row],[FPS]]-INDEX(TableWRVORP[FPS],MATCH(WRVORPCalc,TableWRVORP[RK],0)))/INDEX(TableWRVORP[FPS],MATCH(WRVORPCalc,TableWRVORP[RK],0)),""))*1.2</f>
        <v>0.66821414029791926</v>
      </c>
      <c r="V7">
        <v>6</v>
      </c>
      <c r="W7" s="112" t="str">
        <f>IFERROR(INDEX(TableTECalcPts[PLAYER],MATCH(TableTEVORP[[#This Row],[RK]],TableTECalcPts[RK],0)),"")</f>
        <v>Jake Ferguson</v>
      </c>
      <c r="X7" s="112" t="str">
        <f>IFERROR(INDEX(TableTECalcPts[TM],MATCH(TableTEVORP[[#This Row],[RK]],TableTECalcPts[RK],0)),"")</f>
        <v>DAL</v>
      </c>
      <c r="Y7" s="112">
        <f>IFERROR(INDEX(TableTECalcPts[BYE],MATCH(TableTEVORP[[#This Row],[RK]],TableTECalcPts[RK],0)),"")</f>
        <v>7</v>
      </c>
      <c r="Z7" s="113">
        <f>IFERROR(INDEX(TableTECalcPts[Custom],MATCH(TableTEVORP[[#This Row],[RK]],TableTECalcPts[RK],0)),"")</f>
        <v>163.6950494543639</v>
      </c>
      <c r="AA7" s="114">
        <f>IFERROR((TableTEVORP[[#This Row],[FPS]]-INDEX(TableTEVORP[FPS],MATCH(TEVORPCalc,TableTEVORP[RK],0)))/INDEX(TableTEVORP[FPS],MATCH(TEVORPCalc,TableTEVORP[RK],0)),"")</f>
        <v>0.24351456018056855</v>
      </c>
      <c r="AC7" t="s">
        <v>366</v>
      </c>
      <c r="AD7" s="83">
        <f>TEAMS*STARTING_SUPERFLEX</f>
        <v>0</v>
      </c>
      <c r="AF7" t="s">
        <v>9</v>
      </c>
      <c r="AG7">
        <v>6</v>
      </c>
      <c r="AH7" s="83">
        <f>RANK(TableOverallMaster[[#This Row],[VORP]],TableOverallMaster[VORP])+COUNTIF($AM$2:AM7,AM7)-1</f>
        <v>74</v>
      </c>
      <c r="AI7" s="115" t="str">
        <f>IFERROR(INDEX(TableQBVORP[QUARTERBACK],MATCH(TableOverallMaster[[#This Row],[RK]],TableQBVORP[RK],0)),"")</f>
        <v>Jayden Daniels</v>
      </c>
      <c r="AJ7" s="115" t="str">
        <f t="shared" si="0"/>
        <v>QB6</v>
      </c>
      <c r="AK7" s="115">
        <f>IFERROR(INDEX(TableQBVORP[BYE],MATCH(TableOverallMaster[[#This Row],[RK]],TableQBVORP[RK],0)),"")</f>
        <v>14</v>
      </c>
      <c r="AL7" s="116">
        <f>IFERROR(INDEX(TableQBVORP[FPS],MATCH(TableOverallMaster[[#This Row],[RK]],TableQBVORP[RK],0)),"")</f>
        <v>340.69552503608452</v>
      </c>
      <c r="AM7" s="117">
        <f>IFERROR(INDEX(TableQBVORP[VORP],MATCH(TableOverallMaster[[#This Row],[RK]],TableQBVORP[RK],0)),"")</f>
        <v>0.26200415021245677</v>
      </c>
      <c r="AO7">
        <v>6</v>
      </c>
      <c r="AP7" s="118" t="str">
        <f>IFERROR(INDEX(TableOverallMaster[OVERALL PLAYER],MATCH(TableOverallRank[[#This Row],[RK]],TableOverallMaster[OVR RK],0)),"")</f>
        <v>Amon-Ra St. Brown</v>
      </c>
      <c r="AQ7" s="119" t="str">
        <f>IFERROR(INDEX(TableOverallMaster[POS RK],MATCH(TableOverallRank[[#This Row],[OVERALL PLAYER]],TableOverallMaster[OVERALL PLAYER],0)),"")</f>
        <v>WR3</v>
      </c>
      <c r="AR7" s="120">
        <f>IFERROR(INDEX(TableOverallMaster[BYE],MATCH(TableOverallRank[[#This Row],[OVERALL PLAYER]],TableOverallMaster[OVERALL PLAYER],0)),"")</f>
        <v>5</v>
      </c>
      <c r="AS7" s="119">
        <f>IFERROR(INDEX(TableOverallMaster[Custom],MATCH(TableOverallRank[[#This Row],[OVERALL PLAYER]],TableOverallMaster[OVERALL PLAYER],0)),"")</f>
        <v>251.21556304873667</v>
      </c>
      <c r="AT7" s="121">
        <f>IFERROR(INDEX(TableOverallMaster[VORP],MATCH(TableOverallRank[[#This Row],[OVERALL PLAYER]],TableOverallMaster[OVERALL PLAYER],0)),"")</f>
        <v>0.84768709636678596</v>
      </c>
      <c r="AV7">
        <v>6</v>
      </c>
      <c r="AW7" s="122" t="str">
        <f>IFERROR(INDEX(TableWRTECalcPts[PLAYER],MATCH(TableWRTERank[[#This Row],[RK]],TableWRTECalcPts[RK],0)),"")</f>
        <v>Puka Nacua</v>
      </c>
      <c r="AX7" s="122" t="str">
        <f>IFERROR(INDEX(TableWRTECalcPts[POS RK],MATCH(TableWRTERank[[#This Row],[WR and TE COMBINED]],TableWRTECalcPts[PLAYER],0)),"")</f>
        <v>WR6</v>
      </c>
      <c r="AY7" s="122">
        <f>IFERROR(INDEX(TableWRTECalcPts[BYE],MATCH(TableWRTERank[[#This Row],[RK]],TableWRTECalcPts[RK],0)),"")</f>
        <v>6</v>
      </c>
      <c r="AZ7" s="123">
        <f>IFERROR(INDEX(TableWRTECalcPts[Custom],MATCH(TableWRTERank[[#This Row],[RK]],TableWRTECalcPts[RK],0)),"")</f>
        <v>229.19735538856321</v>
      </c>
      <c r="BA7" s="174">
        <f>IFERROR((TableWRTERank[[#This Row],[FPS]]-INDEX(TableWRTERank[FPS],MATCH(WRTEVORPCalc,TableWRTERank[RK],0)))/INDEX(TableWRTERank[FPS],MATCH(WRTEVORPCalc,TableWRTERank[RK],0)),"")</f>
        <v>0.46057117699487332</v>
      </c>
      <c r="BC7" t="s">
        <v>208</v>
      </c>
      <c r="BD7">
        <v>6</v>
      </c>
      <c r="BE7" s="83">
        <f>RANK(TableWRTEMaster[[#This Row],[VORP]],TableWRTEMaster[VORP])+COUNTIF($BJ$2:BJ7,BJ7)-1</f>
        <v>6</v>
      </c>
      <c r="BF7" s="115" t="str">
        <f>IFERROR(INDEX(TableWRVORP[WIDE RECEIVER],MATCH(TableWRTEMaster[[#This Row],[RK]],TableWRVORP[RK],0)),"")</f>
        <v>Puka Nacua</v>
      </c>
      <c r="BG7" s="115" t="str">
        <f>_xlfn.CONCAT(TableWRTEMaster[[#This Row],[POS]],TableWRTEMaster[[#This Row],[RK]])</f>
        <v>WR6</v>
      </c>
      <c r="BH7" s="115">
        <f>IFERROR(INDEX(TableWRVORP[BYE],MATCH(TableWRTEMaster[[#This Row],[RK]],TableWRVORP[RK],0)),"")</f>
        <v>6</v>
      </c>
      <c r="BI7" s="116">
        <f>IFERROR(INDEX(TableWRVORP[FPS],MATCH(TableWRTEMaster[[#This Row],[RK]],TableWRVORP[RK],0)),"")</f>
        <v>229.19735538856321</v>
      </c>
      <c r="BJ7" s="117">
        <f>IFERROR(INDEX(TableWRVORP[VORP],MATCH(TableWRTEMaster[[#This Row],[RK]],TableWRVORP[RK],0)),"")</f>
        <v>0.66821414029791926</v>
      </c>
    </row>
    <row r="8" spans="1:66" x14ac:dyDescent="0.2">
      <c r="A8">
        <v>7</v>
      </c>
      <c r="B8" s="112" t="str">
        <f>IFERROR(INDEX(TableQBCalcPts[PLAYER],MATCH(TableQBVORP[[#This Row],[RK]],TableQBCalcPts[RK],0)),"")</f>
        <v>Dak Prescott</v>
      </c>
      <c r="C8" s="112" t="str">
        <f>IFERROR(INDEX(TableQBCalcPts[TM],MATCH(TableQBVORP[[#This Row],[RK]],TableQBCalcPts[RK],0)),"")</f>
        <v>DAL</v>
      </c>
      <c r="D8" s="112">
        <f>IFERROR(INDEX(TableQBCalcPts[BYE],MATCH(TableQBVORP[[#This Row],[RK]],TableQBCalcPts[RK],0)),"")</f>
        <v>7</v>
      </c>
      <c r="E8" s="113">
        <f>IFERROR(INDEX(TableQBCalcPts[Custom],MATCH(TableQBVORP[[#This Row],[RK]],TableQBCalcPts[RK],0)),"")</f>
        <v>330.82918430232354</v>
      </c>
      <c r="F8" s="114">
        <f>(IFERROR((TableQBVORP[[#This Row],[FPS]]-INDEX(TableQBVORP[FPS],MATCH(QBVORPCalc,TableQBVORP[RK],0)))/INDEX(TableQBVORP[FPS],MATCH(QBVORPCalc,TableQBVORP[RK],0)),""))+(TableRBVORP[[#This Row],[VORP]]*0.45)</f>
        <v>0.19353602830080585</v>
      </c>
      <c r="H8">
        <v>7</v>
      </c>
      <c r="I8" s="112" t="str">
        <f>IFERROR(INDEX(TableRBCalcPts[PLAYER],MATCH(TableRBVORP[[#This Row],[RK]],TableRBCalcPts[RK],0)),"")</f>
        <v>Joe Mixon</v>
      </c>
      <c r="J8" s="112" t="str">
        <f>IFERROR(INDEX(TableRBCalcPts[TM],MATCH(TableRBVORP[[#This Row],[RK]],TableRBCalcPts[RK],0)),"")</f>
        <v>HOU</v>
      </c>
      <c r="K8" s="112">
        <f>IFERROR(INDEX(TableRBCalcPts[BYE],MATCH(TableRBVORP[[#This Row],[RK]],TableRBCalcPts[RK],0)),"")</f>
        <v>14</v>
      </c>
      <c r="L8" s="113">
        <f>IFERROR(INDEX(TableRBCalcPts[Custom],MATCH(TableRBVORP[[#This Row],[RK]],TableRBCalcPts[RK],0)),"")</f>
        <v>221.58915310275702</v>
      </c>
      <c r="M8" s="114">
        <f>(IFERROR((TableRBVORP[[#This Row],[FPS]]-INDEX(TableRBVORP[FPS],MATCH(RBVORPCalc,TableRBVORP[RK],0)))/INDEX(TableRBVORP[FPS],MATCH(RBVORPCalc,TableRBVORP[RK],0)),""))*0.8</f>
        <v>0.67833433677504562</v>
      </c>
      <c r="O8">
        <v>7</v>
      </c>
      <c r="P8" s="112" t="str">
        <f>IFERROR(INDEX(TableWRCalcPts[PLAYER],MATCH(TableWRVORP[[#This Row],[RK]],TableWRCalcPts[RK],0)),"")</f>
        <v>A.J. Brown</v>
      </c>
      <c r="Q8" s="112" t="str">
        <f>IFERROR(INDEX(TableWRCalcPts[TM],MATCH(TableWRVORP[[#This Row],[RK]],TableWRCalcPts[RK],0)),"")</f>
        <v>PHI</v>
      </c>
      <c r="R8" s="112">
        <f>IFERROR(INDEX(TableWRCalcPts[BYE],MATCH(TableWRVORP[[#This Row],[RK]],TableWRCalcPts[RK],0)),"")</f>
        <v>5</v>
      </c>
      <c r="S8" s="113">
        <f>IFERROR(INDEX(TableWRCalcPts[Custom],MATCH(TableWRVORP[[#This Row],[RK]],TableWRCalcPts[RK],0)),"")</f>
        <v>222.93815465263103</v>
      </c>
      <c r="T8" s="114">
        <f>(IFERROR((TableWRVORP[[#This Row],[FPS]]-INDEX(TableWRVORP[FPS],MATCH(WRVORPCalc,TableWRVORP[RK],0)))/INDEX(TableWRVORP[FPS],MATCH(WRVORPCalc,TableWRVORP[RK],0)),""))*1.2</f>
        <v>0.61719467149991614</v>
      </c>
      <c r="V8">
        <v>7</v>
      </c>
      <c r="W8" s="112" t="str">
        <f>IFERROR(INDEX(TableTECalcPts[PLAYER],MATCH(TableTEVORP[[#This Row],[RK]],TableTECalcPts[RK],0)),"")</f>
        <v>Evan Engram</v>
      </c>
      <c r="X8" s="112" t="str">
        <f>IFERROR(INDEX(TableTECalcPts[TM],MATCH(TableTEVORP[[#This Row],[RK]],TableTECalcPts[RK],0)),"")</f>
        <v>JAX</v>
      </c>
      <c r="Y8" s="112">
        <f>IFERROR(INDEX(TableTECalcPts[BYE],MATCH(TableTEVORP[[#This Row],[RK]],TableTECalcPts[RK],0)),"")</f>
        <v>12</v>
      </c>
      <c r="Z8" s="113">
        <f>IFERROR(INDEX(TableTECalcPts[Custom],MATCH(TableTEVORP[[#This Row],[RK]],TableTECalcPts[RK],0)),"")</f>
        <v>162.13728753207036</v>
      </c>
      <c r="AA8" s="114">
        <f>IFERROR((TableTEVORP[[#This Row],[FPS]]-INDEX(TableTEVORP[FPS],MATCH(TEVORPCalc,TableTEVORP[RK],0)))/INDEX(TableTEVORP[FPS],MATCH(TEVORPCalc,TableTEVORP[RK],0)),"")</f>
        <v>0.23168097304324389</v>
      </c>
      <c r="AC8" t="s">
        <v>381</v>
      </c>
      <c r="AD8" s="83">
        <f>(TEAMS*STARTING_WR)+(TEAMS*STARTING_TE)+(TEAMS*STARTING_FLEX)</f>
        <v>60</v>
      </c>
      <c r="AF8" t="s">
        <v>9</v>
      </c>
      <c r="AG8">
        <v>7</v>
      </c>
      <c r="AH8" s="83">
        <f>RANK(TableOverallMaster[[#This Row],[VORP]],TableOverallMaster[VORP])+COUNTIF($AM$2:AM8,AM8)-1</f>
        <v>89</v>
      </c>
      <c r="AI8" s="115" t="str">
        <f>IFERROR(INDEX(TableQBVORP[QUARTERBACK],MATCH(TableOverallMaster[[#This Row],[RK]],TableQBVORP[RK],0)),"")</f>
        <v>Dak Prescott</v>
      </c>
      <c r="AJ8" s="115" t="str">
        <f t="shared" si="0"/>
        <v>QB7</v>
      </c>
      <c r="AK8" s="115">
        <f>IFERROR(INDEX(TableQBVORP[BYE],MATCH(TableOverallMaster[[#This Row],[RK]],TableQBVORP[RK],0)),"")</f>
        <v>7</v>
      </c>
      <c r="AL8" s="116">
        <f>IFERROR(INDEX(TableQBVORP[FPS],MATCH(TableOverallMaster[[#This Row],[RK]],TableQBVORP[RK],0)),"")</f>
        <v>330.82918430232354</v>
      </c>
      <c r="AM8" s="117">
        <f>IFERROR(INDEX(TableQBVORP[VORP],MATCH(TableOverallMaster[[#This Row],[RK]],TableQBVORP[RK],0)),"")</f>
        <v>0.19353602830080585</v>
      </c>
      <c r="AO8">
        <v>7</v>
      </c>
      <c r="AP8" s="118" t="str">
        <f>IFERROR(INDEX(TableOverallMaster[OVERALL PLAYER],MATCH(TableOverallRank[[#This Row],[RK]],TableOverallMaster[OVR RK],0)),"")</f>
        <v>Bijan Robinson</v>
      </c>
      <c r="AQ8" s="119" t="str">
        <f>IFERROR(INDEX(TableOverallMaster[POS RK],MATCH(TableOverallRank[[#This Row],[OVERALL PLAYER]],TableOverallMaster[OVERALL PLAYER],0)),"")</f>
        <v>RB4</v>
      </c>
      <c r="AR8" s="120">
        <f>IFERROR(INDEX(TableOverallMaster[BYE],MATCH(TableOverallRank[[#This Row],[OVERALL PLAYER]],TableOverallMaster[OVERALL PLAYER],0)),"")</f>
        <v>12</v>
      </c>
      <c r="AS8" s="119">
        <f>IFERROR(INDEX(TableOverallMaster[Custom],MATCH(TableOverallRank[[#This Row],[OVERALL PLAYER]],TableOverallMaster[OVERALL PLAYER],0)),"")</f>
        <v>245.64507671266452</v>
      </c>
      <c r="AT8" s="121">
        <f>IFERROR(INDEX(TableOverallMaster[VORP],MATCH(TableOverallRank[[#This Row],[OVERALL PLAYER]],TableOverallMaster[OVERALL PLAYER],0)),"")</f>
        <v>0.83882368102951066</v>
      </c>
      <c r="AV8">
        <v>7</v>
      </c>
      <c r="AW8" s="122" t="str">
        <f>IFERROR(INDEX(TableWRTECalcPts[PLAYER],MATCH(TableWRTERank[[#This Row],[RK]],TableWRTECalcPts[RK],0)),"")</f>
        <v>A.J. Brown</v>
      </c>
      <c r="AX8" s="122" t="str">
        <f>IFERROR(INDEX(TableWRTECalcPts[POS RK],MATCH(TableWRTERank[[#This Row],[WR and TE COMBINED]],TableWRTECalcPts[PLAYER],0)),"")</f>
        <v>WR7</v>
      </c>
      <c r="AY8" s="122">
        <f>IFERROR(INDEX(TableWRTECalcPts[BYE],MATCH(TableWRTERank[[#This Row],[RK]],TableWRTECalcPts[RK],0)),"")</f>
        <v>5</v>
      </c>
      <c r="AZ8" s="123">
        <f>IFERROR(INDEX(TableWRTECalcPts[Custom],MATCH(TableWRTERank[[#This Row],[RK]],TableWRTECalcPts[RK],0)),"")</f>
        <v>222.93815465263103</v>
      </c>
      <c r="BA8" s="174">
        <f>IFERROR((TableWRTERank[[#This Row],[FPS]]-INDEX(TableWRTERank[FPS],MATCH(WRTEVORPCalc,TableWRTERank[RK],0)))/INDEX(TableWRTERank[FPS],MATCH(WRTEVORPCalc,TableWRTERank[RK],0)),"")</f>
        <v>0.42068411909043546</v>
      </c>
      <c r="BC8" t="s">
        <v>208</v>
      </c>
      <c r="BD8">
        <v>7</v>
      </c>
      <c r="BE8" s="83">
        <f>RANK(TableWRTEMaster[[#This Row],[VORP]],TableWRTEMaster[VORP])+COUNTIF($BJ$2:BJ8,BJ8)-1</f>
        <v>7</v>
      </c>
      <c r="BF8" s="115" t="str">
        <f>IFERROR(INDEX(TableWRVORP[WIDE RECEIVER],MATCH(TableWRTEMaster[[#This Row],[RK]],TableWRVORP[RK],0)),"")</f>
        <v>A.J. Brown</v>
      </c>
      <c r="BG8" s="115" t="str">
        <f>_xlfn.CONCAT(TableWRTEMaster[[#This Row],[POS]],TableWRTEMaster[[#This Row],[RK]])</f>
        <v>WR7</v>
      </c>
      <c r="BH8" s="115">
        <f>IFERROR(INDEX(TableWRVORP[BYE],MATCH(TableWRTEMaster[[#This Row],[RK]],TableWRVORP[RK],0)),"")</f>
        <v>5</v>
      </c>
      <c r="BI8" s="116">
        <f>IFERROR(INDEX(TableWRVORP[FPS],MATCH(TableWRTEMaster[[#This Row],[RK]],TableWRVORP[RK],0)),"")</f>
        <v>222.93815465263103</v>
      </c>
      <c r="BJ8" s="117">
        <f>IFERROR(INDEX(TableWRVORP[VORP],MATCH(TableWRTEMaster[[#This Row],[RK]],TableWRVORP[RK],0)),"")</f>
        <v>0.61719467149991614</v>
      </c>
    </row>
    <row r="9" spans="1:66" x14ac:dyDescent="0.2">
      <c r="A9">
        <v>8</v>
      </c>
      <c r="B9" s="112" t="str">
        <f>IFERROR(INDEX(TableQBCalcPts[PLAYER],MATCH(TableQBVORP[[#This Row],[RK]],TableQBCalcPts[RK],0)),"")</f>
        <v>C.J. Stroud</v>
      </c>
      <c r="C9" s="112" t="str">
        <f>IFERROR(INDEX(TableQBCalcPts[TM],MATCH(TableQBVORP[[#This Row],[RK]],TableQBCalcPts[RK],0)),"")</f>
        <v>HOU</v>
      </c>
      <c r="D9" s="112">
        <f>IFERROR(INDEX(TableQBCalcPts[BYE],MATCH(TableQBVORP[[#This Row],[RK]],TableQBCalcPts[RK],0)),"")</f>
        <v>14</v>
      </c>
      <c r="E9" s="113">
        <f>IFERROR(INDEX(TableQBCalcPts[Custom],MATCH(TableQBVORP[[#This Row],[RK]],TableQBCalcPts[RK],0)),"")</f>
        <v>330.35566059243126</v>
      </c>
      <c r="F9" s="114">
        <f>(IFERROR((TableQBVORP[[#This Row],[FPS]]-INDEX(TableQBVORP[FPS],MATCH(QBVORPCalc,TableQBVORP[RK],0)))/INDEX(TableQBVORP[FPS],MATCH(QBVORPCalc,TableQBVORP[RK],0)),""))+(TableRBVORP[[#This Row],[VORP]]*0.45)</f>
        <v>0.17079341755383565</v>
      </c>
      <c r="H9">
        <v>8</v>
      </c>
      <c r="I9" s="112" t="str">
        <f>IFERROR(INDEX(TableRBCalcPts[PLAYER],MATCH(TableRBVORP[[#This Row],[RK]],TableRBCalcPts[RK],0)),"")</f>
        <v>Kyren Williams</v>
      </c>
      <c r="J9" s="112" t="str">
        <f>IFERROR(INDEX(TableRBCalcPts[TM],MATCH(TableRBVORP[[#This Row],[RK]],TableRBCalcPts[RK],0)),"")</f>
        <v>LAR</v>
      </c>
      <c r="K9" s="112">
        <f>IFERROR(INDEX(TableRBCalcPts[BYE],MATCH(TableRBVORP[[#This Row],[RK]],TableRBCalcPts[RK],0)),"")</f>
        <v>6</v>
      </c>
      <c r="L9" s="113">
        <f>IFERROR(INDEX(TableRBCalcPts[Custom],MATCH(TableRBVORP[[#This Row],[RK]],TableRBCalcPts[RK],0)),"")</f>
        <v>214.43728721829297</v>
      </c>
      <c r="M9" s="114">
        <f>(IFERROR((TableRBVORP[[#This Row],[FPS]]-INDEX(TableRBVORP[FPS],MATCH(RBVORPCalc,TableRBVORP[RK],0)))/INDEX(TableRBVORP[FPS],MATCH(RBVORPCalc,TableRBVORP[RK],0)),""))*0.8</f>
        <v>0.63062058923384567</v>
      </c>
      <c r="O9">
        <v>8</v>
      </c>
      <c r="P9" s="112" t="str">
        <f>IFERROR(INDEX(TableWRCalcPts[PLAYER],MATCH(TableWRVORP[[#This Row],[RK]],TableWRCalcPts[RK],0)),"")</f>
        <v>Cooper Kupp</v>
      </c>
      <c r="Q9" s="112" t="str">
        <f>IFERROR(INDEX(TableWRCalcPts[TM],MATCH(TableWRVORP[[#This Row],[RK]],TableWRCalcPts[RK],0)),"")</f>
        <v>LAR</v>
      </c>
      <c r="R9" s="112">
        <f>IFERROR(INDEX(TableWRCalcPts[BYE],MATCH(TableWRVORP[[#This Row],[RK]],TableWRCalcPts[RK],0)),"")</f>
        <v>6</v>
      </c>
      <c r="S9" s="113">
        <f>IFERROR(INDEX(TableWRCalcPts[Custom],MATCH(TableWRVORP[[#This Row],[RK]],TableWRCalcPts[RK],0)),"")</f>
        <v>212.00270106103099</v>
      </c>
      <c r="T9" s="114">
        <f>(IFERROR((TableWRVORP[[#This Row],[FPS]]-INDEX(TableWRVORP[FPS],MATCH(WRVORPCalc,TableWRVORP[RK],0)))/INDEX(TableWRVORP[FPS],MATCH(WRVORPCalc,TableWRVORP[RK],0)),""))*1.2</f>
        <v>0.52805852507377682</v>
      </c>
      <c r="V9">
        <v>8</v>
      </c>
      <c r="W9" s="112" t="str">
        <f>IFERROR(INDEX(TableTECalcPts[PLAYER],MATCH(TableTEVORP[[#This Row],[RK]],TableTECalcPts[RK],0)),"")</f>
        <v>George Kittle</v>
      </c>
      <c r="X9" s="112" t="str">
        <f>IFERROR(INDEX(TableTECalcPts[TM],MATCH(TableTEVORP[[#This Row],[RK]],TableTECalcPts[RK],0)),"")</f>
        <v>SF</v>
      </c>
      <c r="Y9" s="112">
        <f>IFERROR(INDEX(TableTECalcPts[BYE],MATCH(TableTEVORP[[#This Row],[RK]],TableTECalcPts[RK],0)),"")</f>
        <v>9</v>
      </c>
      <c r="Z9" s="113">
        <f>IFERROR(INDEX(TableTECalcPts[Custom],MATCH(TableTEVORP[[#This Row],[RK]],TableTECalcPts[RK],0)),"")</f>
        <v>161.66168890481731</v>
      </c>
      <c r="AA9" s="114">
        <f>IFERROR((TableTEVORP[[#This Row],[FPS]]-INDEX(TableTEVORP[FPS],MATCH(TEVORPCalc,TableTEVORP[RK],0)))/INDEX(TableTEVORP[FPS],MATCH(TEVORPCalc,TableTEVORP[RK],0)),"")</f>
        <v>0.22806807320441316</v>
      </c>
      <c r="AF9" t="s">
        <v>9</v>
      </c>
      <c r="AG9">
        <v>8</v>
      </c>
      <c r="AH9" s="83">
        <f>RANK(TableOverallMaster[[#This Row],[VORP]],TableOverallMaster[VORP])+COUNTIF($AM$2:AM9,AM9)-1</f>
        <v>93</v>
      </c>
      <c r="AI9" s="115" t="str">
        <f>IFERROR(INDEX(TableQBVORP[QUARTERBACK],MATCH(TableOverallMaster[[#This Row],[RK]],TableQBVORP[RK],0)),"")</f>
        <v>C.J. Stroud</v>
      </c>
      <c r="AJ9" s="115" t="str">
        <f t="shared" si="0"/>
        <v>QB8</v>
      </c>
      <c r="AK9" s="115">
        <f>IFERROR(INDEX(TableQBVORP[BYE],MATCH(TableOverallMaster[[#This Row],[RK]],TableQBVORP[RK],0)),"")</f>
        <v>14</v>
      </c>
      <c r="AL9" s="116">
        <f>IFERROR(INDEX(TableQBVORP[FPS],MATCH(TableOverallMaster[[#This Row],[RK]],TableQBVORP[RK],0)),"")</f>
        <v>330.35566059243126</v>
      </c>
      <c r="AM9" s="117">
        <f>IFERROR(INDEX(TableQBVORP[VORP],MATCH(TableOverallMaster[[#This Row],[RK]],TableQBVORP[RK],0)),"")</f>
        <v>0.17079341755383565</v>
      </c>
      <c r="AO9">
        <v>8</v>
      </c>
      <c r="AP9" s="118" t="str">
        <f>IFERROR(INDEX(TableOverallMaster[OVERALL PLAYER],MATCH(TableOverallRank[[#This Row],[RK]],TableOverallMaster[OVR RK],0)),"")</f>
        <v>Saquon Barkley</v>
      </c>
      <c r="AQ9" s="119" t="str">
        <f>IFERROR(INDEX(TableOverallMaster[POS RK],MATCH(TableOverallRank[[#This Row],[OVERALL PLAYER]],TableOverallMaster[OVERALL PLAYER],0)),"")</f>
        <v>RB5</v>
      </c>
      <c r="AR9" s="120">
        <f>IFERROR(INDEX(TableOverallMaster[BYE],MATCH(TableOverallRank[[#This Row],[OVERALL PLAYER]],TableOverallMaster[OVERALL PLAYER],0)),"")</f>
        <v>5</v>
      </c>
      <c r="AS9" s="119">
        <f>IFERROR(INDEX(TableOverallMaster[Custom],MATCH(TableOverallRank[[#This Row],[OVERALL PLAYER]],TableOverallMaster[OVERALL PLAYER],0)),"")</f>
        <v>241.74493605547082</v>
      </c>
      <c r="AT9" s="121">
        <f>IFERROR(INDEX(TableOverallMaster[VORP],MATCH(TableOverallRank[[#This Row],[OVERALL PLAYER]],TableOverallMaster[OVERALL PLAYER],0)),"")</f>
        <v>0.81280385212070072</v>
      </c>
      <c r="AV9">
        <v>8</v>
      </c>
      <c r="AW9" s="122" t="str">
        <f>IFERROR(INDEX(TableWRTECalcPts[PLAYER],MATCH(TableWRTERank[[#This Row],[RK]],TableWRTECalcPts[RK],0)),"")</f>
        <v>Cooper Kupp</v>
      </c>
      <c r="AX9" s="122" t="str">
        <f>IFERROR(INDEX(TableWRTECalcPts[POS RK],MATCH(TableWRTERank[[#This Row],[WR and TE COMBINED]],TableWRTECalcPts[PLAYER],0)),"")</f>
        <v>WR8</v>
      </c>
      <c r="AY9" s="122">
        <f>IFERROR(INDEX(TableWRTECalcPts[BYE],MATCH(TableWRTERank[[#This Row],[RK]],TableWRTECalcPts[RK],0)),"")</f>
        <v>6</v>
      </c>
      <c r="AZ9" s="123">
        <f>IFERROR(INDEX(TableWRTECalcPts[Custom],MATCH(TableWRTERank[[#This Row],[RK]],TableWRTECalcPts[RK],0)),"")</f>
        <v>212.00270106103099</v>
      </c>
      <c r="BA9" s="174">
        <f>IFERROR((TableWRTERank[[#This Row],[FPS]]-INDEX(TableWRTERank[FPS],MATCH(WRTEVORPCalc,TableWRTERank[RK],0)))/INDEX(TableWRTERank[FPS],MATCH(WRTEVORPCalc,TableWRTERank[RK],0)),"")</f>
        <v>0.35099741482555252</v>
      </c>
      <c r="BC9" t="s">
        <v>208</v>
      </c>
      <c r="BD9">
        <v>8</v>
      </c>
      <c r="BE9" s="83">
        <f>RANK(TableWRTEMaster[[#This Row],[VORP]],TableWRTEMaster[VORP])+COUNTIF($BJ$2:BJ9,BJ9)-1</f>
        <v>8</v>
      </c>
      <c r="BF9" s="115" t="str">
        <f>IFERROR(INDEX(TableWRVORP[WIDE RECEIVER],MATCH(TableWRTEMaster[[#This Row],[RK]],TableWRVORP[RK],0)),"")</f>
        <v>Cooper Kupp</v>
      </c>
      <c r="BG9" s="115" t="str">
        <f>_xlfn.CONCAT(TableWRTEMaster[[#This Row],[POS]],TableWRTEMaster[[#This Row],[RK]])</f>
        <v>WR8</v>
      </c>
      <c r="BH9" s="115">
        <f>IFERROR(INDEX(TableWRVORP[BYE],MATCH(TableWRTEMaster[[#This Row],[RK]],TableWRVORP[RK],0)),"")</f>
        <v>6</v>
      </c>
      <c r="BI9" s="116">
        <f>IFERROR(INDEX(TableWRVORP[FPS],MATCH(TableWRTEMaster[[#This Row],[RK]],TableWRVORP[RK],0)),"")</f>
        <v>212.00270106103099</v>
      </c>
      <c r="BJ9" s="117">
        <f>IFERROR(INDEX(TableWRVORP[VORP],MATCH(TableWRTEMaster[[#This Row],[RK]],TableWRVORP[RK],0)),"")</f>
        <v>0.52805852507377682</v>
      </c>
    </row>
    <row r="10" spans="1:66" x14ac:dyDescent="0.2">
      <c r="A10">
        <v>9</v>
      </c>
      <c r="B10" s="112" t="str">
        <f>IFERROR(INDEX(TableQBCalcPts[PLAYER],MATCH(TableQBVORP[[#This Row],[RK]],TableQBCalcPts[RK],0)),"")</f>
        <v>Joe Burrow</v>
      </c>
      <c r="C10" s="112" t="str">
        <f>IFERROR(INDEX(TableQBCalcPts[TM],MATCH(TableQBVORP[[#This Row],[RK]],TableQBCalcPts[RK],0)),"")</f>
        <v>CIN</v>
      </c>
      <c r="D10" s="112">
        <f>IFERROR(INDEX(TableQBCalcPts[BYE],MATCH(TableQBVORP[[#This Row],[RK]],TableQBCalcPts[RK],0)),"")</f>
        <v>12</v>
      </c>
      <c r="E10" s="113">
        <f>IFERROR(INDEX(TableQBCalcPts[Custom],MATCH(TableQBVORP[[#This Row],[RK]],TableQBCalcPts[RK],0)),"")</f>
        <v>327.35691518693926</v>
      </c>
      <c r="F10" s="114">
        <f>(IFERROR((TableQBVORP[[#This Row],[FPS]]-INDEX(TableQBVORP[FPS],MATCH(QBVORPCalc,TableQBVORP[RK],0)))/INDEX(TableQBVORP[FPS],MATCH(QBVORPCalc,TableQBVORP[RK],0)),""))+(TableRBVORP[[#This Row],[VORP]]*0.45)</f>
        <v>0.16215158821756287</v>
      </c>
      <c r="H10">
        <v>9</v>
      </c>
      <c r="I10" s="112" t="str">
        <f>IFERROR(INDEX(TableRBCalcPts[PLAYER],MATCH(TableRBVORP[[#This Row],[RK]],TableRBCalcPts[RK],0)),"")</f>
        <v>Josh Jacobs</v>
      </c>
      <c r="J10" s="112" t="str">
        <f>IFERROR(INDEX(TableRBCalcPts[TM],MATCH(TableRBVORP[[#This Row],[RK]],TableRBCalcPts[RK],0)),"")</f>
        <v>GB</v>
      </c>
      <c r="K10" s="112">
        <f>IFERROR(INDEX(TableRBCalcPts[BYE],MATCH(TableRBVORP[[#This Row],[RK]],TableRBCalcPts[RK],0)),"")</f>
        <v>10</v>
      </c>
      <c r="L10" s="113">
        <f>IFERROR(INDEX(TableRBCalcPts[Custom],MATCH(TableRBVORP[[#This Row],[RK]],TableRBCalcPts[RK],0)),"")</f>
        <v>214.24072523951244</v>
      </c>
      <c r="M10" s="114">
        <f>(IFERROR((TableRBVORP[[#This Row],[FPS]]-INDEX(TableRBVORP[FPS],MATCH(RBVORPCalc,TableRBVORP[RK],0)))/INDEX(TableRBVORP[FPS],MATCH(RBVORPCalc,TableRBVORP[RK],0)),""))*0.8</f>
        <v>0.62930922395054167</v>
      </c>
      <c r="O10">
        <v>9</v>
      </c>
      <c r="P10" s="112" t="str">
        <f>IFERROR(INDEX(TableWRCalcPts[PLAYER],MATCH(TableWRVORP[[#This Row],[RK]],TableWRCalcPts[RK],0)),"")</f>
        <v>Mike Evans</v>
      </c>
      <c r="Q10" s="112" t="str">
        <f>IFERROR(INDEX(TableWRCalcPts[TM],MATCH(TableWRVORP[[#This Row],[RK]],TableWRCalcPts[RK],0)),"")</f>
        <v>TB</v>
      </c>
      <c r="R10" s="112">
        <f>IFERROR(INDEX(TableWRCalcPts[BYE],MATCH(TableWRVORP[[#This Row],[RK]],TableWRCalcPts[RK],0)),"")</f>
        <v>11</v>
      </c>
      <c r="S10" s="113">
        <f>IFERROR(INDEX(TableWRCalcPts[Custom],MATCH(TableWRVORP[[#This Row],[RK]],TableWRCalcPts[RK],0)),"")</f>
        <v>209.61363892007614</v>
      </c>
      <c r="T10" s="114">
        <f>(IFERROR((TableWRVORP[[#This Row],[FPS]]-INDEX(TableWRVORP[FPS],MATCH(WRVORPCalc,TableWRVORP[RK],0)))/INDEX(TableWRVORP[FPS],MATCH(WRVORPCalc,TableWRVORP[RK],0)),""))*1.2</f>
        <v>0.50858500337360024</v>
      </c>
      <c r="V10">
        <v>9</v>
      </c>
      <c r="W10" s="112" t="str">
        <f>IFERROR(INDEX(TableTECalcPts[PLAYER],MATCH(TableTEVORP[[#This Row],[RK]],TableTECalcPts[RK],0)),"")</f>
        <v>Dalton Kincaid</v>
      </c>
      <c r="X10" s="112" t="str">
        <f>IFERROR(INDEX(TableTECalcPts[TM],MATCH(TableTEVORP[[#This Row],[RK]],TableTECalcPts[RK],0)),"")</f>
        <v>BUF</v>
      </c>
      <c r="Y10" s="112">
        <f>IFERROR(INDEX(TableTECalcPts[BYE],MATCH(TableTEVORP[[#This Row],[RK]],TableTECalcPts[RK],0)),"")</f>
        <v>12</v>
      </c>
      <c r="Z10" s="113">
        <f>IFERROR(INDEX(TableTECalcPts[Custom],MATCH(TableTEVORP[[#This Row],[RK]],TableTECalcPts[RK],0)),"")</f>
        <v>157.46104686653487</v>
      </c>
      <c r="AA10" s="114">
        <f>IFERROR((TableTEVORP[[#This Row],[FPS]]-INDEX(TableTEVORP[FPS],MATCH(TEVORPCalc,TableTEVORP[RK],0)))/INDEX(TableTEVORP[FPS],MATCH(TEVORPCalc,TableTEVORP[RK],0)),"")</f>
        <v>0.19615776465126994</v>
      </c>
      <c r="AD10">
        <f>IF(AND(TEAMS&gt;0,TEAMS&lt;8),8,IF(AND(TEAMS&gt;7,TEAMS&lt;12),6,IF(AND(TEAMS&gt;11,TEAMS&lt;14),2,2)))</f>
        <v>2</v>
      </c>
      <c r="AF10" t="s">
        <v>9</v>
      </c>
      <c r="AG10">
        <v>9</v>
      </c>
      <c r="AH10" s="83">
        <f>RANK(TableOverallMaster[[#This Row],[VORP]],TableOverallMaster[VORP])+COUNTIF($AM$2:AM10,AM10)-1</f>
        <v>95</v>
      </c>
      <c r="AI10" s="115" t="str">
        <f>IFERROR(INDEX(TableQBVORP[QUARTERBACK],MATCH(TableOverallMaster[[#This Row],[RK]],TableQBVORP[RK],0)),"")</f>
        <v>Joe Burrow</v>
      </c>
      <c r="AJ10" s="115" t="str">
        <f t="shared" si="0"/>
        <v>QB9</v>
      </c>
      <c r="AK10" s="115">
        <f>IFERROR(INDEX(TableQBVORP[BYE],MATCH(TableOverallMaster[[#This Row],[RK]],TableQBVORP[RK],0)),"")</f>
        <v>12</v>
      </c>
      <c r="AL10" s="116">
        <f>IFERROR(INDEX(TableQBVORP[FPS],MATCH(TableOverallMaster[[#This Row],[RK]],TableQBVORP[RK],0)),"")</f>
        <v>327.35691518693926</v>
      </c>
      <c r="AM10" s="117">
        <f>IFERROR(INDEX(TableQBVORP[VORP],MATCH(TableOverallMaster[[#This Row],[RK]],TableQBVORP[RK],0)),"")</f>
        <v>0.16215158821756287</v>
      </c>
      <c r="AO10">
        <v>9</v>
      </c>
      <c r="AP10" s="118" t="str">
        <f>IFERROR(INDEX(TableOverallMaster[OVERALL PLAYER],MATCH(TableOverallRank[[#This Row],[RK]],TableOverallMaster[OVR RK],0)),"")</f>
        <v>Ja'Marr Chase</v>
      </c>
      <c r="AQ10" s="119" t="str">
        <f>IFERROR(INDEX(TableOverallMaster[POS RK],MATCH(TableOverallRank[[#This Row],[OVERALL PLAYER]],TableOverallMaster[OVERALL PLAYER],0)),"")</f>
        <v>WR4</v>
      </c>
      <c r="AR10" s="120">
        <f>IFERROR(INDEX(TableOverallMaster[BYE],MATCH(TableOverallRank[[#This Row],[OVERALL PLAYER]],TableOverallMaster[OVERALL PLAYER],0)),"")</f>
        <v>12</v>
      </c>
      <c r="AS10" s="119">
        <f>IFERROR(INDEX(TableOverallMaster[Custom],MATCH(TableOverallRank[[#This Row],[OVERALL PLAYER]],TableOverallMaster[OVERALL PLAYER],0)),"")</f>
        <v>242.69240708914157</v>
      </c>
      <c r="AT10" s="121">
        <f>IFERROR(INDEX(TableOverallMaster[VORP],MATCH(TableOverallRank[[#This Row],[OVERALL PLAYER]],TableOverallMaster[OVERALL PLAYER],0)),"")</f>
        <v>0.7782138668145282</v>
      </c>
      <c r="AV10">
        <v>9</v>
      </c>
      <c r="AW10" s="122" t="str">
        <f>IFERROR(INDEX(TableWRTECalcPts[PLAYER],MATCH(TableWRTERank[[#This Row],[RK]],TableWRTECalcPts[RK],0)),"")</f>
        <v>Mike Evans</v>
      </c>
      <c r="AX10" s="122" t="str">
        <f>IFERROR(INDEX(TableWRTECalcPts[POS RK],MATCH(TableWRTERank[[#This Row],[WR and TE COMBINED]],TableWRTECalcPts[PLAYER],0)),"")</f>
        <v>WR9</v>
      </c>
      <c r="AY10" s="122">
        <f>IFERROR(INDEX(TableWRTECalcPts[BYE],MATCH(TableWRTERank[[#This Row],[RK]],TableWRTECalcPts[RK],0)),"")</f>
        <v>11</v>
      </c>
      <c r="AZ10" s="123">
        <f>IFERROR(INDEX(TableWRTECalcPts[Custom],MATCH(TableWRTERank[[#This Row],[RK]],TableWRTECalcPts[RK],0)),"")</f>
        <v>209.61363892007614</v>
      </c>
      <c r="BA10" s="174">
        <f>IFERROR((TableWRTERank[[#This Row],[FPS]]-INDEX(TableWRTERank[FPS],MATCH(WRTEVORPCalc,TableWRTERank[RK],0)))/INDEX(TableWRTERank[FPS],MATCH(WRTEVORPCalc,TableWRTERank[RK],0)),"")</f>
        <v>0.33577300136226157</v>
      </c>
      <c r="BC10" t="s">
        <v>208</v>
      </c>
      <c r="BD10">
        <v>9</v>
      </c>
      <c r="BE10" s="83">
        <f>RANK(TableWRTEMaster[[#This Row],[VORP]],TableWRTEMaster[VORP])+COUNTIF($BJ$2:BJ10,BJ10)-1</f>
        <v>10</v>
      </c>
      <c r="BF10" s="115" t="str">
        <f>IFERROR(INDEX(TableWRVORP[WIDE RECEIVER],MATCH(TableWRTEMaster[[#This Row],[RK]],TableWRVORP[RK],0)),"")</f>
        <v>Mike Evans</v>
      </c>
      <c r="BG10" s="115" t="str">
        <f>_xlfn.CONCAT(TableWRTEMaster[[#This Row],[POS]],TableWRTEMaster[[#This Row],[RK]])</f>
        <v>WR9</v>
      </c>
      <c r="BH10" s="115">
        <f>IFERROR(INDEX(TableWRVORP[BYE],MATCH(TableWRTEMaster[[#This Row],[RK]],TableWRVORP[RK],0)),"")</f>
        <v>11</v>
      </c>
      <c r="BI10" s="116">
        <f>IFERROR(INDEX(TableWRVORP[FPS],MATCH(TableWRTEMaster[[#This Row],[RK]],TableWRVORP[RK],0)),"")</f>
        <v>209.61363892007614</v>
      </c>
      <c r="BJ10" s="117">
        <f>IFERROR(INDEX(TableWRVORP[VORP],MATCH(TableWRTEMaster[[#This Row],[RK]],TableWRVORP[RK],0)),"")</f>
        <v>0.50858500337360024</v>
      </c>
    </row>
    <row r="11" spans="1:66" x14ac:dyDescent="0.2">
      <c r="A11">
        <v>10</v>
      </c>
      <c r="B11" s="112" t="str">
        <f>IFERROR(INDEX(TableQBCalcPts[PLAYER],MATCH(TableQBVORP[[#This Row],[RK]],TableQBCalcPts[RK],0)),"")</f>
        <v>Jordan Love</v>
      </c>
      <c r="C11" s="112" t="str">
        <f>IFERROR(INDEX(TableQBCalcPts[TM],MATCH(TableQBVORP[[#This Row],[RK]],TableQBCalcPts[RK],0)),"")</f>
        <v>GB</v>
      </c>
      <c r="D11" s="112">
        <f>IFERROR(INDEX(TableQBCalcPts[BYE],MATCH(TableQBVORP[[#This Row],[RK]],TableQBCalcPts[RK],0)),"")</f>
        <v>10</v>
      </c>
      <c r="E11" s="113">
        <f>IFERROR(INDEX(TableQBCalcPts[Custom],MATCH(TableQBVORP[[#This Row],[RK]],TableQBCalcPts[RK],0)),"")</f>
        <v>322.16016479533897</v>
      </c>
      <c r="F11" s="114">
        <f>(IFERROR((TableQBVORP[[#This Row],[FPS]]-INDEX(TableQBVORP[FPS],MATCH(QBVORPCalc,TableQBVORP[RK],0)))/INDEX(TableQBVORP[FPS],MATCH(QBVORPCalc,TableQBVORP[RK],0)),""))+(TableRBVORP[[#This Row],[VORP]]*0.45)</f>
        <v>0.1476577648854035</v>
      </c>
      <c r="H11">
        <v>10</v>
      </c>
      <c r="I11" s="112" t="str">
        <f>IFERROR(INDEX(TableRBCalcPts[PLAYER],MATCH(TableRBVORP[[#This Row],[RK]],TableRBCalcPts[RK],0)),"")</f>
        <v>Isiah Pacheco</v>
      </c>
      <c r="J11" s="112" t="str">
        <f>IFERROR(INDEX(TableRBCalcPts[TM],MATCH(TableRBVORP[[#This Row],[RK]],TableRBCalcPts[RK],0)),"")</f>
        <v>KC</v>
      </c>
      <c r="K11" s="112">
        <f>IFERROR(INDEX(TableRBCalcPts[BYE],MATCH(TableRBVORP[[#This Row],[RK]],TableRBCalcPts[RK],0)),"")</f>
        <v>6</v>
      </c>
      <c r="L11" s="113">
        <f>IFERROR(INDEX(TableRBCalcPts[Custom],MATCH(TableRBVORP[[#This Row],[RK]],TableRBCalcPts[RK],0)),"")</f>
        <v>214.06072143966074</v>
      </c>
      <c r="M11" s="114">
        <f>(IFERROR((TableRBVORP[[#This Row],[FPS]]-INDEX(TableRBVORP[FPS],MATCH(RBVORPCalc,TableRBVORP[RK],0)))/INDEX(TableRBVORP[FPS],MATCH(RBVORPCalc,TableRBVORP[RK],0)),""))*0.8</f>
        <v>0.6281083267299663</v>
      </c>
      <c r="O11">
        <v>10</v>
      </c>
      <c r="P11" s="112" t="str">
        <f>IFERROR(INDEX(TableWRCalcPts[PLAYER],MATCH(TableWRVORP[[#This Row],[RK]],TableWRCalcPts[RK],0)),"")</f>
        <v>Deebo Samuel</v>
      </c>
      <c r="Q11" s="112" t="str">
        <f>IFERROR(INDEX(TableWRCalcPts[TM],MATCH(TableWRVORP[[#This Row],[RK]],TableWRCalcPts[RK],0)),"")</f>
        <v>SF</v>
      </c>
      <c r="R11" s="112">
        <f>IFERROR(INDEX(TableWRCalcPts[BYE],MATCH(TableWRVORP[[#This Row],[RK]],TableWRCalcPts[RK],0)),"")</f>
        <v>9</v>
      </c>
      <c r="S11" s="113">
        <f>IFERROR(INDEX(TableWRCalcPts[Custom],MATCH(TableWRVORP[[#This Row],[RK]],TableWRCalcPts[RK],0)),"")</f>
        <v>209.42708203956002</v>
      </c>
      <c r="T11" s="114">
        <f>(IFERROR((TableWRVORP[[#This Row],[FPS]]-INDEX(TableWRVORP[FPS],MATCH(WRVORPCalc,TableWRVORP[RK],0)))/INDEX(TableWRVORP[FPS],MATCH(WRVORPCalc,TableWRVORP[RK],0)),""))*1.2</f>
        <v>0.5070643566734705</v>
      </c>
      <c r="V11">
        <v>10</v>
      </c>
      <c r="W11" s="112" t="str">
        <f>IFERROR(INDEX(TableTECalcPts[PLAYER],MATCH(TableTEVORP[[#This Row],[RK]],TableTECalcPts[RK],0)),"")</f>
        <v>Brock Bowers</v>
      </c>
      <c r="X11" s="112" t="str">
        <f>IFERROR(INDEX(TableTECalcPts[TM],MATCH(TableTEVORP[[#This Row],[RK]],TableTECalcPts[RK],0)),"")</f>
        <v>LV</v>
      </c>
      <c r="Y11" s="112">
        <f>IFERROR(INDEX(TableTECalcPts[BYE],MATCH(TableTEVORP[[#This Row],[RK]],TableTECalcPts[RK],0)),"")</f>
        <v>10</v>
      </c>
      <c r="Z11" s="113">
        <f>IFERROR(INDEX(TableTECalcPts[Custom],MATCH(TableTEVORP[[#This Row],[RK]],TableTECalcPts[RK],0)),"")</f>
        <v>142.6223646861975</v>
      </c>
      <c r="AA11" s="114">
        <f>IFERROR((TableTEVORP[[#This Row],[FPS]]-INDEX(TableTEVORP[FPS],MATCH(TEVORPCalc,TableTEVORP[RK],0)))/INDEX(TableTEVORP[FPS],MATCH(TEVORPCalc,TableTEVORP[RK],0)),"")</f>
        <v>8.3435251620809087E-2</v>
      </c>
      <c r="AF11" t="s">
        <v>9</v>
      </c>
      <c r="AG11">
        <v>10</v>
      </c>
      <c r="AH11" s="83">
        <f>RANK(TableOverallMaster[[#This Row],[VORP]],TableOverallMaster[VORP])+COUNTIF($AM$2:AM11,AM11)-1</f>
        <v>97</v>
      </c>
      <c r="AI11" s="115" t="str">
        <f>IFERROR(INDEX(TableQBVORP[QUARTERBACK],MATCH(TableOverallMaster[[#This Row],[RK]],TableQBVORP[RK],0)),"")</f>
        <v>Jordan Love</v>
      </c>
      <c r="AJ11" s="115" t="str">
        <f t="shared" si="0"/>
        <v>QB10</v>
      </c>
      <c r="AK11" s="115">
        <f>IFERROR(INDEX(TableQBVORP[BYE],MATCH(TableOverallMaster[[#This Row],[RK]],TableQBVORP[RK],0)),"")</f>
        <v>10</v>
      </c>
      <c r="AL11" s="116">
        <f>IFERROR(INDEX(TableQBVORP[FPS],MATCH(TableOverallMaster[[#This Row],[RK]],TableQBVORP[RK],0)),"")</f>
        <v>322.16016479533897</v>
      </c>
      <c r="AM11" s="117">
        <f>IFERROR(INDEX(TableQBVORP[VORP],MATCH(TableOverallMaster[[#This Row],[RK]],TableQBVORP[RK],0)),"")</f>
        <v>0.1476577648854035</v>
      </c>
      <c r="AO11">
        <v>10</v>
      </c>
      <c r="AP11" s="118" t="str">
        <f>IFERROR(INDEX(TableOverallMaster[OVERALL PLAYER],MATCH(TableOverallRank[[#This Row],[RK]],TableOverallMaster[OVR RK],0)),"")</f>
        <v>Derrick Henry</v>
      </c>
      <c r="AQ11" s="119" t="str">
        <f>IFERROR(INDEX(TableOverallMaster[POS RK],MATCH(TableOverallRank[[#This Row],[OVERALL PLAYER]],TableOverallMaster[OVERALL PLAYER],0)),"")</f>
        <v>RB6</v>
      </c>
      <c r="AR11" s="120">
        <f>IFERROR(INDEX(TableOverallMaster[BYE],MATCH(TableOverallRank[[#This Row],[OVERALL PLAYER]],TableOverallMaster[OVERALL PLAYER],0)),"")</f>
        <v>14</v>
      </c>
      <c r="AS11" s="119">
        <f>IFERROR(INDEX(TableOverallMaster[Custom],MATCH(TableOverallRank[[#This Row],[OVERALL PLAYER]],TableOverallMaster[OVERALL PLAYER],0)),"")</f>
        <v>235.57123502841006</v>
      </c>
      <c r="AT11" s="121">
        <f>IFERROR(INDEX(TableOverallMaster[VORP],MATCH(TableOverallRank[[#This Row],[OVERALL PLAYER]],TableOverallMaster[OVERALL PLAYER],0)),"")</f>
        <v>0.7716159415867635</v>
      </c>
      <c r="AV11">
        <v>10</v>
      </c>
      <c r="AW11" s="122" t="str">
        <f>IFERROR(INDEX(TableWRTECalcPts[PLAYER],MATCH(TableWRTERank[[#This Row],[RK]],TableWRTECalcPts[RK],0)),"")</f>
        <v>Deebo Samuel</v>
      </c>
      <c r="AX11" s="122" t="str">
        <f>IFERROR(INDEX(TableWRTECalcPts[POS RK],MATCH(TableWRTERank[[#This Row],[WR and TE COMBINED]],TableWRTECalcPts[PLAYER],0)),"")</f>
        <v>WR10</v>
      </c>
      <c r="AY11" s="122">
        <f>IFERROR(INDEX(TableWRTECalcPts[BYE],MATCH(TableWRTERank[[#This Row],[RK]],TableWRTECalcPts[RK],0)),"")</f>
        <v>9</v>
      </c>
      <c r="AZ11" s="123">
        <f>IFERROR(INDEX(TableWRTECalcPts[Custom],MATCH(TableWRTERank[[#This Row],[RK]],TableWRTECalcPts[RK],0)),"")</f>
        <v>209.42708203956002</v>
      </c>
      <c r="BA11" s="174">
        <f>IFERROR((TableWRTERank[[#This Row],[FPS]]-INDEX(TableWRTERank[FPS],MATCH(WRTEVORPCalc,TableWRTERank[RK],0)))/INDEX(TableWRTERank[FPS],MATCH(WRTEVORPCalc,TableWRTERank[RK],0)),"")</f>
        <v>0.33458415866340069</v>
      </c>
      <c r="BC11" t="s">
        <v>208</v>
      </c>
      <c r="BD11">
        <v>10</v>
      </c>
      <c r="BE11" s="83">
        <f>RANK(TableWRTEMaster[[#This Row],[VORP]],TableWRTEMaster[VORP])+COUNTIF($BJ$2:BJ11,BJ11)-1</f>
        <v>11</v>
      </c>
      <c r="BF11" s="115" t="str">
        <f>IFERROR(INDEX(TableWRVORP[WIDE RECEIVER],MATCH(TableWRTEMaster[[#This Row],[RK]],TableWRVORP[RK],0)),"")</f>
        <v>Deebo Samuel</v>
      </c>
      <c r="BG11" s="115" t="str">
        <f>_xlfn.CONCAT(TableWRTEMaster[[#This Row],[POS]],TableWRTEMaster[[#This Row],[RK]])</f>
        <v>WR10</v>
      </c>
      <c r="BH11" s="115">
        <f>IFERROR(INDEX(TableWRVORP[BYE],MATCH(TableWRTEMaster[[#This Row],[RK]],TableWRVORP[RK],0)),"")</f>
        <v>9</v>
      </c>
      <c r="BI11" s="116">
        <f>IFERROR(INDEX(TableWRVORP[FPS],MATCH(TableWRTEMaster[[#This Row],[RK]],TableWRVORP[RK],0)),"")</f>
        <v>209.42708203956002</v>
      </c>
      <c r="BJ11" s="117">
        <f>IFERROR(INDEX(TableWRVORP[VORP],MATCH(TableWRTEMaster[[#This Row],[RK]],TableWRVORP[RK],0)),"")</f>
        <v>0.5070643566734705</v>
      </c>
    </row>
    <row r="12" spans="1:66" x14ac:dyDescent="0.2">
      <c r="A12">
        <v>11</v>
      </c>
      <c r="B12" s="112" t="str">
        <f>IFERROR(INDEX(TableQBCalcPts[PLAYER],MATCH(TableQBVORP[[#This Row],[RK]],TableQBCalcPts[RK],0)),"")</f>
        <v>Trevor Lawrence</v>
      </c>
      <c r="C12" s="112" t="str">
        <f>IFERROR(INDEX(TableQBCalcPts[TM],MATCH(TableQBVORP[[#This Row],[RK]],TableQBCalcPts[RK],0)),"")</f>
        <v>JAX</v>
      </c>
      <c r="D12" s="112">
        <f>IFERROR(INDEX(TableQBCalcPts[BYE],MATCH(TableQBVORP[[#This Row],[RK]],TableQBCalcPts[RK],0)),"")</f>
        <v>12</v>
      </c>
      <c r="E12" s="113">
        <f>IFERROR(INDEX(TableQBCalcPts[Custom],MATCH(TableQBVORP[[#This Row],[RK]],TableQBCalcPts[RK],0)),"")</f>
        <v>315.36308158044176</v>
      </c>
      <c r="F12" s="114">
        <f>(IFERROR((TableQBVORP[[#This Row],[FPS]]-INDEX(TableQBVORP[FPS],MATCH(QBVORPCalc,TableQBVORP[RK],0)))/INDEX(TableQBVORP[FPS],MATCH(QBVORPCalc,TableQBVORP[RK],0)),""))+(TableRBVORP[[#This Row],[VORP]]*0.45)</f>
        <v>0.12208145169196258</v>
      </c>
      <c r="H12">
        <v>11</v>
      </c>
      <c r="I12" s="112" t="str">
        <f>IFERROR(INDEX(TableRBCalcPts[PLAYER],MATCH(TableRBVORP[[#This Row],[RK]],TableRBCalcPts[RK],0)),"")</f>
        <v>Jahmyr Gibbs</v>
      </c>
      <c r="J12" s="112" t="str">
        <f>IFERROR(INDEX(TableRBCalcPts[TM],MATCH(TableRBVORP[[#This Row],[RK]],TableRBCalcPts[RK],0)),"")</f>
        <v>DET</v>
      </c>
      <c r="K12" s="112">
        <f>IFERROR(INDEX(TableRBCalcPts[BYE],MATCH(TableRBVORP[[#This Row],[RK]],TableRBCalcPts[RK],0)),"")</f>
        <v>5</v>
      </c>
      <c r="L12" s="113">
        <f>IFERROR(INDEX(TableRBCalcPts[Custom],MATCH(TableRBVORP[[#This Row],[RK]],TableRBCalcPts[RK],0)),"")</f>
        <v>211.62050926422344</v>
      </c>
      <c r="M12" s="114">
        <f>(IFERROR((TableRBVORP[[#This Row],[FPS]]-INDEX(TableRBVORP[FPS],MATCH(RBVORPCalc,TableRBVORP[RK],0)))/INDEX(TableRBVORP[FPS],MATCH(RBVORPCalc,TableRBVORP[RK],0)),""))*0.8</f>
        <v>0.61182842585281183</v>
      </c>
      <c r="O12">
        <v>11</v>
      </c>
      <c r="P12" s="112" t="str">
        <f>IFERROR(INDEX(TableWRCalcPts[PLAYER],MATCH(TableWRVORP[[#This Row],[RK]],TableWRCalcPts[RK],0)),"")</f>
        <v>Nico Collins</v>
      </c>
      <c r="Q12" s="112" t="str">
        <f>IFERROR(INDEX(TableWRCalcPts[TM],MATCH(TableWRVORP[[#This Row],[RK]],TableWRCalcPts[RK],0)),"")</f>
        <v>HOU</v>
      </c>
      <c r="R12" s="112">
        <f>IFERROR(INDEX(TableWRCalcPts[BYE],MATCH(TableWRVORP[[#This Row],[RK]],TableWRCalcPts[RK],0)),"")</f>
        <v>14</v>
      </c>
      <c r="S12" s="113">
        <f>IFERROR(INDEX(TableWRCalcPts[Custom],MATCH(TableWRVORP[[#This Row],[RK]],TableWRCalcPts[RK],0)),"")</f>
        <v>206.51868818380797</v>
      </c>
      <c r="T12" s="114">
        <f>(IFERROR((TableWRVORP[[#This Row],[FPS]]-INDEX(TableWRVORP[FPS],MATCH(WRVORPCalc,TableWRVORP[RK],0)))/INDEX(TableWRVORP[FPS],MATCH(WRVORPCalc,TableWRVORP[RK],0)),""))*1.2</f>
        <v>0.48335770212826401</v>
      </c>
      <c r="V12">
        <v>11</v>
      </c>
      <c r="W12" s="112" t="str">
        <f>IFERROR(INDEX(TableTECalcPts[PLAYER],MATCH(TableTEVORP[[#This Row],[RK]],TableTECalcPts[RK],0)),"")</f>
        <v>David Njoku</v>
      </c>
      <c r="X12" s="112" t="str">
        <f>IFERROR(INDEX(TableTECalcPts[TM],MATCH(TableTEVORP[[#This Row],[RK]],TableTECalcPts[RK],0)),"")</f>
        <v>CLE</v>
      </c>
      <c r="Y12" s="112">
        <f>IFERROR(INDEX(TableTECalcPts[BYE],MATCH(TableTEVORP[[#This Row],[RK]],TableTECalcPts[RK],0)),"")</f>
        <v>10</v>
      </c>
      <c r="Z12" s="113">
        <f>IFERROR(INDEX(TableTECalcPts[Custom],MATCH(TableTEVORP[[#This Row],[RK]],TableTECalcPts[RK],0)),"")</f>
        <v>138.11830343849996</v>
      </c>
      <c r="AA12" s="114">
        <f>IFERROR((TableTEVORP[[#This Row],[FPS]]-INDEX(TableTEVORP[FPS],MATCH(TEVORPCalc,TableTEVORP[RK],0)))/INDEX(TableTEVORP[FPS],MATCH(TEVORPCalc,TableTEVORP[RK],0)),"")</f>
        <v>4.9220009558657442E-2</v>
      </c>
      <c r="AF12" t="s">
        <v>9</v>
      </c>
      <c r="AG12">
        <v>11</v>
      </c>
      <c r="AH12" s="83">
        <f>RANK(TableOverallMaster[[#This Row],[VORP]],TableOverallMaster[VORP])+COUNTIF($AM$2:AM12,AM12)-1</f>
        <v>107</v>
      </c>
      <c r="AI12" s="115" t="str">
        <f>IFERROR(INDEX(TableQBVORP[QUARTERBACK],MATCH(TableOverallMaster[[#This Row],[RK]],TableQBVORP[RK],0)),"")</f>
        <v>Trevor Lawrence</v>
      </c>
      <c r="AJ12" s="115" t="str">
        <f t="shared" si="0"/>
        <v>QB11</v>
      </c>
      <c r="AK12" s="115">
        <f>IFERROR(INDEX(TableQBVORP[BYE],MATCH(TableOverallMaster[[#This Row],[RK]],TableQBVORP[RK],0)),"")</f>
        <v>12</v>
      </c>
      <c r="AL12" s="116">
        <f>IFERROR(INDEX(TableQBVORP[FPS],MATCH(TableOverallMaster[[#This Row],[RK]],TableQBVORP[RK],0)),"")</f>
        <v>315.36308158044176</v>
      </c>
      <c r="AM12" s="117">
        <f>IFERROR(INDEX(TableQBVORP[VORP],MATCH(TableOverallMaster[[#This Row],[RK]],TableQBVORP[RK],0)),"")</f>
        <v>0.12208145169196258</v>
      </c>
      <c r="AO12">
        <v>11</v>
      </c>
      <c r="AP12" s="118" t="str">
        <f>IFERROR(INDEX(TableOverallMaster[OVERALL PLAYER],MATCH(TableOverallRank[[#This Row],[RK]],TableOverallMaster[OVR RK],0)),"")</f>
        <v>Justin Jefferson</v>
      </c>
      <c r="AQ12" s="119" t="str">
        <f>IFERROR(INDEX(TableOverallMaster[POS RK],MATCH(TableOverallRank[[#This Row],[OVERALL PLAYER]],TableOverallMaster[OVERALL PLAYER],0)),"")</f>
        <v>WR5</v>
      </c>
      <c r="AR12" s="120">
        <f>IFERROR(INDEX(TableOverallMaster[BYE],MATCH(TableOverallRank[[#This Row],[OVERALL PLAYER]],TableOverallMaster[OVERALL PLAYER],0)),"")</f>
        <v>6</v>
      </c>
      <c r="AS12" s="119">
        <f>IFERROR(INDEX(TableOverallMaster[Custom],MATCH(TableOverallRank[[#This Row],[OVERALL PLAYER]],TableOverallMaster[OVERALL PLAYER],0)),"")</f>
        <v>241.32118821726243</v>
      </c>
      <c r="AT12" s="121">
        <f>IFERROR(INDEX(TableOverallMaster[VORP],MATCH(TableOverallRank[[#This Row],[OVERALL PLAYER]],TableOverallMaster[OVERALL PLAYER],0)),"")</f>
        <v>0.76703690326909368</v>
      </c>
      <c r="AV12">
        <v>11</v>
      </c>
      <c r="AW12" s="122" t="str">
        <f>IFERROR(INDEX(TableWRTECalcPts[PLAYER],MATCH(TableWRTERank[[#This Row],[RK]],TableWRTECalcPts[RK],0)),"")</f>
        <v>Nico Collins</v>
      </c>
      <c r="AX12" s="122" t="str">
        <f>IFERROR(INDEX(TableWRTECalcPts[POS RK],MATCH(TableWRTERank[[#This Row],[WR and TE COMBINED]],TableWRTECalcPts[PLAYER],0)),"")</f>
        <v>WR11</v>
      </c>
      <c r="AY12" s="122">
        <f>IFERROR(INDEX(TableWRTECalcPts[BYE],MATCH(TableWRTERank[[#This Row],[RK]],TableWRTECalcPts[RK],0)),"")</f>
        <v>14</v>
      </c>
      <c r="AZ12" s="123">
        <f>IFERROR(INDEX(TableWRTECalcPts[Custom],MATCH(TableWRTERank[[#This Row],[RK]],TableWRTECalcPts[RK],0)),"")</f>
        <v>206.51868818380797</v>
      </c>
      <c r="BA12" s="174">
        <f>IFERROR((TableWRTERank[[#This Row],[FPS]]-INDEX(TableWRTERank[FPS],MATCH(WRTEVORPCalc,TableWRTERank[RK],0)))/INDEX(TableWRTERank[FPS],MATCH(WRTEVORPCalc,TableWRTERank[RK],0)),"")</f>
        <v>0.31605027885549952</v>
      </c>
      <c r="BC12" t="s">
        <v>208</v>
      </c>
      <c r="BD12">
        <v>11</v>
      </c>
      <c r="BE12" s="83">
        <f>RANK(TableWRTEMaster[[#This Row],[VORP]],TableWRTEMaster[VORP])+COUNTIF($BJ$2:BJ12,BJ12)-1</f>
        <v>12</v>
      </c>
      <c r="BF12" s="115" t="str">
        <f>IFERROR(INDEX(TableWRVORP[WIDE RECEIVER],MATCH(TableWRTEMaster[[#This Row],[RK]],TableWRVORP[RK],0)),"")</f>
        <v>Nico Collins</v>
      </c>
      <c r="BG12" s="115" t="str">
        <f>_xlfn.CONCAT(TableWRTEMaster[[#This Row],[POS]],TableWRTEMaster[[#This Row],[RK]])</f>
        <v>WR11</v>
      </c>
      <c r="BH12" s="115">
        <f>IFERROR(INDEX(TableWRVORP[BYE],MATCH(TableWRTEMaster[[#This Row],[RK]],TableWRVORP[RK],0)),"")</f>
        <v>14</v>
      </c>
      <c r="BI12" s="116">
        <f>IFERROR(INDEX(TableWRVORP[FPS],MATCH(TableWRTEMaster[[#This Row],[RK]],TableWRVORP[RK],0)),"")</f>
        <v>206.51868818380797</v>
      </c>
      <c r="BJ12" s="117">
        <f>IFERROR(INDEX(TableWRVORP[VORP],MATCH(TableWRTEMaster[[#This Row],[RK]],TableWRVORP[RK],0)),"")</f>
        <v>0.48335770212826401</v>
      </c>
    </row>
    <row r="13" spans="1:66" x14ac:dyDescent="0.2">
      <c r="A13">
        <v>12</v>
      </c>
      <c r="B13" s="112" t="str">
        <f>IFERROR(INDEX(TableQBCalcPts[PLAYER],MATCH(TableQBVORP[[#This Row],[RK]],TableQBCalcPts[RK],0)),"")</f>
        <v>Brock Purdy</v>
      </c>
      <c r="C13" s="112" t="str">
        <f>IFERROR(INDEX(TableQBCalcPts[TM],MATCH(TableQBVORP[[#This Row],[RK]],TableQBCalcPts[RK],0)),"")</f>
        <v>SF</v>
      </c>
      <c r="D13" s="112">
        <f>IFERROR(INDEX(TableQBCalcPts[BYE],MATCH(TableQBVORP[[#This Row],[RK]],TableQBCalcPts[RK],0)),"")</f>
        <v>9</v>
      </c>
      <c r="E13" s="113">
        <f>IFERROR(INDEX(TableQBCalcPts[Custom],MATCH(TableQBVORP[[#This Row],[RK]],TableQBCalcPts[RK],0)),"")</f>
        <v>313.75022578782216</v>
      </c>
      <c r="F13" s="114">
        <f>(IFERROR((TableQBVORP[[#This Row],[FPS]]-INDEX(TableQBVORP[FPS],MATCH(QBVORPCalc,TableQBVORP[RK],0)))/INDEX(TableQBVORP[FPS],MATCH(QBVORPCalc,TableQBVORP[RK],0)),""))+(TableRBVORP[[#This Row],[VORP]]*0.45)</f>
        <v>0.11712177348530353</v>
      </c>
      <c r="H13">
        <v>12</v>
      </c>
      <c r="I13" s="112" t="str">
        <f>IFERROR(INDEX(TableRBCalcPts[PLAYER],MATCH(TableRBVORP[[#This Row],[RK]],TableRBCalcPts[RK],0)),"")</f>
        <v>Aaron Jones</v>
      </c>
      <c r="J13" s="112" t="str">
        <f>IFERROR(INDEX(TableRBCalcPts[TM],MATCH(TableRBVORP[[#This Row],[RK]],TableRBCalcPts[RK],0)),"")</f>
        <v>MIN</v>
      </c>
      <c r="K13" s="112">
        <f>IFERROR(INDEX(TableRBCalcPts[BYE],MATCH(TableRBVORP[[#This Row],[RK]],TableRBCalcPts[RK],0)),"")</f>
        <v>6</v>
      </c>
      <c r="L13" s="113">
        <f>IFERROR(INDEX(TableRBCalcPts[Custom],MATCH(TableRBVORP[[#This Row],[RK]],TableRBCalcPts[RK],0)),"")</f>
        <v>211.41095636016271</v>
      </c>
      <c r="M13" s="114">
        <f>(IFERROR((TableRBVORP[[#This Row],[FPS]]-INDEX(TableRBVORP[FPS],MATCH(RBVORPCalc,TableRBVORP[RK],0)))/INDEX(TableRBVORP[FPS],MATCH(RBVORPCalc,TableRBVORP[RK],0)),""))*0.8</f>
        <v>0.6104303914765522</v>
      </c>
      <c r="O13">
        <v>12</v>
      </c>
      <c r="P13" s="112" t="str">
        <f>IFERROR(INDEX(TableWRCalcPts[PLAYER],MATCH(TableWRVORP[[#This Row],[RK]],TableWRCalcPts[RK],0)),"")</f>
        <v>Rashee Rice</v>
      </c>
      <c r="Q13" s="112" t="str">
        <f>IFERROR(INDEX(TableWRCalcPts[TM],MATCH(TableWRVORP[[#This Row],[RK]],TableWRCalcPts[RK],0)),"")</f>
        <v>KC</v>
      </c>
      <c r="R13" s="112">
        <f>IFERROR(INDEX(TableWRCalcPts[BYE],MATCH(TableWRVORP[[#This Row],[RK]],TableWRCalcPts[RK],0)),"")</f>
        <v>6</v>
      </c>
      <c r="S13" s="113">
        <f>IFERROR(INDEX(TableWRCalcPts[Custom],MATCH(TableWRVORP[[#This Row],[RK]],TableWRCalcPts[RK],0)),"")</f>
        <v>205.3788457910936</v>
      </c>
      <c r="T13" s="114">
        <f>(IFERROR((TableWRVORP[[#This Row],[FPS]]-INDEX(TableWRVORP[FPS],MATCH(WRVORPCalc,TableWRVORP[RK],0)))/INDEX(TableWRVORP[FPS],MATCH(WRVORPCalc,TableWRVORP[RK],0)),""))*1.2</f>
        <v>0.4740667150129465</v>
      </c>
      <c r="V13">
        <v>12</v>
      </c>
      <c r="W13" s="112" t="str">
        <f>IFERROR(INDEX(TableTECalcPts[PLAYER],MATCH(TableTEVORP[[#This Row],[RK]],TableTECalcPts[RK],0)),"")</f>
        <v>T.J. Hockenson</v>
      </c>
      <c r="X13" s="112" t="str">
        <f>IFERROR(INDEX(TableTECalcPts[TM],MATCH(TableTEVORP[[#This Row],[RK]],TableTECalcPts[RK],0)),"")</f>
        <v>MIN</v>
      </c>
      <c r="Y13" s="112">
        <f>IFERROR(INDEX(TableTECalcPts[BYE],MATCH(TableTEVORP[[#This Row],[RK]],TableTECalcPts[RK],0)),"")</f>
        <v>6</v>
      </c>
      <c r="Z13" s="113">
        <f>IFERROR(INDEX(TableTECalcPts[Custom],MATCH(TableTEVORP[[#This Row],[RK]],TableTECalcPts[RK],0)),"")</f>
        <v>131.63902916472006</v>
      </c>
      <c r="AA13" s="114">
        <f>IFERROR((TableTEVORP[[#This Row],[FPS]]-INDEX(TableTEVORP[FPS],MATCH(TEVORPCalc,TableTEVORP[RK],0)))/INDEX(TableTEVORP[FPS],MATCH(TEVORPCalc,TableTEVORP[RK],0)),"")</f>
        <v>0</v>
      </c>
      <c r="AF13" t="s">
        <v>9</v>
      </c>
      <c r="AG13">
        <v>12</v>
      </c>
      <c r="AH13" s="83">
        <f>RANK(TableOverallMaster[[#This Row],[VORP]],TableOverallMaster[VORP])+COUNTIF($AM$2:AM13,AM13)-1</f>
        <v>108</v>
      </c>
      <c r="AI13" s="115" t="str">
        <f>IFERROR(INDEX(TableQBVORP[QUARTERBACK],MATCH(TableOverallMaster[[#This Row],[RK]],TableQBVORP[RK],0)),"")</f>
        <v>Brock Purdy</v>
      </c>
      <c r="AJ13" s="115" t="str">
        <f t="shared" si="0"/>
        <v>QB12</v>
      </c>
      <c r="AK13" s="115">
        <f>IFERROR(INDEX(TableQBVORP[BYE],MATCH(TableOverallMaster[[#This Row],[RK]],TableQBVORP[RK],0)),"")</f>
        <v>9</v>
      </c>
      <c r="AL13" s="116">
        <f>IFERROR(INDEX(TableQBVORP[FPS],MATCH(TableOverallMaster[[#This Row],[RK]],TableQBVORP[RK],0)),"")</f>
        <v>313.75022578782216</v>
      </c>
      <c r="AM13" s="117">
        <f>IFERROR(INDEX(TableQBVORP[VORP],MATCH(TableOverallMaster[[#This Row],[RK]],TableQBVORP[RK],0)),"")</f>
        <v>0.11712177348530353</v>
      </c>
      <c r="AO13">
        <v>12</v>
      </c>
      <c r="AP13" s="118" t="str">
        <f>IFERROR(INDEX(TableOverallMaster[OVERALL PLAYER],MATCH(TableOverallRank[[#This Row],[RK]],TableOverallMaster[OVR RK],0)),"")</f>
        <v>Joe Mixon</v>
      </c>
      <c r="AQ13" s="119" t="str">
        <f>IFERROR(INDEX(TableOverallMaster[POS RK],MATCH(TableOverallRank[[#This Row],[OVERALL PLAYER]],TableOverallMaster[OVERALL PLAYER],0)),"")</f>
        <v>RB7</v>
      </c>
      <c r="AR13" s="120">
        <f>IFERROR(INDEX(TableOverallMaster[BYE],MATCH(TableOverallRank[[#This Row],[OVERALL PLAYER]],TableOverallMaster[OVERALL PLAYER],0)),"")</f>
        <v>14</v>
      </c>
      <c r="AS13" s="119">
        <f>IFERROR(INDEX(TableOverallMaster[Custom],MATCH(TableOverallRank[[#This Row],[OVERALL PLAYER]],TableOverallMaster[OVERALL PLAYER],0)),"")</f>
        <v>221.58915310275702</v>
      </c>
      <c r="AT13" s="121">
        <f>IFERROR(INDEX(TableOverallMaster[VORP],MATCH(TableOverallRank[[#This Row],[OVERALL PLAYER]],TableOverallMaster[OVERALL PLAYER],0)),"")</f>
        <v>0.67833433677504562</v>
      </c>
      <c r="AV13">
        <v>12</v>
      </c>
      <c r="AW13" s="122" t="str">
        <f>IFERROR(INDEX(TableWRTECalcPts[PLAYER],MATCH(TableWRTERank[[#This Row],[RK]],TableWRTECalcPts[RK],0)),"")</f>
        <v>Rashee Rice</v>
      </c>
      <c r="AX13" s="122" t="str">
        <f>IFERROR(INDEX(TableWRTECalcPts[POS RK],MATCH(TableWRTERank[[#This Row],[WR and TE COMBINED]],TableWRTECalcPts[PLAYER],0)),"")</f>
        <v>WR12</v>
      </c>
      <c r="AY13" s="122">
        <f>IFERROR(INDEX(TableWRTECalcPts[BYE],MATCH(TableWRTERank[[#This Row],[RK]],TableWRTECalcPts[RK],0)),"")</f>
        <v>6</v>
      </c>
      <c r="AZ13" s="123">
        <f>IFERROR(INDEX(TableWRTECalcPts[Custom],MATCH(TableWRTERank[[#This Row],[RK]],TableWRTECalcPts[RK],0)),"")</f>
        <v>205.3788457910936</v>
      </c>
      <c r="BA13" s="174">
        <f>IFERROR((TableWRTERank[[#This Row],[FPS]]-INDEX(TableWRTERank[FPS],MATCH(WRTEVORPCalc,TableWRTERank[RK],0)))/INDEX(TableWRTERank[FPS],MATCH(WRTEVORPCalc,TableWRTERank[RK],0)),"")</f>
        <v>0.30878657835471024</v>
      </c>
      <c r="BC13" t="s">
        <v>208</v>
      </c>
      <c r="BD13">
        <v>12</v>
      </c>
      <c r="BE13" s="83">
        <f>RANK(TableWRTEMaster[[#This Row],[VORP]],TableWRTEMaster[VORP])+COUNTIF($BJ$2:BJ13,BJ13)-1</f>
        <v>13</v>
      </c>
      <c r="BF13" s="115" t="str">
        <f>IFERROR(INDEX(TableWRVORP[WIDE RECEIVER],MATCH(TableWRTEMaster[[#This Row],[RK]],TableWRVORP[RK],0)),"")</f>
        <v>Rashee Rice</v>
      </c>
      <c r="BG13" s="115" t="str">
        <f>_xlfn.CONCAT(TableWRTEMaster[[#This Row],[POS]],TableWRTEMaster[[#This Row],[RK]])</f>
        <v>WR12</v>
      </c>
      <c r="BH13" s="115">
        <f>IFERROR(INDEX(TableWRVORP[BYE],MATCH(TableWRTEMaster[[#This Row],[RK]],TableWRVORP[RK],0)),"")</f>
        <v>6</v>
      </c>
      <c r="BI13" s="116">
        <f>IFERROR(INDEX(TableWRVORP[FPS],MATCH(TableWRTEMaster[[#This Row],[RK]],TableWRVORP[RK],0)),"")</f>
        <v>205.3788457910936</v>
      </c>
      <c r="BJ13" s="117">
        <f>IFERROR(INDEX(TableWRVORP[VORP],MATCH(TableWRTEMaster[[#This Row],[RK]],TableWRVORP[RK],0)),"")</f>
        <v>0.4740667150129465</v>
      </c>
    </row>
    <row r="14" spans="1:66" x14ac:dyDescent="0.2">
      <c r="A14">
        <v>13</v>
      </c>
      <c r="B14" s="112" t="str">
        <f>IFERROR(INDEX(TableQBCalcPts[PLAYER],MATCH(TableQBVORP[[#This Row],[RK]],TableQBCalcPts[RK],0)),"")</f>
        <v>Kyler Murray</v>
      </c>
      <c r="C14" s="112" t="str">
        <f>IFERROR(INDEX(TableQBCalcPts[TM],MATCH(TableQBVORP[[#This Row],[RK]],TableQBCalcPts[RK],0)),"")</f>
        <v>ARI</v>
      </c>
      <c r="D14" s="112">
        <f>IFERROR(INDEX(TableQBCalcPts[BYE],MATCH(TableQBVORP[[#This Row],[RK]],TableQBCalcPts[RK],0)),"")</f>
        <v>11</v>
      </c>
      <c r="E14" s="113">
        <f>IFERROR(INDEX(TableQBCalcPts[Custom],MATCH(TableQBVORP[[#This Row],[RK]],TableQBCalcPts[RK],0)),"")</f>
        <v>308.03397965325968</v>
      </c>
      <c r="F14" s="114">
        <f>(IFERROR((TableQBVORP[[#This Row],[FPS]]-INDEX(TableQBVORP[FPS],MATCH(QBVORPCalc,TableQBVORP[RK],0)))/INDEX(TableQBVORP[FPS],MATCH(QBVORPCalc,TableQBVORP[RK],0)),""))+(TableRBVORP[[#This Row],[VORP]]*0.45)</f>
        <v>9.3026784087493347E-2</v>
      </c>
      <c r="H14">
        <v>13</v>
      </c>
      <c r="I14" s="112" t="str">
        <f>IFERROR(INDEX(TableRBCalcPts[PLAYER],MATCH(TableRBVORP[[#This Row],[RK]],TableRBCalcPts[RK],0)),"")</f>
        <v>Alvin Kamara</v>
      </c>
      <c r="J14" s="112" t="str">
        <f>IFERROR(INDEX(TableRBCalcPts[TM],MATCH(TableRBVORP[[#This Row],[RK]],TableRBCalcPts[RK],0)),"")</f>
        <v>NO</v>
      </c>
      <c r="K14" s="112">
        <f>IFERROR(INDEX(TableRBCalcPts[BYE],MATCH(TableRBVORP[[#This Row],[RK]],TableRBCalcPts[RK],0)),"")</f>
        <v>12</v>
      </c>
      <c r="L14" s="113">
        <f>IFERROR(INDEX(TableRBCalcPts[Custom],MATCH(TableRBVORP[[#This Row],[RK]],TableRBCalcPts[RK],0)),"")</f>
        <v>208.49750339596642</v>
      </c>
      <c r="M14" s="114">
        <f>(IFERROR((TableRBVORP[[#This Row],[FPS]]-INDEX(TableRBVORP[FPS],MATCH(RBVORPCalc,TableRBVORP[RK],0)))/INDEX(TableRBVORP[FPS],MATCH(RBVORPCalc,TableRBVORP[RK],0)),""))*0.8</f>
        <v>0.59099325976120543</v>
      </c>
      <c r="O14">
        <v>13</v>
      </c>
      <c r="P14" s="112" t="str">
        <f>IFERROR(INDEX(TableWRCalcPts[PLAYER],MATCH(TableWRVORP[[#This Row],[RK]],TableWRCalcPts[RK],0)),"")</f>
        <v>Jaylen Waddle</v>
      </c>
      <c r="Q14" s="112" t="str">
        <f>IFERROR(INDEX(TableWRCalcPts[TM],MATCH(TableWRVORP[[#This Row],[RK]],TableWRCalcPts[RK],0)),"")</f>
        <v>MIA</v>
      </c>
      <c r="R14" s="112">
        <f>IFERROR(INDEX(TableWRCalcPts[BYE],MATCH(TableWRVORP[[#This Row],[RK]],TableWRCalcPts[RK],0)),"")</f>
        <v>6</v>
      </c>
      <c r="S14" s="113">
        <f>IFERROR(INDEX(TableWRCalcPts[Custom],MATCH(TableWRVORP[[#This Row],[RK]],TableWRCalcPts[RK],0)),"")</f>
        <v>205.17621580917057</v>
      </c>
      <c r="T14" s="114">
        <f>(IFERROR((TableWRVORP[[#This Row],[FPS]]-INDEX(TableWRVORP[FPS],MATCH(WRVORPCalc,TableWRVORP[RK],0)))/INDEX(TableWRVORP[FPS],MATCH(WRVORPCalc,TableWRVORP[RK],0)),""))*1.2</f>
        <v>0.47241505460510658</v>
      </c>
      <c r="V14">
        <v>13</v>
      </c>
      <c r="W14" s="112" t="str">
        <f>IFERROR(INDEX(TableTECalcPts[PLAYER],MATCH(TableTEVORP[[#This Row],[RK]],TableTECalcPts[RK],0)),"")</f>
        <v>Dallas Goedert</v>
      </c>
      <c r="X14" s="112" t="str">
        <f>IFERROR(INDEX(TableTECalcPts[TM],MATCH(TableTEVORP[[#This Row],[RK]],TableTECalcPts[RK],0)),"")</f>
        <v>PHI</v>
      </c>
      <c r="Y14" s="112">
        <f>IFERROR(INDEX(TableTECalcPts[BYE],MATCH(TableTEVORP[[#This Row],[RK]],TableTECalcPts[RK],0)),"")</f>
        <v>5</v>
      </c>
      <c r="Z14" s="113">
        <f>IFERROR(INDEX(TableTECalcPts[Custom],MATCH(TableTEVORP[[#This Row],[RK]],TableTECalcPts[RK],0)),"")</f>
        <v>123.25352037647167</v>
      </c>
      <c r="AA14" s="114">
        <f>IFERROR((TableTEVORP[[#This Row],[FPS]]-INDEX(TableTEVORP[FPS],MATCH(TEVORPCalc,TableTEVORP[RK],0)))/INDEX(TableTEVORP[FPS],MATCH(TEVORPCalc,TableTEVORP[RK],0)),"")</f>
        <v>-6.3700779635465041E-2</v>
      </c>
      <c r="AF14" t="s">
        <v>9</v>
      </c>
      <c r="AG14">
        <v>13</v>
      </c>
      <c r="AH14" s="83">
        <f>RANK(TableOverallMaster[[#This Row],[VORP]],TableOverallMaster[VORP])+COUNTIF($AM$2:AM14,AM14)-1</f>
        <v>113</v>
      </c>
      <c r="AI14" s="115" t="str">
        <f>IFERROR(INDEX(TableQBVORP[QUARTERBACK],MATCH(TableOverallMaster[[#This Row],[RK]],TableQBVORP[RK],0)),"")</f>
        <v>Kyler Murray</v>
      </c>
      <c r="AJ14" s="115" t="str">
        <f t="shared" si="0"/>
        <v>QB13</v>
      </c>
      <c r="AK14" s="115">
        <f>IFERROR(INDEX(TableQBVORP[BYE],MATCH(TableOverallMaster[[#This Row],[RK]],TableQBVORP[RK],0)),"")</f>
        <v>11</v>
      </c>
      <c r="AL14" s="116">
        <f>IFERROR(INDEX(TableQBVORP[FPS],MATCH(TableOverallMaster[[#This Row],[RK]],TableQBVORP[RK],0)),"")</f>
        <v>308.03397965325968</v>
      </c>
      <c r="AM14" s="117">
        <f>IFERROR(INDEX(TableQBVORP[VORP],MATCH(TableOverallMaster[[#This Row],[RK]],TableQBVORP[RK],0)),"")</f>
        <v>9.3026784087493347E-2</v>
      </c>
      <c r="AO14">
        <v>13</v>
      </c>
      <c r="AP14" s="118" t="str">
        <f>IFERROR(INDEX(TableOverallMaster[OVERALL PLAYER],MATCH(TableOverallRank[[#This Row],[RK]],TableOverallMaster[OVR RK],0)),"")</f>
        <v>Puka Nacua</v>
      </c>
      <c r="AQ14" s="119" t="str">
        <f>IFERROR(INDEX(TableOverallMaster[POS RK],MATCH(TableOverallRank[[#This Row],[OVERALL PLAYER]],TableOverallMaster[OVERALL PLAYER],0)),"")</f>
        <v>WR6</v>
      </c>
      <c r="AR14" s="120">
        <f>IFERROR(INDEX(TableOverallMaster[BYE],MATCH(TableOverallRank[[#This Row],[OVERALL PLAYER]],TableOverallMaster[OVERALL PLAYER],0)),"")</f>
        <v>6</v>
      </c>
      <c r="AS14" s="119">
        <f>IFERROR(INDEX(TableOverallMaster[Custom],MATCH(TableOverallRank[[#This Row],[OVERALL PLAYER]],TableOverallMaster[OVERALL PLAYER],0)),"")</f>
        <v>229.19735538856321</v>
      </c>
      <c r="AT14" s="121">
        <f>IFERROR(INDEX(TableOverallMaster[VORP],MATCH(TableOverallRank[[#This Row],[OVERALL PLAYER]],TableOverallMaster[OVERALL PLAYER],0)),"")</f>
        <v>0.66821414029791926</v>
      </c>
      <c r="AV14">
        <v>13</v>
      </c>
      <c r="AW14" s="122" t="str">
        <f>IFERROR(INDEX(TableWRTECalcPts[PLAYER],MATCH(TableWRTERank[[#This Row],[RK]],TableWRTECalcPts[RK],0)),"")</f>
        <v>Jaylen Waddle</v>
      </c>
      <c r="AX14" s="122" t="str">
        <f>IFERROR(INDEX(TableWRTECalcPts[POS RK],MATCH(TableWRTERank[[#This Row],[WR and TE COMBINED]],TableWRTECalcPts[PLAYER],0)),"")</f>
        <v>WR13</v>
      </c>
      <c r="AY14" s="122">
        <f>IFERROR(INDEX(TableWRTECalcPts[BYE],MATCH(TableWRTERank[[#This Row],[RK]],TableWRTECalcPts[RK],0)),"")</f>
        <v>6</v>
      </c>
      <c r="AZ14" s="123">
        <f>IFERROR(INDEX(TableWRTECalcPts[Custom],MATCH(TableWRTERank[[#This Row],[RK]],TableWRTECalcPts[RK],0)),"")</f>
        <v>205.17621580917057</v>
      </c>
      <c r="BA14" s="174">
        <f>IFERROR((TableWRTERank[[#This Row],[FPS]]-INDEX(TableWRTERank[FPS],MATCH(WRTEVORPCalc,TableWRTERank[RK],0)))/INDEX(TableWRTERank[FPS],MATCH(WRTEVORPCalc,TableWRTERank[RK],0)),"")</f>
        <v>0.30749530904363981</v>
      </c>
      <c r="BC14" t="s">
        <v>208</v>
      </c>
      <c r="BD14">
        <v>13</v>
      </c>
      <c r="BE14" s="83">
        <f>RANK(TableWRTEMaster[[#This Row],[VORP]],TableWRTEMaster[VORP])+COUNTIF($BJ$2:BJ14,BJ14)-1</f>
        <v>14</v>
      </c>
      <c r="BF14" s="115" t="str">
        <f>IFERROR(INDEX(TableWRVORP[WIDE RECEIVER],MATCH(TableWRTEMaster[[#This Row],[RK]],TableWRVORP[RK],0)),"")</f>
        <v>Jaylen Waddle</v>
      </c>
      <c r="BG14" s="115" t="str">
        <f>_xlfn.CONCAT(TableWRTEMaster[[#This Row],[POS]],TableWRTEMaster[[#This Row],[RK]])</f>
        <v>WR13</v>
      </c>
      <c r="BH14" s="115">
        <f>IFERROR(INDEX(TableWRVORP[BYE],MATCH(TableWRTEMaster[[#This Row],[RK]],TableWRVORP[RK],0)),"")</f>
        <v>6</v>
      </c>
      <c r="BI14" s="116">
        <f>IFERROR(INDEX(TableWRVORP[FPS],MATCH(TableWRTEMaster[[#This Row],[RK]],TableWRVORP[RK],0)),"")</f>
        <v>205.17621580917057</v>
      </c>
      <c r="BJ14" s="117">
        <f>IFERROR(INDEX(TableWRVORP[VORP],MATCH(TableWRTEMaster[[#This Row],[RK]],TableWRVORP[RK],0)),"")</f>
        <v>0.47241505460510658</v>
      </c>
    </row>
    <row r="15" spans="1:66" x14ac:dyDescent="0.2">
      <c r="A15">
        <v>14</v>
      </c>
      <c r="B15" s="112" t="str">
        <f>IFERROR(INDEX(TableQBCalcPts[PLAYER],MATCH(TableQBVORP[[#This Row],[RK]],TableQBCalcPts[RK],0)),"")</f>
        <v>Caleb Williams</v>
      </c>
      <c r="C15" s="112" t="str">
        <f>IFERROR(INDEX(TableQBCalcPts[TM],MATCH(TableQBVORP[[#This Row],[RK]],TableQBCalcPts[RK],0)),"")</f>
        <v>CHI</v>
      </c>
      <c r="D15" s="112">
        <f>IFERROR(INDEX(TableQBCalcPts[BYE],MATCH(TableQBVORP[[#This Row],[RK]],TableQBCalcPts[RK],0)),"")</f>
        <v>7</v>
      </c>
      <c r="E15" s="113">
        <f>IFERROR(INDEX(TableQBCalcPts[Custom],MATCH(TableQBVORP[[#This Row],[RK]],TableQBCalcPts[RK],0)),"")</f>
        <v>307.64374263679053</v>
      </c>
      <c r="F15" s="114">
        <f>(IFERROR((TableQBVORP[[#This Row],[FPS]]-INDEX(TableQBVORP[FPS],MATCH(QBVORPCalc,TableQBVORP[RK],0)))/INDEX(TableQBVORP[FPS],MATCH(QBVORPCalc,TableQBVORP[RK],0)),""))+(TableRBVORP[[#This Row],[VORP]]*0.45)</f>
        <v>8.7454484138309946E-2</v>
      </c>
      <c r="H15">
        <v>14</v>
      </c>
      <c r="I15" s="112" t="str">
        <f>IFERROR(INDEX(TableRBCalcPts[PLAYER],MATCH(TableRBVORP[[#This Row],[RK]],TableRBCalcPts[RK],0)),"")</f>
        <v>De'Von Achane</v>
      </c>
      <c r="J15" s="112" t="str">
        <f>IFERROR(INDEX(TableRBCalcPts[TM],MATCH(TableRBVORP[[#This Row],[RK]],TableRBCalcPts[RK],0)),"")</f>
        <v>MIA</v>
      </c>
      <c r="K15" s="112">
        <f>IFERROR(INDEX(TableRBCalcPts[BYE],MATCH(TableRBVORP[[#This Row],[RK]],TableRBCalcPts[RK],0)),"")</f>
        <v>6</v>
      </c>
      <c r="L15" s="113">
        <f>IFERROR(INDEX(TableRBCalcPts[Custom],MATCH(TableRBVORP[[#This Row],[RK]],TableRBCalcPts[RK],0)),"")</f>
        <v>206.99043080924</v>
      </c>
      <c r="M15" s="114">
        <f>(IFERROR((TableRBVORP[[#This Row],[FPS]]-INDEX(TableRBVORP[FPS],MATCH(RBVORPCalc,TableRBVORP[RK],0)))/INDEX(TableRBVORP[FPS],MATCH(RBVORPCalc,TableRBVORP[RK],0)),""))*0.8</f>
        <v>0.58093880934351338</v>
      </c>
      <c r="O15">
        <v>14</v>
      </c>
      <c r="P15" s="112" t="str">
        <f>IFERROR(INDEX(TableWRCalcPts[PLAYER],MATCH(TableWRVORP[[#This Row],[RK]],TableWRCalcPts[RK],0)),"")</f>
        <v>Brandon Aiyuk</v>
      </c>
      <c r="Q15" s="112" t="str">
        <f>IFERROR(INDEX(TableWRCalcPts[TM],MATCH(TableWRVORP[[#This Row],[RK]],TableWRCalcPts[RK],0)),"")</f>
        <v>SF</v>
      </c>
      <c r="R15" s="112">
        <f>IFERROR(INDEX(TableWRCalcPts[BYE],MATCH(TableWRVORP[[#This Row],[RK]],TableWRCalcPts[RK],0)),"")</f>
        <v>9</v>
      </c>
      <c r="S15" s="113">
        <f>IFERROR(INDEX(TableWRCalcPts[Custom],MATCH(TableWRVORP[[#This Row],[RK]],TableWRCalcPts[RK],0)),"")</f>
        <v>204.932700677376</v>
      </c>
      <c r="T15" s="114">
        <f>(IFERROR((TableWRVORP[[#This Row],[FPS]]-INDEX(TableWRVORP[FPS],MATCH(WRVORPCalc,TableWRVORP[RK],0)))/INDEX(TableWRVORP[FPS],MATCH(WRVORPCalc,TableWRVORP[RK],0)),""))*1.2</f>
        <v>0.47043013461410638</v>
      </c>
      <c r="V15">
        <v>14</v>
      </c>
      <c r="W15" s="112" t="str">
        <f>IFERROR(INDEX(TableTECalcPts[PLAYER],MATCH(TableTEVORP[[#This Row],[RK]],TableTECalcPts[RK],0)),"")</f>
        <v>Chigoziem Okonkwo</v>
      </c>
      <c r="X15" s="112" t="str">
        <f>IFERROR(INDEX(TableTECalcPts[TM],MATCH(TableTEVORP[[#This Row],[RK]],TableTECalcPts[RK],0)),"")</f>
        <v>TEN</v>
      </c>
      <c r="Y15" s="112">
        <f>IFERROR(INDEX(TableTECalcPts[BYE],MATCH(TableTEVORP[[#This Row],[RK]],TableTECalcPts[RK],0)),"")</f>
        <v>5</v>
      </c>
      <c r="Z15" s="113">
        <f>IFERROR(INDEX(TableTECalcPts[Custom],MATCH(TableTEVORP[[#This Row],[RK]],TableTECalcPts[RK],0)),"")</f>
        <v>110.39226567248875</v>
      </c>
      <c r="AA15" s="114">
        <f>IFERROR((TableTEVORP[[#This Row],[FPS]]-INDEX(TableTEVORP[FPS],MATCH(TEVORPCalc,TableTEVORP[RK],0)))/INDEX(TableTEVORP[FPS],MATCH(TEVORPCalc,TableTEVORP[RK],0)),"")</f>
        <v>-0.16140170302870596</v>
      </c>
      <c r="AF15" t="s">
        <v>9</v>
      </c>
      <c r="AG15">
        <v>14</v>
      </c>
      <c r="AH15" s="83">
        <f>RANK(TableOverallMaster[[#This Row],[VORP]],TableOverallMaster[VORP])+COUNTIF($AM$2:AM15,AM15)-1</f>
        <v>114</v>
      </c>
      <c r="AI15" s="115" t="str">
        <f>IFERROR(INDEX(TableQBVORP[QUARTERBACK],MATCH(TableOverallMaster[[#This Row],[RK]],TableQBVORP[RK],0)),"")</f>
        <v>Caleb Williams</v>
      </c>
      <c r="AJ15" s="115" t="str">
        <f t="shared" si="0"/>
        <v>QB14</v>
      </c>
      <c r="AK15" s="115">
        <f>IFERROR(INDEX(TableQBVORP[BYE],MATCH(TableOverallMaster[[#This Row],[RK]],TableQBVORP[RK],0)),"")</f>
        <v>7</v>
      </c>
      <c r="AL15" s="116">
        <f>IFERROR(INDEX(TableQBVORP[FPS],MATCH(TableOverallMaster[[#This Row],[RK]],TableQBVORP[RK],0)),"")</f>
        <v>307.64374263679053</v>
      </c>
      <c r="AM15" s="117">
        <f>IFERROR(INDEX(TableQBVORP[VORP],MATCH(TableOverallMaster[[#This Row],[RK]],TableQBVORP[RK],0)),"")</f>
        <v>8.7454484138309946E-2</v>
      </c>
      <c r="AO15">
        <v>14</v>
      </c>
      <c r="AP15" s="118" t="str">
        <f>IFERROR(INDEX(TableOverallMaster[OVERALL PLAYER],MATCH(TableOverallRank[[#This Row],[RK]],TableOverallMaster[OVR RK],0)),"")</f>
        <v>Josh Allen</v>
      </c>
      <c r="AQ15" s="119" t="str">
        <f>IFERROR(INDEX(TableOverallMaster[POS RK],MATCH(TableOverallRank[[#This Row],[OVERALL PLAYER]],TableOverallMaster[OVERALL PLAYER],0)),"")</f>
        <v>QB1</v>
      </c>
      <c r="AR15" s="120">
        <f>IFERROR(INDEX(TableOverallMaster[BYE],MATCH(TableOverallRank[[#This Row],[OVERALL PLAYER]],TableOverallMaster[OVERALL PLAYER],0)),"")</f>
        <v>12</v>
      </c>
      <c r="AS15" s="119">
        <f>IFERROR(INDEX(TableOverallMaster[Custom],MATCH(TableOverallRank[[#This Row],[OVERALL PLAYER]],TableOverallMaster[OVERALL PLAYER],0)),"")</f>
        <v>396.35644294244599</v>
      </c>
      <c r="AT15" s="121">
        <f>IFERROR(INDEX(TableOverallMaster[VORP],MATCH(TableOverallRank[[#This Row],[OVERALL PLAYER]],TableOverallMaster[OVERALL PLAYER],0)),"")</f>
        <v>0.65942851080774334</v>
      </c>
      <c r="AV15">
        <v>14</v>
      </c>
      <c r="AW15" s="122" t="str">
        <f>IFERROR(INDEX(TableWRTECalcPts[PLAYER],MATCH(TableWRTERank[[#This Row],[RK]],TableWRTECalcPts[RK],0)),"")</f>
        <v>Brandon Aiyuk</v>
      </c>
      <c r="AX15" s="122" t="str">
        <f>IFERROR(INDEX(TableWRTECalcPts[POS RK],MATCH(TableWRTERank[[#This Row],[WR and TE COMBINED]],TableWRTECalcPts[PLAYER],0)),"")</f>
        <v>WR14</v>
      </c>
      <c r="AY15" s="122">
        <f>IFERROR(INDEX(TableWRTECalcPts[BYE],MATCH(TableWRTERank[[#This Row],[RK]],TableWRTECalcPts[RK],0)),"")</f>
        <v>9</v>
      </c>
      <c r="AZ15" s="123">
        <f>IFERROR(INDEX(TableWRTECalcPts[Custom],MATCH(TableWRTERank[[#This Row],[RK]],TableWRTECalcPts[RK],0)),"")</f>
        <v>204.932700677376</v>
      </c>
      <c r="BA15" s="174">
        <f>IFERROR((TableWRTERank[[#This Row],[FPS]]-INDEX(TableWRTERank[FPS],MATCH(WRTEVORPCalc,TableWRTERank[RK],0)))/INDEX(TableWRTERank[FPS],MATCH(WRTEVORPCalc,TableWRTERank[RK],0)),"")</f>
        <v>0.30594349714747598</v>
      </c>
      <c r="BC15" t="s">
        <v>208</v>
      </c>
      <c r="BD15">
        <v>14</v>
      </c>
      <c r="BE15" s="83">
        <f>RANK(TableWRTEMaster[[#This Row],[VORP]],TableWRTEMaster[VORP])+COUNTIF($BJ$2:BJ15,BJ15)-1</f>
        <v>15</v>
      </c>
      <c r="BF15" s="115" t="str">
        <f>IFERROR(INDEX(TableWRVORP[WIDE RECEIVER],MATCH(TableWRTEMaster[[#This Row],[RK]],TableWRVORP[RK],0)),"")</f>
        <v>Brandon Aiyuk</v>
      </c>
      <c r="BG15" s="115" t="str">
        <f>_xlfn.CONCAT(TableWRTEMaster[[#This Row],[POS]],TableWRTEMaster[[#This Row],[RK]])</f>
        <v>WR14</v>
      </c>
      <c r="BH15" s="115">
        <f>IFERROR(INDEX(TableWRVORP[BYE],MATCH(TableWRTEMaster[[#This Row],[RK]],TableWRVORP[RK],0)),"")</f>
        <v>9</v>
      </c>
      <c r="BI15" s="116">
        <f>IFERROR(INDEX(TableWRVORP[FPS],MATCH(TableWRTEMaster[[#This Row],[RK]],TableWRVORP[RK],0)),"")</f>
        <v>204.932700677376</v>
      </c>
      <c r="BJ15" s="117">
        <f>IFERROR(INDEX(TableWRVORP[VORP],MATCH(TableWRTEMaster[[#This Row],[RK]],TableWRVORP[RK],0)),"")</f>
        <v>0.47043013461410638</v>
      </c>
    </row>
    <row r="16" spans="1:66" x14ac:dyDescent="0.2">
      <c r="A16">
        <v>15</v>
      </c>
      <c r="B16" s="112" t="str">
        <f>IFERROR(INDEX(TableQBCalcPts[PLAYER],MATCH(TableQBVORP[[#This Row],[RK]],TableQBCalcPts[RK],0)),"")</f>
        <v>Jared Goff</v>
      </c>
      <c r="C16" s="112" t="str">
        <f>IFERROR(INDEX(TableQBCalcPts[TM],MATCH(TableQBVORP[[#This Row],[RK]],TableQBCalcPts[RK],0)),"")</f>
        <v>DET</v>
      </c>
      <c r="D16" s="112">
        <f>IFERROR(INDEX(TableQBCalcPts[BYE],MATCH(TableQBVORP[[#This Row],[RK]],TableQBCalcPts[RK],0)),"")</f>
        <v>5</v>
      </c>
      <c r="E16" s="113">
        <f>IFERROR(INDEX(TableQBCalcPts[Custom],MATCH(TableQBVORP[[#This Row],[RK]],TableQBCalcPts[RK],0)),"")</f>
        <v>303.18172306147073</v>
      </c>
      <c r="F16" s="114">
        <f>(IFERROR((TableQBVORP[[#This Row],[FPS]]-INDEX(TableQBVORP[FPS],MATCH(QBVORPCalc,TableQBVORP[RK],0)))/INDEX(TableQBVORP[FPS],MATCH(QBVORPCalc,TableQBVORP[RK],0)),""))+(TableRBVORP[[#This Row],[VORP]]*0.45)</f>
        <v>4.6824884558793273E-2</v>
      </c>
      <c r="H16">
        <v>15</v>
      </c>
      <c r="I16" s="112" t="str">
        <f>IFERROR(INDEX(TableRBCalcPts[PLAYER],MATCH(TableRBVORP[[#This Row],[RK]],TableRBCalcPts[RK],0)),"")</f>
        <v>Rachaad White</v>
      </c>
      <c r="J16" s="112" t="str">
        <f>IFERROR(INDEX(TableRBCalcPts[TM],MATCH(TableRBVORP[[#This Row],[RK]],TableRBCalcPts[RK],0)),"")</f>
        <v>TB</v>
      </c>
      <c r="K16" s="112">
        <f>IFERROR(INDEX(TableRBCalcPts[BYE],MATCH(TableRBVORP[[#This Row],[RK]],TableRBCalcPts[RK],0)),"")</f>
        <v>11</v>
      </c>
      <c r="L16" s="113">
        <f>IFERROR(INDEX(TableRBCalcPts[Custom],MATCH(TableRBVORP[[#This Row],[RK]],TableRBCalcPts[RK],0)),"")</f>
        <v>197.44771324617597</v>
      </c>
      <c r="M16" s="114">
        <f>(IFERROR((TableRBVORP[[#This Row],[FPS]]-INDEX(TableRBVORP[FPS],MATCH(RBVORPCalc,TableRBVORP[RK],0)))/INDEX(TableRBVORP[FPS],MATCH(RBVORPCalc,TableRBVORP[RK],0)),""))*0.8</f>
        <v>0.51727446999256199</v>
      </c>
      <c r="O16">
        <v>15</v>
      </c>
      <c r="P16" s="112" t="str">
        <f>IFERROR(INDEX(TableWRCalcPts[PLAYER],MATCH(TableWRVORP[[#This Row],[RK]],TableWRCalcPts[RK],0)),"")</f>
        <v>Tee Higgins</v>
      </c>
      <c r="Q16" s="112" t="str">
        <f>IFERROR(INDEX(TableWRCalcPts[TM],MATCH(TableWRVORP[[#This Row],[RK]],TableWRCalcPts[RK],0)),"")</f>
        <v>CIN</v>
      </c>
      <c r="R16" s="112">
        <f>IFERROR(INDEX(TableWRCalcPts[BYE],MATCH(TableWRVORP[[#This Row],[RK]],TableWRCalcPts[RK],0)),"")</f>
        <v>12</v>
      </c>
      <c r="S16" s="113">
        <f>IFERROR(INDEX(TableWRCalcPts[Custom],MATCH(TableWRVORP[[#This Row],[RK]],TableWRCalcPts[RK],0)),"")</f>
        <v>204.30798894549793</v>
      </c>
      <c r="T16" s="114">
        <f>(IFERROR((TableWRVORP[[#This Row],[FPS]]-INDEX(TableWRVORP[FPS],MATCH(WRVORPCalc,TableWRVORP[RK],0)))/INDEX(TableWRVORP[FPS],MATCH(WRVORPCalc,TableWRVORP[RK],0)),""))*1.2</f>
        <v>0.46533803706731741</v>
      </c>
      <c r="V16">
        <v>15</v>
      </c>
      <c r="W16" s="112" t="str">
        <f>IFERROR(INDEX(TableTECalcPts[PLAYER],MATCH(TableTEVORP[[#This Row],[RK]],TableTECalcPts[RK],0)),"")</f>
        <v>Hunter Henry</v>
      </c>
      <c r="X16" s="112" t="str">
        <f>IFERROR(INDEX(TableTECalcPts[TM],MATCH(TableTEVORP[[#This Row],[RK]],TableTECalcPts[RK],0)),"")</f>
        <v>NE</v>
      </c>
      <c r="Y16" s="112">
        <f>IFERROR(INDEX(TableTECalcPts[BYE],MATCH(TableTEVORP[[#This Row],[RK]],TableTECalcPts[RK],0)),"")</f>
        <v>14</v>
      </c>
      <c r="Z16" s="113">
        <f>IFERROR(INDEX(TableTECalcPts[Custom],MATCH(TableTEVORP[[#This Row],[RK]],TableTECalcPts[RK],0)),"")</f>
        <v>101.64388453660112</v>
      </c>
      <c r="AA16" s="114">
        <f>IFERROR((TableTEVORP[[#This Row],[FPS]]-INDEX(TableTEVORP[FPS],MATCH(TEVORPCalc,TableTEVORP[RK],0)))/INDEX(TableTEVORP[FPS],MATCH(TEVORPCalc,TableTEVORP[RK],0)),"")</f>
        <v>-0.22785905379616542</v>
      </c>
      <c r="AF16" t="s">
        <v>9</v>
      </c>
      <c r="AG16">
        <v>15</v>
      </c>
      <c r="AH16" s="83">
        <f>RANK(TableOverallMaster[[#This Row],[VORP]],TableOverallMaster[VORP])+COUNTIF($AM$2:AM16,AM16)-1</f>
        <v>119</v>
      </c>
      <c r="AI16" s="115" t="str">
        <f>IFERROR(INDEX(TableQBVORP[QUARTERBACK],MATCH(TableOverallMaster[[#This Row],[RK]],TableQBVORP[RK],0)),"")</f>
        <v>Jared Goff</v>
      </c>
      <c r="AJ16" s="115" t="str">
        <f t="shared" si="0"/>
        <v>QB15</v>
      </c>
      <c r="AK16" s="115">
        <f>IFERROR(INDEX(TableQBVORP[BYE],MATCH(TableOverallMaster[[#This Row],[RK]],TableQBVORP[RK],0)),"")</f>
        <v>5</v>
      </c>
      <c r="AL16" s="116">
        <f>IFERROR(INDEX(TableQBVORP[FPS],MATCH(TableOverallMaster[[#This Row],[RK]],TableQBVORP[RK],0)),"")</f>
        <v>303.18172306147073</v>
      </c>
      <c r="AM16" s="117">
        <f>IFERROR(INDEX(TableQBVORP[VORP],MATCH(TableOverallMaster[[#This Row],[RK]],TableQBVORP[RK],0)),"")</f>
        <v>4.6824884558793273E-2</v>
      </c>
      <c r="AO16">
        <v>15</v>
      </c>
      <c r="AP16" s="118" t="str">
        <f>IFERROR(INDEX(TableOverallMaster[OVERALL PLAYER],MATCH(TableOverallRank[[#This Row],[RK]],TableOverallMaster[OVR RK],0)),"")</f>
        <v>Kyren Williams</v>
      </c>
      <c r="AQ16" s="119" t="str">
        <f>IFERROR(INDEX(TableOverallMaster[POS RK],MATCH(TableOverallRank[[#This Row],[OVERALL PLAYER]],TableOverallMaster[OVERALL PLAYER],0)),"")</f>
        <v>RB8</v>
      </c>
      <c r="AR16" s="120">
        <f>IFERROR(INDEX(TableOverallMaster[BYE],MATCH(TableOverallRank[[#This Row],[OVERALL PLAYER]],TableOverallMaster[OVERALL PLAYER],0)),"")</f>
        <v>6</v>
      </c>
      <c r="AS16" s="119">
        <f>IFERROR(INDEX(TableOverallMaster[Custom],MATCH(TableOverallRank[[#This Row],[OVERALL PLAYER]],TableOverallMaster[OVERALL PLAYER],0)),"")</f>
        <v>214.43728721829297</v>
      </c>
      <c r="AT16" s="121">
        <f>IFERROR(INDEX(TableOverallMaster[VORP],MATCH(TableOverallRank[[#This Row],[OVERALL PLAYER]],TableOverallMaster[OVERALL PLAYER],0)),"")</f>
        <v>0.63062058923384567</v>
      </c>
      <c r="AV16">
        <v>15</v>
      </c>
      <c r="AW16" s="122" t="str">
        <f>IFERROR(INDEX(TableWRTECalcPts[PLAYER],MATCH(TableWRTERank[[#This Row],[RK]],TableWRTECalcPts[RK],0)),"")</f>
        <v>Tee Higgins</v>
      </c>
      <c r="AX16" s="122" t="str">
        <f>IFERROR(INDEX(TableWRTECalcPts[POS RK],MATCH(TableWRTERank[[#This Row],[WR and TE COMBINED]],TableWRTECalcPts[PLAYER],0)),"")</f>
        <v>WR15</v>
      </c>
      <c r="AY16" s="122">
        <f>IFERROR(INDEX(TableWRTECalcPts[BYE],MATCH(TableWRTERank[[#This Row],[RK]],TableWRTECalcPts[RK],0)),"")</f>
        <v>12</v>
      </c>
      <c r="AZ16" s="123">
        <f>IFERROR(INDEX(TableWRTECalcPts[Custom],MATCH(TableWRTERank[[#This Row],[RK]],TableWRTECalcPts[RK],0)),"")</f>
        <v>204.30798894549793</v>
      </c>
      <c r="BA16" s="174">
        <f>IFERROR((TableWRTERank[[#This Row],[FPS]]-INDEX(TableWRTERank[FPS],MATCH(WRTEVORPCalc,TableWRTERank[RK],0)))/INDEX(TableWRTERank[FPS],MATCH(WRTEVORPCalc,TableWRTERank[RK],0)),"")</f>
        <v>0.30196249157276162</v>
      </c>
      <c r="BC16" t="s">
        <v>208</v>
      </c>
      <c r="BD16">
        <v>15</v>
      </c>
      <c r="BE16" s="83">
        <f>RANK(TableWRTEMaster[[#This Row],[VORP]],TableWRTEMaster[VORP])+COUNTIF($BJ$2:BJ16,BJ16)-1</f>
        <v>16</v>
      </c>
      <c r="BF16" s="115" t="str">
        <f>IFERROR(INDEX(TableWRVORP[WIDE RECEIVER],MATCH(TableWRTEMaster[[#This Row],[RK]],TableWRVORP[RK],0)),"")</f>
        <v>Tee Higgins</v>
      </c>
      <c r="BG16" s="115" t="str">
        <f>_xlfn.CONCAT(TableWRTEMaster[[#This Row],[POS]],TableWRTEMaster[[#This Row],[RK]])</f>
        <v>WR15</v>
      </c>
      <c r="BH16" s="115">
        <f>IFERROR(INDEX(TableWRVORP[BYE],MATCH(TableWRTEMaster[[#This Row],[RK]],TableWRVORP[RK],0)),"")</f>
        <v>12</v>
      </c>
      <c r="BI16" s="116">
        <f>IFERROR(INDEX(TableWRVORP[FPS],MATCH(TableWRTEMaster[[#This Row],[RK]],TableWRVORP[RK],0)),"")</f>
        <v>204.30798894549793</v>
      </c>
      <c r="BJ16" s="117">
        <f>IFERROR(INDEX(TableWRVORP[VORP],MATCH(TableWRTEMaster[[#This Row],[RK]],TableWRVORP[RK],0)),"")</f>
        <v>0.46533803706731741</v>
      </c>
    </row>
    <row r="17" spans="1:62" x14ac:dyDescent="0.2">
      <c r="A17">
        <v>16</v>
      </c>
      <c r="B17" s="112" t="str">
        <f>IFERROR(INDEX(TableQBCalcPts[PLAYER],MATCH(TableQBVORP[[#This Row],[RK]],TableQBCalcPts[RK],0)),"")</f>
        <v>Tua Tagovailoa</v>
      </c>
      <c r="C17" s="112" t="str">
        <f>IFERROR(INDEX(TableQBCalcPts[TM],MATCH(TableQBVORP[[#This Row],[RK]],TableQBCalcPts[RK],0)),"")</f>
        <v>MIA</v>
      </c>
      <c r="D17" s="112">
        <f>IFERROR(INDEX(TableQBCalcPts[BYE],MATCH(TableQBVORP[[#This Row],[RK]],TableQBCalcPts[RK],0)),"")</f>
        <v>6</v>
      </c>
      <c r="E17" s="113">
        <f>IFERROR(INDEX(TableQBCalcPts[Custom],MATCH(TableQBVORP[[#This Row],[RK]],TableQBCalcPts[RK],0)),"")</f>
        <v>298.29362645876625</v>
      </c>
      <c r="F17" s="114">
        <f>(IFERROR((TableQBVORP[[#This Row],[FPS]]-INDEX(TableQBVORP[FPS],MATCH(QBVORPCalc,TableQBVORP[RK],0)))/INDEX(TableQBVORP[FPS],MATCH(QBVORPCalc,TableQBVORP[RK],0)),""))+(TableRBVORP[[#This Row],[VORP]]*0.45)</f>
        <v>3.0395407917068268E-2</v>
      </c>
      <c r="H17">
        <v>16</v>
      </c>
      <c r="I17" s="112" t="str">
        <f>IFERROR(INDEX(TableRBCalcPts[PLAYER],MATCH(TableRBVORP[[#This Row],[RK]],TableRBCalcPts[RK],0)),"")</f>
        <v>Kenneth Walker</v>
      </c>
      <c r="J17" s="112" t="str">
        <f>IFERROR(INDEX(TableRBCalcPts[TM],MATCH(TableRBVORP[[#This Row],[RK]],TableRBCalcPts[RK],0)),"")</f>
        <v>SEA</v>
      </c>
      <c r="K17" s="112">
        <f>IFERROR(INDEX(TableRBCalcPts[BYE],MATCH(TableRBVORP[[#This Row],[RK]],TableRBCalcPts[RK],0)),"")</f>
        <v>10</v>
      </c>
      <c r="L17" s="113">
        <f>IFERROR(INDEX(TableRBCalcPts[Custom],MATCH(TableRBVORP[[#This Row],[RK]],TableRBCalcPts[RK],0)),"")</f>
        <v>196.34691268147145</v>
      </c>
      <c r="M17" s="114">
        <f>(IFERROR((TableRBVORP[[#This Row],[FPS]]-INDEX(TableRBVORP[FPS],MATCH(RBVORPCalc,TableRBVORP[RK],0)))/INDEX(TableRBVORP[FPS],MATCH(RBVORPCalc,TableRBVORP[RK],0)),""))*0.8</f>
        <v>0.50993046759010952</v>
      </c>
      <c r="O17">
        <v>16</v>
      </c>
      <c r="P17" s="112" t="str">
        <f>IFERROR(INDEX(TableWRCalcPts[PLAYER],MATCH(TableWRVORP[[#This Row],[RK]],TableWRCalcPts[RK],0)),"")</f>
        <v>DeVonta Smith</v>
      </c>
      <c r="Q17" s="112" t="str">
        <f>IFERROR(INDEX(TableWRCalcPts[TM],MATCH(TableWRVORP[[#This Row],[RK]],TableWRCalcPts[RK],0)),"")</f>
        <v>PHI</v>
      </c>
      <c r="R17" s="112">
        <f>IFERROR(INDEX(TableWRCalcPts[BYE],MATCH(TableWRVORP[[#This Row],[RK]],TableWRCalcPts[RK],0)),"")</f>
        <v>5</v>
      </c>
      <c r="S17" s="113">
        <f>IFERROR(INDEX(TableWRCalcPts[Custom],MATCH(TableWRVORP[[#This Row],[RK]],TableWRCalcPts[RK],0)),"")</f>
        <v>200.62046472114179</v>
      </c>
      <c r="T17" s="114">
        <f>(IFERROR((TableWRVORP[[#This Row],[FPS]]-INDEX(TableWRVORP[FPS],MATCH(WRVORPCalc,TableWRVORP[RK],0)))/INDEX(TableWRVORP[FPS],MATCH(WRVORPCalc,TableWRVORP[RK],0)),""))*1.2</f>
        <v>0.43528060081569037</v>
      </c>
      <c r="V17">
        <v>16</v>
      </c>
      <c r="W17" s="112" t="str">
        <f>IFERROR(INDEX(TableTECalcPts[PLAYER],MATCH(TableTEVORP[[#This Row],[RK]],TableTECalcPts[RK],0)),"")</f>
        <v>Cole Kmet</v>
      </c>
      <c r="X17" s="112" t="str">
        <f>IFERROR(INDEX(TableTECalcPts[TM],MATCH(TableTEVORP[[#This Row],[RK]],TableTECalcPts[RK],0)),"")</f>
        <v>CHI</v>
      </c>
      <c r="Y17" s="112">
        <f>IFERROR(INDEX(TableTECalcPts[BYE],MATCH(TableTEVORP[[#This Row],[RK]],TableTECalcPts[RK],0)),"")</f>
        <v>7</v>
      </c>
      <c r="Z17" s="113">
        <f>IFERROR(INDEX(TableTECalcPts[Custom],MATCH(TableTEVORP[[#This Row],[RK]],TableTECalcPts[RK],0)),"")</f>
        <v>99.558300157164425</v>
      </c>
      <c r="AA17" s="114">
        <f>IFERROR((TableTEVORP[[#This Row],[FPS]]-INDEX(TableTEVORP[FPS],MATCH(TEVORPCalc,TableTEVORP[RK],0)))/INDEX(TableTEVORP[FPS],MATCH(TEVORPCalc,TableTEVORP[RK],0)),"")</f>
        <v>-0.24370226072856388</v>
      </c>
      <c r="AF17" t="s">
        <v>9</v>
      </c>
      <c r="AG17">
        <v>16</v>
      </c>
      <c r="AH17" s="83">
        <f>RANK(TableOverallMaster[[#This Row],[VORP]],TableOverallMaster[VORP])+COUNTIF($AM$2:AM17,AM17)-1</f>
        <v>124</v>
      </c>
      <c r="AI17" s="115" t="str">
        <f>IFERROR(INDEX(TableQBVORP[QUARTERBACK],MATCH(TableOverallMaster[[#This Row],[RK]],TableQBVORP[RK],0)),"")</f>
        <v>Tua Tagovailoa</v>
      </c>
      <c r="AJ17" s="115" t="str">
        <f t="shared" si="0"/>
        <v>QB16</v>
      </c>
      <c r="AK17" s="115">
        <f>IFERROR(INDEX(TableQBVORP[BYE],MATCH(TableOverallMaster[[#This Row],[RK]],TableQBVORP[RK],0)),"")</f>
        <v>6</v>
      </c>
      <c r="AL17" s="116">
        <f>IFERROR(INDEX(TableQBVORP[FPS],MATCH(TableOverallMaster[[#This Row],[RK]],TableQBVORP[RK],0)),"")</f>
        <v>298.29362645876625</v>
      </c>
      <c r="AM17" s="117">
        <f>IFERROR(INDEX(TableQBVORP[VORP],MATCH(TableOverallMaster[[#This Row],[RK]],TableQBVORP[RK],0)),"")</f>
        <v>3.0395407917068268E-2</v>
      </c>
      <c r="AO17">
        <v>16</v>
      </c>
      <c r="AP17" s="118" t="str">
        <f>IFERROR(INDEX(TableOverallMaster[OVERALL PLAYER],MATCH(TableOverallRank[[#This Row],[RK]],TableOverallMaster[OVR RK],0)),"")</f>
        <v>Josh Jacobs</v>
      </c>
      <c r="AQ17" s="119" t="str">
        <f>IFERROR(INDEX(TableOverallMaster[POS RK],MATCH(TableOverallRank[[#This Row],[OVERALL PLAYER]],TableOverallMaster[OVERALL PLAYER],0)),"")</f>
        <v>RB9</v>
      </c>
      <c r="AR17" s="120">
        <f>IFERROR(INDEX(TableOverallMaster[BYE],MATCH(TableOverallRank[[#This Row],[OVERALL PLAYER]],TableOverallMaster[OVERALL PLAYER],0)),"")</f>
        <v>10</v>
      </c>
      <c r="AS17" s="119">
        <f>IFERROR(INDEX(TableOverallMaster[Custom],MATCH(TableOverallRank[[#This Row],[OVERALL PLAYER]],TableOverallMaster[OVERALL PLAYER],0)),"")</f>
        <v>214.24072523951244</v>
      </c>
      <c r="AT17" s="121">
        <f>IFERROR(INDEX(TableOverallMaster[VORP],MATCH(TableOverallRank[[#This Row],[OVERALL PLAYER]],TableOverallMaster[OVERALL PLAYER],0)),"")</f>
        <v>0.62930922395054167</v>
      </c>
      <c r="AV17">
        <v>16</v>
      </c>
      <c r="AW17" s="122" t="str">
        <f>IFERROR(INDEX(TableWRTECalcPts[PLAYER],MATCH(TableWRTERank[[#This Row],[RK]],TableWRTECalcPts[RK],0)),"")</f>
        <v>Travis Kelce</v>
      </c>
      <c r="AX17" s="122" t="str">
        <f>IFERROR(INDEX(TableWRTECalcPts[POS RK],MATCH(TableWRTERank[[#This Row],[WR and TE COMBINED]],TableWRTECalcPts[PLAYER],0)),"")</f>
        <v>TE1</v>
      </c>
      <c r="AY17" s="122">
        <f>IFERROR(INDEX(TableWRTECalcPts[BYE],MATCH(TableWRTERank[[#This Row],[RK]],TableWRTECalcPts[RK],0)),"")</f>
        <v>6</v>
      </c>
      <c r="AZ17" s="123">
        <f>IFERROR(INDEX(TableWRTECalcPts[Custom],MATCH(TableWRTERank[[#This Row],[RK]],TableWRTECalcPts[RK],0)),"")</f>
        <v>200.94815106912</v>
      </c>
      <c r="BA17" s="174">
        <f>IFERROR((TableWRTERank[[#This Row],[FPS]]-INDEX(TableWRTERank[FPS],MATCH(WRTEVORPCalc,TableWRTERank[RK],0)))/INDEX(TableWRTERank[FPS],MATCH(WRTEVORPCalc,TableWRTERank[RK],0)),"")</f>
        <v>0.28055176301835116</v>
      </c>
      <c r="BC17" t="s">
        <v>208</v>
      </c>
      <c r="BD17">
        <v>16</v>
      </c>
      <c r="BE17" s="83">
        <f>RANK(TableWRTEMaster[[#This Row],[VORP]],TableWRTEMaster[VORP])+COUNTIF($BJ$2:BJ17,BJ17)-1</f>
        <v>17</v>
      </c>
      <c r="BF17" s="115" t="str">
        <f>IFERROR(INDEX(TableWRVORP[WIDE RECEIVER],MATCH(TableWRTEMaster[[#This Row],[RK]],TableWRVORP[RK],0)),"")</f>
        <v>DeVonta Smith</v>
      </c>
      <c r="BG17" s="115" t="str">
        <f>_xlfn.CONCAT(TableWRTEMaster[[#This Row],[POS]],TableWRTEMaster[[#This Row],[RK]])</f>
        <v>WR16</v>
      </c>
      <c r="BH17" s="115">
        <f>IFERROR(INDEX(TableWRVORP[BYE],MATCH(TableWRTEMaster[[#This Row],[RK]],TableWRVORP[RK],0)),"")</f>
        <v>5</v>
      </c>
      <c r="BI17" s="116">
        <f>IFERROR(INDEX(TableWRVORP[FPS],MATCH(TableWRTEMaster[[#This Row],[RK]],TableWRVORP[RK],0)),"")</f>
        <v>200.62046472114179</v>
      </c>
      <c r="BJ17" s="117">
        <f>IFERROR(INDEX(TableWRVORP[VORP],MATCH(TableWRTEMaster[[#This Row],[RK]],TableWRVORP[RK],0)),"")</f>
        <v>0.43528060081569037</v>
      </c>
    </row>
    <row r="18" spans="1:62" x14ac:dyDescent="0.2">
      <c r="A18">
        <v>17</v>
      </c>
      <c r="B18" s="112" t="str">
        <f>IFERROR(INDEX(TableQBCalcPts[PLAYER],MATCH(TableQBVORP[[#This Row],[RK]],TableQBCalcPts[RK],0)),"")</f>
        <v>Aaron Rodgers</v>
      </c>
      <c r="C18" s="112" t="str">
        <f>IFERROR(INDEX(TableQBCalcPts[TM],MATCH(TableQBVORP[[#This Row],[RK]],TableQBCalcPts[RK],0)),"")</f>
        <v>NYJ</v>
      </c>
      <c r="D18" s="112">
        <f>IFERROR(INDEX(TableQBCalcPts[BYE],MATCH(TableQBVORP[[#This Row],[RK]],TableQBCalcPts[RK],0)),"")</f>
        <v>12</v>
      </c>
      <c r="E18" s="113">
        <f>IFERROR(INDEX(TableQBCalcPts[Custom],MATCH(TableQBVORP[[#This Row],[RK]],TableQBCalcPts[RK],0)),"")</f>
        <v>295.18043126391552</v>
      </c>
      <c r="F18" s="114">
        <f>(IFERROR((TableQBVORP[[#This Row],[FPS]]-INDEX(TableQBVORP[FPS],MATCH(QBVORPCalc,TableQBVORP[RK],0)))/INDEX(TableQBVORP[FPS],MATCH(QBVORPCalc,TableQBVORP[RK],0)),""))+(TableRBVORP[[#This Row],[VORP]]*0.45)</f>
        <v>2.0792542719962559E-2</v>
      </c>
      <c r="H18">
        <v>17</v>
      </c>
      <c r="I18" s="112" t="str">
        <f>IFERROR(INDEX(TableRBCalcPts[PLAYER],MATCH(TableRBVORP[[#This Row],[RK]],TableRBCalcPts[RK],0)),"")</f>
        <v>Travis Etienne</v>
      </c>
      <c r="J18" s="112" t="str">
        <f>IFERROR(INDEX(TableRBCalcPts[TM],MATCH(TableRBVORP[[#This Row],[RK]],TableRBCalcPts[RK],0)),"")</f>
        <v>JAX</v>
      </c>
      <c r="K18" s="112">
        <f>IFERROR(INDEX(TableRBCalcPts[BYE],MATCH(TableRBVORP[[#This Row],[RK]],TableRBCalcPts[RK],0)),"")</f>
        <v>12</v>
      </c>
      <c r="L18" s="113">
        <f>IFERROR(INDEX(TableRBCalcPts[Custom],MATCH(TableRBVORP[[#This Row],[RK]],TableRBCalcPts[RK],0)),"")</f>
        <v>195.93259725063314</v>
      </c>
      <c r="M18" s="114">
        <f>(IFERROR((TableRBVORP[[#This Row],[FPS]]-INDEX(TableRBVORP[FPS],MATCH(RBVORPCalc,TableRBVORP[RK],0)))/INDEX(TableRBVORP[FPS],MATCH(RBVORPCalc,TableRBVORP[RK],0)),""))*0.8</f>
        <v>0.5071663578893969</v>
      </c>
      <c r="O18">
        <v>17</v>
      </c>
      <c r="P18" s="112" t="str">
        <f>IFERROR(INDEX(TableWRCalcPts[PLAYER],MATCH(TableWRVORP[[#This Row],[RK]],TableWRCalcPts[RK],0)),"")</f>
        <v>Drake London</v>
      </c>
      <c r="Q18" s="112" t="str">
        <f>IFERROR(INDEX(TableWRCalcPts[TM],MATCH(TableWRVORP[[#This Row],[RK]],TableWRCalcPts[RK],0)),"")</f>
        <v>ATL</v>
      </c>
      <c r="R18" s="112">
        <f>IFERROR(INDEX(TableWRCalcPts[BYE],MATCH(TableWRVORP[[#This Row],[RK]],TableWRCalcPts[RK],0)),"")</f>
        <v>12</v>
      </c>
      <c r="S18" s="113">
        <f>IFERROR(INDEX(TableWRCalcPts[Custom],MATCH(TableWRVORP[[#This Row],[RK]],TableWRCalcPts[RK],0)),"")</f>
        <v>198.04928813429765</v>
      </c>
      <c r="T18" s="114">
        <f>(IFERROR((TableWRVORP[[#This Row],[FPS]]-INDEX(TableWRVORP[FPS],MATCH(WRVORPCalc,TableWRVORP[RK],0)))/INDEX(TableWRVORP[FPS],MATCH(WRVORPCalc,TableWRVORP[RK],0)),""))*1.2</f>
        <v>0.41432264321359824</v>
      </c>
      <c r="V18">
        <v>17</v>
      </c>
      <c r="W18" s="112" t="str">
        <f>IFERROR(INDEX(TableTECalcPts[PLAYER],MATCH(TableTEVORP[[#This Row],[RK]],TableTECalcPts[RK],0)),"")</f>
        <v>Dalton Schultz</v>
      </c>
      <c r="X18" s="112" t="str">
        <f>IFERROR(INDEX(TableTECalcPts[TM],MATCH(TableTEVORP[[#This Row],[RK]],TableTECalcPts[RK],0)),"")</f>
        <v>HOU</v>
      </c>
      <c r="Y18" s="112">
        <f>IFERROR(INDEX(TableTECalcPts[BYE],MATCH(TableTEVORP[[#This Row],[RK]],TableTECalcPts[RK],0)),"")</f>
        <v>14</v>
      </c>
      <c r="Z18" s="113">
        <f>IFERROR(INDEX(TableTECalcPts[Custom],MATCH(TableTEVORP[[#This Row],[RK]],TableTECalcPts[RK],0)),"")</f>
        <v>98.459944410737833</v>
      </c>
      <c r="AA18" s="114">
        <f>IFERROR((TableTEVORP[[#This Row],[FPS]]-INDEX(TableTEVORP[FPS],MATCH(TEVORPCalc,TableTEVORP[RK],0)))/INDEX(TableTEVORP[FPS],MATCH(TEVORPCalc,TableTEVORP[RK],0)),"")</f>
        <v>-0.25204595449017786</v>
      </c>
      <c r="AF18" t="s">
        <v>9</v>
      </c>
      <c r="AG18">
        <v>17</v>
      </c>
      <c r="AH18" s="83">
        <f>RANK(TableOverallMaster[[#This Row],[VORP]],TableOverallMaster[VORP])+COUNTIF($AM$2:AM18,AM18)-1</f>
        <v>125</v>
      </c>
      <c r="AI18" s="115" t="str">
        <f>IFERROR(INDEX(TableQBVORP[QUARTERBACK],MATCH(TableOverallMaster[[#This Row],[RK]],TableQBVORP[RK],0)),"")</f>
        <v>Aaron Rodgers</v>
      </c>
      <c r="AJ18" s="115" t="str">
        <f t="shared" si="0"/>
        <v>QB17</v>
      </c>
      <c r="AK18" s="115">
        <f>IFERROR(INDEX(TableQBVORP[BYE],MATCH(TableOverallMaster[[#This Row],[RK]],TableQBVORP[RK],0)),"")</f>
        <v>12</v>
      </c>
      <c r="AL18" s="116">
        <f>IFERROR(INDEX(TableQBVORP[FPS],MATCH(TableOverallMaster[[#This Row],[RK]],TableQBVORP[RK],0)),"")</f>
        <v>295.18043126391552</v>
      </c>
      <c r="AM18" s="117">
        <f>IFERROR(INDEX(TableQBVORP[VORP],MATCH(TableOverallMaster[[#This Row],[RK]],TableQBVORP[RK],0)),"")</f>
        <v>2.0792542719962559E-2</v>
      </c>
      <c r="AO18">
        <v>17</v>
      </c>
      <c r="AP18" s="118" t="str">
        <f>IFERROR(INDEX(TableOverallMaster[OVERALL PLAYER],MATCH(TableOverallRank[[#This Row],[RK]],TableOverallMaster[OVR RK],0)),"")</f>
        <v>Isiah Pacheco</v>
      </c>
      <c r="AQ18" s="119" t="str">
        <f>IFERROR(INDEX(TableOverallMaster[POS RK],MATCH(TableOverallRank[[#This Row],[OVERALL PLAYER]],TableOverallMaster[OVERALL PLAYER],0)),"")</f>
        <v>RB10</v>
      </c>
      <c r="AR18" s="120">
        <f>IFERROR(INDEX(TableOverallMaster[BYE],MATCH(TableOverallRank[[#This Row],[OVERALL PLAYER]],TableOverallMaster[OVERALL PLAYER],0)),"")</f>
        <v>6</v>
      </c>
      <c r="AS18" s="119">
        <f>IFERROR(INDEX(TableOverallMaster[Custom],MATCH(TableOverallRank[[#This Row],[OVERALL PLAYER]],TableOverallMaster[OVERALL PLAYER],0)),"")</f>
        <v>214.06072143966074</v>
      </c>
      <c r="AT18" s="121">
        <f>IFERROR(INDEX(TableOverallMaster[VORP],MATCH(TableOverallRank[[#This Row],[OVERALL PLAYER]],TableOverallMaster[OVERALL PLAYER],0)),"")</f>
        <v>0.6281083267299663</v>
      </c>
      <c r="AV18">
        <v>17</v>
      </c>
      <c r="AW18" s="122" t="str">
        <f>IFERROR(INDEX(TableWRTECalcPts[PLAYER],MATCH(TableWRTERank[[#This Row],[RK]],TableWRTECalcPts[RK],0)),"")</f>
        <v>DeVonta Smith</v>
      </c>
      <c r="AX18" s="122" t="str">
        <f>IFERROR(INDEX(TableWRTECalcPts[POS RK],MATCH(TableWRTERank[[#This Row],[WR and TE COMBINED]],TableWRTECalcPts[PLAYER],0)),"")</f>
        <v>WR16</v>
      </c>
      <c r="AY18" s="122">
        <f>IFERROR(INDEX(TableWRTECalcPts[BYE],MATCH(TableWRTERank[[#This Row],[RK]],TableWRTECalcPts[RK],0)),"")</f>
        <v>5</v>
      </c>
      <c r="AZ18" s="123">
        <f>IFERROR(INDEX(TableWRTECalcPts[Custom],MATCH(TableWRTERank[[#This Row],[RK]],TableWRTECalcPts[RK],0)),"")</f>
        <v>200.62046472114179</v>
      </c>
      <c r="BA18" s="174">
        <f>IFERROR((TableWRTERank[[#This Row],[FPS]]-INDEX(TableWRTERank[FPS],MATCH(WRTEVORPCalc,TableWRTERank[RK],0)))/INDEX(TableWRTERank[FPS],MATCH(WRTEVORPCalc,TableWRTERank[RK],0)),"")</f>
        <v>0.27846356599644273</v>
      </c>
      <c r="BC18" t="s">
        <v>208</v>
      </c>
      <c r="BD18">
        <v>17</v>
      </c>
      <c r="BE18" s="83">
        <f>RANK(TableWRTEMaster[[#This Row],[VORP]],TableWRTEMaster[VORP])+COUNTIF($BJ$2:BJ18,BJ18)-1</f>
        <v>18</v>
      </c>
      <c r="BF18" s="115" t="str">
        <f>IFERROR(INDEX(TableWRVORP[WIDE RECEIVER],MATCH(TableWRTEMaster[[#This Row],[RK]],TableWRVORP[RK],0)),"")</f>
        <v>Drake London</v>
      </c>
      <c r="BG18" s="115" t="str">
        <f>_xlfn.CONCAT(TableWRTEMaster[[#This Row],[POS]],TableWRTEMaster[[#This Row],[RK]])</f>
        <v>WR17</v>
      </c>
      <c r="BH18" s="115">
        <f>IFERROR(INDEX(TableWRVORP[BYE],MATCH(TableWRTEMaster[[#This Row],[RK]],TableWRVORP[RK],0)),"")</f>
        <v>12</v>
      </c>
      <c r="BI18" s="116">
        <f>IFERROR(INDEX(TableWRVORP[FPS],MATCH(TableWRTEMaster[[#This Row],[RK]],TableWRVORP[RK],0)),"")</f>
        <v>198.04928813429765</v>
      </c>
      <c r="BJ18" s="117">
        <f>IFERROR(INDEX(TableWRVORP[VORP],MATCH(TableWRTEMaster[[#This Row],[RK]],TableWRVORP[RK],0)),"")</f>
        <v>0.41432264321359824</v>
      </c>
    </row>
    <row r="19" spans="1:62" x14ac:dyDescent="0.2">
      <c r="A19">
        <v>18</v>
      </c>
      <c r="B19" s="112" t="str">
        <f>IFERROR(INDEX(TableQBCalcPts[PLAYER],MATCH(TableQBVORP[[#This Row],[RK]],TableQBCalcPts[RK],0)),"")</f>
        <v>Kirk Cousins</v>
      </c>
      <c r="C19" s="112" t="str">
        <f>IFERROR(INDEX(TableQBCalcPts[TM],MATCH(TableQBVORP[[#This Row],[RK]],TableQBCalcPts[RK],0)),"")</f>
        <v>ATL</v>
      </c>
      <c r="D19" s="112">
        <f>IFERROR(INDEX(TableQBCalcPts[BYE],MATCH(TableQBVORP[[#This Row],[RK]],TableQBCalcPts[RK],0)),"")</f>
        <v>12</v>
      </c>
      <c r="E19" s="113">
        <f>IFERROR(INDEX(TableQBCalcPts[Custom],MATCH(TableQBVORP[[#This Row],[RK]],TableQBCalcPts[RK],0)),"")</f>
        <v>292.72218406002816</v>
      </c>
      <c r="F19" s="114">
        <f>(IFERROR((TableQBVORP[[#This Row],[FPS]]-INDEX(TableQBVORP[FPS],MATCH(QBVORPCalc,TableQBVORP[RK],0)))/INDEX(TableQBVORP[FPS],MATCH(QBVORPCalc,TableQBVORP[RK],0)),""))+(TableRBVORP[[#This Row],[VORP]]*0.45)</f>
        <v>7.4723391553324636E-3</v>
      </c>
      <c r="H19">
        <v>18</v>
      </c>
      <c r="I19" s="112" t="str">
        <f>IFERROR(INDEX(TableRBCalcPts[PLAYER],MATCH(TableRBVORP[[#This Row],[RK]],TableRBCalcPts[RK],0)),"")</f>
        <v>James Cook</v>
      </c>
      <c r="J19" s="112" t="str">
        <f>IFERROR(INDEX(TableRBCalcPts[TM],MATCH(TableRBVORP[[#This Row],[RK]],TableRBCalcPts[RK],0)),"")</f>
        <v>BUF</v>
      </c>
      <c r="K19" s="112">
        <f>IFERROR(INDEX(TableRBCalcPts[BYE],MATCH(TableRBVORP[[#This Row],[RK]],TableRBCalcPts[RK],0)),"")</f>
        <v>12</v>
      </c>
      <c r="L19" s="113">
        <f>IFERROR(INDEX(TableRBCalcPts[Custom],MATCH(TableRBVORP[[#This Row],[RK]],TableRBCalcPts[RK],0)),"")</f>
        <v>193.69430971828919</v>
      </c>
      <c r="M19" s="114">
        <f>(IFERROR((TableRBVORP[[#This Row],[FPS]]-INDEX(TableRBVORP[FPS],MATCH(RBVORPCalc,TableRBVORP[RK],0)))/INDEX(TableRBVORP[FPS],MATCH(RBVORPCalc,TableRBVORP[RK],0)),""))*0.8</f>
        <v>0.49223359936621647</v>
      </c>
      <c r="O19">
        <v>18</v>
      </c>
      <c r="P19" s="112" t="str">
        <f>IFERROR(INDEX(TableWRCalcPts[PLAYER],MATCH(TableWRVORP[[#This Row],[RK]],TableWRCalcPts[RK],0)),"")</f>
        <v>DK Metcalf</v>
      </c>
      <c r="Q19" s="112" t="str">
        <f>IFERROR(INDEX(TableWRCalcPts[TM],MATCH(TableWRVORP[[#This Row],[RK]],TableWRCalcPts[RK],0)),"")</f>
        <v>SEA</v>
      </c>
      <c r="R19" s="112">
        <f>IFERROR(INDEX(TableWRCalcPts[BYE],MATCH(TableWRVORP[[#This Row],[RK]],TableWRCalcPts[RK],0)),"")</f>
        <v>10</v>
      </c>
      <c r="S19" s="113">
        <f>IFERROR(INDEX(TableWRCalcPts[Custom],MATCH(TableWRVORP[[#This Row],[RK]],TableWRCalcPts[RK],0)),"")</f>
        <v>196.75593147513993</v>
      </c>
      <c r="T19" s="114">
        <f>(IFERROR((TableWRVORP[[#This Row],[FPS]]-INDEX(TableWRVORP[FPS],MATCH(WRVORPCalc,TableWRVORP[RK],0)))/INDEX(TableWRVORP[FPS],MATCH(WRVORPCalc,TableWRVORP[RK],0)),""))*1.2</f>
        <v>0.40378034356537329</v>
      </c>
      <c r="V19">
        <v>18</v>
      </c>
      <c r="W19" s="112" t="str">
        <f>IFERROR(INDEX(TableTECalcPts[PLAYER],MATCH(TableTEVORP[[#This Row],[RK]],TableTECalcPts[RK],0)),"")</f>
        <v>Mike Gesicki</v>
      </c>
      <c r="X19" s="112" t="str">
        <f>IFERROR(INDEX(TableTECalcPts[TM],MATCH(TableTEVORP[[#This Row],[RK]],TableTECalcPts[RK],0)),"")</f>
        <v>CIN</v>
      </c>
      <c r="Y19" s="112">
        <f>IFERROR(INDEX(TableTECalcPts[BYE],MATCH(TableTEVORP[[#This Row],[RK]],TableTECalcPts[RK],0)),"")</f>
        <v>12</v>
      </c>
      <c r="Z19" s="113">
        <f>IFERROR(INDEX(TableTECalcPts[Custom],MATCH(TableTEVORP[[#This Row],[RK]],TableTECalcPts[RK],0)),"")</f>
        <v>96.879813101035438</v>
      </c>
      <c r="AA19" s="114">
        <f>IFERROR((TableTEVORP[[#This Row],[FPS]]-INDEX(TableTEVORP[FPS],MATCH(TEVORPCalc,TableTEVORP[RK],0)))/INDEX(TableTEVORP[FPS],MATCH(TEVORPCalc,TableTEVORP[RK],0)),"")</f>
        <v>-0.26404947137820634</v>
      </c>
      <c r="AF19" t="s">
        <v>9</v>
      </c>
      <c r="AG19">
        <v>18</v>
      </c>
      <c r="AH19" s="83">
        <f>RANK(TableOverallMaster[[#This Row],[VORP]],TableOverallMaster[VORP])+COUNTIF($AM$2:AM19,AM19)-1</f>
        <v>126</v>
      </c>
      <c r="AI19" s="115" t="str">
        <f>IFERROR(INDEX(TableQBVORP[QUARTERBACK],MATCH(TableOverallMaster[[#This Row],[RK]],TableQBVORP[RK],0)),"")</f>
        <v>Kirk Cousins</v>
      </c>
      <c r="AJ19" s="115" t="str">
        <f t="shared" si="0"/>
        <v>QB18</v>
      </c>
      <c r="AK19" s="115">
        <f>IFERROR(INDEX(TableQBVORP[BYE],MATCH(TableOverallMaster[[#This Row],[RK]],TableQBVORP[RK],0)),"")</f>
        <v>12</v>
      </c>
      <c r="AL19" s="116">
        <f>IFERROR(INDEX(TableQBVORP[FPS],MATCH(TableOverallMaster[[#This Row],[RK]],TableQBVORP[RK],0)),"")</f>
        <v>292.72218406002816</v>
      </c>
      <c r="AM19" s="117">
        <f>IFERROR(INDEX(TableQBVORP[VORP],MATCH(TableOverallMaster[[#This Row],[RK]],TableQBVORP[RK],0)),"")</f>
        <v>7.4723391553324636E-3</v>
      </c>
      <c r="AO19">
        <v>18</v>
      </c>
      <c r="AP19" s="118" t="str">
        <f>IFERROR(INDEX(TableOverallMaster[OVERALL PLAYER],MATCH(TableOverallRank[[#This Row],[RK]],TableOverallMaster[OVR RK],0)),"")</f>
        <v>A.J. Brown</v>
      </c>
      <c r="AQ19" s="119" t="str">
        <f>IFERROR(INDEX(TableOverallMaster[POS RK],MATCH(TableOverallRank[[#This Row],[OVERALL PLAYER]],TableOverallMaster[OVERALL PLAYER],0)),"")</f>
        <v>WR7</v>
      </c>
      <c r="AR19" s="120">
        <f>IFERROR(INDEX(TableOverallMaster[BYE],MATCH(TableOverallRank[[#This Row],[OVERALL PLAYER]],TableOverallMaster[OVERALL PLAYER],0)),"")</f>
        <v>5</v>
      </c>
      <c r="AS19" s="119">
        <f>IFERROR(INDEX(TableOverallMaster[Custom],MATCH(TableOverallRank[[#This Row],[OVERALL PLAYER]],TableOverallMaster[OVERALL PLAYER],0)),"")</f>
        <v>222.93815465263103</v>
      </c>
      <c r="AT19" s="121">
        <f>IFERROR(INDEX(TableOverallMaster[VORP],MATCH(TableOverallRank[[#This Row],[OVERALL PLAYER]],TableOverallMaster[OVERALL PLAYER],0)),"")</f>
        <v>0.61719467149991614</v>
      </c>
      <c r="AV19">
        <v>18</v>
      </c>
      <c r="AW19" s="122" t="str">
        <f>IFERROR(INDEX(TableWRTECalcPts[PLAYER],MATCH(TableWRTERank[[#This Row],[RK]],TableWRTECalcPts[RK],0)),"")</f>
        <v>Drake London</v>
      </c>
      <c r="AX19" s="122" t="str">
        <f>IFERROR(INDEX(TableWRTECalcPts[POS RK],MATCH(TableWRTERank[[#This Row],[WR and TE COMBINED]],TableWRTECalcPts[PLAYER],0)),"")</f>
        <v>WR17</v>
      </c>
      <c r="AY19" s="122">
        <f>IFERROR(INDEX(TableWRTECalcPts[BYE],MATCH(TableWRTERank[[#This Row],[RK]],TableWRTECalcPts[RK],0)),"")</f>
        <v>12</v>
      </c>
      <c r="AZ19" s="123">
        <f>IFERROR(INDEX(TableWRTECalcPts[Custom],MATCH(TableWRTERank[[#This Row],[RK]],TableWRTECalcPts[RK],0)),"")</f>
        <v>198.04928813429765</v>
      </c>
      <c r="BA19" s="174">
        <f>IFERROR((TableWRTERank[[#This Row],[FPS]]-INDEX(TableWRTERank[FPS],MATCH(WRTEVORPCalc,TableWRTERank[RK],0)))/INDEX(TableWRTERank[FPS],MATCH(WRTEVORPCalc,TableWRTERank[RK],0)),"")</f>
        <v>0.26207861946273597</v>
      </c>
      <c r="BC19" t="s">
        <v>208</v>
      </c>
      <c r="BD19">
        <v>18</v>
      </c>
      <c r="BE19" s="83">
        <f>RANK(TableWRTEMaster[[#This Row],[VORP]],TableWRTEMaster[VORP])+COUNTIF($BJ$2:BJ19,BJ19)-1</f>
        <v>19</v>
      </c>
      <c r="BF19" s="115" t="str">
        <f>IFERROR(INDEX(TableWRVORP[WIDE RECEIVER],MATCH(TableWRTEMaster[[#This Row],[RK]],TableWRVORP[RK],0)),"")</f>
        <v>DK Metcalf</v>
      </c>
      <c r="BG19" s="115" t="str">
        <f>_xlfn.CONCAT(TableWRTEMaster[[#This Row],[POS]],TableWRTEMaster[[#This Row],[RK]])</f>
        <v>WR18</v>
      </c>
      <c r="BH19" s="115">
        <f>IFERROR(INDEX(TableWRVORP[BYE],MATCH(TableWRTEMaster[[#This Row],[RK]],TableWRVORP[RK],0)),"")</f>
        <v>10</v>
      </c>
      <c r="BI19" s="116">
        <f>IFERROR(INDEX(TableWRVORP[FPS],MATCH(TableWRTEMaster[[#This Row],[RK]],TableWRVORP[RK],0)),"")</f>
        <v>196.75593147513993</v>
      </c>
      <c r="BJ19" s="117">
        <f>IFERROR(INDEX(TableWRVORP[VORP],MATCH(TableWRTEMaster[[#This Row],[RK]],TableWRVORP[RK],0)),"")</f>
        <v>0.40378034356537329</v>
      </c>
    </row>
    <row r="20" spans="1:62" x14ac:dyDescent="0.2">
      <c r="A20">
        <v>19</v>
      </c>
      <c r="B20" s="112" t="str">
        <f>IFERROR(INDEX(TableQBCalcPts[PLAYER],MATCH(TableQBVORP[[#This Row],[RK]],TableQBCalcPts[RK],0)),"")</f>
        <v>Deshaun Watson</v>
      </c>
      <c r="C20" s="112" t="str">
        <f>IFERROR(INDEX(TableQBCalcPts[TM],MATCH(TableQBVORP[[#This Row],[RK]],TableQBCalcPts[RK],0)),"")</f>
        <v>CLE</v>
      </c>
      <c r="D20" s="112">
        <f>IFERROR(INDEX(TableQBCalcPts[BYE],MATCH(TableQBVORP[[#This Row],[RK]],TableQBCalcPts[RK],0)),"")</f>
        <v>10</v>
      </c>
      <c r="E20" s="113">
        <f>IFERROR(INDEX(TableQBCalcPts[Custom],MATCH(TableQBVORP[[#This Row],[RK]],TableQBCalcPts[RK],0)),"")</f>
        <v>292.12616760278985</v>
      </c>
      <c r="F20" s="114">
        <f>(IFERROR((TableQBVORP[[#This Row],[FPS]]-INDEX(TableQBVORP[FPS],MATCH(QBVORPCalc,TableQBVORP[RK],0)))/INDEX(TableQBVORP[FPS],MATCH(QBVORPCalc,TableQBVORP[RK],0)),""))+(TableRBVORP[[#This Row],[VORP]]*0.45)</f>
        <v>1.4863432762013962E-3</v>
      </c>
      <c r="H20">
        <v>19</v>
      </c>
      <c r="I20" s="112" t="str">
        <f>IFERROR(INDEX(TableRBCalcPts[PLAYER],MATCH(TableRBVORP[[#This Row],[RK]],TableRBCalcPts[RK],0)),"")</f>
        <v>Zamir White</v>
      </c>
      <c r="J20" s="112" t="str">
        <f>IFERROR(INDEX(TableRBCalcPts[TM],MATCH(TableRBVORP[[#This Row],[RK]],TableRBCalcPts[RK],0)),"")</f>
        <v>LV</v>
      </c>
      <c r="K20" s="112">
        <f>IFERROR(INDEX(TableRBCalcPts[BYE],MATCH(TableRBVORP[[#This Row],[RK]],TableRBCalcPts[RK],0)),"")</f>
        <v>10</v>
      </c>
      <c r="L20" s="113">
        <f>IFERROR(INDEX(TableRBCalcPts[Custom],MATCH(TableRBVORP[[#This Row],[RK]],TableRBCalcPts[RK],0)),"")</f>
        <v>192.23347940104071</v>
      </c>
      <c r="M20" s="114">
        <f>(IFERROR((TableRBVORP[[#This Row],[FPS]]-INDEX(TableRBVORP[FPS],MATCH(RBVORPCalc,TableRBVORP[RK],0)))/INDEX(TableRBVORP[FPS],MATCH(RBVORPCalc,TableRBVORP[RK],0)),""))*0.8</f>
        <v>0.48248765472970734</v>
      </c>
      <c r="O20">
        <v>19</v>
      </c>
      <c r="P20" s="112" t="str">
        <f>IFERROR(INDEX(TableWRCalcPts[PLAYER],MATCH(TableWRVORP[[#This Row],[RK]],TableWRCalcPts[RK],0)),"")</f>
        <v>Terry McLaurin</v>
      </c>
      <c r="Q20" s="112" t="str">
        <f>IFERROR(INDEX(TableWRCalcPts[TM],MATCH(TableWRVORP[[#This Row],[RK]],TableWRCalcPts[RK],0)),"")</f>
        <v>WSH</v>
      </c>
      <c r="R20" s="112">
        <f>IFERROR(INDEX(TableWRCalcPts[BYE],MATCH(TableWRVORP[[#This Row],[RK]],TableWRCalcPts[RK],0)),"")</f>
        <v>14</v>
      </c>
      <c r="S20" s="113">
        <f>IFERROR(INDEX(TableWRCalcPts[Custom],MATCH(TableWRVORP[[#This Row],[RK]],TableWRCalcPts[RK],0)),"")</f>
        <v>196.63586376487206</v>
      </c>
      <c r="T20" s="114">
        <f>(IFERROR((TableWRVORP[[#This Row],[FPS]]-INDEX(TableWRVORP[FPS],MATCH(WRVORPCalc,TableWRVORP[RK],0)))/INDEX(TableWRVORP[FPS],MATCH(WRVORPCalc,TableWRVORP[RK],0)),""))*1.2</f>
        <v>0.40280165777846549</v>
      </c>
      <c r="V20">
        <v>19</v>
      </c>
      <c r="W20" s="112" t="str">
        <f>IFERROR(INDEX(TableTECalcPts[PLAYER],MATCH(TableTEVORP[[#This Row],[RK]],TableTECalcPts[RK],0)),"")</f>
        <v>Luke Musgrave</v>
      </c>
      <c r="X20" s="112" t="str">
        <f>IFERROR(INDEX(TableTECalcPts[TM],MATCH(TableTEVORP[[#This Row],[RK]],TableTECalcPts[RK],0)),"")</f>
        <v>GB</v>
      </c>
      <c r="Y20" s="112">
        <f>IFERROR(INDEX(TableTECalcPts[BYE],MATCH(TableTEVORP[[#This Row],[RK]],TableTECalcPts[RK],0)),"")</f>
        <v>10</v>
      </c>
      <c r="Z20" s="113">
        <f>IFERROR(INDEX(TableTECalcPts[Custom],MATCH(TableTEVORP[[#This Row],[RK]],TableTECalcPts[RK],0)),"")</f>
        <v>95.806678079854066</v>
      </c>
      <c r="AA20" s="114">
        <f>IFERROR((TableTEVORP[[#This Row],[FPS]]-INDEX(TableTEVORP[FPS],MATCH(TEVORPCalc,TableTEVORP[RK],0)))/INDEX(TableTEVORP[FPS],MATCH(TEVORPCalc,TableTEVORP[RK],0)),"")</f>
        <v>-0.27220157511211157</v>
      </c>
      <c r="AF20" t="s">
        <v>9</v>
      </c>
      <c r="AG20">
        <v>19</v>
      </c>
      <c r="AH20" s="83">
        <f>RANK(TableOverallMaster[[#This Row],[VORP]],TableOverallMaster[VORP])+COUNTIF($AM$2:AM20,AM20)-1</f>
        <v>129</v>
      </c>
      <c r="AI20" s="115" t="str">
        <f>IFERROR(INDEX(TableQBVORP[QUARTERBACK],MATCH(TableOverallMaster[[#This Row],[RK]],TableQBVORP[RK],0)),"")</f>
        <v>Deshaun Watson</v>
      </c>
      <c r="AJ20" s="115" t="str">
        <f t="shared" si="0"/>
        <v>QB19</v>
      </c>
      <c r="AK20" s="115">
        <f>IFERROR(INDEX(TableQBVORP[BYE],MATCH(TableOverallMaster[[#This Row],[RK]],TableQBVORP[RK],0)),"")</f>
        <v>10</v>
      </c>
      <c r="AL20" s="116">
        <f>IFERROR(INDEX(TableQBVORP[FPS],MATCH(TableOverallMaster[[#This Row],[RK]],TableQBVORP[RK],0)),"")</f>
        <v>292.12616760278985</v>
      </c>
      <c r="AM20" s="117">
        <f>IFERROR(INDEX(TableQBVORP[VORP],MATCH(TableOverallMaster[[#This Row],[RK]],TableQBVORP[RK],0)),"")</f>
        <v>1.4863432762013962E-3</v>
      </c>
      <c r="AO20">
        <v>19</v>
      </c>
      <c r="AP20" s="118" t="str">
        <f>IFERROR(INDEX(TableOverallMaster[OVERALL PLAYER],MATCH(TableOverallRank[[#This Row],[RK]],TableOverallMaster[OVR RK],0)),"")</f>
        <v>Jahmyr Gibbs</v>
      </c>
      <c r="AQ20" s="119" t="str">
        <f>IFERROR(INDEX(TableOverallMaster[POS RK],MATCH(TableOverallRank[[#This Row],[OVERALL PLAYER]],TableOverallMaster[OVERALL PLAYER],0)),"")</f>
        <v>RB11</v>
      </c>
      <c r="AR20" s="120">
        <f>IFERROR(INDEX(TableOverallMaster[BYE],MATCH(TableOverallRank[[#This Row],[OVERALL PLAYER]],TableOverallMaster[OVERALL PLAYER],0)),"")</f>
        <v>5</v>
      </c>
      <c r="AS20" s="119">
        <f>IFERROR(INDEX(TableOverallMaster[Custom],MATCH(TableOverallRank[[#This Row],[OVERALL PLAYER]],TableOverallMaster[OVERALL PLAYER],0)),"")</f>
        <v>211.62050926422344</v>
      </c>
      <c r="AT20" s="121">
        <f>IFERROR(INDEX(TableOverallMaster[VORP],MATCH(TableOverallRank[[#This Row],[OVERALL PLAYER]],TableOverallMaster[OVERALL PLAYER],0)),"")</f>
        <v>0.61182842585281183</v>
      </c>
      <c r="AV20">
        <v>19</v>
      </c>
      <c r="AW20" s="122" t="str">
        <f>IFERROR(INDEX(TableWRTECalcPts[PLAYER],MATCH(TableWRTERank[[#This Row],[RK]],TableWRTECalcPts[RK],0)),"")</f>
        <v>DK Metcalf</v>
      </c>
      <c r="AX20" s="122" t="str">
        <f>IFERROR(INDEX(TableWRTECalcPts[POS RK],MATCH(TableWRTERank[[#This Row],[WR and TE COMBINED]],TableWRTECalcPts[PLAYER],0)),"")</f>
        <v>WR18</v>
      </c>
      <c r="AY20" s="122">
        <f>IFERROR(INDEX(TableWRTECalcPts[BYE],MATCH(TableWRTERank[[#This Row],[RK]],TableWRTECalcPts[RK],0)),"")</f>
        <v>10</v>
      </c>
      <c r="AZ20" s="123">
        <f>IFERROR(INDEX(TableWRTECalcPts[Custom],MATCH(TableWRTERank[[#This Row],[RK]],TableWRTECalcPts[RK],0)),"")</f>
        <v>196.75593147513993</v>
      </c>
      <c r="BA20" s="174">
        <f>IFERROR((TableWRTERank[[#This Row],[FPS]]-INDEX(TableWRTERank[FPS],MATCH(WRTEVORPCalc,TableWRTERank[RK],0)))/INDEX(TableWRTERank[FPS],MATCH(WRTEVORPCalc,TableWRTERank[RK],0)),"")</f>
        <v>0.2538366419113911</v>
      </c>
      <c r="BC20" t="s">
        <v>208</v>
      </c>
      <c r="BD20">
        <v>19</v>
      </c>
      <c r="BE20" s="83">
        <f>RANK(TableWRTEMaster[[#This Row],[VORP]],TableWRTEMaster[VORP])+COUNTIF($BJ$2:BJ20,BJ20)-1</f>
        <v>20</v>
      </c>
      <c r="BF20" s="115" t="str">
        <f>IFERROR(INDEX(TableWRVORP[WIDE RECEIVER],MATCH(TableWRTEMaster[[#This Row],[RK]],TableWRVORP[RK],0)),"")</f>
        <v>Terry McLaurin</v>
      </c>
      <c r="BG20" s="115" t="str">
        <f>_xlfn.CONCAT(TableWRTEMaster[[#This Row],[POS]],TableWRTEMaster[[#This Row],[RK]])</f>
        <v>WR19</v>
      </c>
      <c r="BH20" s="115">
        <f>IFERROR(INDEX(TableWRVORP[BYE],MATCH(TableWRTEMaster[[#This Row],[RK]],TableWRVORP[RK],0)),"")</f>
        <v>14</v>
      </c>
      <c r="BI20" s="116">
        <f>IFERROR(INDEX(TableWRVORP[FPS],MATCH(TableWRTEMaster[[#This Row],[RK]],TableWRVORP[RK],0)),"")</f>
        <v>196.63586376487206</v>
      </c>
      <c r="BJ20" s="117">
        <f>IFERROR(INDEX(TableWRVORP[VORP],MATCH(TableWRTEMaster[[#This Row],[RK]],TableWRVORP[RK],0)),"")</f>
        <v>0.40280165777846549</v>
      </c>
    </row>
    <row r="21" spans="1:62" x14ac:dyDescent="0.2">
      <c r="A21">
        <v>20</v>
      </c>
      <c r="B21" s="112" t="str">
        <f>IFERROR(INDEX(TableQBCalcPts[PLAYER],MATCH(TableQBVORP[[#This Row],[RK]],TableQBCalcPts[RK],0)),"")</f>
        <v>Matthew Stafford</v>
      </c>
      <c r="C21" s="112" t="str">
        <f>IFERROR(INDEX(TableQBCalcPts[TM],MATCH(TableQBVORP[[#This Row],[RK]],TableQBCalcPts[RK],0)),"")</f>
        <v>LAR</v>
      </c>
      <c r="D21" s="112">
        <f>IFERROR(INDEX(TableQBCalcPts[BYE],MATCH(TableQBVORP[[#This Row],[RK]],TableQBCalcPts[RK],0)),"")</f>
        <v>6</v>
      </c>
      <c r="E21" s="113">
        <f>IFERROR(INDEX(TableQBCalcPts[Custom],MATCH(TableQBVORP[[#This Row],[RK]],TableQBCalcPts[RK],0)),"")</f>
        <v>286.98529196689174</v>
      </c>
      <c r="F21" s="114">
        <f>(IFERROR((TableQBVORP[[#This Row],[FPS]]-INDEX(TableQBVORP[FPS],MATCH(QBVORPCalc,TableQBVORP[RK],0)))/INDEX(TableQBVORP[FPS],MATCH(QBVORPCalc,TableQBVORP[RK],0)),""))+(TableRBVORP[[#This Row],[VORP]]*0.45)</f>
        <v>-1.3787997151748665E-2</v>
      </c>
      <c r="H21">
        <v>20</v>
      </c>
      <c r="I21" s="112" t="str">
        <f>IFERROR(INDEX(TableRBCalcPts[PLAYER],MATCH(TableRBVORP[[#This Row],[RK]],TableRBCalcPts[RK],0)),"")</f>
        <v>James Conner</v>
      </c>
      <c r="J21" s="112" t="str">
        <f>IFERROR(INDEX(TableRBCalcPts[TM],MATCH(TableRBVORP[[#This Row],[RK]],TableRBCalcPts[RK],0)),"")</f>
        <v>ARI</v>
      </c>
      <c r="K21" s="112">
        <f>IFERROR(INDEX(TableRBCalcPts[BYE],MATCH(TableRBVORP[[#This Row],[RK]],TableRBCalcPts[RK],0)),"")</f>
        <v>11</v>
      </c>
      <c r="L21" s="113">
        <f>IFERROR(INDEX(TableRBCalcPts[Custom],MATCH(TableRBVORP[[#This Row],[RK]],TableRBCalcPts[RK],0)),"")</f>
        <v>191.74352001145337</v>
      </c>
      <c r="M21" s="114">
        <f>(IFERROR((TableRBVORP[[#This Row],[FPS]]-INDEX(TableRBVORP[FPS],MATCH(RBVORPCalc,TableRBVORP[RK],0)))/INDEX(TableRBVORP[FPS],MATCH(RBVORPCalc,TableRBVORP[RK],0)),""))*0.8</f>
        <v>0.47921888557241732</v>
      </c>
      <c r="O21">
        <v>20</v>
      </c>
      <c r="P21" s="112" t="str">
        <f>IFERROR(INDEX(TableWRCalcPts[PLAYER],MATCH(TableWRVORP[[#This Row],[RK]],TableWRCalcPts[RK],0)),"")</f>
        <v>Marvin Harrison</v>
      </c>
      <c r="Q21" s="112" t="str">
        <f>IFERROR(INDEX(TableWRCalcPts[TM],MATCH(TableWRVORP[[#This Row],[RK]],TableWRCalcPts[RK],0)),"")</f>
        <v>ARI</v>
      </c>
      <c r="R21" s="112">
        <f>IFERROR(INDEX(TableWRCalcPts[BYE],MATCH(TableWRVORP[[#This Row],[RK]],TableWRCalcPts[RK],0)),"")</f>
        <v>11</v>
      </c>
      <c r="S21" s="113">
        <f>IFERROR(INDEX(TableWRCalcPts[Custom],MATCH(TableWRVORP[[#This Row],[RK]],TableWRCalcPts[RK],0)),"")</f>
        <v>196.12822049057965</v>
      </c>
      <c r="T21" s="114">
        <f>(IFERROR((TableWRVORP[[#This Row],[FPS]]-INDEX(TableWRVORP[FPS],MATCH(WRVORPCalc,TableWRVORP[RK],0)))/INDEX(TableWRVORP[FPS],MATCH(WRVORPCalc,TableWRVORP[RK],0)),""))*1.2</f>
        <v>0.39866379876324087</v>
      </c>
      <c r="V21">
        <v>20</v>
      </c>
      <c r="W21" s="112" t="str">
        <f>IFERROR(INDEX(TableTECalcPts[PLAYER],MATCH(TableTEVORP[[#This Row],[RK]],TableTECalcPts[RK],0)),"")</f>
        <v>Cade Otton</v>
      </c>
      <c r="X21" s="112" t="str">
        <f>IFERROR(INDEX(TableTECalcPts[TM],MATCH(TableTEVORP[[#This Row],[RK]],TableTECalcPts[RK],0)),"")</f>
        <v>TB</v>
      </c>
      <c r="Y21" s="112">
        <f>IFERROR(INDEX(TableTECalcPts[BYE],MATCH(TableTEVORP[[#This Row],[RK]],TableTECalcPts[RK],0)),"")</f>
        <v>11</v>
      </c>
      <c r="Z21" s="113">
        <f>IFERROR(INDEX(TableTECalcPts[Custom],MATCH(TableTEVORP[[#This Row],[RK]],TableTECalcPts[RK],0)),"")</f>
        <v>93.69854319917674</v>
      </c>
      <c r="AA21" s="114">
        <f>IFERROR((TableTEVORP[[#This Row],[FPS]]-INDEX(TableTEVORP[FPS],MATCH(TEVORPCalc,TableTEVORP[RK],0)))/INDEX(TableTEVORP[FPS],MATCH(TEVORPCalc,TableTEVORP[RK],0)),"")</f>
        <v>-0.28821608763209844</v>
      </c>
      <c r="AF21" t="s">
        <v>9</v>
      </c>
      <c r="AG21">
        <v>20</v>
      </c>
      <c r="AH21" s="83">
        <f>RANK(TableOverallMaster[[#This Row],[VORP]],TableOverallMaster[VORP])+COUNTIF($AM$2:AM21,AM21)-1</f>
        <v>135</v>
      </c>
      <c r="AI21" s="115" t="str">
        <f>IFERROR(INDEX(TableQBVORP[QUARTERBACK],MATCH(TableOverallMaster[[#This Row],[RK]],TableQBVORP[RK],0)),"")</f>
        <v>Matthew Stafford</v>
      </c>
      <c r="AJ21" s="115" t="str">
        <f t="shared" si="0"/>
        <v>QB20</v>
      </c>
      <c r="AK21" s="115">
        <f>IFERROR(INDEX(TableQBVORP[BYE],MATCH(TableOverallMaster[[#This Row],[RK]],TableQBVORP[RK],0)),"")</f>
        <v>6</v>
      </c>
      <c r="AL21" s="116">
        <f>IFERROR(INDEX(TableQBVORP[FPS],MATCH(TableOverallMaster[[#This Row],[RK]],TableQBVORP[RK],0)),"")</f>
        <v>286.98529196689174</v>
      </c>
      <c r="AM21" s="117">
        <f>IFERROR(INDEX(TableQBVORP[VORP],MATCH(TableOverallMaster[[#This Row],[RK]],TableQBVORP[RK],0)),"")</f>
        <v>-1.3787997151748665E-2</v>
      </c>
      <c r="AO21">
        <v>20</v>
      </c>
      <c r="AP21" s="118" t="str">
        <f>IFERROR(INDEX(TableOverallMaster[OVERALL PLAYER],MATCH(TableOverallRank[[#This Row],[RK]],TableOverallMaster[OVR RK],0)),"")</f>
        <v>Aaron Jones</v>
      </c>
      <c r="AQ21" s="119" t="str">
        <f>IFERROR(INDEX(TableOverallMaster[POS RK],MATCH(TableOverallRank[[#This Row],[OVERALL PLAYER]],TableOverallMaster[OVERALL PLAYER],0)),"")</f>
        <v>RB12</v>
      </c>
      <c r="AR21" s="120">
        <f>IFERROR(INDEX(TableOverallMaster[BYE],MATCH(TableOverallRank[[#This Row],[OVERALL PLAYER]],TableOverallMaster[OVERALL PLAYER],0)),"")</f>
        <v>6</v>
      </c>
      <c r="AS21" s="119">
        <f>IFERROR(INDEX(TableOverallMaster[Custom],MATCH(TableOverallRank[[#This Row],[OVERALL PLAYER]],TableOverallMaster[OVERALL PLAYER],0)),"")</f>
        <v>211.41095636016271</v>
      </c>
      <c r="AT21" s="121">
        <f>IFERROR(INDEX(TableOverallMaster[VORP],MATCH(TableOverallRank[[#This Row],[OVERALL PLAYER]],TableOverallMaster[OVERALL PLAYER],0)),"")</f>
        <v>0.6104303914765522</v>
      </c>
      <c r="AV21">
        <v>20</v>
      </c>
      <c r="AW21" s="122" t="str">
        <f>IFERROR(INDEX(TableWRTECalcPts[PLAYER],MATCH(TableWRTERank[[#This Row],[RK]],TableWRTECalcPts[RK],0)),"")</f>
        <v>Terry McLaurin</v>
      </c>
      <c r="AX21" s="122" t="str">
        <f>IFERROR(INDEX(TableWRTECalcPts[POS RK],MATCH(TableWRTERank[[#This Row],[WR and TE COMBINED]],TableWRTECalcPts[PLAYER],0)),"")</f>
        <v>WR19</v>
      </c>
      <c r="AY21" s="122">
        <f>IFERROR(INDEX(TableWRTECalcPts[BYE],MATCH(TableWRTERank[[#This Row],[RK]],TableWRTECalcPts[RK],0)),"")</f>
        <v>14</v>
      </c>
      <c r="AZ21" s="123">
        <f>IFERROR(INDEX(TableWRTECalcPts[Custom],MATCH(TableWRTERank[[#This Row],[RK]],TableWRTECalcPts[RK],0)),"")</f>
        <v>196.63586376487206</v>
      </c>
      <c r="BA21" s="174">
        <f>IFERROR((TableWRTERank[[#This Row],[FPS]]-INDEX(TableWRTERank[FPS],MATCH(WRTEVORPCalc,TableWRTERank[RK],0)))/INDEX(TableWRTERank[FPS],MATCH(WRTEVORPCalc,TableWRTERank[RK],0)),"")</f>
        <v>0.25307150464962935</v>
      </c>
      <c r="BC21" t="s">
        <v>208</v>
      </c>
      <c r="BD21">
        <v>20</v>
      </c>
      <c r="BE21" s="83">
        <f>RANK(TableWRTEMaster[[#This Row],[VORP]],TableWRTEMaster[VORP])+COUNTIF($BJ$2:BJ21,BJ21)-1</f>
        <v>21</v>
      </c>
      <c r="BF21" s="115" t="str">
        <f>IFERROR(INDEX(TableWRVORP[WIDE RECEIVER],MATCH(TableWRTEMaster[[#This Row],[RK]],TableWRVORP[RK],0)),"")</f>
        <v>Marvin Harrison</v>
      </c>
      <c r="BG21" s="115" t="str">
        <f>_xlfn.CONCAT(TableWRTEMaster[[#This Row],[POS]],TableWRTEMaster[[#This Row],[RK]])</f>
        <v>WR20</v>
      </c>
      <c r="BH21" s="115">
        <f>IFERROR(INDEX(TableWRVORP[BYE],MATCH(TableWRTEMaster[[#This Row],[RK]],TableWRVORP[RK],0)),"")</f>
        <v>11</v>
      </c>
      <c r="BI21" s="116">
        <f>IFERROR(INDEX(TableWRVORP[FPS],MATCH(TableWRTEMaster[[#This Row],[RK]],TableWRVORP[RK],0)),"")</f>
        <v>196.12822049057965</v>
      </c>
      <c r="BJ21" s="117">
        <f>IFERROR(INDEX(TableWRVORP[VORP],MATCH(TableWRTEMaster[[#This Row],[RK]],TableWRVORP[RK],0)),"")</f>
        <v>0.39866379876324087</v>
      </c>
    </row>
    <row r="22" spans="1:62" x14ac:dyDescent="0.2">
      <c r="A22">
        <v>21</v>
      </c>
      <c r="B22" s="112" t="str">
        <f>IFERROR(INDEX(TableQBCalcPts[PLAYER],MATCH(TableQBVORP[[#This Row],[RK]],TableQBCalcPts[RK],0)),"")</f>
        <v>Baker Mayfield</v>
      </c>
      <c r="C22" s="112" t="str">
        <f>IFERROR(INDEX(TableQBCalcPts[TM],MATCH(TableQBVORP[[#This Row],[RK]],TableQBCalcPts[RK],0)),"")</f>
        <v>TB</v>
      </c>
      <c r="D22" s="112">
        <f>IFERROR(INDEX(TableQBCalcPts[BYE],MATCH(TableQBVORP[[#This Row],[RK]],TableQBCalcPts[RK],0)),"")</f>
        <v>11</v>
      </c>
      <c r="E22" s="113">
        <f>IFERROR(INDEX(TableQBCalcPts[Custom],MATCH(TableQBVORP[[#This Row],[RK]],TableQBCalcPts[RK],0)),"")</f>
        <v>279.41011934295392</v>
      </c>
      <c r="F22" s="114">
        <f>(IFERROR((TableQBVORP[[#This Row],[FPS]]-INDEX(TableQBVORP[FPS],MATCH(QBVORPCalc,TableQBVORP[RK],0)))/INDEX(TableQBVORP[FPS],MATCH(QBVORPCalc,TableQBVORP[RK],0)),""))+(TableRBVORP[[#This Row],[VORP]]*0.45)</f>
        <v>-4.304097208637131E-2</v>
      </c>
      <c r="H22">
        <v>21</v>
      </c>
      <c r="I22" s="112" t="str">
        <f>IFERROR(INDEX(TableRBCalcPts[PLAYER],MATCH(TableRBVORP[[#This Row],[RK]],TableRBCalcPts[RK],0)),"")</f>
        <v>D'Andre Swift</v>
      </c>
      <c r="J22" s="112" t="str">
        <f>IFERROR(INDEX(TableRBCalcPts[TM],MATCH(TableRBVORP[[#This Row],[RK]],TableRBCalcPts[RK],0)),"")</f>
        <v>CHI</v>
      </c>
      <c r="K22" s="112">
        <f>IFERROR(INDEX(TableRBCalcPts[BYE],MATCH(TableRBVORP[[#This Row],[RK]],TableRBCalcPts[RK],0)),"")</f>
        <v>7</v>
      </c>
      <c r="L22" s="113">
        <f>IFERROR(INDEX(TableRBCalcPts[Custom],MATCH(TableRBVORP[[#This Row],[RK]],TableRBCalcPts[RK],0)),"")</f>
        <v>188.77453535321337</v>
      </c>
      <c r="M22" s="114">
        <f>(IFERROR((TableRBVORP[[#This Row],[FPS]]-INDEX(TableRBVORP[FPS],MATCH(RBVORPCalc,TableRBVORP[RK],0)))/INDEX(TableRBVORP[FPS],MATCH(RBVORPCalc,TableRBVORP[RK],0)),""))*0.8</f>
        <v>0.45941127358339928</v>
      </c>
      <c r="O22">
        <v>21</v>
      </c>
      <c r="P22" s="112" t="str">
        <f>IFERROR(INDEX(TableWRCalcPts[PLAYER],MATCH(TableWRVORP[[#This Row],[RK]],TableWRCalcPts[RK],0)),"")</f>
        <v>Davante Adams</v>
      </c>
      <c r="Q22" s="112" t="str">
        <f>IFERROR(INDEX(TableWRCalcPts[TM],MATCH(TableWRVORP[[#This Row],[RK]],TableWRCalcPts[RK],0)),"")</f>
        <v>LV</v>
      </c>
      <c r="R22" s="112">
        <f>IFERROR(INDEX(TableWRCalcPts[BYE],MATCH(TableWRVORP[[#This Row],[RK]],TableWRCalcPts[RK],0)),"")</f>
        <v>10</v>
      </c>
      <c r="S22" s="113">
        <f>IFERROR(INDEX(TableWRCalcPts[Custom],MATCH(TableWRVORP[[#This Row],[RK]],TableWRCalcPts[RK],0)),"")</f>
        <v>193.52615414390021</v>
      </c>
      <c r="T22" s="114">
        <f>(IFERROR((TableWRVORP[[#This Row],[FPS]]-INDEX(TableWRVORP[FPS],MATCH(WRVORPCalc,TableWRVORP[RK],0)))/INDEX(TableWRVORP[FPS],MATCH(WRVORPCalc,TableWRVORP[RK],0)),""))*1.2</f>
        <v>0.3774540551576982</v>
      </c>
      <c r="V22">
        <v>21</v>
      </c>
      <c r="W22" s="112" t="str">
        <f>IFERROR(INDEX(TableTECalcPts[PLAYER],MATCH(TableTEVORP[[#This Row],[RK]],TableTECalcPts[RK],0)),"")</f>
        <v>Tyler Conklin</v>
      </c>
      <c r="X22" s="112" t="str">
        <f>IFERROR(INDEX(TableTECalcPts[TM],MATCH(TableTEVORP[[#This Row],[RK]],TableTECalcPts[RK],0)),"")</f>
        <v>NYJ</v>
      </c>
      <c r="Y22" s="112">
        <f>IFERROR(INDEX(TableTECalcPts[BYE],MATCH(TableTEVORP[[#This Row],[RK]],TableTECalcPts[RK],0)),"")</f>
        <v>12</v>
      </c>
      <c r="Z22" s="113">
        <f>IFERROR(INDEX(TableTECalcPts[Custom],MATCH(TableTEVORP[[#This Row],[RK]],TableTECalcPts[RK],0)),"")</f>
        <v>92.077826494206874</v>
      </c>
      <c r="AA22" s="114">
        <f>IFERROR((TableTEVORP[[#This Row],[FPS]]-INDEX(TableTEVORP[FPS],MATCH(TEVORPCalc,TableTEVORP[RK],0)))/INDEX(TableTEVORP[FPS],MATCH(TEVORPCalc,TableTEVORP[RK],0)),"")</f>
        <v>-0.30052791274394924</v>
      </c>
      <c r="AF22" t="s">
        <v>9</v>
      </c>
      <c r="AG22">
        <v>21</v>
      </c>
      <c r="AH22" s="83">
        <f>RANK(TableOverallMaster[[#This Row],[VORP]],TableOverallMaster[VORP])+COUNTIF($AM$2:AM22,AM22)-1</f>
        <v>139</v>
      </c>
      <c r="AI22" s="115" t="str">
        <f>IFERROR(INDEX(TableQBVORP[QUARTERBACK],MATCH(TableOverallMaster[[#This Row],[RK]],TableQBVORP[RK],0)),"")</f>
        <v>Baker Mayfield</v>
      </c>
      <c r="AJ22" s="115" t="str">
        <f t="shared" si="0"/>
        <v>QB21</v>
      </c>
      <c r="AK22" s="115">
        <f>IFERROR(INDEX(TableQBVORP[BYE],MATCH(TableOverallMaster[[#This Row],[RK]],TableQBVORP[RK],0)),"")</f>
        <v>11</v>
      </c>
      <c r="AL22" s="116">
        <f>IFERROR(INDEX(TableQBVORP[FPS],MATCH(TableOverallMaster[[#This Row],[RK]],TableQBVORP[RK],0)),"")</f>
        <v>279.41011934295392</v>
      </c>
      <c r="AM22" s="117">
        <f>IFERROR(INDEX(TableQBVORP[VORP],MATCH(TableOverallMaster[[#This Row],[RK]],TableQBVORP[RK],0)),"")</f>
        <v>-4.304097208637131E-2</v>
      </c>
      <c r="AO22">
        <v>21</v>
      </c>
      <c r="AP22" s="118" t="str">
        <f>IFERROR(INDEX(TableOverallMaster[OVERALL PLAYER],MATCH(TableOverallRank[[#This Row],[RK]],TableOverallMaster[OVR RK],0)),"")</f>
        <v>Alvin Kamara</v>
      </c>
      <c r="AQ22" s="119" t="str">
        <f>IFERROR(INDEX(TableOverallMaster[POS RK],MATCH(TableOverallRank[[#This Row],[OVERALL PLAYER]],TableOverallMaster[OVERALL PLAYER],0)),"")</f>
        <v>RB13</v>
      </c>
      <c r="AR22" s="120">
        <f>IFERROR(INDEX(TableOverallMaster[BYE],MATCH(TableOverallRank[[#This Row],[OVERALL PLAYER]],TableOverallMaster[OVERALL PLAYER],0)),"")</f>
        <v>12</v>
      </c>
      <c r="AS22" s="119">
        <f>IFERROR(INDEX(TableOverallMaster[Custom],MATCH(TableOverallRank[[#This Row],[OVERALL PLAYER]],TableOverallMaster[OVERALL PLAYER],0)),"")</f>
        <v>208.49750339596642</v>
      </c>
      <c r="AT22" s="121">
        <f>IFERROR(INDEX(TableOverallMaster[VORP],MATCH(TableOverallRank[[#This Row],[OVERALL PLAYER]],TableOverallMaster[OVERALL PLAYER],0)),"")</f>
        <v>0.59099325976120543</v>
      </c>
      <c r="AV22">
        <v>21</v>
      </c>
      <c r="AW22" s="122" t="str">
        <f>IFERROR(INDEX(TableWRTECalcPts[PLAYER],MATCH(TableWRTERank[[#This Row],[RK]],TableWRTECalcPts[RK],0)),"")</f>
        <v>Marvin Harrison</v>
      </c>
      <c r="AX22" s="122" t="str">
        <f>IFERROR(INDEX(TableWRTECalcPts[POS RK],MATCH(TableWRTERank[[#This Row],[WR and TE COMBINED]],TableWRTECalcPts[PLAYER],0)),"")</f>
        <v>WR20</v>
      </c>
      <c r="AY22" s="122">
        <f>IFERROR(INDEX(TableWRTECalcPts[BYE],MATCH(TableWRTERank[[#This Row],[RK]],TableWRTECalcPts[RK],0)),"")</f>
        <v>11</v>
      </c>
      <c r="AZ22" s="123">
        <f>IFERROR(INDEX(TableWRTECalcPts[Custom],MATCH(TableWRTERank[[#This Row],[RK]],TableWRTECalcPts[RK],0)),"")</f>
        <v>196.12822049057965</v>
      </c>
      <c r="BA22" s="174">
        <f>IFERROR((TableWRTERank[[#This Row],[FPS]]-INDEX(TableWRTERank[FPS],MATCH(WRTEVORPCalc,TableWRTERank[RK],0)))/INDEX(TableWRTERank[FPS],MATCH(WRTEVORPCalc,TableWRTERank[RK],0)),"")</f>
        <v>0.24983652345462476</v>
      </c>
      <c r="BC22" t="s">
        <v>208</v>
      </c>
      <c r="BD22">
        <v>21</v>
      </c>
      <c r="BE22" s="83">
        <f>RANK(TableWRTEMaster[[#This Row],[VORP]],TableWRTEMaster[VORP])+COUNTIF($BJ$2:BJ22,BJ22)-1</f>
        <v>24</v>
      </c>
      <c r="BF22" s="115" t="str">
        <f>IFERROR(INDEX(TableWRVORP[WIDE RECEIVER],MATCH(TableWRTEMaster[[#This Row],[RK]],TableWRVORP[RK],0)),"")</f>
        <v>Davante Adams</v>
      </c>
      <c r="BG22" s="115" t="str">
        <f>_xlfn.CONCAT(TableWRTEMaster[[#This Row],[POS]],TableWRTEMaster[[#This Row],[RK]])</f>
        <v>WR21</v>
      </c>
      <c r="BH22" s="115">
        <f>IFERROR(INDEX(TableWRVORP[BYE],MATCH(TableWRTEMaster[[#This Row],[RK]],TableWRVORP[RK],0)),"")</f>
        <v>10</v>
      </c>
      <c r="BI22" s="116">
        <f>IFERROR(INDEX(TableWRVORP[FPS],MATCH(TableWRTEMaster[[#This Row],[RK]],TableWRVORP[RK],0)),"")</f>
        <v>193.52615414390021</v>
      </c>
      <c r="BJ22" s="117">
        <f>IFERROR(INDEX(TableWRVORP[VORP],MATCH(TableWRTEMaster[[#This Row],[RK]],TableWRVORP[RK],0)),"")</f>
        <v>0.3774540551576982</v>
      </c>
    </row>
    <row r="23" spans="1:62" x14ac:dyDescent="0.2">
      <c r="A23">
        <v>22</v>
      </c>
      <c r="B23" s="112" t="str">
        <f>IFERROR(INDEX(TableQBCalcPts[PLAYER],MATCH(TableQBVORP[[#This Row],[RK]],TableQBCalcPts[RK],0)),"")</f>
        <v>Bo Nix</v>
      </c>
      <c r="C23" s="112" t="str">
        <f>IFERROR(INDEX(TableQBCalcPts[TM],MATCH(TableQBVORP[[#This Row],[RK]],TableQBCalcPts[RK],0)),"")</f>
        <v>DEN</v>
      </c>
      <c r="D23" s="112">
        <f>IFERROR(INDEX(TableQBCalcPts[BYE],MATCH(TableQBVORP[[#This Row],[RK]],TableQBCalcPts[RK],0)),"")</f>
        <v>14</v>
      </c>
      <c r="E23" s="113">
        <f>IFERROR(INDEX(TableQBCalcPts[Custom],MATCH(TableQBVORP[[#This Row],[RK]],TableQBCalcPts[RK],0)),"")</f>
        <v>275.85327323847935</v>
      </c>
      <c r="F23" s="114">
        <f>(IFERROR((TableQBVORP[[#This Row],[FPS]]-INDEX(TableQBVORP[FPS],MATCH(QBVORPCalc,TableQBVORP[RK],0)))/INDEX(TableQBVORP[FPS],MATCH(QBVORPCalc,TableQBVORP[RK],0)),""))+(TableRBVORP[[#This Row],[VORP]]*0.45)</f>
        <v>-7.3622081422184404E-2</v>
      </c>
      <c r="H23">
        <v>22</v>
      </c>
      <c r="I23" s="112" t="str">
        <f>IFERROR(INDEX(TableRBCalcPts[PLAYER],MATCH(TableRBVORP[[#This Row],[RK]],TableRBCalcPts[RK],0)),"")</f>
        <v>Devin Singletary</v>
      </c>
      <c r="J23" s="112" t="str">
        <f>IFERROR(INDEX(TableRBCalcPts[TM],MATCH(TableRBVORP[[#This Row],[RK]],TableRBCalcPts[RK],0)),"")</f>
        <v>NYG</v>
      </c>
      <c r="K23" s="112">
        <f>IFERROR(INDEX(TableRBCalcPts[BYE],MATCH(TableRBVORP[[#This Row],[RK]],TableRBCalcPts[RK],0)),"")</f>
        <v>11</v>
      </c>
      <c r="L23" s="113">
        <f>IFERROR(INDEX(TableRBCalcPts[Custom],MATCH(TableRBVORP[[#This Row],[RK]],TableRBCalcPts[RK],0)),"")</f>
        <v>181.76933222371224</v>
      </c>
      <c r="M23" s="114">
        <f>(IFERROR((TableRBVORP[[#This Row],[FPS]]-INDEX(TableRBVORP[FPS],MATCH(RBVORPCalc,TableRBVORP[RK],0)))/INDEX(TableRBVORP[FPS],MATCH(RBVORPCalc,TableRBVORP[RK],0)),""))*0.8</f>
        <v>0.41267598813545531</v>
      </c>
      <c r="O23">
        <v>22</v>
      </c>
      <c r="P23" s="112" t="str">
        <f>IFERROR(INDEX(TableWRCalcPts[PLAYER],MATCH(TableWRVORP[[#This Row],[RK]],TableWRCalcPts[RK],0)),"")</f>
        <v>DJ Moore</v>
      </c>
      <c r="Q23" s="112" t="str">
        <f>IFERROR(INDEX(TableWRCalcPts[TM],MATCH(TableWRVORP[[#This Row],[RK]],TableWRCalcPts[RK],0)),"")</f>
        <v>CHI</v>
      </c>
      <c r="R23" s="112">
        <f>IFERROR(INDEX(TableWRCalcPts[BYE],MATCH(TableWRVORP[[#This Row],[RK]],TableWRCalcPts[RK],0)),"")</f>
        <v>7</v>
      </c>
      <c r="S23" s="113">
        <f>IFERROR(INDEX(TableWRCalcPts[Custom],MATCH(TableWRVORP[[#This Row],[RK]],TableWRCalcPts[RK],0)),"")</f>
        <v>192.10939741928462</v>
      </c>
      <c r="T23" s="114">
        <f>(IFERROR((TableWRVORP[[#This Row],[FPS]]-INDEX(TableWRVORP[FPS],MATCH(WRVORPCalc,TableWRVORP[RK],0)))/INDEX(TableWRVORP[FPS],MATCH(WRVORPCalc,TableWRVORP[RK],0)),""))*1.2</f>
        <v>0.36590590731017247</v>
      </c>
      <c r="V23">
        <v>22</v>
      </c>
      <c r="W23" s="112" t="str">
        <f>IFERROR(INDEX(TableTECalcPts[PLAYER],MATCH(TableTEVORP[[#This Row],[RK]],TableTECalcPts[RK],0)),"")</f>
        <v>Juwan Johnson</v>
      </c>
      <c r="X23" s="112" t="str">
        <f>IFERROR(INDEX(TableTECalcPts[TM],MATCH(TableTEVORP[[#This Row],[RK]],TableTECalcPts[RK],0)),"")</f>
        <v>NO</v>
      </c>
      <c r="Y23" s="112">
        <f>IFERROR(INDEX(TableTECalcPts[BYE],MATCH(TableTEVORP[[#This Row],[RK]],TableTECalcPts[RK],0)),"")</f>
        <v>12</v>
      </c>
      <c r="Z23" s="113">
        <f>IFERROR(INDEX(TableTECalcPts[Custom],MATCH(TableTEVORP[[#This Row],[RK]],TableTECalcPts[RK],0)),"")</f>
        <v>91.985181995682751</v>
      </c>
      <c r="AA23" s="114">
        <f>IFERROR((TableTEVORP[[#This Row],[FPS]]-INDEX(TableTEVORP[FPS],MATCH(TEVORPCalc,TableTEVORP[RK],0)))/INDEX(TableTEVORP[FPS],MATCH(TEVORPCalc,TableTEVORP[RK],0)),"")</f>
        <v>-0.3012316895729944</v>
      </c>
      <c r="AF23" t="s">
        <v>9</v>
      </c>
      <c r="AG23">
        <v>22</v>
      </c>
      <c r="AH23" s="83">
        <f>RANK(TableOverallMaster[[#This Row],[VORP]],TableOverallMaster[VORP])+COUNTIF($AM$2:AM23,AM23)-1</f>
        <v>143</v>
      </c>
      <c r="AI23" s="115" t="str">
        <f>IFERROR(INDEX(TableQBVORP[QUARTERBACK],MATCH(TableOverallMaster[[#This Row],[RK]],TableQBVORP[RK],0)),"")</f>
        <v>Bo Nix</v>
      </c>
      <c r="AJ23" s="115" t="str">
        <f t="shared" si="0"/>
        <v>QB22</v>
      </c>
      <c r="AK23" s="115">
        <f>IFERROR(INDEX(TableQBVORP[BYE],MATCH(TableOverallMaster[[#This Row],[RK]],TableQBVORP[RK],0)),"")</f>
        <v>14</v>
      </c>
      <c r="AL23" s="116">
        <f>IFERROR(INDEX(TableQBVORP[FPS],MATCH(TableOverallMaster[[#This Row],[RK]],TableQBVORP[RK],0)),"")</f>
        <v>275.85327323847935</v>
      </c>
      <c r="AM23" s="117">
        <f>IFERROR(INDEX(TableQBVORP[VORP],MATCH(TableOverallMaster[[#This Row],[RK]],TableQBVORP[RK],0)),"")</f>
        <v>-7.3622081422184404E-2</v>
      </c>
      <c r="AO23">
        <v>22</v>
      </c>
      <c r="AP23" s="118" t="str">
        <f>IFERROR(INDEX(TableOverallMaster[OVERALL PLAYER],MATCH(TableOverallRank[[#This Row],[RK]],TableOverallMaster[OVR RK],0)),"")</f>
        <v>De'Von Achane</v>
      </c>
      <c r="AQ23" s="119" t="str">
        <f>IFERROR(INDEX(TableOverallMaster[POS RK],MATCH(TableOverallRank[[#This Row],[OVERALL PLAYER]],TableOverallMaster[OVERALL PLAYER],0)),"")</f>
        <v>RB14</v>
      </c>
      <c r="AR23" s="120">
        <f>IFERROR(INDEX(TableOverallMaster[BYE],MATCH(TableOverallRank[[#This Row],[OVERALL PLAYER]],TableOverallMaster[OVERALL PLAYER],0)),"")</f>
        <v>6</v>
      </c>
      <c r="AS23" s="119">
        <f>IFERROR(INDEX(TableOverallMaster[Custom],MATCH(TableOverallRank[[#This Row],[OVERALL PLAYER]],TableOverallMaster[OVERALL PLAYER],0)),"")</f>
        <v>206.99043080924</v>
      </c>
      <c r="AT23" s="121">
        <f>IFERROR(INDEX(TableOverallMaster[VORP],MATCH(TableOverallRank[[#This Row],[OVERALL PLAYER]],TableOverallMaster[OVERALL PLAYER],0)),"")</f>
        <v>0.58093880934351338</v>
      </c>
      <c r="AV23">
        <v>22</v>
      </c>
      <c r="AW23" s="122" t="str">
        <f>IFERROR(INDEX(TableWRTECalcPts[PLAYER],MATCH(TableWRTERank[[#This Row],[RK]],TableWRTECalcPts[RK],0)),"")</f>
        <v>Davante Adams</v>
      </c>
      <c r="AX23" s="122" t="str">
        <f>IFERROR(INDEX(TableWRTECalcPts[POS RK],MATCH(TableWRTERank[[#This Row],[WR and TE COMBINED]],TableWRTECalcPts[PLAYER],0)),"")</f>
        <v>WR21</v>
      </c>
      <c r="AY23" s="122">
        <f>IFERROR(INDEX(TableWRTECalcPts[BYE],MATCH(TableWRTERank[[#This Row],[RK]],TableWRTECalcPts[RK],0)),"")</f>
        <v>10</v>
      </c>
      <c r="AZ23" s="123">
        <f>IFERROR(INDEX(TableWRTECalcPts[Custom],MATCH(TableWRTERank[[#This Row],[RK]],TableWRTECalcPts[RK],0)),"")</f>
        <v>193.52615414390021</v>
      </c>
      <c r="BA23" s="174">
        <f>IFERROR((TableWRTERank[[#This Row],[FPS]]-INDEX(TableWRTERank[FPS],MATCH(WRTEVORPCalc,TableWRTERank[RK],0)))/INDEX(TableWRTERank[FPS],MATCH(WRTEVORPCalc,TableWRTERank[RK],0)),"")</f>
        <v>0.23325473043984385</v>
      </c>
      <c r="BC23" t="s">
        <v>208</v>
      </c>
      <c r="BD23">
        <v>22</v>
      </c>
      <c r="BE23" s="83">
        <f>RANK(TableWRTEMaster[[#This Row],[VORP]],TableWRTEMaster[VORP])+COUNTIF($BJ$2:BJ23,BJ23)-1</f>
        <v>25</v>
      </c>
      <c r="BF23" s="115" t="str">
        <f>IFERROR(INDEX(TableWRVORP[WIDE RECEIVER],MATCH(TableWRTEMaster[[#This Row],[RK]],TableWRVORP[RK],0)),"")</f>
        <v>DJ Moore</v>
      </c>
      <c r="BG23" s="115" t="str">
        <f>_xlfn.CONCAT(TableWRTEMaster[[#This Row],[POS]],TableWRTEMaster[[#This Row],[RK]])</f>
        <v>WR22</v>
      </c>
      <c r="BH23" s="115">
        <f>IFERROR(INDEX(TableWRVORP[BYE],MATCH(TableWRTEMaster[[#This Row],[RK]],TableWRVORP[RK],0)),"")</f>
        <v>7</v>
      </c>
      <c r="BI23" s="116">
        <f>IFERROR(INDEX(TableWRVORP[FPS],MATCH(TableWRTEMaster[[#This Row],[RK]],TableWRVORP[RK],0)),"")</f>
        <v>192.10939741928462</v>
      </c>
      <c r="BJ23" s="117">
        <f>IFERROR(INDEX(TableWRVORP[VORP],MATCH(TableWRTEMaster[[#This Row],[RK]],TableWRVORP[RK],0)),"")</f>
        <v>0.36590590731017247</v>
      </c>
    </row>
    <row r="24" spans="1:62" x14ac:dyDescent="0.2">
      <c r="A24">
        <v>23</v>
      </c>
      <c r="B24" s="112" t="str">
        <f>IFERROR(INDEX(TableQBCalcPts[PLAYER],MATCH(TableQBVORP[[#This Row],[RK]],TableQBCalcPts[RK],0)),"")</f>
        <v>Justin Herbert</v>
      </c>
      <c r="C24" s="112" t="str">
        <f>IFERROR(INDEX(TableQBCalcPts[TM],MATCH(TableQBVORP[[#This Row],[RK]],TableQBCalcPts[RK],0)),"")</f>
        <v>LAC</v>
      </c>
      <c r="D24" s="112">
        <f>IFERROR(INDEX(TableQBCalcPts[BYE],MATCH(TableQBVORP[[#This Row],[RK]],TableQBCalcPts[RK],0)),"")</f>
        <v>5</v>
      </c>
      <c r="E24" s="113">
        <f>IFERROR(INDEX(TableQBCalcPts[Custom],MATCH(TableQBVORP[[#This Row],[RK]],TableQBCalcPts[RK],0)),"")</f>
        <v>274.72016258724005</v>
      </c>
      <c r="F24" s="114">
        <f>(IFERROR((TableQBVORP[[#This Row],[FPS]]-INDEX(TableQBVORP[FPS],MATCH(QBVORPCalc,TableQBVORP[RK],0)))/INDEX(TableQBVORP[FPS],MATCH(QBVORPCalc,TableQBVORP[RK],0)),""))+(TableRBVORP[[#This Row],[VORP]]*0.45)</f>
        <v>-8.0764520943486406E-2</v>
      </c>
      <c r="H24">
        <v>23</v>
      </c>
      <c r="I24" s="112" t="str">
        <f>IFERROR(INDEX(TableRBCalcPts[PLAYER],MATCH(TableRBVORP[[#This Row],[RK]],TableRBCalcPts[RK],0)),"")</f>
        <v>Brian Robinson</v>
      </c>
      <c r="J24" s="112" t="str">
        <f>IFERROR(INDEX(TableRBCalcPts[TM],MATCH(TableRBVORP[[#This Row],[RK]],TableRBCalcPts[RK],0)),"")</f>
        <v>WSH</v>
      </c>
      <c r="K24" s="112">
        <f>IFERROR(INDEX(TableRBCalcPts[BYE],MATCH(TableRBVORP[[#This Row],[RK]],TableRBCalcPts[RK],0)),"")</f>
        <v>14</v>
      </c>
      <c r="L24" s="113">
        <f>IFERROR(INDEX(TableRBCalcPts[Custom],MATCH(TableRBVORP[[#This Row],[RK]],TableRBCalcPts[RK],0)),"")</f>
        <v>180.40365584897597</v>
      </c>
      <c r="M24" s="114">
        <f>(IFERROR((TableRBVORP[[#This Row],[FPS]]-INDEX(TableRBVORP[FPS],MATCH(RBVORPCalc,TableRBVORP[RK],0)))/INDEX(TableRBVORP[FPS],MATCH(RBVORPCalc,TableRBVORP[RK],0)),""))*0.8</f>
        <v>0.40356486401486774</v>
      </c>
      <c r="O24">
        <v>23</v>
      </c>
      <c r="P24" s="112" t="str">
        <f>IFERROR(INDEX(TableWRCalcPts[PLAYER],MATCH(TableWRVORP[[#This Row],[RK]],TableWRCalcPts[RK],0)),"")</f>
        <v>Garrett Wilson</v>
      </c>
      <c r="Q24" s="112" t="str">
        <f>IFERROR(INDEX(TableWRCalcPts[TM],MATCH(TableWRVORP[[#This Row],[RK]],TableWRCalcPts[RK],0)),"")</f>
        <v>NYJ</v>
      </c>
      <c r="R24" s="112">
        <f>IFERROR(INDEX(TableWRCalcPts[BYE],MATCH(TableWRVORP[[#This Row],[RK]],TableWRCalcPts[RK],0)),"")</f>
        <v>12</v>
      </c>
      <c r="S24" s="113">
        <f>IFERROR(INDEX(TableWRCalcPts[Custom],MATCH(TableWRVORP[[#This Row],[RK]],TableWRCalcPts[RK],0)),"")</f>
        <v>191.61840654680199</v>
      </c>
      <c r="T24" s="114">
        <f>(IFERROR((TableWRVORP[[#This Row],[FPS]]-INDEX(TableWRVORP[FPS],MATCH(WRVORPCalc,TableWRVORP[RK],0)))/INDEX(TableWRVORP[FPS],MATCH(WRVORPCalc,TableWRVORP[RK],0)),""))*1.2</f>
        <v>0.36190378394721234</v>
      </c>
      <c r="V24">
        <v>23</v>
      </c>
      <c r="W24" s="112" t="str">
        <f>IFERROR(INDEX(TableTECalcPts[PLAYER],MATCH(TableTEVORP[[#This Row],[RK]],TableTECalcPts[RK],0)),"")</f>
        <v>Jonnu Smith</v>
      </c>
      <c r="X24" s="112" t="str">
        <f>IFERROR(INDEX(TableTECalcPts[TM],MATCH(TableTEVORP[[#This Row],[RK]],TableTECalcPts[RK],0)),"")</f>
        <v>MIA</v>
      </c>
      <c r="Y24" s="112">
        <f>IFERROR(INDEX(TableTECalcPts[BYE],MATCH(TableTEVORP[[#This Row],[RK]],TableTECalcPts[RK],0)),"")</f>
        <v>6</v>
      </c>
      <c r="Z24" s="113">
        <f>IFERROR(INDEX(TableTECalcPts[Custom],MATCH(TableTEVORP[[#This Row],[RK]],TableTECalcPts[RK],0)),"")</f>
        <v>85.626365410456145</v>
      </c>
      <c r="AA24" s="114">
        <f>IFERROR((TableTEVORP[[#This Row],[FPS]]-INDEX(TableTEVORP[FPS],MATCH(TEVORPCalc,TableTEVORP[RK],0)))/INDEX(TableTEVORP[FPS],MATCH(TEVORPCalc,TableTEVORP[RK],0)),"")</f>
        <v>-0.3495366385351279</v>
      </c>
      <c r="AF24" t="s">
        <v>9</v>
      </c>
      <c r="AG24">
        <v>23</v>
      </c>
      <c r="AH24" s="83">
        <f>RANK(TableOverallMaster[[#This Row],[VORP]],TableOverallMaster[VORP])+COUNTIF($AM$2:AM24,AM24)-1</f>
        <v>145</v>
      </c>
      <c r="AI24" s="115" t="str">
        <f>IFERROR(INDEX(TableQBVORP[QUARTERBACK],MATCH(TableOverallMaster[[#This Row],[RK]],TableQBVORP[RK],0)),"")</f>
        <v>Justin Herbert</v>
      </c>
      <c r="AJ24" s="115" t="str">
        <f t="shared" si="0"/>
        <v>QB23</v>
      </c>
      <c r="AK24" s="115">
        <f>IFERROR(INDEX(TableQBVORP[BYE],MATCH(TableOverallMaster[[#This Row],[RK]],TableQBVORP[RK],0)),"")</f>
        <v>5</v>
      </c>
      <c r="AL24" s="116">
        <f>IFERROR(INDEX(TableQBVORP[FPS],MATCH(TableOverallMaster[[#This Row],[RK]],TableQBVORP[RK],0)),"")</f>
        <v>274.72016258724005</v>
      </c>
      <c r="AM24" s="117">
        <f>IFERROR(INDEX(TableQBVORP[VORP],MATCH(TableOverallMaster[[#This Row],[RK]],TableQBVORP[RK],0)),"")</f>
        <v>-8.0764520943486406E-2</v>
      </c>
      <c r="AO24">
        <v>23</v>
      </c>
      <c r="AP24" s="118" t="str">
        <f>IFERROR(INDEX(TableOverallMaster[OVERALL PLAYER],MATCH(TableOverallRank[[#This Row],[RK]],TableOverallMaster[OVR RK],0)),"")</f>
        <v>Cooper Kupp</v>
      </c>
      <c r="AQ24" s="119" t="str">
        <f>IFERROR(INDEX(TableOverallMaster[POS RK],MATCH(TableOverallRank[[#This Row],[OVERALL PLAYER]],TableOverallMaster[OVERALL PLAYER],0)),"")</f>
        <v>WR8</v>
      </c>
      <c r="AR24" s="120">
        <f>IFERROR(INDEX(TableOverallMaster[BYE],MATCH(TableOverallRank[[#This Row],[OVERALL PLAYER]],TableOverallMaster[OVERALL PLAYER],0)),"")</f>
        <v>6</v>
      </c>
      <c r="AS24" s="119">
        <f>IFERROR(INDEX(TableOverallMaster[Custom],MATCH(TableOverallRank[[#This Row],[OVERALL PLAYER]],TableOverallMaster[OVERALL PLAYER],0)),"")</f>
        <v>212.00270106103099</v>
      </c>
      <c r="AT24" s="121">
        <f>IFERROR(INDEX(TableOverallMaster[VORP],MATCH(TableOverallRank[[#This Row],[OVERALL PLAYER]],TableOverallMaster[OVERALL PLAYER],0)),"")</f>
        <v>0.52805852507377682</v>
      </c>
      <c r="AV24">
        <v>23</v>
      </c>
      <c r="AW24" s="122" t="str">
        <f>IFERROR(INDEX(TableWRTECalcPts[PLAYER],MATCH(TableWRTERank[[#This Row],[RK]],TableWRTECalcPts[RK],0)),"")</f>
        <v>DJ Moore</v>
      </c>
      <c r="AX24" s="122" t="str">
        <f>IFERROR(INDEX(TableWRTECalcPts[POS RK],MATCH(TableWRTERank[[#This Row],[WR and TE COMBINED]],TableWRTECalcPts[PLAYER],0)),"")</f>
        <v>WR22</v>
      </c>
      <c r="AY24" s="122">
        <f>IFERROR(INDEX(TableWRTECalcPts[BYE],MATCH(TableWRTERank[[#This Row],[RK]],TableWRTECalcPts[RK],0)),"")</f>
        <v>7</v>
      </c>
      <c r="AZ24" s="123">
        <f>IFERROR(INDEX(TableWRTECalcPts[Custom],MATCH(TableWRTERank[[#This Row],[RK]],TableWRTECalcPts[RK],0)),"")</f>
        <v>192.10939741928462</v>
      </c>
      <c r="BA24" s="174">
        <f>IFERROR((TableWRTERank[[#This Row],[FPS]]-INDEX(TableWRTERank[FPS],MATCH(WRTEVORPCalc,TableWRTERank[RK],0)))/INDEX(TableWRTERank[FPS],MATCH(WRTEVORPCalc,TableWRTERank[RK],0)),"")</f>
        <v>0.22422638003292439</v>
      </c>
      <c r="BC24" t="s">
        <v>208</v>
      </c>
      <c r="BD24">
        <v>23</v>
      </c>
      <c r="BE24" s="83">
        <f>RANK(TableWRTEMaster[[#This Row],[VORP]],TableWRTEMaster[VORP])+COUNTIF($BJ$2:BJ24,BJ24)-1</f>
        <v>26</v>
      </c>
      <c r="BF24" s="115" t="str">
        <f>IFERROR(INDEX(TableWRVORP[WIDE RECEIVER],MATCH(TableWRTEMaster[[#This Row],[RK]],TableWRVORP[RK],0)),"")</f>
        <v>Garrett Wilson</v>
      </c>
      <c r="BG24" s="115" t="str">
        <f>_xlfn.CONCAT(TableWRTEMaster[[#This Row],[POS]],TableWRTEMaster[[#This Row],[RK]])</f>
        <v>WR23</v>
      </c>
      <c r="BH24" s="115">
        <f>IFERROR(INDEX(TableWRVORP[BYE],MATCH(TableWRTEMaster[[#This Row],[RK]],TableWRVORP[RK],0)),"")</f>
        <v>12</v>
      </c>
      <c r="BI24" s="116">
        <f>IFERROR(INDEX(TableWRVORP[FPS],MATCH(TableWRTEMaster[[#This Row],[RK]],TableWRVORP[RK],0)),"")</f>
        <v>191.61840654680199</v>
      </c>
      <c r="BJ24" s="117">
        <f>IFERROR(INDEX(TableWRVORP[VORP],MATCH(TableWRTEMaster[[#This Row],[RK]],TableWRVORP[RK],0)),"")</f>
        <v>0.36190378394721234</v>
      </c>
    </row>
    <row r="25" spans="1:62" x14ac:dyDescent="0.2">
      <c r="A25">
        <v>24</v>
      </c>
      <c r="B25" s="112" t="str">
        <f>IFERROR(INDEX(TableQBCalcPts[PLAYER],MATCH(TableQBVORP[[#This Row],[RK]],TableQBCalcPts[RK],0)),"")</f>
        <v>Bryce Young</v>
      </c>
      <c r="C25" s="112" t="str">
        <f>IFERROR(INDEX(TableQBCalcPts[TM],MATCH(TableQBVORP[[#This Row],[RK]],TableQBCalcPts[RK],0)),"")</f>
        <v>CAR</v>
      </c>
      <c r="D25" s="112">
        <f>IFERROR(INDEX(TableQBCalcPts[BYE],MATCH(TableQBVORP[[#This Row],[RK]],TableQBCalcPts[RK],0)),"")</f>
        <v>11</v>
      </c>
      <c r="E25" s="113">
        <f>IFERROR(INDEX(TableQBCalcPts[Custom],MATCH(TableQBVORP[[#This Row],[RK]],TableQBCalcPts[RK],0)),"")</f>
        <v>274.38871581037159</v>
      </c>
      <c r="F25" s="114">
        <f>(IFERROR((TableQBVORP[[#This Row],[FPS]]-INDEX(TableQBVORP[FPS],MATCH(QBVORPCalc,TableQBVORP[RK],0)))/INDEX(TableQBVORP[FPS],MATCH(QBVORPCalc,TableQBVORP[RK],0)),""))+(TableRBVORP[[#This Row],[VORP]]*0.45)</f>
        <v>-8.3151027388432053E-2</v>
      </c>
      <c r="H25">
        <v>24</v>
      </c>
      <c r="I25" s="112" t="str">
        <f>IFERROR(INDEX(TableRBCalcPts[PLAYER],MATCH(TableRBVORP[[#This Row],[RK]],TableRBCalcPts[RK],0)),"")</f>
        <v>Javonte Williams</v>
      </c>
      <c r="J25" s="112" t="str">
        <f>IFERROR(INDEX(TableRBCalcPts[TM],MATCH(TableRBVORP[[#This Row],[RK]],TableRBCalcPts[RK],0)),"")</f>
        <v>DEN</v>
      </c>
      <c r="K25" s="112">
        <f>IFERROR(INDEX(TableRBCalcPts[BYE],MATCH(TableRBVORP[[#This Row],[RK]],TableRBCalcPts[RK],0)),"")</f>
        <v>14</v>
      </c>
      <c r="L25" s="113">
        <f>IFERROR(INDEX(TableRBCalcPts[Custom],MATCH(TableRBVORP[[#This Row],[RK]],TableRBCalcPts[RK],0)),"")</f>
        <v>179.90516382745326</v>
      </c>
      <c r="M25" s="114">
        <f>(IFERROR((TableRBVORP[[#This Row],[FPS]]-INDEX(TableRBVORP[FPS],MATCH(RBVORPCalc,TableRBVORP[RK],0)))/INDEX(TableRBVORP[FPS],MATCH(RBVORPCalc,TableRBVORP[RK],0)),""))*0.8</f>
        <v>0.40023916931498466</v>
      </c>
      <c r="O25">
        <v>24</v>
      </c>
      <c r="P25" s="112" t="str">
        <f>IFERROR(INDEX(TableWRCalcPts[PLAYER],MATCH(TableWRVORP[[#This Row],[RK]],TableWRCalcPts[RK],0)),"")</f>
        <v>Chris Olave</v>
      </c>
      <c r="Q25" s="112" t="str">
        <f>IFERROR(INDEX(TableWRCalcPts[TM],MATCH(TableWRVORP[[#This Row],[RK]],TableWRCalcPts[RK],0)),"")</f>
        <v>NO</v>
      </c>
      <c r="R25" s="112">
        <f>IFERROR(INDEX(TableWRCalcPts[BYE],MATCH(TableWRVORP[[#This Row],[RK]],TableWRCalcPts[RK],0)),"")</f>
        <v>12</v>
      </c>
      <c r="S25" s="113">
        <f>IFERROR(INDEX(TableWRCalcPts[Custom],MATCH(TableWRVORP[[#This Row],[RK]],TableWRCalcPts[RK],0)),"")</f>
        <v>191.5147230908091</v>
      </c>
      <c r="T25" s="114">
        <f>(IFERROR((TableWRVORP[[#This Row],[FPS]]-INDEX(TableWRVORP[FPS],MATCH(WRVORPCalc,TableWRVORP[RK],0)))/INDEX(TableWRVORP[FPS],MATCH(WRVORPCalc,TableWRVORP[RK],0)),""))*1.2</f>
        <v>0.36105864811101346</v>
      </c>
      <c r="V25">
        <v>24</v>
      </c>
      <c r="W25" s="112" t="str">
        <f>IFERROR(INDEX(TableTECalcPts[PLAYER],MATCH(TableTEVORP[[#This Row],[RK]],TableTECalcPts[RK],0)),"")</f>
        <v>Pat Freiermuth</v>
      </c>
      <c r="X25" s="112" t="str">
        <f>IFERROR(INDEX(TableTECalcPts[TM],MATCH(TableTEVORP[[#This Row],[RK]],TableTECalcPts[RK],0)),"")</f>
        <v>PIT</v>
      </c>
      <c r="Y25" s="112">
        <f>IFERROR(INDEX(TableTECalcPts[BYE],MATCH(TableTEVORP[[#This Row],[RK]],TableTECalcPts[RK],0)),"")</f>
        <v>9</v>
      </c>
      <c r="Z25" s="113">
        <f>IFERROR(INDEX(TableTECalcPts[Custom],MATCH(TableTEVORP[[#This Row],[RK]],TableTECalcPts[RK],0)),"")</f>
        <v>84.255051648368294</v>
      </c>
      <c r="AA25" s="114">
        <f>IFERROR((TableTEVORP[[#This Row],[FPS]]-INDEX(TableTEVORP[FPS],MATCH(TEVORPCalc,TableTEVORP[RK],0)))/INDEX(TableTEVORP[FPS],MATCH(TEVORPCalc,TableTEVORP[RK],0)),"")</f>
        <v>-0.35995386639520216</v>
      </c>
      <c r="AF25" t="s">
        <v>9</v>
      </c>
      <c r="AG25">
        <v>24</v>
      </c>
      <c r="AH25" s="83">
        <f>RANK(TableOverallMaster[[#This Row],[VORP]],TableOverallMaster[VORP])+COUNTIF($AM$2:AM25,AM25)-1</f>
        <v>146</v>
      </c>
      <c r="AI25" s="115" t="str">
        <f>IFERROR(INDEX(TableQBVORP[QUARTERBACK],MATCH(TableOverallMaster[[#This Row],[RK]],TableQBVORP[RK],0)),"")</f>
        <v>Bryce Young</v>
      </c>
      <c r="AJ25" s="115" t="str">
        <f t="shared" si="0"/>
        <v>QB24</v>
      </c>
      <c r="AK25" s="115">
        <f>IFERROR(INDEX(TableQBVORP[BYE],MATCH(TableOverallMaster[[#This Row],[RK]],TableQBVORP[RK],0)),"")</f>
        <v>11</v>
      </c>
      <c r="AL25" s="116">
        <f>IFERROR(INDEX(TableQBVORP[FPS],MATCH(TableOverallMaster[[#This Row],[RK]],TableQBVORP[RK],0)),"")</f>
        <v>274.38871581037159</v>
      </c>
      <c r="AM25" s="117">
        <f>IFERROR(INDEX(TableQBVORP[VORP],MATCH(TableOverallMaster[[#This Row],[RK]],TableQBVORP[RK],0)),"")</f>
        <v>-8.3151027388432053E-2</v>
      </c>
      <c r="AO25">
        <v>24</v>
      </c>
      <c r="AP25" s="118" t="str">
        <f>IFERROR(INDEX(TableOverallMaster[OVERALL PLAYER],MATCH(TableOverallRank[[#This Row],[RK]],TableOverallMaster[OVR RK],0)),"")</f>
        <v>Travis Kelce</v>
      </c>
      <c r="AQ25" s="119" t="str">
        <f>IFERROR(INDEX(TableOverallMaster[POS RK],MATCH(TableOverallRank[[#This Row],[OVERALL PLAYER]],TableOverallMaster[OVERALL PLAYER],0)),"")</f>
        <v>TE1</v>
      </c>
      <c r="AR25" s="120">
        <f>IFERROR(INDEX(TableOverallMaster[BYE],MATCH(TableOverallRank[[#This Row],[OVERALL PLAYER]],TableOverallMaster[OVERALL PLAYER],0)),"")</f>
        <v>6</v>
      </c>
      <c r="AS25" s="119">
        <f>IFERROR(INDEX(TableOverallMaster[Custom],MATCH(TableOverallRank[[#This Row],[OVERALL PLAYER]],TableOverallMaster[OVERALL PLAYER],0)),"")</f>
        <v>200.94815106912</v>
      </c>
      <c r="AT25" s="121">
        <f>IFERROR(INDEX(TableOverallMaster[VORP],MATCH(TableOverallRank[[#This Row],[OVERALL PLAYER]],TableOverallMaster[OVERALL PLAYER],0)),"")</f>
        <v>0.52650891110472542</v>
      </c>
      <c r="AV25">
        <v>24</v>
      </c>
      <c r="AW25" s="122" t="str">
        <f>IFERROR(INDEX(TableWRTECalcPts[PLAYER],MATCH(TableWRTERank[[#This Row],[RK]],TableWRTECalcPts[RK],0)),"")</f>
        <v>Garrett Wilson</v>
      </c>
      <c r="AX25" s="122" t="str">
        <f>IFERROR(INDEX(TableWRTECalcPts[POS RK],MATCH(TableWRTERank[[#This Row],[WR and TE COMBINED]],TableWRTECalcPts[PLAYER],0)),"")</f>
        <v>WR23</v>
      </c>
      <c r="AY25" s="122">
        <f>IFERROR(INDEX(TableWRTECalcPts[BYE],MATCH(TableWRTERank[[#This Row],[RK]],TableWRTECalcPts[RK],0)),"")</f>
        <v>12</v>
      </c>
      <c r="AZ25" s="123">
        <f>IFERROR(INDEX(TableWRTECalcPts[Custom],MATCH(TableWRTERank[[#This Row],[RK]],TableWRTECalcPts[RK],0)),"")</f>
        <v>191.61840654680199</v>
      </c>
      <c r="BA25" s="174">
        <f>IFERROR((TableWRTERank[[#This Row],[FPS]]-INDEX(TableWRTERank[FPS],MATCH(WRTEVORPCalc,TableWRTERank[RK],0)))/INDEX(TableWRTERank[FPS],MATCH(WRTEVORPCalc,TableWRTERank[RK],0)),"")</f>
        <v>0.22109751706982461</v>
      </c>
      <c r="BC25" t="s">
        <v>208</v>
      </c>
      <c r="BD25">
        <v>24</v>
      </c>
      <c r="BE25" s="83">
        <f>RANK(TableWRTEMaster[[#This Row],[VORP]],TableWRTEMaster[VORP])+COUNTIF($BJ$2:BJ25,BJ25)-1</f>
        <v>27</v>
      </c>
      <c r="BF25" s="115" t="str">
        <f>IFERROR(INDEX(TableWRVORP[WIDE RECEIVER],MATCH(TableWRTEMaster[[#This Row],[RK]],TableWRVORP[RK],0)),"")</f>
        <v>Chris Olave</v>
      </c>
      <c r="BG25" s="115" t="str">
        <f>_xlfn.CONCAT(TableWRTEMaster[[#This Row],[POS]],TableWRTEMaster[[#This Row],[RK]])</f>
        <v>WR24</v>
      </c>
      <c r="BH25" s="115">
        <f>IFERROR(INDEX(TableWRVORP[BYE],MATCH(TableWRTEMaster[[#This Row],[RK]],TableWRVORP[RK],0)),"")</f>
        <v>12</v>
      </c>
      <c r="BI25" s="116">
        <f>IFERROR(INDEX(TableWRVORP[FPS],MATCH(TableWRTEMaster[[#This Row],[RK]],TableWRVORP[RK],0)),"")</f>
        <v>191.5147230908091</v>
      </c>
      <c r="BJ25" s="117">
        <f>IFERROR(INDEX(TableWRVORP[VORP],MATCH(TableWRTEMaster[[#This Row],[RK]],TableWRVORP[RK],0)),"")</f>
        <v>0.36105864811101346</v>
      </c>
    </row>
    <row r="26" spans="1:62" x14ac:dyDescent="0.2">
      <c r="A26">
        <v>25</v>
      </c>
      <c r="B26" s="112" t="str">
        <f>IFERROR(INDEX(TableQBCalcPts[PLAYER],MATCH(TableQBVORP[[#This Row],[RK]],TableQBCalcPts[RK],0)),"")</f>
        <v>Will Levis</v>
      </c>
      <c r="C26" s="112" t="str">
        <f>IFERROR(INDEX(TableQBCalcPts[TM],MATCH(TableQBVORP[[#This Row],[RK]],TableQBCalcPts[RK],0)),"")</f>
        <v>TEN</v>
      </c>
      <c r="D26" s="112">
        <f>IFERROR(INDEX(TableQBCalcPts[BYE],MATCH(TableQBVORP[[#This Row],[RK]],TableQBCalcPts[RK],0)),"")</f>
        <v>5</v>
      </c>
      <c r="E26" s="113">
        <f>IFERROR(INDEX(TableQBCalcPts[Custom],MATCH(TableQBVORP[[#This Row],[RK]],TableQBCalcPts[RK],0)),"")</f>
        <v>270.23832799722175</v>
      </c>
      <c r="F26" s="114">
        <f>(IFERROR((TableQBVORP[[#This Row],[FPS]]-INDEX(TableQBVORP[FPS],MATCH(QBVORPCalc,TableQBVORP[RK],0)))/INDEX(TableQBVORP[FPS],MATCH(QBVORPCalc,TableQBVORP[RK],0)),""))+(TableRBVORP[[#This Row],[VORP]]*0.45)</f>
        <v>-9.9659345116777209E-2</v>
      </c>
      <c r="H26">
        <v>25</v>
      </c>
      <c r="I26" s="112" t="str">
        <f>IFERROR(INDEX(TableRBCalcPts[PLAYER],MATCH(TableRBVORP[[#This Row],[RK]],TableRBCalcPts[RK],0)),"")</f>
        <v>Zack Moss</v>
      </c>
      <c r="J26" s="112" t="str">
        <f>IFERROR(INDEX(TableRBCalcPts[TM],MATCH(TableRBVORP[[#This Row],[RK]],TableRBCalcPts[RK],0)),"")</f>
        <v>CIN</v>
      </c>
      <c r="K26" s="112">
        <f>IFERROR(INDEX(TableRBCalcPts[BYE],MATCH(TableRBVORP[[#This Row],[RK]],TableRBCalcPts[RK],0)),"")</f>
        <v>12</v>
      </c>
      <c r="L26" s="113">
        <f>IFERROR(INDEX(TableRBCalcPts[Custom],MATCH(TableRBVORP[[#This Row],[RK]],TableRBCalcPts[RK],0)),"")</f>
        <v>178.11832512965827</v>
      </c>
      <c r="M26" s="114">
        <f>(IFERROR((TableRBVORP[[#This Row],[FPS]]-INDEX(TableRBVORP[FPS],MATCH(RBVORPCalc,TableRBVORP[RK],0)))/INDEX(TableRBVORP[FPS],MATCH(RBVORPCalc,TableRBVORP[RK],0)),""))*0.8</f>
        <v>0.38831825638111112</v>
      </c>
      <c r="O26">
        <v>25</v>
      </c>
      <c r="P26" s="112" t="str">
        <f>IFERROR(INDEX(TableWRCalcPts[PLAYER],MATCH(TableWRVORP[[#This Row],[RK]],TableWRCalcPts[RK],0)),"")</f>
        <v>George Pickens</v>
      </c>
      <c r="Q26" s="112" t="str">
        <f>IFERROR(INDEX(TableWRCalcPts[TM],MATCH(TableWRVORP[[#This Row],[RK]],TableWRCalcPts[RK],0)),"")</f>
        <v>PIT</v>
      </c>
      <c r="R26" s="112">
        <f>IFERROR(INDEX(TableWRCalcPts[BYE],MATCH(TableWRVORP[[#This Row],[RK]],TableWRCalcPts[RK],0)),"")</f>
        <v>9</v>
      </c>
      <c r="S26" s="113">
        <f>IFERROR(INDEX(TableWRCalcPts[Custom],MATCH(TableWRVORP[[#This Row],[RK]],TableWRCalcPts[RK],0)),"")</f>
        <v>189.09560213560073</v>
      </c>
      <c r="T26" s="114">
        <f>(IFERROR((TableWRVORP[[#This Row],[FPS]]-INDEX(TableWRVORP[FPS],MATCH(WRVORPCalc,TableWRVORP[RK],0)))/INDEX(TableWRVORP[FPS],MATCH(WRVORPCalc,TableWRVORP[RK],0)),""))*1.2</f>
        <v>0.3413401135408855</v>
      </c>
      <c r="V26">
        <v>25</v>
      </c>
      <c r="W26" s="112" t="str">
        <f>IFERROR(INDEX(TableTECalcPts[PLAYER],MATCH(TableTEVORP[[#This Row],[RK]],TableTECalcPts[RK],0)),"")</f>
        <v>Colby Parkinson</v>
      </c>
      <c r="X26" s="112" t="str">
        <f>IFERROR(INDEX(TableTECalcPts[TM],MATCH(TableTEVORP[[#This Row],[RK]],TableTECalcPts[RK],0)),"")</f>
        <v>LAR</v>
      </c>
      <c r="Y26" s="112">
        <f>IFERROR(INDEX(TableTECalcPts[BYE],MATCH(TableTEVORP[[#This Row],[RK]],TableTECalcPts[RK],0)),"")</f>
        <v>6</v>
      </c>
      <c r="Z26" s="113">
        <f>IFERROR(INDEX(TableTECalcPts[Custom],MATCH(TableTEVORP[[#This Row],[RK]],TableTECalcPts[RK],0)),"")</f>
        <v>81.17558367219813</v>
      </c>
      <c r="AA26" s="114">
        <f>IFERROR((TableTEVORP[[#This Row],[FPS]]-INDEX(TableTEVORP[FPS],MATCH(TEVORPCalc,TableTEVORP[RK],0)))/INDEX(TableTEVORP[FPS],MATCH(TEVORPCalc,TableTEVORP[RK],0)),"")</f>
        <v>-0.38334714113833951</v>
      </c>
      <c r="AF26" t="s">
        <v>9</v>
      </c>
      <c r="AG26">
        <v>25</v>
      </c>
      <c r="AH26" s="83">
        <f>RANK(TableOverallMaster[[#This Row],[VORP]],TableOverallMaster[VORP])+COUNTIF($AM$2:AM26,AM26)-1</f>
        <v>148</v>
      </c>
      <c r="AI26" s="115" t="str">
        <f>IFERROR(INDEX(TableQBVORP[QUARTERBACK],MATCH(TableOverallMaster[[#This Row],[RK]],TableQBVORP[RK],0)),"")</f>
        <v>Will Levis</v>
      </c>
      <c r="AJ26" s="115" t="str">
        <f t="shared" si="0"/>
        <v>QB25</v>
      </c>
      <c r="AK26" s="115">
        <f>IFERROR(INDEX(TableQBVORP[BYE],MATCH(TableOverallMaster[[#This Row],[RK]],TableQBVORP[RK],0)),"")</f>
        <v>5</v>
      </c>
      <c r="AL26" s="116">
        <f>IFERROR(INDEX(TableQBVORP[FPS],MATCH(TableOverallMaster[[#This Row],[RK]],TableQBVORP[RK],0)),"")</f>
        <v>270.23832799722175</v>
      </c>
      <c r="AM26" s="117">
        <f>IFERROR(INDEX(TableQBVORP[VORP],MATCH(TableOverallMaster[[#This Row],[RK]],TableQBVORP[RK],0)),"")</f>
        <v>-9.9659345116777209E-2</v>
      </c>
      <c r="AO26">
        <v>25</v>
      </c>
      <c r="AP26" s="118" t="str">
        <f>IFERROR(INDEX(TableOverallMaster[OVERALL PLAYER],MATCH(TableOverallRank[[#This Row],[RK]],TableOverallMaster[OVR RK],0)),"")</f>
        <v>Rachaad White</v>
      </c>
      <c r="AQ26" s="119" t="str">
        <f>IFERROR(INDEX(TableOverallMaster[POS RK],MATCH(TableOverallRank[[#This Row],[OVERALL PLAYER]],TableOverallMaster[OVERALL PLAYER],0)),"")</f>
        <v>RB15</v>
      </c>
      <c r="AR26" s="120">
        <f>IFERROR(INDEX(TableOverallMaster[BYE],MATCH(TableOverallRank[[#This Row],[OVERALL PLAYER]],TableOverallMaster[OVERALL PLAYER],0)),"")</f>
        <v>11</v>
      </c>
      <c r="AS26" s="119">
        <f>IFERROR(INDEX(TableOverallMaster[Custom],MATCH(TableOverallRank[[#This Row],[OVERALL PLAYER]],TableOverallMaster[OVERALL PLAYER],0)),"")</f>
        <v>197.44771324617597</v>
      </c>
      <c r="AT26" s="121">
        <f>IFERROR(INDEX(TableOverallMaster[VORP],MATCH(TableOverallRank[[#This Row],[OVERALL PLAYER]],TableOverallMaster[OVERALL PLAYER],0)),"")</f>
        <v>0.51727446999256199</v>
      </c>
      <c r="AV26">
        <v>25</v>
      </c>
      <c r="AW26" s="122" t="str">
        <f>IFERROR(INDEX(TableWRTECalcPts[PLAYER],MATCH(TableWRTERank[[#This Row],[RK]],TableWRTECalcPts[RK],0)),"")</f>
        <v>Chris Olave</v>
      </c>
      <c r="AX26" s="122" t="str">
        <f>IFERROR(INDEX(TableWRTECalcPts[POS RK],MATCH(TableWRTERank[[#This Row],[WR and TE COMBINED]],TableWRTECalcPts[PLAYER],0)),"")</f>
        <v>WR24</v>
      </c>
      <c r="AY26" s="122">
        <f>IFERROR(INDEX(TableWRTECalcPts[BYE],MATCH(TableWRTERank[[#This Row],[RK]],TableWRTECalcPts[RK],0)),"")</f>
        <v>12</v>
      </c>
      <c r="AZ26" s="123">
        <f>IFERROR(INDEX(TableWRTECalcPts[Custom],MATCH(TableWRTERank[[#This Row],[RK]],TableWRTECalcPts[RK],0)),"")</f>
        <v>191.5147230908091</v>
      </c>
      <c r="BA26" s="174">
        <f>IFERROR((TableWRTERank[[#This Row],[FPS]]-INDEX(TableWRTERank[FPS],MATCH(WRTEVORPCalc,TableWRTERank[RK],0)))/INDEX(TableWRTERank[FPS],MATCH(WRTEVORPCalc,TableWRTERank[RK],0)),"")</f>
        <v>0.22043678925689805</v>
      </c>
      <c r="BC26" t="s">
        <v>208</v>
      </c>
      <c r="BD26">
        <v>25</v>
      </c>
      <c r="BE26" s="83">
        <f>RANK(TableWRTEMaster[[#This Row],[VORP]],TableWRTEMaster[VORP])+COUNTIF($BJ$2:BJ26,BJ26)-1</f>
        <v>29</v>
      </c>
      <c r="BF26" s="115" t="str">
        <f>IFERROR(INDEX(TableWRVORP[WIDE RECEIVER],MATCH(TableWRTEMaster[[#This Row],[RK]],TableWRVORP[RK],0)),"")</f>
        <v>George Pickens</v>
      </c>
      <c r="BG26" s="115" t="str">
        <f>_xlfn.CONCAT(TableWRTEMaster[[#This Row],[POS]],TableWRTEMaster[[#This Row],[RK]])</f>
        <v>WR25</v>
      </c>
      <c r="BH26" s="115">
        <f>IFERROR(INDEX(TableWRVORP[BYE],MATCH(TableWRTEMaster[[#This Row],[RK]],TableWRVORP[RK],0)),"")</f>
        <v>9</v>
      </c>
      <c r="BI26" s="116">
        <f>IFERROR(INDEX(TableWRVORP[FPS],MATCH(TableWRTEMaster[[#This Row],[RK]],TableWRVORP[RK],0)),"")</f>
        <v>189.09560213560073</v>
      </c>
      <c r="BJ26" s="117">
        <f>IFERROR(INDEX(TableWRVORP[VORP],MATCH(TableWRTEMaster[[#This Row],[RK]],TableWRVORP[RK],0)),"")</f>
        <v>0.3413401135408855</v>
      </c>
    </row>
    <row r="27" spans="1:62" x14ac:dyDescent="0.2">
      <c r="A27">
        <v>26</v>
      </c>
      <c r="B27" s="112" t="str">
        <f>IFERROR(INDEX(TableQBCalcPts[PLAYER],MATCH(TableQBVORP[[#This Row],[RK]],TableQBCalcPts[RK],0)),"")</f>
        <v>Geno Smith</v>
      </c>
      <c r="C27" s="112" t="str">
        <f>IFERROR(INDEX(TableQBCalcPts[TM],MATCH(TableQBVORP[[#This Row],[RK]],TableQBCalcPts[RK],0)),"")</f>
        <v>SEA</v>
      </c>
      <c r="D27" s="112">
        <f>IFERROR(INDEX(TableQBCalcPts[BYE],MATCH(TableQBVORP[[#This Row],[RK]],TableQBCalcPts[RK],0)),"")</f>
        <v>10</v>
      </c>
      <c r="E27" s="113">
        <f>IFERROR(INDEX(TableQBCalcPts[Custom],MATCH(TableQBVORP[[#This Row],[RK]],TableQBCalcPts[RK],0)),"")</f>
        <v>264.83536145652607</v>
      </c>
      <c r="F27" s="114">
        <f>(IFERROR((TableQBVORP[[#This Row],[FPS]]-INDEX(TableQBVORP[FPS],MATCH(QBVORPCalc,TableQBVORP[RK],0)))/INDEX(TableQBVORP[FPS],MATCH(QBVORPCalc,TableQBVORP[RK],0)),""))+(TableRBVORP[[#This Row],[VORP]]*0.45)</f>
        <v>-0.11968532270883148</v>
      </c>
      <c r="H27">
        <v>26</v>
      </c>
      <c r="I27" s="112" t="str">
        <f>IFERROR(INDEX(TableRBCalcPts[PLAYER],MATCH(TableRBVORP[[#This Row],[RK]],TableRBCalcPts[RK],0)),"")</f>
        <v>Rhamondre Stevenson</v>
      </c>
      <c r="J27" s="112" t="str">
        <f>IFERROR(INDEX(TableRBCalcPts[TM],MATCH(TableRBVORP[[#This Row],[RK]],TableRBCalcPts[RK],0)),"")</f>
        <v>NE</v>
      </c>
      <c r="K27" s="112">
        <f>IFERROR(INDEX(TableRBCalcPts[BYE],MATCH(TableRBVORP[[#This Row],[RK]],TableRBCalcPts[RK],0)),"")</f>
        <v>14</v>
      </c>
      <c r="L27" s="113">
        <f>IFERROR(INDEX(TableRBCalcPts[Custom],MATCH(TableRBVORP[[#This Row],[RK]],TableRBCalcPts[RK],0)),"")</f>
        <v>176.28004011613581</v>
      </c>
      <c r="M27" s="114">
        <f>(IFERROR((TableRBVORP[[#This Row],[FPS]]-INDEX(TableRBVORP[FPS],MATCH(RBVORPCalc,TableRBVORP[RK],0)))/INDEX(TableRBVORP[FPS],MATCH(RBVORPCalc,TableRBVORP[RK],0)),""))*0.8</f>
        <v>0.37605411881744155</v>
      </c>
      <c r="O27">
        <v>26</v>
      </c>
      <c r="P27" s="112" t="str">
        <f>IFERROR(INDEX(TableWRCalcPts[PLAYER],MATCH(TableWRVORP[[#This Row],[RK]],TableWRCalcPts[RK],0)),"")</f>
        <v>Malik Nabers</v>
      </c>
      <c r="Q27" s="112" t="str">
        <f>IFERROR(INDEX(TableWRCalcPts[TM],MATCH(TableWRVORP[[#This Row],[RK]],TableWRCalcPts[RK],0)),"")</f>
        <v>NYG</v>
      </c>
      <c r="R27" s="112">
        <f>IFERROR(INDEX(TableWRCalcPts[BYE],MATCH(TableWRVORP[[#This Row],[RK]],TableWRCalcPts[RK],0)),"")</f>
        <v>11</v>
      </c>
      <c r="S27" s="113">
        <f>IFERROR(INDEX(TableWRCalcPts[Custom],MATCH(TableWRVORP[[#This Row],[RK]],TableWRCalcPts[RK],0)),"")</f>
        <v>188.23503874057269</v>
      </c>
      <c r="T27" s="114">
        <f>(IFERROR((TableWRVORP[[#This Row],[FPS]]-INDEX(TableWRVORP[FPS],MATCH(WRVORPCalc,TableWRVORP[RK],0)))/INDEX(TableWRVORP[FPS],MATCH(WRVORPCalc,TableWRVORP[RK],0)),""))*1.2</f>
        <v>0.33432556182195938</v>
      </c>
      <c r="V27">
        <v>26</v>
      </c>
      <c r="W27" s="112" t="str">
        <f>IFERROR(INDEX(TableTECalcPts[PLAYER],MATCH(TableTEVORP[[#This Row],[RK]],TableTECalcPts[RK],0)),"")</f>
        <v>Isaiah Likely</v>
      </c>
      <c r="X27" s="112" t="str">
        <f>IFERROR(INDEX(TableTECalcPts[TM],MATCH(TableTEVORP[[#This Row],[RK]],TableTECalcPts[RK],0)),"")</f>
        <v>BAL</v>
      </c>
      <c r="Y27" s="112">
        <f>IFERROR(INDEX(TableTECalcPts[BYE],MATCH(TableTEVORP[[#This Row],[RK]],TableTECalcPts[RK],0)),"")</f>
        <v>14</v>
      </c>
      <c r="Z27" s="113">
        <f>IFERROR(INDEX(TableTECalcPts[Custom],MATCH(TableTEVORP[[#This Row],[RK]],TableTECalcPts[RK],0)),"")</f>
        <v>80.196752536282389</v>
      </c>
      <c r="AA27" s="114">
        <f>IFERROR((TableTEVORP[[#This Row],[FPS]]-INDEX(TableTEVORP[FPS],MATCH(TEVORPCalc,TableTEVORP[RK],0)))/INDEX(TableTEVORP[FPS],MATCH(TEVORPCalc,TableTEVORP[RK],0)),"")</f>
        <v>-0.39078286245994637</v>
      </c>
      <c r="AF27" t="s">
        <v>9</v>
      </c>
      <c r="AG27">
        <v>26</v>
      </c>
      <c r="AH27" s="83">
        <f>RANK(TableOverallMaster[[#This Row],[VORP]],TableOverallMaster[VORP])+COUNTIF($AM$2:AM27,AM27)-1</f>
        <v>149</v>
      </c>
      <c r="AI27" s="115" t="str">
        <f>IFERROR(INDEX(TableQBVORP[QUARTERBACK],MATCH(TableOverallMaster[[#This Row],[RK]],TableQBVORP[RK],0)),"")</f>
        <v>Geno Smith</v>
      </c>
      <c r="AJ27" s="115" t="str">
        <f t="shared" si="0"/>
        <v>QB26</v>
      </c>
      <c r="AK27" s="115">
        <f>IFERROR(INDEX(TableQBVORP[BYE],MATCH(TableOverallMaster[[#This Row],[RK]],TableQBVORP[RK],0)),"")</f>
        <v>10</v>
      </c>
      <c r="AL27" s="116">
        <f>IFERROR(INDEX(TableQBVORP[FPS],MATCH(TableOverallMaster[[#This Row],[RK]],TableQBVORP[RK],0)),"")</f>
        <v>264.83536145652607</v>
      </c>
      <c r="AM27" s="117">
        <f>IFERROR(INDEX(TableQBVORP[VORP],MATCH(TableOverallMaster[[#This Row],[RK]],TableQBVORP[RK],0)),"")</f>
        <v>-0.11968532270883148</v>
      </c>
      <c r="AO27">
        <v>26</v>
      </c>
      <c r="AP27" s="118" t="str">
        <f>IFERROR(INDEX(TableOverallMaster[OVERALL PLAYER],MATCH(TableOverallRank[[#This Row],[RK]],TableOverallMaster[OVR RK],0)),"")</f>
        <v>Kenneth Walker</v>
      </c>
      <c r="AQ27" s="119" t="str">
        <f>IFERROR(INDEX(TableOverallMaster[POS RK],MATCH(TableOverallRank[[#This Row],[OVERALL PLAYER]],TableOverallMaster[OVERALL PLAYER],0)),"")</f>
        <v>RB16</v>
      </c>
      <c r="AR27" s="120">
        <f>IFERROR(INDEX(TableOverallMaster[BYE],MATCH(TableOverallRank[[#This Row],[OVERALL PLAYER]],TableOverallMaster[OVERALL PLAYER],0)),"")</f>
        <v>10</v>
      </c>
      <c r="AS27" s="119">
        <f>IFERROR(INDEX(TableOverallMaster[Custom],MATCH(TableOverallRank[[#This Row],[OVERALL PLAYER]],TableOverallMaster[OVERALL PLAYER],0)),"")</f>
        <v>196.34691268147145</v>
      </c>
      <c r="AT27" s="121">
        <f>IFERROR(INDEX(TableOverallMaster[VORP],MATCH(TableOverallRank[[#This Row],[OVERALL PLAYER]],TableOverallMaster[OVERALL PLAYER],0)),"")</f>
        <v>0.50993046759010952</v>
      </c>
      <c r="AV27">
        <v>26</v>
      </c>
      <c r="AW27" s="122" t="str">
        <f>IFERROR(INDEX(TableWRTECalcPts[PLAYER],MATCH(TableWRTERank[[#This Row],[RK]],TableWRTECalcPts[RK],0)),"")</f>
        <v>George Pickens</v>
      </c>
      <c r="AX27" s="122" t="str">
        <f>IFERROR(INDEX(TableWRTECalcPts[POS RK],MATCH(TableWRTERank[[#This Row],[WR and TE COMBINED]],TableWRTECalcPts[PLAYER],0)),"")</f>
        <v>WR25</v>
      </c>
      <c r="AY27" s="122">
        <f>IFERROR(INDEX(TableWRTECalcPts[BYE],MATCH(TableWRTERank[[#This Row],[RK]],TableWRTECalcPts[RK],0)),"")</f>
        <v>9</v>
      </c>
      <c r="AZ27" s="123">
        <f>IFERROR(INDEX(TableWRTECalcPts[Custom],MATCH(TableWRTERank[[#This Row],[RK]],TableWRTECalcPts[RK],0)),"")</f>
        <v>189.09560213560073</v>
      </c>
      <c r="BA27" s="174">
        <f>IFERROR((TableWRTERank[[#This Row],[FPS]]-INDEX(TableWRTERank[FPS],MATCH(WRTEVORPCalc,TableWRTERank[RK],0)))/INDEX(TableWRTERank[FPS],MATCH(WRTEVORPCalc,TableWRTERank[RK],0)),"")</f>
        <v>0.20502082455324092</v>
      </c>
      <c r="BC27" t="s">
        <v>208</v>
      </c>
      <c r="BD27">
        <v>26</v>
      </c>
      <c r="BE27" s="83">
        <f>RANK(TableWRTEMaster[[#This Row],[VORP]],TableWRTEMaster[VORP])+COUNTIF($BJ$2:BJ27,BJ27)-1</f>
        <v>30</v>
      </c>
      <c r="BF27" s="115" t="str">
        <f>IFERROR(INDEX(TableWRVORP[WIDE RECEIVER],MATCH(TableWRTEMaster[[#This Row],[RK]],TableWRVORP[RK],0)),"")</f>
        <v>Malik Nabers</v>
      </c>
      <c r="BG27" s="115" t="str">
        <f>_xlfn.CONCAT(TableWRTEMaster[[#This Row],[POS]],TableWRTEMaster[[#This Row],[RK]])</f>
        <v>WR26</v>
      </c>
      <c r="BH27" s="115">
        <f>IFERROR(INDEX(TableWRVORP[BYE],MATCH(TableWRTEMaster[[#This Row],[RK]],TableWRVORP[RK],0)),"")</f>
        <v>11</v>
      </c>
      <c r="BI27" s="116">
        <f>IFERROR(INDEX(TableWRVORP[FPS],MATCH(TableWRTEMaster[[#This Row],[RK]],TableWRVORP[RK],0)),"")</f>
        <v>188.23503874057269</v>
      </c>
      <c r="BJ27" s="117">
        <f>IFERROR(INDEX(TableWRVORP[VORP],MATCH(TableWRTEMaster[[#This Row],[RK]],TableWRVORP[RK],0)),"")</f>
        <v>0.33432556182195938</v>
      </c>
    </row>
    <row r="28" spans="1:62" x14ac:dyDescent="0.2">
      <c r="A28">
        <v>27</v>
      </c>
      <c r="B28" s="112" t="str">
        <f>IFERROR(INDEX(TableQBCalcPts[PLAYER],MATCH(TableQBVORP[[#This Row],[RK]],TableQBCalcPts[RK],0)),"")</f>
        <v>Sam Darnold</v>
      </c>
      <c r="C28" s="112" t="str">
        <f>IFERROR(INDEX(TableQBCalcPts[TM],MATCH(TableQBVORP[[#This Row],[RK]],TableQBCalcPts[RK],0)),"")</f>
        <v>MIN</v>
      </c>
      <c r="D28" s="112">
        <f>IFERROR(INDEX(TableQBCalcPts[BYE],MATCH(TableQBVORP[[#This Row],[RK]],TableQBCalcPts[RK],0)),"")</f>
        <v>6</v>
      </c>
      <c r="E28" s="113">
        <f>IFERROR(INDEX(TableQBCalcPts[Custom],MATCH(TableQBVORP[[#This Row],[RK]],TableQBCalcPts[RK],0)),"")</f>
        <v>258.71409293844147</v>
      </c>
      <c r="F28" s="114">
        <f>(IFERROR((TableQBVORP[[#This Row],[FPS]]-INDEX(TableQBVORP[FPS],MATCH(QBVORPCalc,TableQBVORP[RK],0)))/INDEX(TableQBVORP[FPS],MATCH(QBVORPCalc,TableQBVORP[RK],0)),""))+(TableRBVORP[[#This Row],[VORP]]*0.45)</f>
        <v>-0.13837503908590124</v>
      </c>
      <c r="H28">
        <v>27</v>
      </c>
      <c r="I28" s="112" t="str">
        <f>IFERROR(INDEX(TableRBCalcPts[PLAYER],MATCH(TableRBVORP[[#This Row],[RK]],TableRBCalcPts[RK],0)),"")</f>
        <v>David Montgomery</v>
      </c>
      <c r="J28" s="112" t="str">
        <f>IFERROR(INDEX(TableRBCalcPts[TM],MATCH(TableRBVORP[[#This Row],[RK]],TableRBCalcPts[RK],0)),"")</f>
        <v>DET</v>
      </c>
      <c r="K28" s="112">
        <f>IFERROR(INDEX(TableRBCalcPts[BYE],MATCH(TableRBVORP[[#This Row],[RK]],TableRBCalcPts[RK],0)),"")</f>
        <v>5</v>
      </c>
      <c r="L28" s="113">
        <f>IFERROR(INDEX(TableRBCalcPts[Custom],MATCH(TableRBVORP[[#This Row],[RK]],TableRBCalcPts[RK],0)),"")</f>
        <v>175.52927230347515</v>
      </c>
      <c r="M28" s="114">
        <f>(IFERROR((TableRBVORP[[#This Row],[FPS]]-INDEX(TableRBVORP[FPS],MATCH(RBVORPCalc,TableRBVORP[RK],0)))/INDEX(TableRBVORP[FPS],MATCH(RBVORPCalc,TableRBVORP[RK],0)),""))*0.8</f>
        <v>0.37104536355636136</v>
      </c>
      <c r="O28">
        <v>27</v>
      </c>
      <c r="P28" s="112" t="str">
        <f>IFERROR(INDEX(TableWRCalcPts[PLAYER],MATCH(TableWRVORP[[#This Row],[RK]],TableWRCalcPts[RK],0)),"")</f>
        <v>Christian Kirk</v>
      </c>
      <c r="Q28" s="112" t="str">
        <f>IFERROR(INDEX(TableWRCalcPts[TM],MATCH(TableWRVORP[[#This Row],[RK]],TableWRCalcPts[RK],0)),"")</f>
        <v>JAX</v>
      </c>
      <c r="R28" s="112">
        <f>IFERROR(INDEX(TableWRCalcPts[BYE],MATCH(TableWRVORP[[#This Row],[RK]],TableWRCalcPts[RK],0)),"")</f>
        <v>12</v>
      </c>
      <c r="S28" s="113">
        <f>IFERROR(INDEX(TableWRCalcPts[Custom],MATCH(TableWRVORP[[#This Row],[RK]],TableWRCalcPts[RK],0)),"")</f>
        <v>185.57758003995784</v>
      </c>
      <c r="T28" s="114">
        <f>(IFERROR((TableWRVORP[[#This Row],[FPS]]-INDEX(TableWRVORP[FPS],MATCH(WRVORPCalc,TableWRVORP[RK],0)))/INDEX(TableWRVORP[FPS],MATCH(WRVORPCalc,TableWRVORP[RK],0)),""))*1.2</f>
        <v>0.31266430873581608</v>
      </c>
      <c r="V28">
        <v>27</v>
      </c>
      <c r="W28" s="112" t="str">
        <f>IFERROR(INDEX(TableTECalcPts[PLAYER],MATCH(TableTEVORP[[#This Row],[RK]],TableTECalcPts[RK],0)),"")</f>
        <v>Hayden Hurst</v>
      </c>
      <c r="X28" s="112" t="str">
        <f>IFERROR(INDEX(TableTECalcPts[TM],MATCH(TableTEVORP[[#This Row],[RK]],TableTECalcPts[RK],0)),"")</f>
        <v>LAC</v>
      </c>
      <c r="Y28" s="112">
        <f>IFERROR(INDEX(TableTECalcPts[BYE],MATCH(TableTEVORP[[#This Row],[RK]],TableTECalcPts[RK],0)),"")</f>
        <v>5</v>
      </c>
      <c r="Z28" s="113">
        <f>IFERROR(INDEX(TableTECalcPts[Custom],MATCH(TableTEVORP[[#This Row],[RK]],TableTECalcPts[RK],0)),"")</f>
        <v>79.726833329761405</v>
      </c>
      <c r="AA28" s="114">
        <f>IFERROR((TableTEVORP[[#This Row],[FPS]]-INDEX(TableTEVORP[FPS],MATCH(TEVORPCalc,TableTEVORP[RK],0)))/INDEX(TableTEVORP[FPS],MATCH(TEVORPCalc,TableTEVORP[RK],0)),"")</f>
        <v>-0.39435261840165098</v>
      </c>
      <c r="AF28" t="s">
        <v>9</v>
      </c>
      <c r="AG28">
        <v>27</v>
      </c>
      <c r="AH28" s="83">
        <f>RANK(TableOverallMaster[[#This Row],[VORP]],TableOverallMaster[VORP])+COUNTIF($AM$2:AM28,AM28)-1</f>
        <v>153</v>
      </c>
      <c r="AI28" s="115" t="str">
        <f>IFERROR(INDEX(TableQBVORP[QUARTERBACK],MATCH(TableOverallMaster[[#This Row],[RK]],TableQBVORP[RK],0)),"")</f>
        <v>Sam Darnold</v>
      </c>
      <c r="AJ28" s="115" t="str">
        <f t="shared" si="0"/>
        <v>QB27</v>
      </c>
      <c r="AK28" s="115">
        <f>IFERROR(INDEX(TableQBVORP[BYE],MATCH(TableOverallMaster[[#This Row],[RK]],TableQBVORP[RK],0)),"")</f>
        <v>6</v>
      </c>
      <c r="AL28" s="116">
        <f>IFERROR(INDEX(TableQBVORP[FPS],MATCH(TableOverallMaster[[#This Row],[RK]],TableQBVORP[RK],0)),"")</f>
        <v>258.71409293844147</v>
      </c>
      <c r="AM28" s="117">
        <f>IFERROR(INDEX(TableQBVORP[VORP],MATCH(TableOverallMaster[[#This Row],[RK]],TableQBVORP[RK],0)),"")</f>
        <v>-0.13837503908590124</v>
      </c>
      <c r="AO28">
        <v>27</v>
      </c>
      <c r="AP28" s="118" t="str">
        <f>IFERROR(INDEX(TableOverallMaster[OVERALL PLAYER],MATCH(TableOverallRank[[#This Row],[RK]],TableOverallMaster[OVR RK],0)),"")</f>
        <v>Mike Evans</v>
      </c>
      <c r="AQ28" s="119" t="str">
        <f>IFERROR(INDEX(TableOverallMaster[POS RK],MATCH(TableOverallRank[[#This Row],[OVERALL PLAYER]],TableOverallMaster[OVERALL PLAYER],0)),"")</f>
        <v>WR9</v>
      </c>
      <c r="AR28" s="120">
        <f>IFERROR(INDEX(TableOverallMaster[BYE],MATCH(TableOverallRank[[#This Row],[OVERALL PLAYER]],TableOverallMaster[OVERALL PLAYER],0)),"")</f>
        <v>11</v>
      </c>
      <c r="AS28" s="119">
        <f>IFERROR(INDEX(TableOverallMaster[Custom],MATCH(TableOverallRank[[#This Row],[OVERALL PLAYER]],TableOverallMaster[OVERALL PLAYER],0)),"")</f>
        <v>209.61363892007614</v>
      </c>
      <c r="AT28" s="121">
        <f>IFERROR(INDEX(TableOverallMaster[VORP],MATCH(TableOverallRank[[#This Row],[OVERALL PLAYER]],TableOverallMaster[OVERALL PLAYER],0)),"")</f>
        <v>0.50858500337360024</v>
      </c>
      <c r="AV28">
        <v>27</v>
      </c>
      <c r="AW28" s="122" t="str">
        <f>IFERROR(INDEX(TableWRTECalcPts[PLAYER],MATCH(TableWRTERank[[#This Row],[RK]],TableWRTECalcPts[RK],0)),"")</f>
        <v>Malik Nabers</v>
      </c>
      <c r="AX28" s="122" t="str">
        <f>IFERROR(INDEX(TableWRTECalcPts[POS RK],MATCH(TableWRTERank[[#This Row],[WR and TE COMBINED]],TableWRTECalcPts[PLAYER],0)),"")</f>
        <v>WR26</v>
      </c>
      <c r="AY28" s="122">
        <f>IFERROR(INDEX(TableWRTECalcPts[BYE],MATCH(TableWRTERank[[#This Row],[RK]],TableWRTECalcPts[RK],0)),"")</f>
        <v>11</v>
      </c>
      <c r="AZ28" s="123">
        <f>IFERROR(INDEX(TableWRTECalcPts[Custom],MATCH(TableWRTERank[[#This Row],[RK]],TableWRTECalcPts[RK],0)),"")</f>
        <v>188.23503874057269</v>
      </c>
      <c r="BA28" s="174">
        <f>IFERROR((TableWRTERank[[#This Row],[FPS]]-INDEX(TableWRTERank[FPS],MATCH(WRTEVORPCalc,TableWRTERank[RK],0)))/INDEX(TableWRTERank[FPS],MATCH(WRTEVORPCalc,TableWRTERank[RK],0)),"")</f>
        <v>0.19953684290509349</v>
      </c>
      <c r="BC28" t="s">
        <v>208</v>
      </c>
      <c r="BD28">
        <v>27</v>
      </c>
      <c r="BE28" s="83">
        <f>RANK(TableWRTEMaster[[#This Row],[VORP]],TableWRTEMaster[VORP])+COUNTIF($BJ$2:BJ28,BJ28)-1</f>
        <v>31</v>
      </c>
      <c r="BF28" s="115" t="str">
        <f>IFERROR(INDEX(TableWRVORP[WIDE RECEIVER],MATCH(TableWRTEMaster[[#This Row],[RK]],TableWRVORP[RK],0)),"")</f>
        <v>Christian Kirk</v>
      </c>
      <c r="BG28" s="115" t="str">
        <f>_xlfn.CONCAT(TableWRTEMaster[[#This Row],[POS]],TableWRTEMaster[[#This Row],[RK]])</f>
        <v>WR27</v>
      </c>
      <c r="BH28" s="115">
        <f>IFERROR(INDEX(TableWRVORP[BYE],MATCH(TableWRTEMaster[[#This Row],[RK]],TableWRVORP[RK],0)),"")</f>
        <v>12</v>
      </c>
      <c r="BI28" s="116">
        <f>IFERROR(INDEX(TableWRVORP[FPS],MATCH(TableWRTEMaster[[#This Row],[RK]],TableWRVORP[RK],0)),"")</f>
        <v>185.57758003995784</v>
      </c>
      <c r="BJ28" s="117">
        <f>IFERROR(INDEX(TableWRVORP[VORP],MATCH(TableWRTEMaster[[#This Row],[RK]],TableWRVORP[RK],0)),"")</f>
        <v>0.31266430873581608</v>
      </c>
    </row>
    <row r="29" spans="1:62" x14ac:dyDescent="0.2">
      <c r="A29">
        <v>28</v>
      </c>
      <c r="B29" s="112" t="str">
        <f>IFERROR(INDEX(TableQBCalcPts[PLAYER],MATCH(TableQBVORP[[#This Row],[RK]],TableQBCalcPts[RK],0)),"")</f>
        <v>Derek Carr</v>
      </c>
      <c r="C29" s="112" t="str">
        <f>IFERROR(INDEX(TableQBCalcPts[TM],MATCH(TableQBVORP[[#This Row],[RK]],TableQBCalcPts[RK],0)),"")</f>
        <v>NO</v>
      </c>
      <c r="D29" s="112">
        <f>IFERROR(INDEX(TableQBCalcPts[BYE],MATCH(TableQBVORP[[#This Row],[RK]],TableQBCalcPts[RK],0)),"")</f>
        <v>12</v>
      </c>
      <c r="E29" s="113">
        <f>IFERROR(INDEX(TableQBCalcPts[Custom],MATCH(TableQBVORP[[#This Row],[RK]],TableQBCalcPts[RK],0)),"")</f>
        <v>256.00216389991385</v>
      </c>
      <c r="F29" s="114">
        <f>(IFERROR((TableQBVORP[[#This Row],[FPS]]-INDEX(TableQBVORP[FPS],MATCH(QBVORPCalc,TableQBVORP[RK],0)))/INDEX(TableQBVORP[FPS],MATCH(QBVORPCalc,TableQBVORP[RK],0)),""))+(TableRBVORP[[#This Row],[VORP]]*0.45)</f>
        <v>-0.14669895703859426</v>
      </c>
      <c r="H29">
        <v>28</v>
      </c>
      <c r="I29" s="112" t="str">
        <f>IFERROR(INDEX(TableRBCalcPts[PLAYER],MATCH(TableRBVORP[[#This Row],[RK]],TableRBCalcPts[RK],0)),"")</f>
        <v>Tony Pollard</v>
      </c>
      <c r="J29" s="112" t="str">
        <f>IFERROR(INDEX(TableRBCalcPts[TM],MATCH(TableRBVORP[[#This Row],[RK]],TableRBCalcPts[RK],0)),"")</f>
        <v>TEN</v>
      </c>
      <c r="K29" s="112">
        <f>IFERROR(INDEX(TableRBCalcPts[BYE],MATCH(TableRBVORP[[#This Row],[RK]],TableRBCalcPts[RK],0)),"")</f>
        <v>5</v>
      </c>
      <c r="L29" s="113">
        <f>IFERROR(INDEX(TableRBCalcPts[Custom],MATCH(TableRBVORP[[#This Row],[RK]],TableRBCalcPts[RK],0)),"")</f>
        <v>175.18208691056179</v>
      </c>
      <c r="M29" s="114">
        <f>(IFERROR((TableRBVORP[[#This Row],[FPS]]-INDEX(TableRBVORP[FPS],MATCH(RBVORPCalc,TableRBVORP[RK],0)))/INDEX(TableRBVORP[FPS],MATCH(RBVORPCalc,TableRBVORP[RK],0)),""))*0.8</f>
        <v>0.36872911260100638</v>
      </c>
      <c r="O29">
        <v>28</v>
      </c>
      <c r="P29" s="112" t="str">
        <f>IFERROR(INDEX(TableWRCalcPts[PLAYER],MATCH(TableWRVORP[[#This Row],[RK]],TableWRCalcPts[RK],0)),"")</f>
        <v>Stefon Diggs</v>
      </c>
      <c r="Q29" s="112" t="str">
        <f>IFERROR(INDEX(TableWRCalcPts[TM],MATCH(TableWRVORP[[#This Row],[RK]],TableWRCalcPts[RK],0)),"")</f>
        <v>HOU</v>
      </c>
      <c r="R29" s="112">
        <f>IFERROR(INDEX(TableWRCalcPts[BYE],MATCH(TableWRVORP[[#This Row],[RK]],TableWRCalcPts[RK],0)),"")</f>
        <v>14</v>
      </c>
      <c r="S29" s="113">
        <f>IFERROR(INDEX(TableWRCalcPts[Custom],MATCH(TableWRVORP[[#This Row],[RK]],TableWRCalcPts[RK],0)),"")</f>
        <v>185.17442688786917</v>
      </c>
      <c r="T29" s="114">
        <f>(IFERROR((TableWRVORP[[#This Row],[FPS]]-INDEX(TableWRVORP[FPS],MATCH(WRVORPCalc,TableWRVORP[RK],0)))/INDEX(TableWRVORP[FPS],MATCH(WRVORPCalc,TableWRVORP[RK],0)),""))*1.2</f>
        <v>0.30937816078633018</v>
      </c>
      <c r="V29">
        <v>28</v>
      </c>
      <c r="W29" s="112" t="str">
        <f>IFERROR(INDEX(TableTECalcPts[PLAYER],MATCH(TableTEVORP[[#This Row],[RK]],TableTECalcPts[RK],0)),"")</f>
        <v>Ben Sinnott</v>
      </c>
      <c r="X29" s="112" t="str">
        <f>IFERROR(INDEX(TableTECalcPts[TM],MATCH(TableTEVORP[[#This Row],[RK]],TableTECalcPts[RK],0)),"")</f>
        <v>WSH</v>
      </c>
      <c r="Y29" s="112">
        <f>IFERROR(INDEX(TableTECalcPts[BYE],MATCH(TableTEVORP[[#This Row],[RK]],TableTECalcPts[RK],0)),"")</f>
        <v>14</v>
      </c>
      <c r="Z29" s="113">
        <f>IFERROR(INDEX(TableTECalcPts[Custom],MATCH(TableTEVORP[[#This Row],[RK]],TableTECalcPts[RK],0)),"")</f>
        <v>79.489285396192031</v>
      </c>
      <c r="AA29" s="114">
        <f>IFERROR((TableTEVORP[[#This Row],[FPS]]-INDEX(TableTEVORP[FPS],MATCH(TEVORPCalc,TableTEVORP[RK],0)))/INDEX(TableTEVORP[FPS],MATCH(TEVORPCalc,TableTEVORP[RK],0)),"")</f>
        <v>-0.39615715870460422</v>
      </c>
      <c r="AF29" t="s">
        <v>9</v>
      </c>
      <c r="AG29">
        <v>28</v>
      </c>
      <c r="AH29" s="83">
        <f>RANK(TableOverallMaster[[#This Row],[VORP]],TableOverallMaster[VORP])+COUNTIF($AM$2:AM29,AM29)-1</f>
        <v>155</v>
      </c>
      <c r="AI29" s="115" t="str">
        <f>IFERROR(INDEX(TableQBVORP[QUARTERBACK],MATCH(TableOverallMaster[[#This Row],[RK]],TableQBVORP[RK],0)),"")</f>
        <v>Derek Carr</v>
      </c>
      <c r="AJ29" s="115" t="str">
        <f t="shared" si="0"/>
        <v>QB28</v>
      </c>
      <c r="AK29" s="115">
        <f>IFERROR(INDEX(TableQBVORP[BYE],MATCH(TableOverallMaster[[#This Row],[RK]],TableQBVORP[RK],0)),"")</f>
        <v>12</v>
      </c>
      <c r="AL29" s="116">
        <f>IFERROR(INDEX(TableQBVORP[FPS],MATCH(TableOverallMaster[[#This Row],[RK]],TableQBVORP[RK],0)),"")</f>
        <v>256.00216389991385</v>
      </c>
      <c r="AM29" s="117">
        <f>IFERROR(INDEX(TableQBVORP[VORP],MATCH(TableOverallMaster[[#This Row],[RK]],TableQBVORP[RK],0)),"")</f>
        <v>-0.14669895703859426</v>
      </c>
      <c r="AO29">
        <v>28</v>
      </c>
      <c r="AP29" s="118" t="str">
        <f>IFERROR(INDEX(TableOverallMaster[OVERALL PLAYER],MATCH(TableOverallRank[[#This Row],[RK]],TableOverallMaster[OVR RK],0)),"")</f>
        <v>Travis Etienne</v>
      </c>
      <c r="AQ29" s="119" t="str">
        <f>IFERROR(INDEX(TableOverallMaster[POS RK],MATCH(TableOverallRank[[#This Row],[OVERALL PLAYER]],TableOverallMaster[OVERALL PLAYER],0)),"")</f>
        <v>RB17</v>
      </c>
      <c r="AR29" s="120">
        <f>IFERROR(INDEX(TableOverallMaster[BYE],MATCH(TableOverallRank[[#This Row],[OVERALL PLAYER]],TableOverallMaster[OVERALL PLAYER],0)),"")</f>
        <v>12</v>
      </c>
      <c r="AS29" s="119">
        <f>IFERROR(INDEX(TableOverallMaster[Custom],MATCH(TableOverallRank[[#This Row],[OVERALL PLAYER]],TableOverallMaster[OVERALL PLAYER],0)),"")</f>
        <v>195.93259725063314</v>
      </c>
      <c r="AT29" s="121">
        <f>IFERROR(INDEX(TableOverallMaster[VORP],MATCH(TableOverallRank[[#This Row],[OVERALL PLAYER]],TableOverallMaster[OVERALL PLAYER],0)),"")</f>
        <v>0.5071663578893969</v>
      </c>
      <c r="AV29">
        <v>28</v>
      </c>
      <c r="AW29" s="122" t="str">
        <f>IFERROR(INDEX(TableWRTECalcPts[PLAYER],MATCH(TableWRTERank[[#This Row],[RK]],TableWRTECalcPts[RK],0)),"")</f>
        <v>Christian Kirk</v>
      </c>
      <c r="AX29" s="122" t="str">
        <f>IFERROR(INDEX(TableWRTECalcPts[POS RK],MATCH(TableWRTERank[[#This Row],[WR and TE COMBINED]],TableWRTECalcPts[PLAYER],0)),"")</f>
        <v>WR27</v>
      </c>
      <c r="AY29" s="122">
        <f>IFERROR(INDEX(TableWRTECalcPts[BYE],MATCH(TableWRTERank[[#This Row],[RK]],TableWRTECalcPts[RK],0)),"")</f>
        <v>12</v>
      </c>
      <c r="AZ29" s="123">
        <f>IFERROR(INDEX(TableWRTECalcPts[Custom],MATCH(TableWRTERank[[#This Row],[RK]],TableWRTECalcPts[RK],0)),"")</f>
        <v>185.57758003995784</v>
      </c>
      <c r="BA29" s="174">
        <f>IFERROR((TableWRTERank[[#This Row],[FPS]]-INDEX(TableWRTERank[FPS],MATCH(WRTEVORPCalc,TableWRTERank[RK],0)))/INDEX(TableWRTERank[FPS],MATCH(WRTEVORPCalc,TableWRTERank[RK],0)),"")</f>
        <v>0.18260205944918464</v>
      </c>
      <c r="BC29" t="s">
        <v>208</v>
      </c>
      <c r="BD29">
        <v>28</v>
      </c>
      <c r="BE29" s="83">
        <f>RANK(TableWRTEMaster[[#This Row],[VORP]],TableWRTEMaster[VORP])+COUNTIF($BJ$2:BJ29,BJ29)-1</f>
        <v>32</v>
      </c>
      <c r="BF29" s="115" t="str">
        <f>IFERROR(INDEX(TableWRVORP[WIDE RECEIVER],MATCH(TableWRTEMaster[[#This Row],[RK]],TableWRVORP[RK],0)),"")</f>
        <v>Stefon Diggs</v>
      </c>
      <c r="BG29" s="115" t="str">
        <f>_xlfn.CONCAT(TableWRTEMaster[[#This Row],[POS]],TableWRTEMaster[[#This Row],[RK]])</f>
        <v>WR28</v>
      </c>
      <c r="BH29" s="115">
        <f>IFERROR(INDEX(TableWRVORP[BYE],MATCH(TableWRTEMaster[[#This Row],[RK]],TableWRVORP[RK],0)),"")</f>
        <v>14</v>
      </c>
      <c r="BI29" s="116">
        <f>IFERROR(INDEX(TableWRVORP[FPS],MATCH(TableWRTEMaster[[#This Row],[RK]],TableWRVORP[RK],0)),"")</f>
        <v>185.17442688786917</v>
      </c>
      <c r="BJ29" s="117">
        <f>IFERROR(INDEX(TableWRVORP[VORP],MATCH(TableWRTEMaster[[#This Row],[RK]],TableWRVORP[RK],0)),"")</f>
        <v>0.30937816078633018</v>
      </c>
    </row>
    <row r="30" spans="1:62" x14ac:dyDescent="0.2">
      <c r="A30">
        <v>29</v>
      </c>
      <c r="B30" s="112" t="str">
        <f>IFERROR(INDEX(TableQBCalcPts[PLAYER],MATCH(TableQBVORP[[#This Row],[RK]],TableQBCalcPts[RK],0)),"")</f>
        <v>Daniel Jones</v>
      </c>
      <c r="C30" s="112" t="str">
        <f>IFERROR(INDEX(TableQBCalcPts[TM],MATCH(TableQBVORP[[#This Row],[RK]],TableQBCalcPts[RK],0)),"")</f>
        <v>NYG</v>
      </c>
      <c r="D30" s="112">
        <f>IFERROR(INDEX(TableQBCalcPts[BYE],MATCH(TableQBVORP[[#This Row],[RK]],TableQBCalcPts[RK],0)),"")</f>
        <v>11</v>
      </c>
      <c r="E30" s="113">
        <f>IFERROR(INDEX(TableQBCalcPts[Custom],MATCH(TableQBVORP[[#This Row],[RK]],TableQBCalcPts[RK],0)),"")</f>
        <v>222.95186959043883</v>
      </c>
      <c r="F30" s="114">
        <f>(IFERROR((TableQBVORP[[#This Row],[FPS]]-INDEX(TableQBVORP[FPS],MATCH(QBVORPCalc,TableQBVORP[RK],0)))/INDEX(TableQBVORP[FPS],MATCH(QBVORPCalc,TableQBVORP[RK],0)),""))+(TableRBVORP[[#This Row],[VORP]]*0.45)</f>
        <v>-0.23898571644600183</v>
      </c>
      <c r="H30">
        <v>29</v>
      </c>
      <c r="I30" s="112" t="str">
        <f>IFERROR(INDEX(TableRBCalcPts[PLAYER],MATCH(TableRBVORP[[#This Row],[RK]],TableRBCalcPts[RK],0)),"")</f>
        <v>Tyjae Spears</v>
      </c>
      <c r="J30" s="112" t="str">
        <f>IFERROR(INDEX(TableRBCalcPts[TM],MATCH(TableRBVORP[[#This Row],[RK]],TableRBCalcPts[RK],0)),"")</f>
        <v>TEN</v>
      </c>
      <c r="K30" s="112">
        <f>IFERROR(INDEX(TableRBCalcPts[BYE],MATCH(TableRBVORP[[#This Row],[RK]],TableRBCalcPts[RK],0)),"")</f>
        <v>5</v>
      </c>
      <c r="L30" s="113">
        <f>IFERROR(INDEX(TableRBCalcPts[Custom],MATCH(TableRBVORP[[#This Row],[RK]],TableRBCalcPts[RK],0)),"")</f>
        <v>174.00101222826075</v>
      </c>
      <c r="M30" s="114">
        <f>(IFERROR((TableRBVORP[[#This Row],[FPS]]-INDEX(TableRBVORP[FPS],MATCH(RBVORPCalc,TableRBVORP[RK],0)))/INDEX(TableRBVORP[FPS],MATCH(RBVORPCalc,TableRBVORP[RK],0)),""))*0.8</f>
        <v>0.36084956058912776</v>
      </c>
      <c r="O30">
        <v>29</v>
      </c>
      <c r="P30" s="112" t="str">
        <f>IFERROR(INDEX(TableWRCalcPts[PLAYER],MATCH(TableWRVORP[[#This Row],[RK]],TableWRCalcPts[RK],0)),"")</f>
        <v>Amari Cooper</v>
      </c>
      <c r="Q30" s="112" t="str">
        <f>IFERROR(INDEX(TableWRCalcPts[TM],MATCH(TableWRVORP[[#This Row],[RK]],TableWRCalcPts[RK],0)),"")</f>
        <v>CLE</v>
      </c>
      <c r="R30" s="112">
        <f>IFERROR(INDEX(TableWRCalcPts[BYE],MATCH(TableWRVORP[[#This Row],[RK]],TableWRCalcPts[RK],0)),"")</f>
        <v>10</v>
      </c>
      <c r="S30" s="113">
        <f>IFERROR(INDEX(TableWRCalcPts[Custom],MATCH(TableWRVORP[[#This Row],[RK]],TableWRCalcPts[RK],0)),"")</f>
        <v>183.56746715999992</v>
      </c>
      <c r="T30" s="114">
        <f>(IFERROR((TableWRVORP[[#This Row],[FPS]]-INDEX(TableWRVORP[FPS],MATCH(WRVORPCalc,TableWRVORP[RK],0)))/INDEX(TableWRVORP[FPS],MATCH(WRVORPCalc,TableWRVORP[RK],0)),""))*1.2</f>
        <v>0.29627964627072839</v>
      </c>
      <c r="V30">
        <v>29</v>
      </c>
      <c r="W30" s="112" t="str">
        <f>IFERROR(INDEX(TableTECalcPts[PLAYER],MATCH(TableTEVORP[[#This Row],[RK]],TableTECalcPts[RK],0)),"")</f>
        <v>Noah Fant</v>
      </c>
      <c r="X30" s="112" t="str">
        <f>IFERROR(INDEX(TableTECalcPts[TM],MATCH(TableTEVORP[[#This Row],[RK]],TableTECalcPts[RK],0)),"")</f>
        <v>SEA</v>
      </c>
      <c r="Y30" s="112">
        <f>IFERROR(INDEX(TableTECalcPts[BYE],MATCH(TableTEVORP[[#This Row],[RK]],TableTECalcPts[RK],0)),"")</f>
        <v>10</v>
      </c>
      <c r="Z30" s="113">
        <f>IFERROR(INDEX(TableTECalcPts[Custom],MATCH(TableTEVORP[[#This Row],[RK]],TableTECalcPts[RK],0)),"")</f>
        <v>76.39024214942178</v>
      </c>
      <c r="AA30" s="114">
        <f>IFERROR((TableTEVORP[[#This Row],[FPS]]-INDEX(TableTEVORP[FPS],MATCH(TEVORPCalc,TableTEVORP[RK],0)))/INDEX(TableTEVORP[FPS],MATCH(TEVORPCalc,TableTEVORP[RK],0)),"")</f>
        <v>-0.41969913760276528</v>
      </c>
      <c r="AF30" t="s">
        <v>9</v>
      </c>
      <c r="AG30">
        <v>29</v>
      </c>
      <c r="AH30" s="83">
        <f>RANK(TableOverallMaster[[#This Row],[VORP]],TableOverallMaster[VORP])+COUNTIF($AM$2:AM30,AM30)-1</f>
        <v>167</v>
      </c>
      <c r="AI30" s="115" t="str">
        <f>IFERROR(INDEX(TableQBVORP[QUARTERBACK],MATCH(TableOverallMaster[[#This Row],[RK]],TableQBVORP[RK],0)),"")</f>
        <v>Daniel Jones</v>
      </c>
      <c r="AJ30" s="115" t="str">
        <f t="shared" si="0"/>
        <v>QB29</v>
      </c>
      <c r="AK30" s="115">
        <f>IFERROR(INDEX(TableQBVORP[BYE],MATCH(TableOverallMaster[[#This Row],[RK]],TableQBVORP[RK],0)),"")</f>
        <v>11</v>
      </c>
      <c r="AL30" s="116">
        <f>IFERROR(INDEX(TableQBVORP[FPS],MATCH(TableOverallMaster[[#This Row],[RK]],TableQBVORP[RK],0)),"")</f>
        <v>222.95186959043883</v>
      </c>
      <c r="AM30" s="117">
        <f>IFERROR(INDEX(TableQBVORP[VORP],MATCH(TableOverallMaster[[#This Row],[RK]],TableQBVORP[RK],0)),"")</f>
        <v>-0.23898571644600183</v>
      </c>
      <c r="AO30">
        <v>29</v>
      </c>
      <c r="AP30" s="118" t="str">
        <f>IFERROR(INDEX(TableOverallMaster[OVERALL PLAYER],MATCH(TableOverallRank[[#This Row],[RK]],TableOverallMaster[OVR RK],0)),"")</f>
        <v>Deebo Samuel</v>
      </c>
      <c r="AQ30" s="119" t="str">
        <f>IFERROR(INDEX(TableOverallMaster[POS RK],MATCH(TableOverallRank[[#This Row],[OVERALL PLAYER]],TableOverallMaster[OVERALL PLAYER],0)),"")</f>
        <v>WR10</v>
      </c>
      <c r="AR30" s="120">
        <f>IFERROR(INDEX(TableOverallMaster[BYE],MATCH(TableOverallRank[[#This Row],[OVERALL PLAYER]],TableOverallMaster[OVERALL PLAYER],0)),"")</f>
        <v>9</v>
      </c>
      <c r="AS30" s="119">
        <f>IFERROR(INDEX(TableOverallMaster[Custom],MATCH(TableOverallRank[[#This Row],[OVERALL PLAYER]],TableOverallMaster[OVERALL PLAYER],0)),"")</f>
        <v>209.42708203956002</v>
      </c>
      <c r="AT30" s="121">
        <f>IFERROR(INDEX(TableOverallMaster[VORP],MATCH(TableOverallRank[[#This Row],[OVERALL PLAYER]],TableOverallMaster[OVERALL PLAYER],0)),"")</f>
        <v>0.5070643566734705</v>
      </c>
      <c r="AV30">
        <v>29</v>
      </c>
      <c r="AW30" s="122" t="str">
        <f>IFERROR(INDEX(TableWRTECalcPts[PLAYER],MATCH(TableWRTERank[[#This Row],[RK]],TableWRTECalcPts[RK],0)),"")</f>
        <v>Stefon Diggs</v>
      </c>
      <c r="AX30" s="122" t="str">
        <f>IFERROR(INDEX(TableWRTECalcPts[POS RK],MATCH(TableWRTERank[[#This Row],[WR and TE COMBINED]],TableWRTECalcPts[PLAYER],0)),"")</f>
        <v>WR28</v>
      </c>
      <c r="AY30" s="122">
        <f>IFERROR(INDEX(TableWRTECalcPts[BYE],MATCH(TableWRTERank[[#This Row],[RK]],TableWRTECalcPts[RK],0)),"")</f>
        <v>14</v>
      </c>
      <c r="AZ30" s="123">
        <f>IFERROR(INDEX(TableWRTECalcPts[Custom],MATCH(TableWRTERank[[#This Row],[RK]],TableWRTECalcPts[RK],0)),"")</f>
        <v>185.17442688786917</v>
      </c>
      <c r="BA30" s="174">
        <f>IFERROR((TableWRTERank[[#This Row],[FPS]]-INDEX(TableWRTERank[FPS],MATCH(WRTEVORPCalc,TableWRTERank[RK],0)))/INDEX(TableWRTERank[FPS],MATCH(WRTEVORPCalc,TableWRTERank[RK],0)),"")</f>
        <v>0.18003294658635483</v>
      </c>
      <c r="BC30" t="s">
        <v>208</v>
      </c>
      <c r="BD30">
        <v>29</v>
      </c>
      <c r="BE30" s="83">
        <f>RANK(TableWRTEMaster[[#This Row],[VORP]],TableWRTEMaster[VORP])+COUNTIF($BJ$2:BJ30,BJ30)-1</f>
        <v>33</v>
      </c>
      <c r="BF30" s="115" t="str">
        <f>IFERROR(INDEX(TableWRVORP[WIDE RECEIVER],MATCH(TableWRTEMaster[[#This Row],[RK]],TableWRVORP[RK],0)),"")</f>
        <v>Amari Cooper</v>
      </c>
      <c r="BG30" s="115" t="str">
        <f>_xlfn.CONCAT(TableWRTEMaster[[#This Row],[POS]],TableWRTEMaster[[#This Row],[RK]])</f>
        <v>WR29</v>
      </c>
      <c r="BH30" s="115">
        <f>IFERROR(INDEX(TableWRVORP[BYE],MATCH(TableWRTEMaster[[#This Row],[RK]],TableWRVORP[RK],0)),"")</f>
        <v>10</v>
      </c>
      <c r="BI30" s="116">
        <f>IFERROR(INDEX(TableWRVORP[FPS],MATCH(TableWRTEMaster[[#This Row],[RK]],TableWRVORP[RK],0)),"")</f>
        <v>183.56746715999992</v>
      </c>
      <c r="BJ30" s="117">
        <f>IFERROR(INDEX(TableWRVORP[VORP],MATCH(TableWRTEMaster[[#This Row],[RK]],TableWRVORP[RK],0)),"")</f>
        <v>0.29627964627072839</v>
      </c>
    </row>
    <row r="31" spans="1:62" x14ac:dyDescent="0.2">
      <c r="A31">
        <v>30</v>
      </c>
      <c r="B31" s="112" t="str">
        <f>IFERROR(INDEX(TableQBCalcPts[PLAYER],MATCH(TableQBVORP[[#This Row],[RK]],TableQBCalcPts[RK],0)),"")</f>
        <v>Russell Wilson</v>
      </c>
      <c r="C31" s="112" t="str">
        <f>IFERROR(INDEX(TableQBCalcPts[TM],MATCH(TableQBVORP[[#This Row],[RK]],TableQBCalcPts[RK],0)),"")</f>
        <v>PIT</v>
      </c>
      <c r="D31" s="112">
        <f>IFERROR(INDEX(TableQBCalcPts[BYE],MATCH(TableQBVORP[[#This Row],[RK]],TableQBCalcPts[RK],0)),"")</f>
        <v>9</v>
      </c>
      <c r="E31" s="113">
        <f>IFERROR(INDEX(TableQBCalcPts[Custom],MATCH(TableQBVORP[[#This Row],[RK]],TableQBCalcPts[RK],0)),"")</f>
        <v>209.11725262807195</v>
      </c>
      <c r="F31" s="114">
        <f>(IFERROR((TableQBVORP[[#This Row],[FPS]]-INDEX(TableQBVORP[FPS],MATCH(QBVORPCalc,TableQBVORP[RK],0)))/INDEX(TableQBVORP[FPS],MATCH(QBVORPCalc,TableQBVORP[RK],0)),""))+(TableRBVORP[[#This Row],[VORP]]*0.45)</f>
        <v>-0.29043374442504899</v>
      </c>
      <c r="H31">
        <v>30</v>
      </c>
      <c r="I31" s="112" t="str">
        <f>IFERROR(INDEX(TableRBCalcPts[PLAYER],MATCH(TableRBVORP[[#This Row],[RK]],TableRBCalcPts[RK],0)),"")</f>
        <v>Raheem Mostert</v>
      </c>
      <c r="J31" s="112" t="str">
        <f>IFERROR(INDEX(TableRBCalcPts[TM],MATCH(TableRBVORP[[#This Row],[RK]],TableRBCalcPts[RK],0)),"")</f>
        <v>MIA</v>
      </c>
      <c r="K31" s="112">
        <f>IFERROR(INDEX(TableRBCalcPts[BYE],MATCH(TableRBVORP[[#This Row],[RK]],TableRBCalcPts[RK],0)),"")</f>
        <v>6</v>
      </c>
      <c r="L31" s="113">
        <f>IFERROR(INDEX(TableRBCalcPts[Custom],MATCH(TableRBVORP[[#This Row],[RK]],TableRBCalcPts[RK],0)),"")</f>
        <v>169.2372413840734</v>
      </c>
      <c r="M31" s="114">
        <f>(IFERROR((TableRBVORP[[#This Row],[FPS]]-INDEX(TableRBVORP[FPS],MATCH(RBVORPCalc,TableRBVORP[RK],0)))/INDEX(TableRBVORP[FPS],MATCH(RBVORPCalc,TableRBVORP[RK],0)),""))*0.8</f>
        <v>0.32906801391646989</v>
      </c>
      <c r="O31">
        <v>30</v>
      </c>
      <c r="P31" s="112" t="str">
        <f>IFERROR(INDEX(TableWRCalcPts[PLAYER],MATCH(TableWRVORP[[#This Row],[RK]],TableWRCalcPts[RK],0)),"")</f>
        <v>Calvin Ridley</v>
      </c>
      <c r="Q31" s="112" t="str">
        <f>IFERROR(INDEX(TableWRCalcPts[TM],MATCH(TableWRVORP[[#This Row],[RK]],TableWRCalcPts[RK],0)),"")</f>
        <v>TEN</v>
      </c>
      <c r="R31" s="112">
        <f>IFERROR(INDEX(TableWRCalcPts[BYE],MATCH(TableWRVORP[[#This Row],[RK]],TableWRCalcPts[RK],0)),"")</f>
        <v>5</v>
      </c>
      <c r="S31" s="113">
        <f>IFERROR(INDEX(TableWRCalcPts[Custom],MATCH(TableWRVORP[[#This Row],[RK]],TableWRCalcPts[RK],0)),"")</f>
        <v>182.91329454254475</v>
      </c>
      <c r="T31" s="114">
        <f>(IFERROR((TableWRVORP[[#This Row],[FPS]]-INDEX(TableWRVORP[FPS],MATCH(WRVORPCalc,TableWRVORP[RK],0)))/INDEX(TableWRVORP[FPS],MATCH(WRVORPCalc,TableWRVORP[RK],0)),""))*1.2</f>
        <v>0.29094740963975357</v>
      </c>
      <c r="V31">
        <v>30</v>
      </c>
      <c r="W31" s="112" t="str">
        <f>IFERROR(INDEX(TableTECalcPts[PLAYER],MATCH(TableTEVORP[[#This Row],[RK]],TableTECalcPts[RK],0)),"")</f>
        <v>Theo Johnson</v>
      </c>
      <c r="X31" s="112" t="str">
        <f>IFERROR(INDEX(TableTECalcPts[TM],MATCH(TableTEVORP[[#This Row],[RK]],TableTECalcPts[RK],0)),"")</f>
        <v>NYG</v>
      </c>
      <c r="Y31" s="112">
        <f>IFERROR(INDEX(TableTECalcPts[BYE],MATCH(TableTEVORP[[#This Row],[RK]],TableTECalcPts[RK],0)),"")</f>
        <v>11</v>
      </c>
      <c r="Z31" s="113">
        <f>IFERROR(INDEX(TableTECalcPts[Custom],MATCH(TableTEVORP[[#This Row],[RK]],TableTECalcPts[RK],0)),"")</f>
        <v>74.308369090843826</v>
      </c>
      <c r="AA31" s="114">
        <f>IFERROR((TableTEVORP[[#This Row],[FPS]]-INDEX(TableTEVORP[FPS],MATCH(TEVORPCalc,TableTEVORP[RK],0)))/INDEX(TableTEVORP[FPS],MATCH(TEVORPCalc,TableTEVORP[RK],0)),"")</f>
        <v>-0.43551415137024685</v>
      </c>
      <c r="AF31" t="s">
        <v>9</v>
      </c>
      <c r="AG31">
        <v>30</v>
      </c>
      <c r="AH31" s="83">
        <f>RANK(TableOverallMaster[[#This Row],[VORP]],TableOverallMaster[VORP])+COUNTIF($AM$2:AM31,AM31)-1</f>
        <v>181</v>
      </c>
      <c r="AI31" s="115" t="str">
        <f>IFERROR(INDEX(TableQBVORP[QUARTERBACK],MATCH(TableOverallMaster[[#This Row],[RK]],TableQBVORP[RK],0)),"")</f>
        <v>Russell Wilson</v>
      </c>
      <c r="AJ31" s="115" t="str">
        <f t="shared" si="0"/>
        <v>QB30</v>
      </c>
      <c r="AK31" s="115">
        <f>IFERROR(INDEX(TableQBVORP[BYE],MATCH(TableOverallMaster[[#This Row],[RK]],TableQBVORP[RK],0)),"")</f>
        <v>9</v>
      </c>
      <c r="AL31" s="116">
        <f>IFERROR(INDEX(TableQBVORP[FPS],MATCH(TableOverallMaster[[#This Row],[RK]],TableQBVORP[RK],0)),"")</f>
        <v>209.11725262807195</v>
      </c>
      <c r="AM31" s="117">
        <f>IFERROR(INDEX(TableQBVORP[VORP],MATCH(TableOverallMaster[[#This Row],[RK]],TableQBVORP[RK],0)),"")</f>
        <v>-0.29043374442504899</v>
      </c>
      <c r="AO31">
        <v>30</v>
      </c>
      <c r="AP31" s="118" t="str">
        <f>IFERROR(INDEX(TableOverallMaster[OVERALL PLAYER],MATCH(TableOverallRank[[#This Row],[RK]],TableOverallMaster[OVR RK],0)),"")</f>
        <v>James Cook</v>
      </c>
      <c r="AQ31" s="119" t="str">
        <f>IFERROR(INDEX(TableOverallMaster[POS RK],MATCH(TableOverallRank[[#This Row],[OVERALL PLAYER]],TableOverallMaster[OVERALL PLAYER],0)),"")</f>
        <v>RB18</v>
      </c>
      <c r="AR31" s="120">
        <f>IFERROR(INDEX(TableOverallMaster[BYE],MATCH(TableOverallRank[[#This Row],[OVERALL PLAYER]],TableOverallMaster[OVERALL PLAYER],0)),"")</f>
        <v>12</v>
      </c>
      <c r="AS31" s="119">
        <f>IFERROR(INDEX(TableOverallMaster[Custom],MATCH(TableOverallRank[[#This Row],[OVERALL PLAYER]],TableOverallMaster[OVERALL PLAYER],0)),"")</f>
        <v>193.69430971828919</v>
      </c>
      <c r="AT31" s="121">
        <f>IFERROR(INDEX(TableOverallMaster[VORP],MATCH(TableOverallRank[[#This Row],[OVERALL PLAYER]],TableOverallMaster[OVERALL PLAYER],0)),"")</f>
        <v>0.49223359936621647</v>
      </c>
      <c r="AV31">
        <v>30</v>
      </c>
      <c r="AW31" s="122" t="str">
        <f>IFERROR(INDEX(TableWRTECalcPts[PLAYER],MATCH(TableWRTERank[[#This Row],[RK]],TableWRTECalcPts[RK],0)),"")</f>
        <v>Amari Cooper</v>
      </c>
      <c r="AX31" s="122" t="str">
        <f>IFERROR(INDEX(TableWRTECalcPts[POS RK],MATCH(TableWRTERank[[#This Row],[WR and TE COMBINED]],TableWRTECalcPts[PLAYER],0)),"")</f>
        <v>WR29</v>
      </c>
      <c r="AY31" s="122">
        <f>IFERROR(INDEX(TableWRTECalcPts[BYE],MATCH(TableWRTERank[[#This Row],[RK]],TableWRTECalcPts[RK],0)),"")</f>
        <v>10</v>
      </c>
      <c r="AZ31" s="123">
        <f>IFERROR(INDEX(TableWRTECalcPts[Custom],MATCH(TableWRTERank[[#This Row],[RK]],TableWRTECalcPts[RK],0)),"")</f>
        <v>183.56746715999992</v>
      </c>
      <c r="BA31" s="174">
        <f>IFERROR((TableWRTERank[[#This Row],[FPS]]-INDEX(TableWRTERank[FPS],MATCH(WRTEVORPCalc,TableWRTERank[RK],0)))/INDEX(TableWRTERank[FPS],MATCH(WRTEVORPCalc,TableWRTERank[RK],0)),"")</f>
        <v>0.16979251838796527</v>
      </c>
      <c r="BC31" t="s">
        <v>208</v>
      </c>
      <c r="BD31">
        <v>30</v>
      </c>
      <c r="BE31" s="83">
        <f>RANK(TableWRTEMaster[[#This Row],[VORP]],TableWRTEMaster[VORP])+COUNTIF($BJ$2:BJ31,BJ31)-1</f>
        <v>35</v>
      </c>
      <c r="BF31" s="115" t="str">
        <f>IFERROR(INDEX(TableWRVORP[WIDE RECEIVER],MATCH(TableWRTEMaster[[#This Row],[RK]],TableWRVORP[RK],0)),"")</f>
        <v>Calvin Ridley</v>
      </c>
      <c r="BG31" s="115" t="str">
        <f>_xlfn.CONCAT(TableWRTEMaster[[#This Row],[POS]],TableWRTEMaster[[#This Row],[RK]])</f>
        <v>WR30</v>
      </c>
      <c r="BH31" s="115">
        <f>IFERROR(INDEX(TableWRVORP[BYE],MATCH(TableWRTEMaster[[#This Row],[RK]],TableWRVORP[RK],0)),"")</f>
        <v>5</v>
      </c>
      <c r="BI31" s="116">
        <f>IFERROR(INDEX(TableWRVORP[FPS],MATCH(TableWRTEMaster[[#This Row],[RK]],TableWRVORP[RK],0)),"")</f>
        <v>182.91329454254475</v>
      </c>
      <c r="BJ31" s="117">
        <f>IFERROR(INDEX(TableWRVORP[VORP],MATCH(TableWRTEMaster[[#This Row],[RK]],TableWRVORP[RK],0)),"")</f>
        <v>0.29094740963975357</v>
      </c>
    </row>
    <row r="32" spans="1:62" x14ac:dyDescent="0.2">
      <c r="A32">
        <v>31</v>
      </c>
      <c r="B32" s="112" t="str">
        <f>IFERROR(INDEX(TableQBCalcPts[PLAYER],MATCH(TableQBVORP[[#This Row],[RK]],TableQBCalcPts[RK],0)),"")</f>
        <v>Drake Maye</v>
      </c>
      <c r="C32" s="112" t="str">
        <f>IFERROR(INDEX(TableQBCalcPts[TM],MATCH(TableQBVORP[[#This Row],[RK]],TableQBCalcPts[RK],0)),"")</f>
        <v>NE</v>
      </c>
      <c r="D32" s="112">
        <f>IFERROR(INDEX(TableQBCalcPts[BYE],MATCH(TableQBVORP[[#This Row],[RK]],TableQBCalcPts[RK],0)),"")</f>
        <v>14</v>
      </c>
      <c r="E32" s="113">
        <f>IFERROR(INDEX(TableQBCalcPts[Custom],MATCH(TableQBVORP[[#This Row],[RK]],TableQBCalcPts[RK],0)),"")</f>
        <v>196.96135361153011</v>
      </c>
      <c r="F32" s="114">
        <f>(IFERROR((TableQBVORP[[#This Row],[FPS]]-INDEX(TableQBVORP[FPS],MATCH(QBVORPCalc,TableQBVORP[RK],0)))/INDEX(TableQBVORP[FPS],MATCH(QBVORPCalc,TableQBVORP[RK],0)),""))+(TableRBVORP[[#This Row],[VORP]]*0.45)</f>
        <v>-0.32471020360010294</v>
      </c>
      <c r="H32">
        <v>31</v>
      </c>
      <c r="I32" s="112" t="str">
        <f>IFERROR(INDEX(TableRBCalcPts[PLAYER],MATCH(TableRBVORP[[#This Row],[RK]],TableRBCalcPts[RK],0)),"")</f>
        <v>Jerome Ford</v>
      </c>
      <c r="J32" s="112" t="str">
        <f>IFERROR(INDEX(TableRBCalcPts[TM],MATCH(TableRBVORP[[#This Row],[RK]],TableRBCalcPts[RK],0)),"")</f>
        <v>CLE</v>
      </c>
      <c r="K32" s="112">
        <f>IFERROR(INDEX(TableRBCalcPts[BYE],MATCH(TableRBVORP[[#This Row],[RK]],TableRBCalcPts[RK],0)),"")</f>
        <v>10</v>
      </c>
      <c r="L32" s="113">
        <f>IFERROR(INDEX(TableRBCalcPts[Custom],MATCH(TableRBVORP[[#This Row],[RK]],TableRBCalcPts[RK],0)),"")</f>
        <v>168.69179379937501</v>
      </c>
      <c r="M32" s="114">
        <f>(IFERROR((TableRBVORP[[#This Row],[FPS]]-INDEX(TableRBVORP[FPS],MATCH(RBVORPCalc,TableRBVORP[RK],0)))/INDEX(TableRBVORP[FPS],MATCH(RBVORPCalc,TableRBVORP[RK],0)),""))*0.8</f>
        <v>0.32542905468908967</v>
      </c>
      <c r="O32">
        <v>31</v>
      </c>
      <c r="P32" s="112" t="str">
        <f>IFERROR(INDEX(TableWRCalcPts[PLAYER],MATCH(TableWRVORP[[#This Row],[RK]],TableWRCalcPts[RK],0)),"")</f>
        <v>Tank Dell</v>
      </c>
      <c r="Q32" s="112" t="str">
        <f>IFERROR(INDEX(TableWRCalcPts[TM],MATCH(TableWRVORP[[#This Row],[RK]],TableWRCalcPts[RK],0)),"")</f>
        <v>HOU</v>
      </c>
      <c r="R32" s="112">
        <f>IFERROR(INDEX(TableWRCalcPts[BYE],MATCH(TableWRVORP[[#This Row],[RK]],TableWRCalcPts[RK],0)),"")</f>
        <v>14</v>
      </c>
      <c r="S32" s="113">
        <f>IFERROR(INDEX(TableWRCalcPts[Custom],MATCH(TableWRVORP[[#This Row],[RK]],TableWRCalcPts[RK],0)),"")</f>
        <v>181.86577234960347</v>
      </c>
      <c r="T32" s="114">
        <f>(IFERROR((TableWRVORP[[#This Row],[FPS]]-INDEX(TableWRVORP[FPS],MATCH(WRVORPCalc,TableWRVORP[RK],0)))/INDEX(TableWRVORP[FPS],MATCH(WRVORPCalc,TableWRVORP[RK],0)),""))*1.2</f>
        <v>0.28240893514552984</v>
      </c>
      <c r="V32">
        <v>31</v>
      </c>
      <c r="W32" s="112" t="str">
        <f>IFERROR(INDEX(TableTECalcPts[PLAYER],MATCH(TableTEVORP[[#This Row],[RK]],TableTECalcPts[RK],0)),"")</f>
        <v>Greg Dulcich</v>
      </c>
      <c r="X32" s="112" t="str">
        <f>IFERROR(INDEX(TableTECalcPts[TM],MATCH(TableTEVORP[[#This Row],[RK]],TableTECalcPts[RK],0)),"")</f>
        <v>DEN</v>
      </c>
      <c r="Y32" s="112">
        <f>IFERROR(INDEX(TableTECalcPts[BYE],MATCH(TableTEVORP[[#This Row],[RK]],TableTECalcPts[RK],0)),"")</f>
        <v>14</v>
      </c>
      <c r="Z32" s="113">
        <f>IFERROR(INDEX(TableTECalcPts[Custom],MATCH(TableTEVORP[[#This Row],[RK]],TableTECalcPts[RK],0)),"")</f>
        <v>72.597638439045213</v>
      </c>
      <c r="AA32" s="114">
        <f>IFERROR((TableTEVORP[[#This Row],[FPS]]-INDEX(TableTEVORP[FPS],MATCH(TEVORPCalc,TableTEVORP[RK],0)))/INDEX(TableTEVORP[FPS],MATCH(TEVORPCalc,TableTEVORP[RK],0)),"")</f>
        <v>-0.44850977024295957</v>
      </c>
      <c r="AF32" t="s">
        <v>9</v>
      </c>
      <c r="AG32">
        <v>31</v>
      </c>
      <c r="AH32" s="83">
        <f>RANK(TableOverallMaster[[#This Row],[VORP]],TableOverallMaster[VORP])+COUNTIF($AM$2:AM32,AM32)-1</f>
        <v>188</v>
      </c>
      <c r="AI32" s="115" t="str">
        <f>IFERROR(INDEX(TableQBVORP[QUARTERBACK],MATCH(TableOverallMaster[[#This Row],[RK]],TableQBVORP[RK],0)),"")</f>
        <v>Drake Maye</v>
      </c>
      <c r="AJ32" s="115" t="str">
        <f t="shared" si="0"/>
        <v>QB31</v>
      </c>
      <c r="AK32" s="115">
        <f>IFERROR(INDEX(TableQBVORP[BYE],MATCH(TableOverallMaster[[#This Row],[RK]],TableQBVORP[RK],0)),"")</f>
        <v>14</v>
      </c>
      <c r="AL32" s="116">
        <f>IFERROR(INDEX(TableQBVORP[FPS],MATCH(TableOverallMaster[[#This Row],[RK]],TableQBVORP[RK],0)),"")</f>
        <v>196.96135361153011</v>
      </c>
      <c r="AM32" s="117">
        <f>IFERROR(INDEX(TableQBVORP[VORP],MATCH(TableOverallMaster[[#This Row],[RK]],TableQBVORP[RK],0)),"")</f>
        <v>-0.32471020360010294</v>
      </c>
      <c r="AO32">
        <v>31</v>
      </c>
      <c r="AP32" s="118" t="str">
        <f>IFERROR(INDEX(TableOverallMaster[OVERALL PLAYER],MATCH(TableOverallRank[[#This Row],[RK]],TableOverallMaster[OVR RK],0)),"")</f>
        <v>Nico Collins</v>
      </c>
      <c r="AQ32" s="119" t="str">
        <f>IFERROR(INDEX(TableOverallMaster[POS RK],MATCH(TableOverallRank[[#This Row],[OVERALL PLAYER]],TableOverallMaster[OVERALL PLAYER],0)),"")</f>
        <v>WR11</v>
      </c>
      <c r="AR32" s="120">
        <f>IFERROR(INDEX(TableOverallMaster[BYE],MATCH(TableOverallRank[[#This Row],[OVERALL PLAYER]],TableOverallMaster[OVERALL PLAYER],0)),"")</f>
        <v>14</v>
      </c>
      <c r="AS32" s="119">
        <f>IFERROR(INDEX(TableOverallMaster[Custom],MATCH(TableOverallRank[[#This Row],[OVERALL PLAYER]],TableOverallMaster[OVERALL PLAYER],0)),"")</f>
        <v>206.51868818380797</v>
      </c>
      <c r="AT32" s="121">
        <f>IFERROR(INDEX(TableOverallMaster[VORP],MATCH(TableOverallRank[[#This Row],[OVERALL PLAYER]],TableOverallMaster[OVERALL PLAYER],0)),"")</f>
        <v>0.48335770212826401</v>
      </c>
      <c r="AV32">
        <v>31</v>
      </c>
      <c r="AW32" s="122" t="str">
        <f>IFERROR(INDEX(TableWRTECalcPts[PLAYER],MATCH(TableWRTERank[[#This Row],[RK]],TableWRTECalcPts[RK],0)),"")</f>
        <v>Calvin Ridley</v>
      </c>
      <c r="AX32" s="122" t="str">
        <f>IFERROR(INDEX(TableWRTECalcPts[POS RK],MATCH(TableWRTERank[[#This Row],[WR and TE COMBINED]],TableWRTECalcPts[PLAYER],0)),"")</f>
        <v>WR30</v>
      </c>
      <c r="AY32" s="122">
        <f>IFERROR(INDEX(TableWRTECalcPts[BYE],MATCH(TableWRTERank[[#This Row],[RK]],TableWRTECalcPts[RK],0)),"")</f>
        <v>5</v>
      </c>
      <c r="AZ32" s="123">
        <f>IFERROR(INDEX(TableWRTECalcPts[Custom],MATCH(TableWRTERank[[#This Row],[RK]],TableWRTECalcPts[RK],0)),"")</f>
        <v>182.91329454254475</v>
      </c>
      <c r="BA32" s="174">
        <f>IFERROR((TableWRTERank[[#This Row],[FPS]]-INDEX(TableWRTERank[FPS],MATCH(WRTEVORPCalc,TableWRTERank[RK],0)))/INDEX(TableWRTERank[FPS],MATCH(WRTEVORPCalc,TableWRTERank[RK],0)),"")</f>
        <v>0.16562377190214958</v>
      </c>
      <c r="BC32" t="s">
        <v>208</v>
      </c>
      <c r="BD32">
        <v>31</v>
      </c>
      <c r="BE32" s="83">
        <f>RANK(TableWRTEMaster[[#This Row],[VORP]],TableWRTEMaster[VORP])+COUNTIF($BJ$2:BJ32,BJ32)-1</f>
        <v>36</v>
      </c>
      <c r="BF32" s="115" t="str">
        <f>IFERROR(INDEX(TableWRVORP[WIDE RECEIVER],MATCH(TableWRTEMaster[[#This Row],[RK]],TableWRVORP[RK],0)),"")</f>
        <v>Tank Dell</v>
      </c>
      <c r="BG32" s="115" t="str">
        <f>_xlfn.CONCAT(TableWRTEMaster[[#This Row],[POS]],TableWRTEMaster[[#This Row],[RK]])</f>
        <v>WR31</v>
      </c>
      <c r="BH32" s="115">
        <f>IFERROR(INDEX(TableWRVORP[BYE],MATCH(TableWRTEMaster[[#This Row],[RK]],TableWRVORP[RK],0)),"")</f>
        <v>14</v>
      </c>
      <c r="BI32" s="116">
        <f>IFERROR(INDEX(TableWRVORP[FPS],MATCH(TableWRTEMaster[[#This Row],[RK]],TableWRVORP[RK],0)),"")</f>
        <v>181.86577234960347</v>
      </c>
      <c r="BJ32" s="117">
        <f>IFERROR(INDEX(TableWRVORP[VORP],MATCH(TableWRTEMaster[[#This Row],[RK]],TableWRVORP[RK],0)),"")</f>
        <v>0.28240893514552984</v>
      </c>
    </row>
    <row r="33" spans="1:62" x14ac:dyDescent="0.2">
      <c r="A33">
        <v>32</v>
      </c>
      <c r="B33" s="112" t="str">
        <f>IFERROR(INDEX(TableQBCalcPts[PLAYER],MATCH(TableQBVORP[[#This Row],[RK]],TableQBCalcPts[RK],0)),"")</f>
        <v>Gardner Minshew</v>
      </c>
      <c r="C33" s="112" t="str">
        <f>IFERROR(INDEX(TableQBCalcPts[TM],MATCH(TableQBVORP[[#This Row],[RK]],TableQBCalcPts[RK],0)),"")</f>
        <v>LV</v>
      </c>
      <c r="D33" s="112">
        <f>IFERROR(INDEX(TableQBCalcPts[BYE],MATCH(TableQBVORP[[#This Row],[RK]],TableQBCalcPts[RK],0)),"")</f>
        <v>10</v>
      </c>
      <c r="E33" s="113">
        <f>IFERROR(INDEX(TableQBCalcPts[Custom],MATCH(TableQBVORP[[#This Row],[RK]],TableQBCalcPts[RK],0)),"")</f>
        <v>157.03372905387877</v>
      </c>
      <c r="F33" s="114">
        <f>(IFERROR((TableQBVORP[[#This Row],[FPS]]-INDEX(TableQBVORP[FPS],MATCH(QBVORPCalc,TableQBVORP[RK],0)))/INDEX(TableQBVORP[FPS],MATCH(QBVORPCalc,TableQBVORP[RK],0)),""))+(TableRBVORP[[#This Row],[VORP]]*0.45)</f>
        <v>-0.46050472440967438</v>
      </c>
      <c r="H33">
        <v>32</v>
      </c>
      <c r="I33" s="112" t="str">
        <f>IFERROR(INDEX(TableRBCalcPts[PLAYER],MATCH(TableRBVORP[[#This Row],[RK]],TableRBCalcPts[RK],0)),"")</f>
        <v>Gus Edwards</v>
      </c>
      <c r="J33" s="112" t="str">
        <f>IFERROR(INDEX(TableRBCalcPts[TM],MATCH(TableRBVORP[[#This Row],[RK]],TableRBCalcPts[RK],0)),"")</f>
        <v>LAC</v>
      </c>
      <c r="K33" s="112">
        <f>IFERROR(INDEX(TableRBCalcPts[BYE],MATCH(TableRBVORP[[#This Row],[RK]],TableRBCalcPts[RK],0)),"")</f>
        <v>5</v>
      </c>
      <c r="L33" s="113">
        <f>IFERROR(INDEX(TableRBCalcPts[Custom],MATCH(TableRBVORP[[#This Row],[RK]],TableRBCalcPts[RK],0)),"")</f>
        <v>159.16946682775205</v>
      </c>
      <c r="M33" s="114">
        <f>(IFERROR((TableRBVORP[[#This Row],[FPS]]-INDEX(TableRBVORP[FPS],MATCH(RBVORPCalc,TableRBVORP[RK],0)))/INDEX(TableRBVORP[FPS],MATCH(RBVORPCalc,TableRBVORP[RK],0)),""))*0.8</f>
        <v>0.26190075138075319</v>
      </c>
      <c r="O33">
        <v>32</v>
      </c>
      <c r="P33" s="112" t="str">
        <f>IFERROR(INDEX(TableWRCalcPts[PLAYER],MATCH(TableWRVORP[[#This Row],[RK]],TableWRCalcPts[RK],0)),"")</f>
        <v>Brian Thomas</v>
      </c>
      <c r="Q33" s="112" t="str">
        <f>IFERROR(INDEX(TableWRCalcPts[TM],MATCH(TableWRVORP[[#This Row],[RK]],TableWRCalcPts[RK],0)),"")</f>
        <v>JAX</v>
      </c>
      <c r="R33" s="112">
        <f>IFERROR(INDEX(TableWRCalcPts[BYE],MATCH(TableWRVORP[[#This Row],[RK]],TableWRCalcPts[RK],0)),"")</f>
        <v>12</v>
      </c>
      <c r="S33" s="113">
        <f>IFERROR(INDEX(TableWRCalcPts[Custom],MATCH(TableWRVORP[[#This Row],[RK]],TableWRCalcPts[RK],0)),"")</f>
        <v>181.1515057352</v>
      </c>
      <c r="T33" s="114">
        <f>(IFERROR((TableWRVORP[[#This Row],[FPS]]-INDEX(TableWRVORP[FPS],MATCH(WRVORPCalc,TableWRVORP[RK],0)))/INDEX(TableWRVORP[FPS],MATCH(WRVORPCalc,TableWRVORP[RK],0)),""))*1.2</f>
        <v>0.27658686539821953</v>
      </c>
      <c r="V33">
        <v>32</v>
      </c>
      <c r="W33" s="112" t="str">
        <f>IFERROR(INDEX(TableTECalcPts[PLAYER],MATCH(TableTEVORP[[#This Row],[RK]],TableTECalcPts[RK],0)),"")</f>
        <v>Tucker Kraft</v>
      </c>
      <c r="X33" s="112" t="str">
        <f>IFERROR(INDEX(TableTECalcPts[TM],MATCH(TableTEVORP[[#This Row],[RK]],TableTECalcPts[RK],0)),"")</f>
        <v>GB</v>
      </c>
      <c r="Y33" s="112">
        <f>IFERROR(INDEX(TableTECalcPts[BYE],MATCH(TableTEVORP[[#This Row],[RK]],TableTECalcPts[RK],0)),"")</f>
        <v>10</v>
      </c>
      <c r="Z33" s="113">
        <f>IFERROR(INDEX(TableTECalcPts[Custom],MATCH(TableTEVORP[[#This Row],[RK]],TableTECalcPts[RK],0)),"")</f>
        <v>65.127360408954189</v>
      </c>
      <c r="AA33" s="114">
        <f>IFERROR((TableTEVORP[[#This Row],[FPS]]-INDEX(TableTEVORP[FPS],MATCH(TEVORPCalc,TableTEVORP[RK],0)))/INDEX(TableTEVORP[FPS],MATCH(TEVORPCalc,TableTEVORP[RK],0)),"")</f>
        <v>-0.50525797081456558</v>
      </c>
      <c r="AF33" t="s">
        <v>9</v>
      </c>
      <c r="AG33">
        <v>32</v>
      </c>
      <c r="AH33" s="83">
        <f>RANK(TableOverallMaster[[#This Row],[VORP]],TableOverallMaster[VORP])+COUNTIF($AM$2:AM33,AM33)-1</f>
        <v>219</v>
      </c>
      <c r="AI33" s="115" t="str">
        <f>IFERROR(INDEX(TableQBVORP[QUARTERBACK],MATCH(TableOverallMaster[[#This Row],[RK]],TableQBVORP[RK],0)),"")</f>
        <v>Gardner Minshew</v>
      </c>
      <c r="AJ33" s="115" t="str">
        <f t="shared" si="0"/>
        <v>QB32</v>
      </c>
      <c r="AK33" s="115">
        <f>IFERROR(INDEX(TableQBVORP[BYE],MATCH(TableOverallMaster[[#This Row],[RK]],TableQBVORP[RK],0)),"")</f>
        <v>10</v>
      </c>
      <c r="AL33" s="116">
        <f>IFERROR(INDEX(TableQBVORP[FPS],MATCH(TableOverallMaster[[#This Row],[RK]],TableQBVORP[RK],0)),"")</f>
        <v>157.03372905387877</v>
      </c>
      <c r="AM33" s="117">
        <f>IFERROR(INDEX(TableQBVORP[VORP],MATCH(TableOverallMaster[[#This Row],[RK]],TableQBVORP[RK],0)),"")</f>
        <v>-0.46050472440967438</v>
      </c>
      <c r="AO33">
        <v>32</v>
      </c>
      <c r="AP33" s="118" t="str">
        <f>IFERROR(INDEX(TableOverallMaster[OVERALL PLAYER],MATCH(TableOverallRank[[#This Row],[RK]],TableOverallMaster[OVR RK],0)),"")</f>
        <v>Zamir White</v>
      </c>
      <c r="AQ33" s="119" t="str">
        <f>IFERROR(INDEX(TableOverallMaster[POS RK],MATCH(TableOverallRank[[#This Row],[OVERALL PLAYER]],TableOverallMaster[OVERALL PLAYER],0)),"")</f>
        <v>RB19</v>
      </c>
      <c r="AR33" s="120">
        <f>IFERROR(INDEX(TableOverallMaster[BYE],MATCH(TableOverallRank[[#This Row],[OVERALL PLAYER]],TableOverallMaster[OVERALL PLAYER],0)),"")</f>
        <v>10</v>
      </c>
      <c r="AS33" s="119">
        <f>IFERROR(INDEX(TableOverallMaster[Custom],MATCH(TableOverallRank[[#This Row],[OVERALL PLAYER]],TableOverallMaster[OVERALL PLAYER],0)),"")</f>
        <v>192.23347940104071</v>
      </c>
      <c r="AT33" s="121">
        <f>IFERROR(INDEX(TableOverallMaster[VORP],MATCH(TableOverallRank[[#This Row],[OVERALL PLAYER]],TableOverallMaster[OVERALL PLAYER],0)),"")</f>
        <v>0.48248765472970734</v>
      </c>
      <c r="AV33">
        <v>32</v>
      </c>
      <c r="AW33" s="122" t="str">
        <f>IFERROR(INDEX(TableWRTECalcPts[PLAYER],MATCH(TableWRTERank[[#This Row],[RK]],TableWRTECalcPts[RK],0)),"")</f>
        <v>Sam LaPorta</v>
      </c>
      <c r="AX33" s="122" t="str">
        <f>IFERROR(INDEX(TableWRTECalcPts[POS RK],MATCH(TableWRTERank[[#This Row],[WR and TE COMBINED]],TableWRTECalcPts[PLAYER],0)),"")</f>
        <v>TE2</v>
      </c>
      <c r="AY33" s="122">
        <f>IFERROR(INDEX(TableWRTECalcPts[BYE],MATCH(TableWRTERank[[#This Row],[RK]],TableWRTECalcPts[RK],0)),"")</f>
        <v>5</v>
      </c>
      <c r="AZ33" s="123">
        <f>IFERROR(INDEX(TableWRTECalcPts[Custom],MATCH(TableWRTERank[[#This Row],[RK]],TableWRTECalcPts[RK],0)),"")</f>
        <v>182.53673189245154</v>
      </c>
      <c r="BA33" s="174">
        <f>IFERROR((TableWRTERank[[#This Row],[FPS]]-INDEX(TableWRTERank[FPS],MATCH(WRTEVORPCalc,TableWRTERank[RK],0)))/INDEX(TableWRTERank[FPS],MATCH(WRTEVORPCalc,TableWRTERank[RK],0)),"")</f>
        <v>0.16322410829291414</v>
      </c>
      <c r="BC33" t="s">
        <v>208</v>
      </c>
      <c r="BD33">
        <v>32</v>
      </c>
      <c r="BE33" s="83">
        <f>RANK(TableWRTEMaster[[#This Row],[VORP]],TableWRTEMaster[VORP])+COUNTIF($BJ$2:BJ33,BJ33)-1</f>
        <v>37</v>
      </c>
      <c r="BF33" s="115" t="str">
        <f>IFERROR(INDEX(TableWRVORP[WIDE RECEIVER],MATCH(TableWRTEMaster[[#This Row],[RK]],TableWRVORP[RK],0)),"")</f>
        <v>Brian Thomas</v>
      </c>
      <c r="BG33" s="115" t="str">
        <f>_xlfn.CONCAT(TableWRTEMaster[[#This Row],[POS]],TableWRTEMaster[[#This Row],[RK]])</f>
        <v>WR32</v>
      </c>
      <c r="BH33" s="115">
        <f>IFERROR(INDEX(TableWRVORP[BYE],MATCH(TableWRTEMaster[[#This Row],[RK]],TableWRVORP[RK],0)),"")</f>
        <v>12</v>
      </c>
      <c r="BI33" s="116">
        <f>IFERROR(INDEX(TableWRVORP[FPS],MATCH(TableWRTEMaster[[#This Row],[RK]],TableWRVORP[RK],0)),"")</f>
        <v>181.1515057352</v>
      </c>
      <c r="BJ33" s="117">
        <f>IFERROR(INDEX(TableWRVORP[VORP],MATCH(TableWRTEMaster[[#This Row],[RK]],TableWRVORP[RK],0)),"")</f>
        <v>0.27658686539821953</v>
      </c>
    </row>
    <row r="34" spans="1:62" x14ac:dyDescent="0.2">
      <c r="A34">
        <v>33</v>
      </c>
      <c r="B34" s="112" t="str">
        <f>IFERROR(INDEX(TableQBCalcPts[PLAYER],MATCH(TableQBVORP[[#This Row],[RK]],TableQBCalcPts[RK],0)),"")</f>
        <v>Aidan O'Connell</v>
      </c>
      <c r="C34" s="112" t="str">
        <f>IFERROR(INDEX(TableQBCalcPts[TM],MATCH(TableQBVORP[[#This Row],[RK]],TableQBCalcPts[RK],0)),"")</f>
        <v>LV</v>
      </c>
      <c r="D34" s="112">
        <f>IFERROR(INDEX(TableQBCalcPts[BYE],MATCH(TableQBVORP[[#This Row],[RK]],TableQBCalcPts[RK],0)),"")</f>
        <v>10</v>
      </c>
      <c r="E34" s="113">
        <f>IFERROR(INDEX(TableQBCalcPts[Custom],MATCH(TableQBVORP[[#This Row],[RK]],TableQBCalcPts[RK],0)),"")</f>
        <v>96.097259595861857</v>
      </c>
      <c r="F34" s="114">
        <f>(IFERROR((TableQBVORP[[#This Row],[FPS]]-INDEX(TableQBVORP[FPS],MATCH(QBVORPCalc,TableQBVORP[RK],0)))/INDEX(TableQBVORP[FPS],MATCH(QBVORPCalc,TableQBVORP[RK],0)),""))+(TableRBVORP[[#This Row],[VORP]]*0.45)</f>
        <v>-0.62761075641092279</v>
      </c>
      <c r="H34">
        <v>33</v>
      </c>
      <c r="I34" s="112" t="str">
        <f>IFERROR(INDEX(TableRBCalcPts[PLAYER],MATCH(TableRBVORP[[#This Row],[RK]],TableRBCalcPts[RK],0)),"")</f>
        <v>Najee Harris</v>
      </c>
      <c r="J34" s="112" t="str">
        <f>IFERROR(INDEX(TableRBCalcPts[TM],MATCH(TableRBVORP[[#This Row],[RK]],TableRBCalcPts[RK],0)),"")</f>
        <v>PIT</v>
      </c>
      <c r="K34" s="112">
        <f>IFERROR(INDEX(TableRBCalcPts[BYE],MATCH(TableRBVORP[[#This Row],[RK]],TableRBCalcPts[RK],0)),"")</f>
        <v>9</v>
      </c>
      <c r="L34" s="113">
        <f>IFERROR(INDEX(TableRBCalcPts[Custom],MATCH(TableRBVORP[[#This Row],[RK]],TableRBCalcPts[RK],0)),"")</f>
        <v>158.00700681706502</v>
      </c>
      <c r="M34" s="114">
        <f>(IFERROR((TableRBVORP[[#This Row],[FPS]]-INDEX(TableRBVORP[FPS],MATCH(RBVORPCalc,TableRBVORP[RK],0)))/INDEX(TableRBVORP[FPS],MATCH(RBVORPCalc,TableRBVORP[RK],0)),""))*0.8</f>
        <v>0.25414538734391517</v>
      </c>
      <c r="O34">
        <v>33</v>
      </c>
      <c r="P34" s="112" t="str">
        <f>IFERROR(INDEX(TableWRCalcPts[PLAYER],MATCH(TableWRVORP[[#This Row],[RK]],TableWRCalcPts[RK],0)),"")</f>
        <v>Khalil Shakir</v>
      </c>
      <c r="Q34" s="112" t="str">
        <f>IFERROR(INDEX(TableWRCalcPts[TM],MATCH(TableWRVORP[[#This Row],[RK]],TableWRCalcPts[RK],0)),"")</f>
        <v>BUF</v>
      </c>
      <c r="R34" s="112">
        <f>IFERROR(INDEX(TableWRCalcPts[BYE],MATCH(TableWRVORP[[#This Row],[RK]],TableWRCalcPts[RK],0)),"")</f>
        <v>12</v>
      </c>
      <c r="S34" s="113">
        <f>IFERROR(INDEX(TableWRCalcPts[Custom],MATCH(TableWRVORP[[#This Row],[RK]],TableWRCalcPts[RK],0)),"")</f>
        <v>177.32419603379708</v>
      </c>
      <c r="T34" s="114">
        <f>(IFERROR((TableWRVORP[[#This Row],[FPS]]-INDEX(TableWRVORP[FPS],MATCH(WRVORPCalc,TableWRVORP[RK],0)))/INDEX(TableWRVORP[FPS],MATCH(WRVORPCalc,TableWRVORP[RK],0)),""))*1.2</f>
        <v>0.24539002156318312</v>
      </c>
      <c r="V34">
        <v>33</v>
      </c>
      <c r="W34" s="112" t="str">
        <f>IFERROR(INDEX(TableTECalcPts[PLAYER],MATCH(TableTEVORP[[#This Row],[RK]],TableTECalcPts[RK],0)),"")</f>
        <v>Michael Mayer</v>
      </c>
      <c r="X34" s="112" t="str">
        <f>IFERROR(INDEX(TableTECalcPts[TM],MATCH(TableTEVORP[[#This Row],[RK]],TableTECalcPts[RK],0)),"")</f>
        <v>LV</v>
      </c>
      <c r="Y34" s="112">
        <f>IFERROR(INDEX(TableTECalcPts[BYE],MATCH(TableTEVORP[[#This Row],[RK]],TableTECalcPts[RK],0)),"")</f>
        <v>10</v>
      </c>
      <c r="Z34" s="113">
        <f>IFERROR(INDEX(TableTECalcPts[Custom],MATCH(TableTEVORP[[#This Row],[RK]],TableTECalcPts[RK],0)),"")</f>
        <v>63.541282229215099</v>
      </c>
      <c r="AA34" s="114">
        <f>IFERROR((TableTEVORP[[#This Row],[FPS]]-INDEX(TableTEVORP[FPS],MATCH(TEVORPCalc,TableTEVORP[RK],0)))/INDEX(TableTEVORP[FPS],MATCH(TEVORPCalc,TableTEVORP[RK],0)),"")</f>
        <v>-0.51730666328672303</v>
      </c>
      <c r="AF34" t="s">
        <v>9</v>
      </c>
      <c r="AG34">
        <v>33</v>
      </c>
      <c r="AH34" s="83">
        <f>RANK(TableOverallMaster[[#This Row],[VORP]],TableOverallMaster[VORP])+COUNTIF($AM$2:AM34,AM34)-1</f>
        <v>250</v>
      </c>
      <c r="AI34" s="115" t="str">
        <f>IFERROR(INDEX(TableQBVORP[QUARTERBACK],MATCH(TableOverallMaster[[#This Row],[RK]],TableQBVORP[RK],0)),"")</f>
        <v>Aidan O'Connell</v>
      </c>
      <c r="AJ34" s="115" t="str">
        <f t="shared" si="0"/>
        <v>QB33</v>
      </c>
      <c r="AK34" s="115">
        <f>IFERROR(INDEX(TableQBVORP[BYE],MATCH(TableOverallMaster[[#This Row],[RK]],TableQBVORP[RK],0)),"")</f>
        <v>10</v>
      </c>
      <c r="AL34" s="116">
        <f>IFERROR(INDEX(TableQBVORP[FPS],MATCH(TableOverallMaster[[#This Row],[RK]],TableQBVORP[RK],0)),"")</f>
        <v>96.097259595861857</v>
      </c>
      <c r="AM34" s="117">
        <f>IFERROR(INDEX(TableQBVORP[VORP],MATCH(TableOverallMaster[[#This Row],[RK]],TableQBVORP[RK],0)),"")</f>
        <v>-0.62761075641092279</v>
      </c>
      <c r="AO34">
        <v>33</v>
      </c>
      <c r="AP34" s="118" t="str">
        <f>IFERROR(INDEX(TableOverallMaster[OVERALL PLAYER],MATCH(TableOverallRank[[#This Row],[RK]],TableOverallMaster[OVR RK],0)),"")</f>
        <v>James Conner</v>
      </c>
      <c r="AQ34" s="119" t="str">
        <f>IFERROR(INDEX(TableOverallMaster[POS RK],MATCH(TableOverallRank[[#This Row],[OVERALL PLAYER]],TableOverallMaster[OVERALL PLAYER],0)),"")</f>
        <v>RB20</v>
      </c>
      <c r="AR34" s="120">
        <f>IFERROR(INDEX(TableOverallMaster[BYE],MATCH(TableOverallRank[[#This Row],[OVERALL PLAYER]],TableOverallMaster[OVERALL PLAYER],0)),"")</f>
        <v>11</v>
      </c>
      <c r="AS34" s="119">
        <f>IFERROR(INDEX(TableOverallMaster[Custom],MATCH(TableOverallRank[[#This Row],[OVERALL PLAYER]],TableOverallMaster[OVERALL PLAYER],0)),"")</f>
        <v>191.74352001145337</v>
      </c>
      <c r="AT34" s="121">
        <f>IFERROR(INDEX(TableOverallMaster[VORP],MATCH(TableOverallRank[[#This Row],[OVERALL PLAYER]],TableOverallMaster[OVERALL PLAYER],0)),"")</f>
        <v>0.47921888557241732</v>
      </c>
      <c r="AV34">
        <v>33</v>
      </c>
      <c r="AW34" s="122" t="str">
        <f>IFERROR(INDEX(TableWRTECalcPts[PLAYER],MATCH(TableWRTERank[[#This Row],[RK]],TableWRTECalcPts[RK],0)),"")</f>
        <v>Mark Andrews</v>
      </c>
      <c r="AX34" s="122" t="str">
        <f>IFERROR(INDEX(TableWRTECalcPts[POS RK],MATCH(TableWRTERank[[#This Row],[WR and TE COMBINED]],TableWRTECalcPts[PLAYER],0)),"")</f>
        <v>TE3</v>
      </c>
      <c r="AY34" s="122">
        <f>IFERROR(INDEX(TableWRTECalcPts[BYE],MATCH(TableWRTERank[[#This Row],[RK]],TableWRTECalcPts[RK],0)),"")</f>
        <v>14</v>
      </c>
      <c r="AZ34" s="123">
        <f>IFERROR(INDEX(TableWRTECalcPts[Custom],MATCH(TableWRTERank[[#This Row],[RK]],TableWRTECalcPts[RK],0)),"")</f>
        <v>182.29298496535898</v>
      </c>
      <c r="BA34" s="174">
        <f>IFERROR((TableWRTERank[[#This Row],[FPS]]-INDEX(TableWRTERank[FPS],MATCH(WRTEVORPCalc,TableWRTERank[RK],0)))/INDEX(TableWRTERank[FPS],MATCH(WRTEVORPCalc,TableWRTERank[RK],0)),"")</f>
        <v>0.16167081927005908</v>
      </c>
      <c r="BC34" t="s">
        <v>208</v>
      </c>
      <c r="BD34">
        <v>33</v>
      </c>
      <c r="BE34" s="83">
        <f>RANK(TableWRTEMaster[[#This Row],[VORP]],TableWRTEMaster[VORP])+COUNTIF($BJ$2:BJ34,BJ34)-1</f>
        <v>38</v>
      </c>
      <c r="BF34" s="115" t="str">
        <f>IFERROR(INDEX(TableWRVORP[WIDE RECEIVER],MATCH(TableWRTEMaster[[#This Row],[RK]],TableWRVORP[RK],0)),"")</f>
        <v>Khalil Shakir</v>
      </c>
      <c r="BG34" s="115" t="str">
        <f>_xlfn.CONCAT(TableWRTEMaster[[#This Row],[POS]],TableWRTEMaster[[#This Row],[RK]])</f>
        <v>WR33</v>
      </c>
      <c r="BH34" s="115">
        <f>IFERROR(INDEX(TableWRVORP[BYE],MATCH(TableWRTEMaster[[#This Row],[RK]],TableWRVORP[RK],0)),"")</f>
        <v>12</v>
      </c>
      <c r="BI34" s="116">
        <f>IFERROR(INDEX(TableWRVORP[FPS],MATCH(TableWRTEMaster[[#This Row],[RK]],TableWRVORP[RK],0)),"")</f>
        <v>177.32419603379708</v>
      </c>
      <c r="BJ34" s="117">
        <f>IFERROR(INDEX(TableWRVORP[VORP],MATCH(TableWRTEMaster[[#This Row],[RK]],TableWRVORP[RK],0)),"")</f>
        <v>0.24539002156318312</v>
      </c>
    </row>
    <row r="35" spans="1:62" x14ac:dyDescent="0.2">
      <c r="A35">
        <v>34</v>
      </c>
      <c r="B35" s="112" t="str">
        <f>IFERROR(INDEX(TableQBCalcPts[PLAYER],MATCH(TableQBVORP[[#This Row],[RK]],TableQBCalcPts[RK],0)),"")</f>
        <v>Justin Fields</v>
      </c>
      <c r="C35" s="112" t="str">
        <f>IFERROR(INDEX(TableQBCalcPts[TM],MATCH(TableQBVORP[[#This Row],[RK]],TableQBCalcPts[RK],0)),"")</f>
        <v>PIT</v>
      </c>
      <c r="D35" s="112">
        <f>IFERROR(INDEX(TableQBCalcPts[BYE],MATCH(TableQBVORP[[#This Row],[RK]],TableQBCalcPts[RK],0)),"")</f>
        <v>9</v>
      </c>
      <c r="E35" s="113">
        <f>IFERROR(INDEX(TableQBCalcPts[Custom],MATCH(TableQBVORP[[#This Row],[RK]],TableQBCalcPts[RK],0)),"")</f>
        <v>84.962265033129825</v>
      </c>
      <c r="F35" s="114">
        <f>(IFERROR((TableQBVORP[[#This Row],[FPS]]-INDEX(TableQBVORP[FPS],MATCH(QBVORPCalc,TableQBVORP[RK],0)))/INDEX(TableQBVORP[FPS],MATCH(QBVORPCalc,TableQBVORP[RK],0)),""))+(TableRBVORP[[#This Row],[VORP]]*0.45)</f>
        <v>-0.67877584533177526</v>
      </c>
      <c r="H35">
        <v>34</v>
      </c>
      <c r="I35" s="112" t="str">
        <f>IFERROR(INDEX(TableRBCalcPts[PLAYER],MATCH(TableRBVORP[[#This Row],[RK]],TableRBCalcPts[RK],0)),"")</f>
        <v>Austin Ekeler</v>
      </c>
      <c r="J35" s="112" t="str">
        <f>IFERROR(INDEX(TableRBCalcPts[TM],MATCH(TableRBVORP[[#This Row],[RK]],TableRBCalcPts[RK],0)),"")</f>
        <v>WSH</v>
      </c>
      <c r="K35" s="112">
        <f>IFERROR(INDEX(TableRBCalcPts[BYE],MATCH(TableRBVORP[[#This Row],[RK]],TableRBCalcPts[RK],0)),"")</f>
        <v>14</v>
      </c>
      <c r="L35" s="113">
        <f>IFERROR(INDEX(TableRBCalcPts[Custom],MATCH(TableRBVORP[[#This Row],[RK]],TableRBCalcPts[RK],0)),"")</f>
        <v>150.92304762595202</v>
      </c>
      <c r="M35" s="114">
        <f>(IFERROR((TableRBVORP[[#This Row],[FPS]]-INDEX(TableRBVORP[FPS],MATCH(RBVORPCalc,TableRBVORP[RK],0)))/INDEX(TableRBVORP[FPS],MATCH(RBVORPCalc,TableRBVORP[RK],0)),""))*0.8</f>
        <v>0.20688468001281601</v>
      </c>
      <c r="O35">
        <v>34</v>
      </c>
      <c r="P35" s="112" t="str">
        <f>IFERROR(INDEX(TableWRCalcPts[PLAYER],MATCH(TableWRVORP[[#This Row],[RK]],TableWRCalcPts[RK],0)),"")</f>
        <v>Zay Flowers</v>
      </c>
      <c r="Q35" s="112" t="str">
        <f>IFERROR(INDEX(TableWRCalcPts[TM],MATCH(TableWRVORP[[#This Row],[RK]],TableWRCalcPts[RK],0)),"")</f>
        <v>BAL</v>
      </c>
      <c r="R35" s="112">
        <f>IFERROR(INDEX(TableWRCalcPts[BYE],MATCH(TableWRVORP[[#This Row],[RK]],TableWRCalcPts[RK],0)),"")</f>
        <v>14</v>
      </c>
      <c r="S35" s="113">
        <f>IFERROR(INDEX(TableWRCalcPts[Custom],MATCH(TableWRVORP[[#This Row],[RK]],TableWRCalcPts[RK],0)),"")</f>
        <v>176.12076560183124</v>
      </c>
      <c r="T35" s="114">
        <f>(IFERROR((TableWRVORP[[#This Row],[FPS]]-INDEX(TableWRVORP[FPS],MATCH(WRVORPCalc,TableWRVORP[RK],0)))/INDEX(TableWRVORP[FPS],MATCH(WRVORPCalc,TableWRVORP[RK],0)),""))*1.2</f>
        <v>0.23558072098878563</v>
      </c>
      <c r="V35">
        <v>34</v>
      </c>
      <c r="W35" s="112" t="str">
        <f>IFERROR(INDEX(TableTECalcPts[PLAYER],MATCH(TableTEVORP[[#This Row],[RK]],TableTECalcPts[RK],0)),"")</f>
        <v>Tommy Tremble</v>
      </c>
      <c r="X35" s="112" t="str">
        <f>IFERROR(INDEX(TableTECalcPts[TM],MATCH(TableTEVORP[[#This Row],[RK]],TableTECalcPts[RK],0)),"")</f>
        <v>CAR</v>
      </c>
      <c r="Y35" s="112">
        <f>IFERROR(INDEX(TableTECalcPts[BYE],MATCH(TableTEVORP[[#This Row],[RK]],TableTECalcPts[RK],0)),"")</f>
        <v>11</v>
      </c>
      <c r="Z35" s="113">
        <f>IFERROR(INDEX(TableTECalcPts[Custom],MATCH(TableTEVORP[[#This Row],[RK]],TableTECalcPts[RK],0)),"")</f>
        <v>59.441486316951199</v>
      </c>
      <c r="AA35" s="114">
        <f>IFERROR((TableTEVORP[[#This Row],[FPS]]-INDEX(TableTEVORP[FPS],MATCH(TEVORPCalc,TableTEVORP[RK],0)))/INDEX(TableTEVORP[FPS],MATCH(TEVORPCalc,TableTEVORP[RK],0)),"")</f>
        <v>-0.54845089109118239</v>
      </c>
      <c r="AF35" t="s">
        <v>9</v>
      </c>
      <c r="AG35">
        <v>34</v>
      </c>
      <c r="AH35" s="83">
        <f>RANK(TableOverallMaster[[#This Row],[VORP]],TableOverallMaster[VORP])+COUNTIF($AM$2:AM35,AM35)-1</f>
        <v>265</v>
      </c>
      <c r="AI35" s="115" t="str">
        <f>IFERROR(INDEX(TableQBVORP[QUARTERBACK],MATCH(TableOverallMaster[[#This Row],[RK]],TableQBVORP[RK],0)),"")</f>
        <v>Justin Fields</v>
      </c>
      <c r="AJ35" s="115" t="str">
        <f t="shared" si="0"/>
        <v>QB34</v>
      </c>
      <c r="AK35" s="115">
        <f>IFERROR(INDEX(TableQBVORP[BYE],MATCH(TableOverallMaster[[#This Row],[RK]],TableQBVORP[RK],0)),"")</f>
        <v>9</v>
      </c>
      <c r="AL35" s="116">
        <f>IFERROR(INDEX(TableQBVORP[FPS],MATCH(TableOverallMaster[[#This Row],[RK]],TableQBVORP[RK],0)),"")</f>
        <v>84.962265033129825</v>
      </c>
      <c r="AM35" s="117">
        <f>IFERROR(INDEX(TableQBVORP[VORP],MATCH(TableOverallMaster[[#This Row],[RK]],TableQBVORP[RK],0)),"")</f>
        <v>-0.67877584533177526</v>
      </c>
      <c r="AO35">
        <v>34</v>
      </c>
      <c r="AP35" s="118" t="str">
        <f>IFERROR(INDEX(TableOverallMaster[OVERALL PLAYER],MATCH(TableOverallRank[[#This Row],[RK]],TableOverallMaster[OVR RK],0)),"")</f>
        <v>Rashee Rice</v>
      </c>
      <c r="AQ35" s="119" t="str">
        <f>IFERROR(INDEX(TableOverallMaster[POS RK],MATCH(TableOverallRank[[#This Row],[OVERALL PLAYER]],TableOverallMaster[OVERALL PLAYER],0)),"")</f>
        <v>WR12</v>
      </c>
      <c r="AR35" s="120">
        <f>IFERROR(INDEX(TableOverallMaster[BYE],MATCH(TableOverallRank[[#This Row],[OVERALL PLAYER]],TableOverallMaster[OVERALL PLAYER],0)),"")</f>
        <v>6</v>
      </c>
      <c r="AS35" s="119">
        <f>IFERROR(INDEX(TableOverallMaster[Custom],MATCH(TableOverallRank[[#This Row],[OVERALL PLAYER]],TableOverallMaster[OVERALL PLAYER],0)),"")</f>
        <v>205.3788457910936</v>
      </c>
      <c r="AT35" s="121">
        <f>IFERROR(INDEX(TableOverallMaster[VORP],MATCH(TableOverallRank[[#This Row],[OVERALL PLAYER]],TableOverallMaster[OVERALL PLAYER],0)),"")</f>
        <v>0.4740667150129465</v>
      </c>
      <c r="AV35">
        <v>34</v>
      </c>
      <c r="AW35" s="122" t="str">
        <f>IFERROR(INDEX(TableWRTECalcPts[PLAYER],MATCH(TableWRTERank[[#This Row],[RK]],TableWRTECalcPts[RK],0)),"")</f>
        <v>Tank Dell</v>
      </c>
      <c r="AX35" s="122" t="str">
        <f>IFERROR(INDEX(TableWRTECalcPts[POS RK],MATCH(TableWRTERank[[#This Row],[WR and TE COMBINED]],TableWRTECalcPts[PLAYER],0)),"")</f>
        <v>WR31</v>
      </c>
      <c r="AY35" s="122">
        <f>IFERROR(INDEX(TableWRTECalcPts[BYE],MATCH(TableWRTERank[[#This Row],[RK]],TableWRTECalcPts[RK],0)),"")</f>
        <v>14</v>
      </c>
      <c r="AZ35" s="123">
        <f>IFERROR(INDEX(TableWRTECalcPts[Custom],MATCH(TableWRTERank[[#This Row],[RK]],TableWRTECalcPts[RK],0)),"")</f>
        <v>181.86577234960347</v>
      </c>
      <c r="BA35" s="174">
        <f>IFERROR((TableWRTERank[[#This Row],[FPS]]-INDEX(TableWRTERank[FPS],MATCH(WRTEVORPCalc,TableWRTERank[RK],0)))/INDEX(TableWRTERank[FPS],MATCH(WRTEVORPCalc,TableWRTERank[RK],0)),"")</f>
        <v>0.15894838631718647</v>
      </c>
      <c r="BC35" t="s">
        <v>208</v>
      </c>
      <c r="BD35">
        <v>34</v>
      </c>
      <c r="BE35" s="83">
        <f>RANK(TableWRTEMaster[[#This Row],[VORP]],TableWRTEMaster[VORP])+COUNTIF($BJ$2:BJ35,BJ35)-1</f>
        <v>40</v>
      </c>
      <c r="BF35" s="115" t="str">
        <f>IFERROR(INDEX(TableWRVORP[WIDE RECEIVER],MATCH(TableWRTEMaster[[#This Row],[RK]],TableWRVORP[RK],0)),"")</f>
        <v>Zay Flowers</v>
      </c>
      <c r="BG35" s="115" t="str">
        <f>_xlfn.CONCAT(TableWRTEMaster[[#This Row],[POS]],TableWRTEMaster[[#This Row],[RK]])</f>
        <v>WR34</v>
      </c>
      <c r="BH35" s="115">
        <f>IFERROR(INDEX(TableWRVORP[BYE],MATCH(TableWRTEMaster[[#This Row],[RK]],TableWRVORP[RK],0)),"")</f>
        <v>14</v>
      </c>
      <c r="BI35" s="116">
        <f>IFERROR(INDEX(TableWRVORP[FPS],MATCH(TableWRTEMaster[[#This Row],[RK]],TableWRVORP[RK],0)),"")</f>
        <v>176.12076560183124</v>
      </c>
      <c r="BJ35" s="117">
        <f>IFERROR(INDEX(TableWRVORP[VORP],MATCH(TableWRTEMaster[[#This Row],[RK]],TableWRVORP[RK],0)),"")</f>
        <v>0.23558072098878563</v>
      </c>
    </row>
    <row r="36" spans="1:62" x14ac:dyDescent="0.2">
      <c r="A36">
        <v>35</v>
      </c>
      <c r="B36" s="112" t="str">
        <f>IFERROR(INDEX(TableQBCalcPts[PLAYER],MATCH(TableQBVORP[[#This Row],[RK]],TableQBCalcPts[RK],0)),"")</f>
        <v>Jacoby Brissett</v>
      </c>
      <c r="C36" s="112" t="str">
        <f>IFERROR(INDEX(TableQBCalcPts[TM],MATCH(TableQBVORP[[#This Row],[RK]],TableQBCalcPts[RK],0)),"")</f>
        <v>NE</v>
      </c>
      <c r="D36" s="112">
        <f>IFERROR(INDEX(TableQBCalcPts[BYE],MATCH(TableQBVORP[[#This Row],[RK]],TableQBCalcPts[RK],0)),"")</f>
        <v>14</v>
      </c>
      <c r="E36" s="113">
        <f>IFERROR(INDEX(TableQBCalcPts[Custom],MATCH(TableQBVORP[[#This Row],[RK]],TableQBCalcPts[RK],0)),"")</f>
        <v>71.758407648976288</v>
      </c>
      <c r="F36" s="114">
        <f>(IFERROR((TableQBVORP[[#This Row],[FPS]]-INDEX(TableQBVORP[FPS],MATCH(QBVORPCalc,TableQBVORP[RK],0)))/INDEX(TableQBVORP[FPS],MATCH(QBVORPCalc,TableQBVORP[RK],0)),""))+(TableRBVORP[[#This Row],[VORP]]*0.45)</f>
        <v>-0.71945831805908977</v>
      </c>
      <c r="H36">
        <v>35</v>
      </c>
      <c r="I36" s="112" t="str">
        <f>IFERROR(INDEX(TableRBCalcPts[PLAYER],MATCH(TableRBVORP[[#This Row],[RK]],TableRBCalcPts[RK],0)),"")</f>
        <v>Nick Chubb</v>
      </c>
      <c r="J36" s="112" t="str">
        <f>IFERROR(INDEX(TableRBCalcPts[TM],MATCH(TableRBVORP[[#This Row],[RK]],TableRBCalcPts[RK],0)),"")</f>
        <v>CLE</v>
      </c>
      <c r="K36" s="112">
        <f>IFERROR(INDEX(TableRBCalcPts[BYE],MATCH(TableRBVORP[[#This Row],[RK]],TableRBCalcPts[RK],0)),"")</f>
        <v>10</v>
      </c>
      <c r="L36" s="113">
        <f>IFERROR(INDEX(TableRBCalcPts[Custom],MATCH(TableRBVORP[[#This Row],[RK]],TableRBCalcPts[RK],0)),"")</f>
        <v>149.18106401459886</v>
      </c>
      <c r="M36" s="114">
        <f>(IFERROR((TableRBVORP[[#This Row],[FPS]]-INDEX(TableRBVORP[FPS],MATCH(RBVORPCalc,TableRBVORP[RK],0)))/INDEX(TableRBVORP[FPS],MATCH(RBVORPCalc,TableRBVORP[RK],0)),""))*0.8</f>
        <v>0.19526301825409009</v>
      </c>
      <c r="O36">
        <v>35</v>
      </c>
      <c r="P36" s="112" t="str">
        <f>IFERROR(INDEX(TableWRCalcPts[PLAYER],MATCH(TableWRVORP[[#This Row],[RK]],TableWRCalcPts[RK],0)),"")</f>
        <v>Jordan Addison</v>
      </c>
      <c r="Q36" s="112" t="str">
        <f>IFERROR(INDEX(TableWRCalcPts[TM],MATCH(TableWRVORP[[#This Row],[RK]],TableWRCalcPts[RK],0)),"")</f>
        <v>MIN</v>
      </c>
      <c r="R36" s="112">
        <f>IFERROR(INDEX(TableWRCalcPts[BYE],MATCH(TableWRVORP[[#This Row],[RK]],TableWRCalcPts[RK],0)),"")</f>
        <v>6</v>
      </c>
      <c r="S36" s="113">
        <f>IFERROR(INDEX(TableWRCalcPts[Custom],MATCH(TableWRVORP[[#This Row],[RK]],TableWRCalcPts[RK],0)),"")</f>
        <v>173.55431512473601</v>
      </c>
      <c r="T36" s="114">
        <f>(IFERROR((TableWRVORP[[#This Row],[FPS]]-INDEX(TableWRVORP[FPS],MATCH(WRVORPCalc,TableWRVORP[RK],0)))/INDEX(TableWRVORP[FPS],MATCH(WRVORPCalc,TableWRVORP[RK],0)),""))*1.2</f>
        <v>0.21466128645362212</v>
      </c>
      <c r="V36">
        <v>35</v>
      </c>
      <c r="W36" s="112" t="str">
        <f>IFERROR(INDEX(TableTECalcPts[PLAYER],MATCH(TableTEVORP[[#This Row],[RK]],TableTECalcPts[RK],0)),"")</f>
        <v>Ja'Tavion Sanders</v>
      </c>
      <c r="X36" s="112" t="str">
        <f>IFERROR(INDEX(TableTECalcPts[TM],MATCH(TableTEVORP[[#This Row],[RK]],TableTECalcPts[RK],0)),"")</f>
        <v>CAR</v>
      </c>
      <c r="Y36" s="112">
        <f>IFERROR(INDEX(TableTECalcPts[BYE],MATCH(TableTEVORP[[#This Row],[RK]],TableTECalcPts[RK],0)),"")</f>
        <v>11</v>
      </c>
      <c r="Z36" s="113">
        <f>IFERROR(INDEX(TableTECalcPts[Custom],MATCH(TableTEVORP[[#This Row],[RK]],TableTECalcPts[RK],0)),"")</f>
        <v>59.212657014771921</v>
      </c>
      <c r="AA36" s="114">
        <f>IFERROR((TableTEVORP[[#This Row],[FPS]]-INDEX(TableTEVORP[FPS],MATCH(TEVORPCalc,TableTEVORP[RK],0)))/INDEX(TableTEVORP[FPS],MATCH(TEVORPCalc,TableTEVORP[RK],0)),"")</f>
        <v>-0.55018920003824201</v>
      </c>
      <c r="AF36" t="s">
        <v>9</v>
      </c>
      <c r="AG36">
        <v>35</v>
      </c>
      <c r="AH36" s="83">
        <f>RANK(TableOverallMaster[[#This Row],[VORP]],TableOverallMaster[VORP])+COUNTIF($AM$2:AM36,AM36)-1</f>
        <v>282</v>
      </c>
      <c r="AI36" s="115" t="str">
        <f>IFERROR(INDEX(TableQBVORP[QUARTERBACK],MATCH(TableOverallMaster[[#This Row],[RK]],TableQBVORP[RK],0)),"")</f>
        <v>Jacoby Brissett</v>
      </c>
      <c r="AJ36" s="115" t="str">
        <f t="shared" si="0"/>
        <v>QB35</v>
      </c>
      <c r="AK36" s="115">
        <f>IFERROR(INDEX(TableQBVORP[BYE],MATCH(TableOverallMaster[[#This Row],[RK]],TableQBVORP[RK],0)),"")</f>
        <v>14</v>
      </c>
      <c r="AL36" s="116">
        <f>IFERROR(INDEX(TableQBVORP[FPS],MATCH(TableOverallMaster[[#This Row],[RK]],TableQBVORP[RK],0)),"")</f>
        <v>71.758407648976288</v>
      </c>
      <c r="AM36" s="117">
        <f>IFERROR(INDEX(TableQBVORP[VORP],MATCH(TableOverallMaster[[#This Row],[RK]],TableQBVORP[RK],0)),"")</f>
        <v>-0.71945831805908977</v>
      </c>
      <c r="AO36">
        <v>35</v>
      </c>
      <c r="AP36" s="118" t="str">
        <f>IFERROR(INDEX(TableOverallMaster[OVERALL PLAYER],MATCH(TableOverallRank[[#This Row],[RK]],TableOverallMaster[OVR RK],0)),"")</f>
        <v>Jaylen Waddle</v>
      </c>
      <c r="AQ36" s="119" t="str">
        <f>IFERROR(INDEX(TableOverallMaster[POS RK],MATCH(TableOverallRank[[#This Row],[OVERALL PLAYER]],TableOverallMaster[OVERALL PLAYER],0)),"")</f>
        <v>WR13</v>
      </c>
      <c r="AR36" s="120">
        <f>IFERROR(INDEX(TableOverallMaster[BYE],MATCH(TableOverallRank[[#This Row],[OVERALL PLAYER]],TableOverallMaster[OVERALL PLAYER],0)),"")</f>
        <v>6</v>
      </c>
      <c r="AS36" s="119">
        <f>IFERROR(INDEX(TableOverallMaster[Custom],MATCH(TableOverallRank[[#This Row],[OVERALL PLAYER]],TableOverallMaster[OVERALL PLAYER],0)),"")</f>
        <v>205.17621580917057</v>
      </c>
      <c r="AT36" s="121">
        <f>IFERROR(INDEX(TableOverallMaster[VORP],MATCH(TableOverallRank[[#This Row],[OVERALL PLAYER]],TableOverallMaster[OVERALL PLAYER],0)),"")</f>
        <v>0.47241505460510658</v>
      </c>
      <c r="AV36">
        <v>35</v>
      </c>
      <c r="AW36" s="122" t="str">
        <f>IFERROR(INDEX(TableWRTECalcPts[PLAYER],MATCH(TableWRTERank[[#This Row],[RK]],TableWRTECalcPts[RK],0)),"")</f>
        <v>Brian Thomas</v>
      </c>
      <c r="AX36" s="122" t="str">
        <f>IFERROR(INDEX(TableWRTECalcPts[POS RK],MATCH(TableWRTERank[[#This Row],[WR and TE COMBINED]],TableWRTECalcPts[PLAYER],0)),"")</f>
        <v>WR32</v>
      </c>
      <c r="AY36" s="122">
        <f>IFERROR(INDEX(TableWRTECalcPts[BYE],MATCH(TableWRTERank[[#This Row],[RK]],TableWRTECalcPts[RK],0)),"")</f>
        <v>12</v>
      </c>
      <c r="AZ36" s="123">
        <f>IFERROR(INDEX(TableWRTECalcPts[Custom],MATCH(TableWRTERank[[#This Row],[RK]],TableWRTECalcPts[RK],0)),"")</f>
        <v>181.1515057352</v>
      </c>
      <c r="BA36" s="174">
        <f>IFERROR((TableWRTERank[[#This Row],[FPS]]-INDEX(TableWRTERank[FPS],MATCH(WRTEVORPCalc,TableWRTERank[RK],0)))/INDEX(TableWRTERank[FPS],MATCH(WRTEVORPCalc,TableWRTERank[RK],0)),"")</f>
        <v>0.1543966879438837</v>
      </c>
      <c r="BC36" t="s">
        <v>208</v>
      </c>
      <c r="BD36">
        <v>35</v>
      </c>
      <c r="BE36" s="83">
        <f>RANK(TableWRTEMaster[[#This Row],[VORP]],TableWRTEMaster[VORP])+COUNTIF($BJ$2:BJ36,BJ36)-1</f>
        <v>43</v>
      </c>
      <c r="BF36" s="115" t="str">
        <f>IFERROR(INDEX(TableWRVORP[WIDE RECEIVER],MATCH(TableWRTEMaster[[#This Row],[RK]],TableWRVORP[RK],0)),"")</f>
        <v>Jordan Addison</v>
      </c>
      <c r="BG36" s="115" t="str">
        <f>_xlfn.CONCAT(TableWRTEMaster[[#This Row],[POS]],TableWRTEMaster[[#This Row],[RK]])</f>
        <v>WR35</v>
      </c>
      <c r="BH36" s="115">
        <f>IFERROR(INDEX(TableWRVORP[BYE],MATCH(TableWRTEMaster[[#This Row],[RK]],TableWRVORP[RK],0)),"")</f>
        <v>6</v>
      </c>
      <c r="BI36" s="116">
        <f>IFERROR(INDEX(TableWRVORP[FPS],MATCH(TableWRTEMaster[[#This Row],[RK]],TableWRVORP[RK],0)),"")</f>
        <v>173.55431512473601</v>
      </c>
      <c r="BJ36" s="117">
        <f>IFERROR(INDEX(TableWRVORP[VORP],MATCH(TableWRTEMaster[[#This Row],[RK]],TableWRVORP[RK],0)),"")</f>
        <v>0.21466128645362212</v>
      </c>
    </row>
    <row r="37" spans="1:62" x14ac:dyDescent="0.2">
      <c r="A37">
        <v>36</v>
      </c>
      <c r="B37" s="112" t="str">
        <f>IFERROR(INDEX(TableQBCalcPts[PLAYER],MATCH(TableQBVORP[[#This Row],[RK]],TableQBCalcPts[RK],0)),"")</f>
        <v>Drew Lock</v>
      </c>
      <c r="C37" s="112" t="str">
        <f>IFERROR(INDEX(TableQBCalcPts[TM],MATCH(TableQBVORP[[#This Row],[RK]],TableQBCalcPts[RK],0)),"")</f>
        <v>NYG</v>
      </c>
      <c r="D37" s="112">
        <f>IFERROR(INDEX(TableQBCalcPts[BYE],MATCH(TableQBVORP[[#This Row],[RK]],TableQBCalcPts[RK],0)),"")</f>
        <v>11</v>
      </c>
      <c r="E37" s="113">
        <f>IFERROR(INDEX(TableQBCalcPts[Custom],MATCH(TableQBVORP[[#This Row],[RK]],TableQBCalcPts[RK],0)),"")</f>
        <v>66.139166646074798</v>
      </c>
      <c r="F37" s="114">
        <f>(IFERROR((TableQBVORP[[#This Row],[FPS]]-INDEX(TableQBVORP[FPS],MATCH(QBVORPCalc,TableQBVORP[RK],0)))/INDEX(TableQBVORP[FPS],MATCH(QBVORPCalc,TableQBVORP[RK],0)),""))+(TableRBVORP[[#This Row],[VORP]]*0.45)</f>
        <v>-0.74247852265578906</v>
      </c>
      <c r="H37">
        <v>36</v>
      </c>
      <c r="I37" s="112" t="str">
        <f>IFERROR(INDEX(TableRBCalcPts[PLAYER],MATCH(TableRBVORP[[#This Row],[RK]],TableRBCalcPts[RK],0)),"")</f>
        <v>Chuba Hubbard</v>
      </c>
      <c r="J37" s="112" t="str">
        <f>IFERROR(INDEX(TableRBCalcPts[TM],MATCH(TableRBVORP[[#This Row],[RK]],TableRBCalcPts[RK],0)),"")</f>
        <v>CAR</v>
      </c>
      <c r="K37" s="112">
        <f>IFERROR(INDEX(TableRBCalcPts[BYE],MATCH(TableRBVORP[[#This Row],[RK]],TableRBCalcPts[RK],0)),"")</f>
        <v>11</v>
      </c>
      <c r="L37" s="113">
        <f>IFERROR(INDEX(TableRBCalcPts[Custom],MATCH(TableRBVORP[[#This Row],[RK]],TableRBCalcPts[RK],0)),"")</f>
        <v>146.53885508250966</v>
      </c>
      <c r="M37" s="114">
        <f>(IFERROR((TableRBVORP[[#This Row],[FPS]]-INDEX(TableRBVORP[FPS],MATCH(RBVORPCalc,TableRBVORP[RK],0)))/INDEX(TableRBVORP[FPS],MATCH(RBVORPCalc,TableRBVORP[RK],0)),""))*0.8</f>
        <v>0.17763549391660663</v>
      </c>
      <c r="O37">
        <v>36</v>
      </c>
      <c r="P37" s="112" t="str">
        <f>IFERROR(INDEX(TableWRCalcPts[PLAYER],MATCH(TableWRVORP[[#This Row],[RK]],TableWRCalcPts[RK],0)),"")</f>
        <v>Michael Pittman</v>
      </c>
      <c r="Q37" s="112" t="str">
        <f>IFERROR(INDEX(TableWRCalcPts[TM],MATCH(TableWRVORP[[#This Row],[RK]],TableWRCalcPts[RK],0)),"")</f>
        <v>IND</v>
      </c>
      <c r="R37" s="112">
        <f>IFERROR(INDEX(TableWRCalcPts[BYE],MATCH(TableWRVORP[[#This Row],[RK]],TableWRCalcPts[RK],0)),"")</f>
        <v>14</v>
      </c>
      <c r="S37" s="113">
        <f>IFERROR(INDEX(TableWRCalcPts[Custom],MATCH(TableWRVORP[[#This Row],[RK]],TableWRCalcPts[RK],0)),"")</f>
        <v>173.37018571044479</v>
      </c>
      <c r="T37" s="114">
        <f>(IFERROR((TableWRVORP[[#This Row],[FPS]]-INDEX(TableWRVORP[FPS],MATCH(WRVORPCalc,TableWRVORP[RK],0)))/INDEX(TableWRVORP[FPS],MATCH(WRVORPCalc,TableWRVORP[RK],0)),""))*1.2</f>
        <v>0.21316042631132051</v>
      </c>
      <c r="V37">
        <v>36</v>
      </c>
      <c r="W37" s="112" t="str">
        <f>IFERROR(INDEX(TableTECalcPts[PLAYER],MATCH(TableTEVORP[[#This Row],[RK]],TableTECalcPts[RK],0)),"")</f>
        <v>Dawson Knox</v>
      </c>
      <c r="X37" s="112" t="str">
        <f>IFERROR(INDEX(TableTECalcPts[TM],MATCH(TableTEVORP[[#This Row],[RK]],TableTECalcPts[RK],0)),"")</f>
        <v>BUF</v>
      </c>
      <c r="Y37" s="112">
        <f>IFERROR(INDEX(TableTECalcPts[BYE],MATCH(TableTEVORP[[#This Row],[RK]],TableTECalcPts[RK],0)),"")</f>
        <v>12</v>
      </c>
      <c r="Z37" s="113">
        <f>IFERROR(INDEX(TableTECalcPts[Custom],MATCH(TableTEVORP[[#This Row],[RK]],TableTECalcPts[RK],0)),"")</f>
        <v>58.149530922381004</v>
      </c>
      <c r="AA37" s="114">
        <f>IFERROR((TableTEVORP[[#This Row],[FPS]]-INDEX(TableTEVORP[FPS],MATCH(TEVORPCalc,TableTEVORP[RK],0)))/INDEX(TableTEVORP[FPS],MATCH(TEVORPCalc,TableTEVORP[RK],0)),"")</f>
        <v>-0.55826527063171794</v>
      </c>
      <c r="AF37" t="s">
        <v>9</v>
      </c>
      <c r="AG37">
        <v>36</v>
      </c>
      <c r="AH37" s="83">
        <f>RANK(TableOverallMaster[[#This Row],[VORP]],TableOverallMaster[VORP])+COUNTIF($AM$2:AM37,AM37)-1</f>
        <v>287</v>
      </c>
      <c r="AI37" s="115" t="str">
        <f>IFERROR(INDEX(TableQBVORP[QUARTERBACK],MATCH(TableOverallMaster[[#This Row],[RK]],TableQBVORP[RK],0)),"")</f>
        <v>Drew Lock</v>
      </c>
      <c r="AJ37" s="115" t="str">
        <f t="shared" si="0"/>
        <v>QB36</v>
      </c>
      <c r="AK37" s="115">
        <f>IFERROR(INDEX(TableQBVORP[BYE],MATCH(TableOverallMaster[[#This Row],[RK]],TableQBVORP[RK],0)),"")</f>
        <v>11</v>
      </c>
      <c r="AL37" s="116">
        <f>IFERROR(INDEX(TableQBVORP[FPS],MATCH(TableOverallMaster[[#This Row],[RK]],TableQBVORP[RK],0)),"")</f>
        <v>66.139166646074798</v>
      </c>
      <c r="AM37" s="117">
        <f>IFERROR(INDEX(TableQBVORP[VORP],MATCH(TableOverallMaster[[#This Row],[RK]],TableQBVORP[RK],0)),"")</f>
        <v>-0.74247852265578906</v>
      </c>
      <c r="AO37">
        <v>36</v>
      </c>
      <c r="AP37" s="118" t="str">
        <f>IFERROR(INDEX(TableOverallMaster[OVERALL PLAYER],MATCH(TableOverallRank[[#This Row],[RK]],TableOverallMaster[OVR RK],0)),"")</f>
        <v>Brandon Aiyuk</v>
      </c>
      <c r="AQ37" s="119" t="str">
        <f>IFERROR(INDEX(TableOverallMaster[POS RK],MATCH(TableOverallRank[[#This Row],[OVERALL PLAYER]],TableOverallMaster[OVERALL PLAYER],0)),"")</f>
        <v>WR14</v>
      </c>
      <c r="AR37" s="120">
        <f>IFERROR(INDEX(TableOverallMaster[BYE],MATCH(TableOverallRank[[#This Row],[OVERALL PLAYER]],TableOverallMaster[OVERALL PLAYER],0)),"")</f>
        <v>9</v>
      </c>
      <c r="AS37" s="119">
        <f>IFERROR(INDEX(TableOverallMaster[Custom],MATCH(TableOverallRank[[#This Row],[OVERALL PLAYER]],TableOverallMaster[OVERALL PLAYER],0)),"")</f>
        <v>204.932700677376</v>
      </c>
      <c r="AT37" s="121">
        <f>IFERROR(INDEX(TableOverallMaster[VORP],MATCH(TableOverallRank[[#This Row],[OVERALL PLAYER]],TableOverallMaster[OVERALL PLAYER],0)),"")</f>
        <v>0.47043013461410638</v>
      </c>
      <c r="AV37">
        <v>36</v>
      </c>
      <c r="AW37" s="122" t="str">
        <f>IFERROR(INDEX(TableWRTECalcPts[PLAYER],MATCH(TableWRTERank[[#This Row],[RK]],TableWRTECalcPts[RK],0)),"")</f>
        <v>Kyle Pitts</v>
      </c>
      <c r="AX37" s="122" t="str">
        <f>IFERROR(INDEX(TableWRTECalcPts[POS RK],MATCH(TableWRTERank[[#This Row],[WR and TE COMBINED]],TableWRTECalcPts[PLAYER],0)),"")</f>
        <v>TE4</v>
      </c>
      <c r="AY37" s="122">
        <f>IFERROR(INDEX(TableWRTECalcPts[BYE],MATCH(TableWRTERank[[#This Row],[RK]],TableWRTECalcPts[RK],0)),"")</f>
        <v>12</v>
      </c>
      <c r="AZ37" s="123">
        <f>IFERROR(INDEX(TableWRTECalcPts[Custom],MATCH(TableWRTERank[[#This Row],[RK]],TableWRTECalcPts[RK],0)),"")</f>
        <v>177.62908957073282</v>
      </c>
      <c r="BA37" s="174">
        <f>IFERROR((TableWRTERank[[#This Row],[FPS]]-INDEX(TableWRTERank[FPS],MATCH(WRTEVORPCalc,TableWRTERank[RK],0)))/INDEX(TableWRTERank[FPS],MATCH(WRTEVORPCalc,TableWRTERank[RK],0)),"")</f>
        <v>0.13194992142478656</v>
      </c>
      <c r="BC37" t="s">
        <v>208</v>
      </c>
      <c r="BD37">
        <v>36</v>
      </c>
      <c r="BE37" s="83">
        <f>RANK(TableWRTEMaster[[#This Row],[VORP]],TableWRTEMaster[VORP])+COUNTIF($BJ$2:BJ37,BJ37)-1</f>
        <v>44</v>
      </c>
      <c r="BF37" s="115" t="str">
        <f>IFERROR(INDEX(TableWRVORP[WIDE RECEIVER],MATCH(TableWRTEMaster[[#This Row],[RK]],TableWRVORP[RK],0)),"")</f>
        <v>Michael Pittman</v>
      </c>
      <c r="BG37" s="115" t="str">
        <f>_xlfn.CONCAT(TableWRTEMaster[[#This Row],[POS]],TableWRTEMaster[[#This Row],[RK]])</f>
        <v>WR36</v>
      </c>
      <c r="BH37" s="115">
        <f>IFERROR(INDEX(TableWRVORP[BYE],MATCH(TableWRTEMaster[[#This Row],[RK]],TableWRVORP[RK],0)),"")</f>
        <v>14</v>
      </c>
      <c r="BI37" s="116">
        <f>IFERROR(INDEX(TableWRVORP[FPS],MATCH(TableWRTEMaster[[#This Row],[RK]],TableWRVORP[RK],0)),"")</f>
        <v>173.37018571044479</v>
      </c>
      <c r="BJ37" s="117">
        <f>IFERROR(INDEX(TableWRVORP[VORP],MATCH(TableWRTEMaster[[#This Row],[RK]],TableWRVORP[RK],0)),"")</f>
        <v>0.21316042631132051</v>
      </c>
    </row>
    <row r="38" spans="1:62" x14ac:dyDescent="0.2">
      <c r="A38">
        <v>37</v>
      </c>
      <c r="B38" s="112" t="str">
        <f>IFERROR(INDEX(TableQBCalcPts[PLAYER],MATCH(TableQBVORP[[#This Row],[RK]],TableQBCalcPts[RK],0)),"")</f>
        <v>Nick Mullens</v>
      </c>
      <c r="C38" s="112" t="str">
        <f>IFERROR(INDEX(TableQBCalcPts[TM],MATCH(TableQBVORP[[#This Row],[RK]],TableQBCalcPts[RK],0)),"")</f>
        <v>MIN</v>
      </c>
      <c r="D38" s="112">
        <f>IFERROR(INDEX(TableQBCalcPts[BYE],MATCH(TableQBVORP[[#This Row],[RK]],TableQBCalcPts[RK],0)),"")</f>
        <v>6</v>
      </c>
      <c r="E38" s="113">
        <f>IFERROR(INDEX(TableQBCalcPts[Custom],MATCH(TableQBVORP[[#This Row],[RK]],TableQBCalcPts[RK],0)),"")</f>
        <v>33.390141439999994</v>
      </c>
      <c r="F38" s="114">
        <f>(IFERROR((TableQBVORP[[#This Row],[FPS]]-INDEX(TableQBVORP[FPS],MATCH(QBVORPCalc,TableQBVORP[RK],0)))/INDEX(TableQBVORP[FPS],MATCH(QBVORPCalc,TableQBVORP[RK],0)),""))+(TableRBVORP[[#This Row],[VORP]]*0.45)</f>
        <v>-0.84698398307794243</v>
      </c>
      <c r="H38">
        <v>37</v>
      </c>
      <c r="I38" s="112" t="str">
        <f>IFERROR(INDEX(TableRBCalcPts[PLAYER],MATCH(TableRBVORP[[#This Row],[RK]],TableRBCalcPts[RK],0)),"")</f>
        <v>J.K. Dobbins</v>
      </c>
      <c r="J38" s="112" t="str">
        <f>IFERROR(INDEX(TableRBCalcPts[TM],MATCH(TableRBVORP[[#This Row],[RK]],TableRBCalcPts[RK],0)),"")</f>
        <v>LAC</v>
      </c>
      <c r="K38" s="112">
        <f>IFERROR(INDEX(TableRBCalcPts[BYE],MATCH(TableRBVORP[[#This Row],[RK]],TableRBCalcPts[RK],0)),"")</f>
        <v>5</v>
      </c>
      <c r="L38" s="113">
        <f>IFERROR(INDEX(TableRBCalcPts[Custom],MATCH(TableRBVORP[[#This Row],[RK]],TableRBCalcPts[RK],0)),"")</f>
        <v>141.01839423318069</v>
      </c>
      <c r="M38" s="114">
        <f>(IFERROR((TableRBVORP[[#This Row],[FPS]]-INDEX(TableRBVORP[FPS],MATCH(RBVORPCalc,TableRBVORP[RK],0)))/INDEX(TableRBVORP[FPS],MATCH(RBVORPCalc,TableRBVORP[RK],0)),""))*0.8</f>
        <v>0.14080568201421254</v>
      </c>
      <c r="O38">
        <v>37</v>
      </c>
      <c r="P38" s="112" t="str">
        <f>IFERROR(INDEX(TableWRCalcPts[PLAYER],MATCH(TableWRVORP[[#This Row],[RK]],TableWRCalcPts[RK],0)),"")</f>
        <v>Joshua Palmer</v>
      </c>
      <c r="Q38" s="112" t="str">
        <f>IFERROR(INDEX(TableWRCalcPts[TM],MATCH(TableWRVORP[[#This Row],[RK]],TableWRCalcPts[RK],0)),"")</f>
        <v>LAC</v>
      </c>
      <c r="R38" s="112">
        <f>IFERROR(INDEX(TableWRCalcPts[BYE],MATCH(TableWRVORP[[#This Row],[RK]],TableWRCalcPts[RK],0)),"")</f>
        <v>5</v>
      </c>
      <c r="S38" s="113">
        <f>IFERROR(INDEX(TableWRCalcPts[Custom],MATCH(TableWRVORP[[#This Row],[RK]],TableWRCalcPts[RK],0)),"")</f>
        <v>172.74939155380375</v>
      </c>
      <c r="T38" s="114">
        <f>(IFERROR((TableWRVORP[[#This Row],[FPS]]-INDEX(TableWRVORP[FPS],MATCH(WRVORPCalc,TableWRVORP[RK],0)))/INDEX(TableWRVORP[FPS],MATCH(WRVORPCalc,TableWRVORP[RK],0)),""))*1.2</f>
        <v>0.20810026137318272</v>
      </c>
      <c r="V38">
        <v>37</v>
      </c>
      <c r="W38" s="112" t="str">
        <f>IFERROR(INDEX(TableTECalcPts[PLAYER],MATCH(TableTEVORP[[#This Row],[RK]],TableTECalcPts[RK],0)),"")</f>
        <v>Zach Ertz</v>
      </c>
      <c r="X38" s="112" t="str">
        <f>IFERROR(INDEX(TableTECalcPts[TM],MATCH(TableTEVORP[[#This Row],[RK]],TableTECalcPts[RK],0)),"")</f>
        <v>WSH</v>
      </c>
      <c r="Y38" s="112">
        <f>IFERROR(INDEX(TableTECalcPts[BYE],MATCH(TableTEVORP[[#This Row],[RK]],TableTECalcPts[RK],0)),"")</f>
        <v>14</v>
      </c>
      <c r="Z38" s="113">
        <f>IFERROR(INDEX(TableTECalcPts[Custom],MATCH(TableTEVORP[[#This Row],[RK]],TableTECalcPts[RK],0)),"")</f>
        <v>56.143588018518017</v>
      </c>
      <c r="AA38" s="114">
        <f>IFERROR((TableTEVORP[[#This Row],[FPS]]-INDEX(TableTEVORP[FPS],MATCH(TEVORPCalc,TableTEVORP[RK],0)))/INDEX(TableTEVORP[FPS],MATCH(TEVORPCalc,TableTEVORP[RK],0)),"")</f>
        <v>-0.57350347860538009</v>
      </c>
      <c r="AF38" t="s">
        <v>9</v>
      </c>
      <c r="AG38">
        <v>37</v>
      </c>
      <c r="AH38" s="83">
        <f>RANK(TableOverallMaster[[#This Row],[VORP]],TableOverallMaster[VORP])+COUNTIF($AM$2:AM38,AM38)-1</f>
        <v>297</v>
      </c>
      <c r="AI38" s="115" t="str">
        <f>IFERROR(INDEX(TableQBVORP[QUARTERBACK],MATCH(TableOverallMaster[[#This Row],[RK]],TableQBVORP[RK],0)),"")</f>
        <v>Nick Mullens</v>
      </c>
      <c r="AJ38" s="115" t="str">
        <f t="shared" si="0"/>
        <v>QB37</v>
      </c>
      <c r="AK38" s="115">
        <f>IFERROR(INDEX(TableQBVORP[BYE],MATCH(TableOverallMaster[[#This Row],[RK]],TableQBVORP[RK],0)),"")</f>
        <v>6</v>
      </c>
      <c r="AL38" s="116">
        <f>IFERROR(INDEX(TableQBVORP[FPS],MATCH(TableOverallMaster[[#This Row],[RK]],TableQBVORP[RK],0)),"")</f>
        <v>33.390141439999994</v>
      </c>
      <c r="AM38" s="117">
        <f>IFERROR(INDEX(TableQBVORP[VORP],MATCH(TableOverallMaster[[#This Row],[RK]],TableQBVORP[RK],0)),"")</f>
        <v>-0.84698398307794243</v>
      </c>
      <c r="AO38">
        <v>37</v>
      </c>
      <c r="AP38" s="118" t="str">
        <f>IFERROR(INDEX(TableOverallMaster[OVERALL PLAYER],MATCH(TableOverallRank[[#This Row],[RK]],TableOverallMaster[OVR RK],0)),"")</f>
        <v>Tee Higgins</v>
      </c>
      <c r="AQ38" s="119" t="str">
        <f>IFERROR(INDEX(TableOverallMaster[POS RK],MATCH(TableOverallRank[[#This Row],[OVERALL PLAYER]],TableOverallMaster[OVERALL PLAYER],0)),"")</f>
        <v>WR15</v>
      </c>
      <c r="AR38" s="120">
        <f>IFERROR(INDEX(TableOverallMaster[BYE],MATCH(TableOverallRank[[#This Row],[OVERALL PLAYER]],TableOverallMaster[OVERALL PLAYER],0)),"")</f>
        <v>12</v>
      </c>
      <c r="AS38" s="119">
        <f>IFERROR(INDEX(TableOverallMaster[Custom],MATCH(TableOverallRank[[#This Row],[OVERALL PLAYER]],TableOverallMaster[OVERALL PLAYER],0)),"")</f>
        <v>204.30798894549793</v>
      </c>
      <c r="AT38" s="121">
        <f>IFERROR(INDEX(TableOverallMaster[VORP],MATCH(TableOverallRank[[#This Row],[OVERALL PLAYER]],TableOverallMaster[OVERALL PLAYER],0)),"")</f>
        <v>0.46533803706731741</v>
      </c>
      <c r="AV38">
        <v>37</v>
      </c>
      <c r="AW38" s="122" t="str">
        <f>IFERROR(INDEX(TableWRTECalcPts[PLAYER],MATCH(TableWRTERank[[#This Row],[RK]],TableWRTECalcPts[RK],0)),"")</f>
        <v>Khalil Shakir</v>
      </c>
      <c r="AX38" s="122" t="str">
        <f>IFERROR(INDEX(TableWRTECalcPts[POS RK],MATCH(TableWRTERank[[#This Row],[WR and TE COMBINED]],TableWRTECalcPts[PLAYER],0)),"")</f>
        <v>WR33</v>
      </c>
      <c r="AY38" s="122">
        <f>IFERROR(INDEX(TableWRTECalcPts[BYE],MATCH(TableWRTERank[[#This Row],[RK]],TableWRTECalcPts[RK],0)),"")</f>
        <v>12</v>
      </c>
      <c r="AZ38" s="123">
        <f>IFERROR(INDEX(TableWRTECalcPts[Custom],MATCH(TableWRTERank[[#This Row],[RK]],TableWRTECalcPts[RK],0)),"")</f>
        <v>177.32419603379708</v>
      </c>
      <c r="BA38" s="174">
        <f>IFERROR((TableWRTERank[[#This Row],[FPS]]-INDEX(TableWRTERank[FPS],MATCH(WRTEVORPCalc,TableWRTERank[RK],0)))/INDEX(TableWRTERank[FPS],MATCH(WRTEVORPCalc,TableWRTERank[RK],0)),"")</f>
        <v>0.13000697268811637</v>
      </c>
      <c r="BC38" t="s">
        <v>208</v>
      </c>
      <c r="BD38">
        <v>37</v>
      </c>
      <c r="BE38" s="83">
        <f>RANK(TableWRTEMaster[[#This Row],[VORP]],TableWRTEMaster[VORP])+COUNTIF($BJ$2:BJ38,BJ38)-1</f>
        <v>45</v>
      </c>
      <c r="BF38" s="115" t="str">
        <f>IFERROR(INDEX(TableWRVORP[WIDE RECEIVER],MATCH(TableWRTEMaster[[#This Row],[RK]],TableWRVORP[RK],0)),"")</f>
        <v>Joshua Palmer</v>
      </c>
      <c r="BG38" s="115" t="str">
        <f>_xlfn.CONCAT(TableWRTEMaster[[#This Row],[POS]],TableWRTEMaster[[#This Row],[RK]])</f>
        <v>WR37</v>
      </c>
      <c r="BH38" s="115">
        <f>IFERROR(INDEX(TableWRVORP[BYE],MATCH(TableWRTEMaster[[#This Row],[RK]],TableWRVORP[RK],0)),"")</f>
        <v>5</v>
      </c>
      <c r="BI38" s="116">
        <f>IFERROR(INDEX(TableWRVORP[FPS],MATCH(TableWRTEMaster[[#This Row],[RK]],TableWRVORP[RK],0)),"")</f>
        <v>172.74939155380375</v>
      </c>
      <c r="BJ38" s="117">
        <f>IFERROR(INDEX(TableWRVORP[VORP],MATCH(TableWRTEMaster[[#This Row],[RK]],TableWRVORP[RK],0)),"")</f>
        <v>0.20810026137318272</v>
      </c>
    </row>
    <row r="39" spans="1:62" x14ac:dyDescent="0.2">
      <c r="A39">
        <v>38</v>
      </c>
      <c r="B39" s="112" t="str">
        <f>IFERROR(INDEX(TableQBCalcPts[PLAYER],MATCH(TableQBVORP[[#This Row],[RK]],TableQBCalcPts[RK],0)),"")</f>
        <v>Sam Howell</v>
      </c>
      <c r="C39" s="112" t="str">
        <f>IFERROR(INDEX(TableQBCalcPts[TM],MATCH(TableQBVORP[[#This Row],[RK]],TableQBCalcPts[RK],0)),"")</f>
        <v>SEA</v>
      </c>
      <c r="D39" s="112">
        <f>IFERROR(INDEX(TableQBCalcPts[BYE],MATCH(TableQBVORP[[#This Row],[RK]],TableQBCalcPts[RK],0)),"")</f>
        <v>10</v>
      </c>
      <c r="E39" s="113">
        <f>IFERROR(INDEX(TableQBCalcPts[Custom],MATCH(TableQBVORP[[#This Row],[RK]],TableQBCalcPts[RK],0)),"")</f>
        <v>27.688196317621554</v>
      </c>
      <c r="F39" s="114">
        <f>(IFERROR((TableQBVORP[[#This Row],[FPS]]-INDEX(TableQBVORP[FPS],MATCH(QBVORPCalc,TableQBVORP[RK],0)))/INDEX(TableQBVORP[FPS],MATCH(QBVORPCalc,TableQBVORP[RK],0)),""))+(TableRBVORP[[#This Row],[VORP]]*0.45)</f>
        <v>-0.862474046490188</v>
      </c>
      <c r="H39">
        <v>38</v>
      </c>
      <c r="I39" s="112" t="str">
        <f>IFERROR(INDEX(TableRBCalcPts[PLAYER],MATCH(TableRBVORP[[#This Row],[RK]],TableRBCalcPts[RK],0)),"")</f>
        <v>Zach Charbonnet</v>
      </c>
      <c r="J39" s="112" t="str">
        <f>IFERROR(INDEX(TableRBCalcPts[TM],MATCH(TableRBVORP[[#This Row],[RK]],TableRBCalcPts[RK],0)),"")</f>
        <v>SEA</v>
      </c>
      <c r="K39" s="112">
        <f>IFERROR(INDEX(TableRBCalcPts[BYE],MATCH(TableRBVORP[[#This Row],[RK]],TableRBCalcPts[RK],0)),"")</f>
        <v>10</v>
      </c>
      <c r="L39" s="113">
        <f>IFERROR(INDEX(TableRBCalcPts[Custom],MATCH(TableRBVORP[[#This Row],[RK]],TableRBCalcPts[RK],0)),"")</f>
        <v>140.95837720488342</v>
      </c>
      <c r="M39" s="114">
        <f>(IFERROR((TableRBVORP[[#This Row],[FPS]]-INDEX(TableRBVORP[FPS],MATCH(RBVORPCalc,TableRBVORP[RK],0)))/INDEX(TableRBVORP[FPS],MATCH(RBVORPCalc,TableRBVORP[RK],0)),""))*0.8</f>
        <v>0.14040527778647535</v>
      </c>
      <c r="O39">
        <v>38</v>
      </c>
      <c r="P39" s="112" t="str">
        <f>IFERROR(INDEX(TableWRCalcPts[PLAYER],MATCH(TableWRVORP[[#This Row],[RK]],TableWRCalcPts[RK],0)),"")</f>
        <v>Diontae Johnson</v>
      </c>
      <c r="Q39" s="112" t="str">
        <f>IFERROR(INDEX(TableWRCalcPts[TM],MATCH(TableWRVORP[[#This Row],[RK]],TableWRCalcPts[RK],0)),"")</f>
        <v>CAR</v>
      </c>
      <c r="R39" s="112">
        <f>IFERROR(INDEX(TableWRCalcPts[BYE],MATCH(TableWRVORP[[#This Row],[RK]],TableWRCalcPts[RK],0)),"")</f>
        <v>11</v>
      </c>
      <c r="S39" s="113">
        <f>IFERROR(INDEX(TableWRCalcPts[Custom],MATCH(TableWRVORP[[#This Row],[RK]],TableWRCalcPts[RK],0)),"")</f>
        <v>171.49062820982402</v>
      </c>
      <c r="T39" s="114">
        <f>(IFERROR((TableWRVORP[[#This Row],[FPS]]-INDEX(TableWRVORP[FPS],MATCH(WRVORPCalc,TableWRVORP[RK],0)))/INDEX(TableWRVORP[FPS],MATCH(WRVORPCalc,TableWRVORP[RK],0)),""))*1.2</f>
        <v>0.19783993583615886</v>
      </c>
      <c r="V39">
        <v>38</v>
      </c>
      <c r="W39" s="112" t="str">
        <f>IFERROR(INDEX(TableTECalcPts[PLAYER],MATCH(TableTEVORP[[#This Row],[RK]],TableTECalcPts[RK],0)),"")</f>
        <v>Daniel Bellinger</v>
      </c>
      <c r="X39" s="112" t="str">
        <f>IFERROR(INDEX(TableTECalcPts[TM],MATCH(TableTEVORP[[#This Row],[RK]],TableTECalcPts[RK],0)),"")</f>
        <v>NYG</v>
      </c>
      <c r="Y39" s="112">
        <f>IFERROR(INDEX(TableTECalcPts[BYE],MATCH(TableTEVORP[[#This Row],[RK]],TableTECalcPts[RK],0)),"")</f>
        <v>11</v>
      </c>
      <c r="Z39" s="113">
        <f>IFERROR(INDEX(TableTECalcPts[Custom],MATCH(TableTEVORP[[#This Row],[RK]],TableTECalcPts[RK],0)),"")</f>
        <v>52.988011934465121</v>
      </c>
      <c r="AA39" s="114">
        <f>IFERROR((TableTEVORP[[#This Row],[FPS]]-INDEX(TableTEVORP[FPS],MATCH(TEVORPCalc,TableTEVORP[RK],0)))/INDEX(TableTEVORP[FPS],MATCH(TEVORPCalc,TableTEVORP[RK],0)),"")</f>
        <v>-0.59747491096913841</v>
      </c>
      <c r="AF39" t="s">
        <v>9</v>
      </c>
      <c r="AG39">
        <v>38</v>
      </c>
      <c r="AH39" s="83">
        <f>RANK(TableOverallMaster[[#This Row],[VORP]],TableOverallMaster[VORP])+COUNTIF($AM$2:AM39,AM39)-1</f>
        <v>298</v>
      </c>
      <c r="AI39" s="115" t="str">
        <f>IFERROR(INDEX(TableQBVORP[QUARTERBACK],MATCH(TableOverallMaster[[#This Row],[RK]],TableQBVORP[RK],0)),"")</f>
        <v>Sam Howell</v>
      </c>
      <c r="AJ39" s="115" t="str">
        <f t="shared" si="0"/>
        <v>QB38</v>
      </c>
      <c r="AK39" s="115">
        <f>IFERROR(INDEX(TableQBVORP[BYE],MATCH(TableOverallMaster[[#This Row],[RK]],TableQBVORP[RK],0)),"")</f>
        <v>10</v>
      </c>
      <c r="AL39" s="116">
        <f>IFERROR(INDEX(TableQBVORP[FPS],MATCH(TableOverallMaster[[#This Row],[RK]],TableQBVORP[RK],0)),"")</f>
        <v>27.688196317621554</v>
      </c>
      <c r="AM39" s="117">
        <f>IFERROR(INDEX(TableQBVORP[VORP],MATCH(TableOverallMaster[[#This Row],[RK]],TableQBVORP[RK],0)),"")</f>
        <v>-0.862474046490188</v>
      </c>
      <c r="AO39">
        <v>38</v>
      </c>
      <c r="AP39" s="118" t="str">
        <f>IFERROR(INDEX(TableOverallMaster[OVERALL PLAYER],MATCH(TableOverallRank[[#This Row],[RK]],TableOverallMaster[OVR RK],0)),"")</f>
        <v>D'Andre Swift</v>
      </c>
      <c r="AQ39" s="119" t="str">
        <f>IFERROR(INDEX(TableOverallMaster[POS RK],MATCH(TableOverallRank[[#This Row],[OVERALL PLAYER]],TableOverallMaster[OVERALL PLAYER],0)),"")</f>
        <v>RB21</v>
      </c>
      <c r="AR39" s="120">
        <f>IFERROR(INDEX(TableOverallMaster[BYE],MATCH(TableOverallRank[[#This Row],[OVERALL PLAYER]],TableOverallMaster[OVERALL PLAYER],0)),"")</f>
        <v>7</v>
      </c>
      <c r="AS39" s="119">
        <f>IFERROR(INDEX(TableOverallMaster[Custom],MATCH(TableOverallRank[[#This Row],[OVERALL PLAYER]],TableOverallMaster[OVERALL PLAYER],0)),"")</f>
        <v>188.77453535321337</v>
      </c>
      <c r="AT39" s="121">
        <f>IFERROR(INDEX(TableOverallMaster[VORP],MATCH(TableOverallRank[[#This Row],[OVERALL PLAYER]],TableOverallMaster[OVERALL PLAYER],0)),"")</f>
        <v>0.45941127358339928</v>
      </c>
      <c r="AV39">
        <v>38</v>
      </c>
      <c r="AW39" s="122" t="str">
        <f>IFERROR(INDEX(TableWRTECalcPts[PLAYER],MATCH(TableWRTERank[[#This Row],[RK]],TableWRTECalcPts[RK],0)),"")</f>
        <v>Zay Flowers</v>
      </c>
      <c r="AX39" s="122" t="str">
        <f>IFERROR(INDEX(TableWRTECalcPts[POS RK],MATCH(TableWRTERank[[#This Row],[WR and TE COMBINED]],TableWRTECalcPts[PLAYER],0)),"")</f>
        <v>WR34</v>
      </c>
      <c r="AY39" s="122">
        <f>IFERROR(INDEX(TableWRTECalcPts[BYE],MATCH(TableWRTERank[[#This Row],[RK]],TableWRTECalcPts[RK],0)),"")</f>
        <v>14</v>
      </c>
      <c r="AZ39" s="123">
        <f>IFERROR(INDEX(TableWRTECalcPts[Custom],MATCH(TableWRTERank[[#This Row],[RK]],TableWRTECalcPts[RK],0)),"")</f>
        <v>176.12076560183124</v>
      </c>
      <c r="BA39" s="174">
        <f>IFERROR((TableWRTERank[[#This Row],[FPS]]-INDEX(TableWRTERank[FPS],MATCH(WRTEVORPCalc,TableWRTERank[RK],0)))/INDEX(TableWRTERank[FPS],MATCH(WRTEVORPCalc,TableWRTERank[RK],0)),"")</f>
        <v>0.12233805434711745</v>
      </c>
      <c r="BC39" t="s">
        <v>208</v>
      </c>
      <c r="BD39">
        <v>38</v>
      </c>
      <c r="BE39" s="83">
        <f>RANK(TableWRTEMaster[[#This Row],[VORP]],TableWRTEMaster[VORP])+COUNTIF($BJ$2:BJ39,BJ39)-1</f>
        <v>46</v>
      </c>
      <c r="BF39" s="115" t="str">
        <f>IFERROR(INDEX(TableWRVORP[WIDE RECEIVER],MATCH(TableWRTEMaster[[#This Row],[RK]],TableWRVORP[RK],0)),"")</f>
        <v>Diontae Johnson</v>
      </c>
      <c r="BG39" s="115" t="str">
        <f>_xlfn.CONCAT(TableWRTEMaster[[#This Row],[POS]],TableWRTEMaster[[#This Row],[RK]])</f>
        <v>WR38</v>
      </c>
      <c r="BH39" s="115">
        <f>IFERROR(INDEX(TableWRVORP[BYE],MATCH(TableWRTEMaster[[#This Row],[RK]],TableWRVORP[RK],0)),"")</f>
        <v>11</v>
      </c>
      <c r="BI39" s="116">
        <f>IFERROR(INDEX(TableWRVORP[FPS],MATCH(TableWRTEMaster[[#This Row],[RK]],TableWRVORP[RK],0)),"")</f>
        <v>171.49062820982402</v>
      </c>
      <c r="BJ39" s="117">
        <f>IFERROR(INDEX(TableWRVORP[VORP],MATCH(TableWRTEMaster[[#This Row],[RK]],TableWRVORP[RK],0)),"")</f>
        <v>0.19783993583615886</v>
      </c>
    </row>
    <row r="40" spans="1:62" x14ac:dyDescent="0.2">
      <c r="A40">
        <v>39</v>
      </c>
      <c r="B40" s="112" t="str">
        <f>IFERROR(INDEX(TableQBCalcPts[PLAYER],MATCH(TableQBVORP[[#This Row],[RK]],TableQBCalcPts[RK],0)),"")</f>
        <v>Easton Stick</v>
      </c>
      <c r="C40" s="112" t="str">
        <f>IFERROR(INDEX(TableQBCalcPts[TM],MATCH(TableQBVORP[[#This Row],[RK]],TableQBCalcPts[RK],0)),"")</f>
        <v>LAC</v>
      </c>
      <c r="D40" s="112">
        <f>IFERROR(INDEX(TableQBCalcPts[BYE],MATCH(TableQBVORP[[#This Row],[RK]],TableQBCalcPts[RK],0)),"")</f>
        <v>5</v>
      </c>
      <c r="E40" s="113">
        <f>IFERROR(INDEX(TableQBCalcPts[Custom],MATCH(TableQBVORP[[#This Row],[RK]],TableQBCalcPts[RK],0)),"")</f>
        <v>24.425186876458412</v>
      </c>
      <c r="F40" s="114">
        <f>(IFERROR((TableQBVORP[[#This Row],[FPS]]-INDEX(TableQBVORP[FPS],MATCH(QBVORPCalc,TableQBVORP[RK],0)))/INDEX(TableQBVORP[FPS],MATCH(QBVORPCalc,TableQBVORP[RK],0)),""))+(TableRBVORP[[#This Row],[VORP]]*0.45)</f>
        <v>-0.87171881451398237</v>
      </c>
      <c r="H40">
        <v>39</v>
      </c>
      <c r="I40" s="112" t="str">
        <f>IFERROR(INDEX(TableRBCalcPts[PLAYER],MATCH(TableRBVORP[[#This Row],[RK]],TableRBCalcPts[RK],0)),"")</f>
        <v>Jonathon Brooks</v>
      </c>
      <c r="J40" s="112" t="str">
        <f>IFERROR(INDEX(TableRBCalcPts[TM],MATCH(TableRBVORP[[#This Row],[RK]],TableRBCalcPts[RK],0)),"")</f>
        <v>CAR</v>
      </c>
      <c r="K40" s="112">
        <f>IFERROR(INDEX(TableRBCalcPts[BYE],MATCH(TableRBVORP[[#This Row],[RK]],TableRBCalcPts[RK],0)),"")</f>
        <v>11</v>
      </c>
      <c r="L40" s="113">
        <f>IFERROR(INDEX(TableRBCalcPts[Custom],MATCH(TableRBVORP[[#This Row],[RK]],TableRBCalcPts[RK],0)),"")</f>
        <v>140.79732862710091</v>
      </c>
      <c r="M40" s="114">
        <f>(IFERROR((TableRBVORP[[#This Row],[FPS]]-INDEX(TableRBVORP[FPS],MATCH(RBVORPCalc,TableRBVORP[RK],0)))/INDEX(TableRBVORP[FPS],MATCH(RBVORPCalc,TableRBVORP[RK],0)),""))*0.8</f>
        <v>0.13933084052683986</v>
      </c>
      <c r="O40">
        <v>39</v>
      </c>
      <c r="P40" s="112" t="str">
        <f>IFERROR(INDEX(TableWRCalcPts[PLAYER],MATCH(TableWRVORP[[#This Row],[RK]],TableWRCalcPts[RK],0)),"")</f>
        <v>DeAndre Hopkins</v>
      </c>
      <c r="Q40" s="112" t="str">
        <f>IFERROR(INDEX(TableWRCalcPts[TM],MATCH(TableWRVORP[[#This Row],[RK]],TableWRCalcPts[RK],0)),"")</f>
        <v>TEN</v>
      </c>
      <c r="R40" s="112">
        <f>IFERROR(INDEX(TableWRCalcPts[BYE],MATCH(TableWRVORP[[#This Row],[RK]],TableWRCalcPts[RK],0)),"")</f>
        <v>5</v>
      </c>
      <c r="S40" s="113">
        <f>IFERROR(INDEX(TableWRCalcPts[Custom],MATCH(TableWRVORP[[#This Row],[RK]],TableWRCalcPts[RK],0)),"")</f>
        <v>170.19671371216654</v>
      </c>
      <c r="T40" s="114">
        <f>(IFERROR((TableWRVORP[[#This Row],[FPS]]-INDEX(TableWRVORP[FPS],MATCH(WRVORPCalc,TableWRVORP[RK],0)))/INDEX(TableWRVORP[FPS],MATCH(WRVORPCalc,TableWRVORP[RK],0)),""))*1.2</f>
        <v>0.18729308918183304</v>
      </c>
      <c r="V40">
        <v>39</v>
      </c>
      <c r="W40" s="112" t="str">
        <f>IFERROR(INDEX(TableTECalcPts[PLAYER],MATCH(TableTEVORP[[#This Row],[RK]],TableTECalcPts[RK],0)),"")</f>
        <v>Kylen Granson</v>
      </c>
      <c r="X40" s="112" t="str">
        <f>IFERROR(INDEX(TableTECalcPts[TM],MATCH(TableTEVORP[[#This Row],[RK]],TableTECalcPts[RK],0)),"")</f>
        <v>IND</v>
      </c>
      <c r="Y40" s="112">
        <f>IFERROR(INDEX(TableTECalcPts[BYE],MATCH(TableTEVORP[[#This Row],[RK]],TableTECalcPts[RK],0)),"")</f>
        <v>14</v>
      </c>
      <c r="Z40" s="113">
        <f>IFERROR(INDEX(TableTECalcPts[Custom],MATCH(TableTEVORP[[#This Row],[RK]],TableTECalcPts[RK],0)),"")</f>
        <v>51.971771830712242</v>
      </c>
      <c r="AA40" s="114">
        <f>IFERROR((TableTEVORP[[#This Row],[FPS]]-INDEX(TableTEVORP[FPS],MATCH(TEVORPCalc,TableTEVORP[RK],0)))/INDEX(TableTEVORP[FPS],MATCH(TEVORPCalc,TableTEVORP[RK],0)),"")</f>
        <v>-0.60519481068430014</v>
      </c>
      <c r="AF40" t="s">
        <v>9</v>
      </c>
      <c r="AG40">
        <v>39</v>
      </c>
      <c r="AH40" s="83">
        <f>RANK(TableOverallMaster[[#This Row],[VORP]],TableOverallMaster[VORP])+COUNTIF($AM$2:AM40,AM40)-1</f>
        <v>299</v>
      </c>
      <c r="AI40" s="115" t="str">
        <f>IFERROR(INDEX(TableQBVORP[QUARTERBACK],MATCH(TableOverallMaster[[#This Row],[RK]],TableQBVORP[RK],0)),"")</f>
        <v>Easton Stick</v>
      </c>
      <c r="AJ40" s="115" t="str">
        <f t="shared" si="0"/>
        <v>QB39</v>
      </c>
      <c r="AK40" s="115">
        <f>IFERROR(INDEX(TableQBVORP[BYE],MATCH(TableOverallMaster[[#This Row],[RK]],TableQBVORP[RK],0)),"")</f>
        <v>5</v>
      </c>
      <c r="AL40" s="116">
        <f>IFERROR(INDEX(TableQBVORP[FPS],MATCH(TableOverallMaster[[#This Row],[RK]],TableQBVORP[RK],0)),"")</f>
        <v>24.425186876458412</v>
      </c>
      <c r="AM40" s="117">
        <f>IFERROR(INDEX(TableQBVORP[VORP],MATCH(TableOverallMaster[[#This Row],[RK]],TableQBVORP[RK],0)),"")</f>
        <v>-0.87171881451398237</v>
      </c>
      <c r="AO40">
        <v>39</v>
      </c>
      <c r="AP40" s="118" t="str">
        <f>IFERROR(INDEX(TableOverallMaster[OVERALL PLAYER],MATCH(TableOverallRank[[#This Row],[RK]],TableOverallMaster[OVR RK],0)),"")</f>
        <v>DeVonta Smith</v>
      </c>
      <c r="AQ40" s="119" t="str">
        <f>IFERROR(INDEX(TableOverallMaster[POS RK],MATCH(TableOverallRank[[#This Row],[OVERALL PLAYER]],TableOverallMaster[OVERALL PLAYER],0)),"")</f>
        <v>WR16</v>
      </c>
      <c r="AR40" s="120">
        <f>IFERROR(INDEX(TableOverallMaster[BYE],MATCH(TableOverallRank[[#This Row],[OVERALL PLAYER]],TableOverallMaster[OVERALL PLAYER],0)),"")</f>
        <v>5</v>
      </c>
      <c r="AS40" s="119">
        <f>IFERROR(INDEX(TableOverallMaster[Custom],MATCH(TableOverallRank[[#This Row],[OVERALL PLAYER]],TableOverallMaster[OVERALL PLAYER],0)),"")</f>
        <v>200.62046472114179</v>
      </c>
      <c r="AT40" s="121">
        <f>IFERROR(INDEX(TableOverallMaster[VORP],MATCH(TableOverallRank[[#This Row],[OVERALL PLAYER]],TableOverallMaster[OVERALL PLAYER],0)),"")</f>
        <v>0.43528060081569037</v>
      </c>
      <c r="AV40">
        <v>39</v>
      </c>
      <c r="AW40" s="122" t="str">
        <f>IFERROR(INDEX(TableWRTECalcPts[PLAYER],MATCH(TableWRTERank[[#This Row],[RK]],TableWRTECalcPts[RK],0)),"")</f>
        <v>Jordan Addison</v>
      </c>
      <c r="AX40" s="122" t="str">
        <f>IFERROR(INDEX(TableWRTECalcPts[POS RK],MATCH(TableWRTERank[[#This Row],[WR and TE COMBINED]],TableWRTECalcPts[PLAYER],0)),"")</f>
        <v>WR35</v>
      </c>
      <c r="AY40" s="122">
        <f>IFERROR(INDEX(TableWRTECalcPts[BYE],MATCH(TableWRTERank[[#This Row],[RK]],TableWRTECalcPts[RK],0)),"")</f>
        <v>6</v>
      </c>
      <c r="AZ40" s="123">
        <f>IFERROR(INDEX(TableWRTECalcPts[Custom],MATCH(TableWRTERank[[#This Row],[RK]],TableWRTECalcPts[RK],0)),"")</f>
        <v>173.55431512473601</v>
      </c>
      <c r="BA40" s="174">
        <f>IFERROR((TableWRTERank[[#This Row],[FPS]]-INDEX(TableWRTERank[FPS],MATCH(WRTEVORPCalc,TableWRTERank[RK],0)))/INDEX(TableWRTERank[FPS],MATCH(WRTEVORPCalc,TableWRTERank[RK],0)),"")</f>
        <v>0.10598322517522256</v>
      </c>
      <c r="BC40" t="s">
        <v>208</v>
      </c>
      <c r="BD40">
        <v>39</v>
      </c>
      <c r="BE40" s="83">
        <f>RANK(TableWRTEMaster[[#This Row],[VORP]],TableWRTEMaster[VORP])+COUNTIF($BJ$2:BJ40,BJ40)-1</f>
        <v>48</v>
      </c>
      <c r="BF40" s="115" t="str">
        <f>IFERROR(INDEX(TableWRVORP[WIDE RECEIVER],MATCH(TableWRTEMaster[[#This Row],[RK]],TableWRVORP[RK],0)),"")</f>
        <v>DeAndre Hopkins</v>
      </c>
      <c r="BG40" s="115" t="str">
        <f>_xlfn.CONCAT(TableWRTEMaster[[#This Row],[POS]],TableWRTEMaster[[#This Row],[RK]])</f>
        <v>WR39</v>
      </c>
      <c r="BH40" s="115">
        <f>IFERROR(INDEX(TableWRVORP[BYE],MATCH(TableWRTEMaster[[#This Row],[RK]],TableWRVORP[RK],0)),"")</f>
        <v>5</v>
      </c>
      <c r="BI40" s="116">
        <f>IFERROR(INDEX(TableWRVORP[FPS],MATCH(TableWRTEMaster[[#This Row],[RK]],TableWRVORP[RK],0)),"")</f>
        <v>170.19671371216654</v>
      </c>
      <c r="BJ40" s="117">
        <f>IFERROR(INDEX(TableWRVORP[VORP],MATCH(TableWRTEMaster[[#This Row],[RK]],TableWRVORP[RK],0)),"")</f>
        <v>0.18729308918183304</v>
      </c>
    </row>
    <row r="41" spans="1:62" x14ac:dyDescent="0.2">
      <c r="A41">
        <v>40</v>
      </c>
      <c r="B41" s="112" t="str">
        <f>IFERROR(INDEX(TableQBCalcPts[PLAYER],MATCH(TableQBVORP[[#This Row],[RK]],TableQBCalcPts[RK],0)),"")</f>
        <v>Clayton Tune</v>
      </c>
      <c r="C41" s="112" t="str">
        <f>IFERROR(INDEX(TableQBCalcPts[TM],MATCH(TableQBVORP[[#This Row],[RK]],TableQBCalcPts[RK],0)),"")</f>
        <v>ARI</v>
      </c>
      <c r="D41" s="112">
        <f>IFERROR(INDEX(TableQBCalcPts[BYE],MATCH(TableQBVORP[[#This Row],[RK]],TableQBCalcPts[RK],0)),"")</f>
        <v>11</v>
      </c>
      <c r="E41" s="113">
        <f>IFERROR(INDEX(TableQBCalcPts[Custom],MATCH(TableQBVORP[[#This Row],[RK]],TableQBCalcPts[RK],0)),"")</f>
        <v>16.462684903460051</v>
      </c>
      <c r="F41" s="114">
        <f>(IFERROR((TableQBVORP[[#This Row],[FPS]]-INDEX(TableQBVORP[FPS],MATCH(QBVORPCalc,TableQBVORP[RK],0)))/INDEX(TableQBVORP[FPS],MATCH(QBVORPCalc,TableQBVORP[RK],0)),""))+(TableRBVORP[[#This Row],[VORP]]*0.45)</f>
        <v>-0.89357003450177919</v>
      </c>
      <c r="H41">
        <v>40</v>
      </c>
      <c r="I41" s="112" t="str">
        <f>IFERROR(INDEX(TableRBCalcPts[PLAYER],MATCH(TableRBVORP[[#This Row],[RK]],TableRBCalcPts[RK],0)),"")</f>
        <v>Ezekiel Elliott</v>
      </c>
      <c r="J41" s="112" t="str">
        <f>IFERROR(INDEX(TableRBCalcPts[TM],MATCH(TableRBVORP[[#This Row],[RK]],TableRBCalcPts[RK],0)),"")</f>
        <v>DAL</v>
      </c>
      <c r="K41" s="112">
        <f>IFERROR(INDEX(TableRBCalcPts[BYE],MATCH(TableRBVORP[[#This Row],[RK]],TableRBCalcPts[RK],0)),"")</f>
        <v>7</v>
      </c>
      <c r="L41" s="113">
        <f>IFERROR(INDEX(TableRBCalcPts[Custom],MATCH(TableRBVORP[[#This Row],[RK]],TableRBCalcPts[RK],0)),"")</f>
        <v>140.64021599356784</v>
      </c>
      <c r="M41" s="114">
        <f>(IFERROR((TableRBVORP[[#This Row],[FPS]]-INDEX(TableRBVORP[FPS],MATCH(RBVORPCalc,TableRBVORP[RK],0)))/INDEX(TableRBVORP[FPS],MATCH(RBVORPCalc,TableRBVORP[RK],0)),""))*0.8</f>
        <v>0.13828266196015079</v>
      </c>
      <c r="O41">
        <v>40</v>
      </c>
      <c r="P41" s="112" t="str">
        <f>IFERROR(INDEX(TableWRCalcPts[PLAYER],MATCH(TableWRVORP[[#This Row],[RK]],TableWRCalcPts[RK],0)),"")</f>
        <v>Marquise Brown</v>
      </c>
      <c r="Q41" s="112" t="str">
        <f>IFERROR(INDEX(TableWRCalcPts[TM],MATCH(TableWRVORP[[#This Row],[RK]],TableWRCalcPts[RK],0)),"")</f>
        <v>KC</v>
      </c>
      <c r="R41" s="112">
        <f>IFERROR(INDEX(TableWRCalcPts[BYE],MATCH(TableWRVORP[[#This Row],[RK]],TableWRCalcPts[RK],0)),"")</f>
        <v>6</v>
      </c>
      <c r="S41" s="113">
        <f>IFERROR(INDEX(TableWRCalcPts[Custom],MATCH(TableWRVORP[[#This Row],[RK]],TableWRCalcPts[RK],0)),"")</f>
        <v>169.58278297902092</v>
      </c>
      <c r="T41" s="114">
        <f>(IFERROR((TableWRVORP[[#This Row],[FPS]]-INDEX(TableWRVORP[FPS],MATCH(WRVORPCalc,TableWRVORP[RK],0)))/INDEX(TableWRVORP[FPS],MATCH(WRVORPCalc,TableWRVORP[RK],0)),""))*1.2</f>
        <v>0.18228886880205744</v>
      </c>
      <c r="V41">
        <v>40</v>
      </c>
      <c r="W41" s="112" t="str">
        <f>IFERROR(INDEX(TableTECalcPts[PLAYER],MATCH(TableTEVORP[[#This Row],[RK]],TableTECalcPts[RK],0)),"")</f>
        <v>Will Dissly</v>
      </c>
      <c r="X41" s="112" t="str">
        <f>IFERROR(INDEX(TableTECalcPts[TM],MATCH(TableTEVORP[[#This Row],[RK]],TableTECalcPts[RK],0)),"")</f>
        <v>LAC</v>
      </c>
      <c r="Y41" s="112">
        <f>IFERROR(INDEX(TableTECalcPts[BYE],MATCH(TableTEVORP[[#This Row],[RK]],TableTECalcPts[RK],0)),"")</f>
        <v>5</v>
      </c>
      <c r="Z41" s="113">
        <f>IFERROR(INDEX(TableTECalcPts[Custom],MATCH(TableTEVORP[[#This Row],[RK]],TableTECalcPts[RK],0)),"")</f>
        <v>51.886490271348435</v>
      </c>
      <c r="AA41" s="114">
        <f>IFERROR((TableTEVORP[[#This Row],[FPS]]-INDEX(TableTEVORP[FPS],MATCH(TEVORPCalc,TableTEVORP[RK],0)))/INDEX(TableTEVORP[FPS],MATCH(TEVORPCalc,TableTEVORP[RK],0)),"")</f>
        <v>-0.60584265471585319</v>
      </c>
      <c r="AF41" t="s">
        <v>9</v>
      </c>
      <c r="AG41">
        <v>40</v>
      </c>
      <c r="AH41" s="83">
        <f>RANK(TableOverallMaster[[#This Row],[VORP]],TableOverallMaster[VORP])+COUNTIF($AM$2:AM41,AM41)-1</f>
        <v>300</v>
      </c>
      <c r="AI41" s="115" t="str">
        <f>IFERROR(INDEX(TableQBVORP[QUARTERBACK],MATCH(TableOverallMaster[[#This Row],[RK]],TableQBVORP[RK],0)),"")</f>
        <v>Clayton Tune</v>
      </c>
      <c r="AJ41" s="115" t="str">
        <f t="shared" si="0"/>
        <v>QB40</v>
      </c>
      <c r="AK41" s="115">
        <f>IFERROR(INDEX(TableQBVORP[BYE],MATCH(TableOverallMaster[[#This Row],[RK]],TableQBVORP[RK],0)),"")</f>
        <v>11</v>
      </c>
      <c r="AL41" s="116">
        <f>IFERROR(INDEX(TableQBVORP[FPS],MATCH(TableOverallMaster[[#This Row],[RK]],TableQBVORP[RK],0)),"")</f>
        <v>16.462684903460051</v>
      </c>
      <c r="AM41" s="117">
        <f>IFERROR(INDEX(TableQBVORP[VORP],MATCH(TableOverallMaster[[#This Row],[RK]],TableQBVORP[RK],0)),"")</f>
        <v>-0.89357003450177919</v>
      </c>
      <c r="AO41">
        <v>40</v>
      </c>
      <c r="AP41" s="118" t="str">
        <f>IFERROR(INDEX(TableOverallMaster[OVERALL PLAYER],MATCH(TableOverallRank[[#This Row],[RK]],TableOverallMaster[OVR RK],0)),"")</f>
        <v>Jalen Hurts</v>
      </c>
      <c r="AQ41" s="119" t="str">
        <f>IFERROR(INDEX(TableOverallMaster[POS RK],MATCH(TableOverallRank[[#This Row],[OVERALL PLAYER]],TableOverallMaster[OVERALL PLAYER],0)),"")</f>
        <v>QB2</v>
      </c>
      <c r="AR41" s="120">
        <f>IFERROR(INDEX(TableOverallMaster[BYE],MATCH(TableOverallRank[[#This Row],[OVERALL PLAYER]],TableOverallMaster[OVERALL PLAYER],0)),"")</f>
        <v>5</v>
      </c>
      <c r="AS41" s="119">
        <f>IFERROR(INDEX(TableOverallMaster[Custom],MATCH(TableOverallRank[[#This Row],[OVERALL PLAYER]],TableOverallMaster[OVERALL PLAYER],0)),"")</f>
        <v>372.4356141320917</v>
      </c>
      <c r="AT41" s="121">
        <f>IFERROR(INDEX(TableOverallMaster[VORP],MATCH(TableOverallRank[[#This Row],[OVERALL PLAYER]],TableOverallMaster[OVERALL PLAYER],0)),"")</f>
        <v>0.42569160650721771</v>
      </c>
      <c r="AV41">
        <v>40</v>
      </c>
      <c r="AW41" s="122" t="str">
        <f>IFERROR(INDEX(TableWRTECalcPts[PLAYER],MATCH(TableWRTERank[[#This Row],[RK]],TableWRTECalcPts[RK],0)),"")</f>
        <v>Michael Pittman</v>
      </c>
      <c r="AX41" s="122" t="str">
        <f>IFERROR(INDEX(TableWRTECalcPts[POS RK],MATCH(TableWRTERank[[#This Row],[WR and TE COMBINED]],TableWRTECalcPts[PLAYER],0)),"")</f>
        <v>WR36</v>
      </c>
      <c r="AY41" s="122">
        <f>IFERROR(INDEX(TableWRTECalcPts[BYE],MATCH(TableWRTERank[[#This Row],[RK]],TableWRTECalcPts[RK],0)),"")</f>
        <v>14</v>
      </c>
      <c r="AZ41" s="123">
        <f>IFERROR(INDEX(TableWRTECalcPts[Custom],MATCH(TableWRTERank[[#This Row],[RK]],TableWRTECalcPts[RK],0)),"")</f>
        <v>173.37018571044479</v>
      </c>
      <c r="BA41" s="174">
        <f>IFERROR((TableWRTERank[[#This Row],[FPS]]-INDEX(TableWRTERank[FPS],MATCH(WRTEVORPCalc,TableWRTERank[RK],0)))/INDEX(TableWRTERank[FPS],MATCH(WRTEVORPCalc,TableWRTERank[RK],0)),"")</f>
        <v>0.10480985162169802</v>
      </c>
      <c r="BC41" t="s">
        <v>208</v>
      </c>
      <c r="BD41">
        <v>40</v>
      </c>
      <c r="BE41" s="83">
        <f>RANK(TableWRTEMaster[[#This Row],[VORP]],TableWRTEMaster[VORP])+COUNTIF($BJ$2:BJ41,BJ41)-1</f>
        <v>49</v>
      </c>
      <c r="BF41" s="115" t="str">
        <f>IFERROR(INDEX(TableWRVORP[WIDE RECEIVER],MATCH(TableWRTEMaster[[#This Row],[RK]],TableWRVORP[RK],0)),"")</f>
        <v>Marquise Brown</v>
      </c>
      <c r="BG41" s="115" t="str">
        <f>_xlfn.CONCAT(TableWRTEMaster[[#This Row],[POS]],TableWRTEMaster[[#This Row],[RK]])</f>
        <v>WR40</v>
      </c>
      <c r="BH41" s="115">
        <f>IFERROR(INDEX(TableWRVORP[BYE],MATCH(TableWRTEMaster[[#This Row],[RK]],TableWRVORP[RK],0)),"")</f>
        <v>6</v>
      </c>
      <c r="BI41" s="116">
        <f>IFERROR(INDEX(TableWRVORP[FPS],MATCH(TableWRTEMaster[[#This Row],[RK]],TableWRVORP[RK],0)),"")</f>
        <v>169.58278297902092</v>
      </c>
      <c r="BJ41" s="117">
        <f>IFERROR(INDEX(TableWRVORP[VORP],MATCH(TableWRTEMaster[[#This Row],[RK]],TableWRVORP[RK],0)),"")</f>
        <v>0.18228886880205744</v>
      </c>
    </row>
    <row r="42" spans="1:62" x14ac:dyDescent="0.2">
      <c r="A42">
        <v>41</v>
      </c>
      <c r="B42" s="112" t="str">
        <f>IFERROR(INDEX(TableQBCalcPts[PLAYER],MATCH(TableQBVORP[[#This Row],[RK]],TableQBCalcPts[RK],0)),"")</f>
        <v>Jake Browning</v>
      </c>
      <c r="C42" s="112" t="str">
        <f>IFERROR(INDEX(TableQBCalcPts[TM],MATCH(TableQBVORP[[#This Row],[RK]],TableQBCalcPts[RK],0)),"")</f>
        <v>CIN</v>
      </c>
      <c r="D42" s="112">
        <f>IFERROR(INDEX(TableQBCalcPts[BYE],MATCH(TableQBVORP[[#This Row],[RK]],TableQBCalcPts[RK],0)),"")</f>
        <v>12</v>
      </c>
      <c r="E42" s="113">
        <f>IFERROR(INDEX(TableQBCalcPts[Custom],MATCH(TableQBVORP[[#This Row],[RK]],TableQBCalcPts[RK],0)),"")</f>
        <v>13.811457173920372</v>
      </c>
      <c r="F42" s="114">
        <f>(IFERROR((TableQBVORP[[#This Row],[FPS]]-INDEX(TableQBVORP[FPS],MATCH(QBVORPCalc,TableQBVORP[RK],0)))/INDEX(TableQBVORP[FPS],MATCH(QBVORPCalc,TableQBVORP[RK],0)),""))+(TableRBVORP[[#This Row],[VORP]]*0.45)</f>
        <v>-0.91184808217641478</v>
      </c>
      <c r="H42">
        <v>41</v>
      </c>
      <c r="I42" s="112" t="str">
        <f>IFERROR(INDEX(TableRBCalcPts[PLAYER],MATCH(TableRBVORP[[#This Row],[RK]],TableRBCalcPts[RK],0)),"")</f>
        <v>Jaylen Warren</v>
      </c>
      <c r="J42" s="112" t="str">
        <f>IFERROR(INDEX(TableRBCalcPts[TM],MATCH(TableRBVORP[[#This Row],[RK]],TableRBCalcPts[RK],0)),"")</f>
        <v>PIT</v>
      </c>
      <c r="K42" s="112">
        <f>IFERROR(INDEX(TableRBCalcPts[BYE],MATCH(TableRBVORP[[#This Row],[RK]],TableRBCalcPts[RK],0)),"")</f>
        <v>9</v>
      </c>
      <c r="L42" s="113">
        <f>IFERROR(INDEX(TableRBCalcPts[Custom],MATCH(TableRBVORP[[#This Row],[RK]],TableRBCalcPts[RK],0)),"")</f>
        <v>136.92310756992001</v>
      </c>
      <c r="M42" s="114">
        <f>(IFERROR((TableRBVORP[[#This Row],[FPS]]-INDEX(TableRBVORP[FPS],MATCH(RBVORPCalc,TableRBVORP[RK],0)))/INDEX(TableRBVORP[FPS],MATCH(RBVORPCalc,TableRBVORP[RK],0)),""))*0.8</f>
        <v>0.11348393449876595</v>
      </c>
      <c r="O42">
        <v>41</v>
      </c>
      <c r="P42" s="112" t="str">
        <f>IFERROR(INDEX(TableWRCalcPts[PLAYER],MATCH(TableWRVORP[[#This Row],[RK]],TableWRCalcPts[RK],0)),"")</f>
        <v>Chris Godwin</v>
      </c>
      <c r="Q42" s="112" t="str">
        <f>IFERROR(INDEX(TableWRCalcPts[TM],MATCH(TableWRVORP[[#This Row],[RK]],TableWRCalcPts[RK],0)),"")</f>
        <v>TB</v>
      </c>
      <c r="R42" s="112">
        <f>IFERROR(INDEX(TableWRCalcPts[BYE],MATCH(TableWRVORP[[#This Row],[RK]],TableWRCalcPts[RK],0)),"")</f>
        <v>11</v>
      </c>
      <c r="S42" s="113">
        <f>IFERROR(INDEX(TableWRCalcPts[Custom],MATCH(TableWRVORP[[#This Row],[RK]],TableWRCalcPts[RK],0)),"")</f>
        <v>167.29208694718784</v>
      </c>
      <c r="T42" s="114">
        <f>(IFERROR((TableWRVORP[[#This Row],[FPS]]-INDEX(TableWRVORP[FPS],MATCH(WRVORPCalc,TableWRVORP[RK],0)))/INDEX(TableWRVORP[FPS],MATCH(WRVORPCalc,TableWRVORP[RK],0)),""))*1.2</f>
        <v>0.16361714062901747</v>
      </c>
      <c r="V42">
        <v>41</v>
      </c>
      <c r="W42" s="112" t="str">
        <f>IFERROR(INDEX(TableTECalcPts[PLAYER],MATCH(TableTEVORP[[#This Row],[RK]],TableTECalcPts[RK],0)),"")</f>
        <v>Mo Alie-Cox</v>
      </c>
      <c r="X42" s="112" t="str">
        <f>IFERROR(INDEX(TableTECalcPts[TM],MATCH(TableTEVORP[[#This Row],[RK]],TableTECalcPts[RK],0)),"")</f>
        <v>IND</v>
      </c>
      <c r="Y42" s="112">
        <f>IFERROR(INDEX(TableTECalcPts[BYE],MATCH(TableTEVORP[[#This Row],[RK]],TableTECalcPts[RK],0)),"")</f>
        <v>14</v>
      </c>
      <c r="Z42" s="113">
        <f>IFERROR(INDEX(TableTECalcPts[Custom],MATCH(TableTEVORP[[#This Row],[RK]],TableTECalcPts[RK],0)),"")</f>
        <v>47.760272891565855</v>
      </c>
      <c r="AA42" s="114">
        <f>IFERROR((TableTEVORP[[#This Row],[FPS]]-INDEX(TableTEVORP[FPS],MATCH(TEVORPCalc,TableTEVORP[RK],0)))/INDEX(TableTEVORP[FPS],MATCH(TEVORPCalc,TableTEVORP[RK],0)),"")</f>
        <v>-0.63718759402423597</v>
      </c>
      <c r="AF42" t="s">
        <v>207</v>
      </c>
      <c r="AG42">
        <v>1</v>
      </c>
      <c r="AH42" s="83">
        <f>RANK(TableOverallMaster[[#This Row],[VORP]],TableOverallMaster[VORP])+COUNTIF($AM$2:AM42,AM42)-1</f>
        <v>1</v>
      </c>
      <c r="AI42" s="115" t="str">
        <f>IFERROR(INDEX(TableRBVORP[RUNNING BACK],MATCH(TableOverallMaster[[#This Row],[RK]],TableRBVORP[RK],0)),"")</f>
        <v>Christian McCaffrey</v>
      </c>
      <c r="AJ42" s="115" t="str">
        <f t="shared" si="0"/>
        <v>RB1</v>
      </c>
      <c r="AK42" s="115">
        <f>IFERROR(INDEX(TableRBVORP[BYE],MATCH(TableOverallMaster[[#This Row],[RK]],TableRBVORP[RK],0)),"")</f>
        <v>9</v>
      </c>
      <c r="AL42" s="116">
        <f>IFERROR(INDEX(TableRBVORP[FPS],MATCH(TableOverallMaster[[#This Row],[RK]],TableRBVORP[RK],0)),"")</f>
        <v>318.16897140131476</v>
      </c>
      <c r="AM42" s="117">
        <f>IFERROR(INDEX(TableRBVORP[VORP],MATCH(TableOverallMaster[[#This Row],[RK]],TableRBVORP[RK],0)),"")</f>
        <v>1.3226675978171283</v>
      </c>
      <c r="AO42">
        <v>41</v>
      </c>
      <c r="AP42" s="118" t="str">
        <f>IFERROR(INDEX(TableOverallMaster[OVERALL PLAYER],MATCH(TableOverallRank[[#This Row],[RK]],TableOverallMaster[OVR RK],0)),"")</f>
        <v>Drake London</v>
      </c>
      <c r="AQ42" s="119" t="str">
        <f>IFERROR(INDEX(TableOverallMaster[POS RK],MATCH(TableOverallRank[[#This Row],[OVERALL PLAYER]],TableOverallMaster[OVERALL PLAYER],0)),"")</f>
        <v>WR17</v>
      </c>
      <c r="AR42" s="120">
        <f>IFERROR(INDEX(TableOverallMaster[BYE],MATCH(TableOverallRank[[#This Row],[OVERALL PLAYER]],TableOverallMaster[OVERALL PLAYER],0)),"")</f>
        <v>12</v>
      </c>
      <c r="AS42" s="119">
        <f>IFERROR(INDEX(TableOverallMaster[Custom],MATCH(TableOverallRank[[#This Row],[OVERALL PLAYER]],TableOverallMaster[OVERALL PLAYER],0)),"")</f>
        <v>198.04928813429765</v>
      </c>
      <c r="AT42" s="121">
        <f>IFERROR(INDEX(TableOverallMaster[VORP],MATCH(TableOverallRank[[#This Row],[OVERALL PLAYER]],TableOverallMaster[OVERALL PLAYER],0)),"")</f>
        <v>0.41432264321359824</v>
      </c>
      <c r="AV42">
        <v>41</v>
      </c>
      <c r="AW42" s="122" t="str">
        <f>IFERROR(INDEX(TableWRTECalcPts[PLAYER],MATCH(TableWRTERank[[#This Row],[RK]],TableWRTECalcPts[RK],0)),"")</f>
        <v>Joshua Palmer</v>
      </c>
      <c r="AX42" s="122" t="str">
        <f>IFERROR(INDEX(TableWRTECalcPts[POS RK],MATCH(TableWRTERank[[#This Row],[WR and TE COMBINED]],TableWRTECalcPts[PLAYER],0)),"")</f>
        <v>WR37</v>
      </c>
      <c r="AY42" s="122">
        <f>IFERROR(INDEX(TableWRTECalcPts[BYE],MATCH(TableWRTERank[[#This Row],[RK]],TableWRTECalcPts[RK],0)),"")</f>
        <v>5</v>
      </c>
      <c r="AZ42" s="123">
        <f>IFERROR(INDEX(TableWRTECalcPts[Custom],MATCH(TableWRTERank[[#This Row],[RK]],TableWRTECalcPts[RK],0)),"")</f>
        <v>172.74939155380375</v>
      </c>
      <c r="BA42" s="174">
        <f>IFERROR((TableWRTERank[[#This Row],[FPS]]-INDEX(TableWRTERank[FPS],MATCH(WRTEVORPCalc,TableWRTERank[RK],0)))/INDEX(TableWRTERank[FPS],MATCH(WRTEVORPCalc,TableWRTERank[RK],0)),"")</f>
        <v>0.1008538109837091</v>
      </c>
      <c r="BC42" t="s">
        <v>208</v>
      </c>
      <c r="BD42">
        <v>41</v>
      </c>
      <c r="BE42" s="83">
        <f>RANK(TableWRTEMaster[[#This Row],[VORP]],TableWRTEMaster[VORP])+COUNTIF($BJ$2:BJ42,BJ42)-1</f>
        <v>50</v>
      </c>
      <c r="BF42" s="115" t="str">
        <f>IFERROR(INDEX(TableWRVORP[WIDE RECEIVER],MATCH(TableWRTEMaster[[#This Row],[RK]],TableWRVORP[RK],0)),"")</f>
        <v>Chris Godwin</v>
      </c>
      <c r="BG42" s="115" t="str">
        <f>_xlfn.CONCAT(TableWRTEMaster[[#This Row],[POS]],TableWRTEMaster[[#This Row],[RK]])</f>
        <v>WR41</v>
      </c>
      <c r="BH42" s="115">
        <f>IFERROR(INDEX(TableWRVORP[BYE],MATCH(TableWRTEMaster[[#This Row],[RK]],TableWRVORP[RK],0)),"")</f>
        <v>11</v>
      </c>
      <c r="BI42" s="116">
        <f>IFERROR(INDEX(TableWRVORP[FPS],MATCH(TableWRTEMaster[[#This Row],[RK]],TableWRVORP[RK],0)),"")</f>
        <v>167.29208694718784</v>
      </c>
      <c r="BJ42" s="117">
        <f>IFERROR(INDEX(TableWRVORP[VORP],MATCH(TableWRTEMaster[[#This Row],[RK]],TableWRVORP[RK],0)),"")</f>
        <v>0.16361714062901747</v>
      </c>
    </row>
    <row r="43" spans="1:62" x14ac:dyDescent="0.2">
      <c r="A43">
        <v>42</v>
      </c>
      <c r="B43" s="112" t="str">
        <f>IFERROR(INDEX(TableQBCalcPts[PLAYER],MATCH(TableQBVORP[[#This Row],[RK]],TableQBCalcPts[RK],0)),"")</f>
        <v>Andy Dalton</v>
      </c>
      <c r="C43" s="112" t="str">
        <f>IFERROR(INDEX(TableQBCalcPts[TM],MATCH(TableQBVORP[[#This Row],[RK]],TableQBCalcPts[RK],0)),"")</f>
        <v>CAR</v>
      </c>
      <c r="D43" s="112">
        <f>IFERROR(INDEX(TableQBCalcPts[BYE],MATCH(TableQBVORP[[#This Row],[RK]],TableQBCalcPts[RK],0)),"")</f>
        <v>11</v>
      </c>
      <c r="E43" s="113">
        <f>IFERROR(INDEX(TableQBCalcPts[Custom],MATCH(TableQBVORP[[#This Row],[RK]],TableQBCalcPts[RK],0)),"")</f>
        <v>12.790913200756451</v>
      </c>
      <c r="F43" s="114">
        <f>(IFERROR((TableQBVORP[[#This Row],[FPS]]-INDEX(TableQBVORP[FPS],MATCH(QBVORPCalc,TableQBVORP[RK],0)))/INDEX(TableQBVORP[FPS],MATCH(QBVORPCalc,TableQBVORP[RK],0)),""))+(TableRBVORP[[#This Row],[VORP]]*0.45)</f>
        <v>-0.94522112439489436</v>
      </c>
      <c r="H43">
        <v>42</v>
      </c>
      <c r="I43" s="112" t="str">
        <f>IFERROR(INDEX(TableRBCalcPts[PLAYER],MATCH(TableRBVORP[[#This Row],[RK]],TableRBCalcPts[RK],0)),"")</f>
        <v>Antonio Gibson</v>
      </c>
      <c r="J43" s="112" t="str">
        <f>IFERROR(INDEX(TableRBCalcPts[TM],MATCH(TableRBVORP[[#This Row],[RK]],TableRBCalcPts[RK],0)),"")</f>
        <v>NE</v>
      </c>
      <c r="K43" s="112">
        <f>IFERROR(INDEX(TableRBCalcPts[BYE],MATCH(TableRBVORP[[#This Row],[RK]],TableRBCalcPts[RK],0)),"")</f>
        <v>14</v>
      </c>
      <c r="L43" s="113">
        <f>IFERROR(INDEX(TableRBCalcPts[Custom],MATCH(TableRBVORP[[#This Row],[RK]],TableRBCalcPts[RK],0)),"")</f>
        <v>126.71956996098638</v>
      </c>
      <c r="M43" s="114">
        <f>(IFERROR((TableRBVORP[[#This Row],[FPS]]-INDEX(TableRBVORP[FPS],MATCH(RBVORPCalc,TableRBVORP[RK],0)))/INDEX(TableRBVORP[FPS],MATCH(RBVORPCalc,TableRBVORP[RK],0)),""))*0.8</f>
        <v>4.541092734725094E-2</v>
      </c>
      <c r="O43">
        <v>42</v>
      </c>
      <c r="P43" s="112" t="str">
        <f>IFERROR(INDEX(TableWRCalcPts[PLAYER],MATCH(TableWRVORP[[#This Row],[RK]],TableWRCalcPts[RK],0)),"")</f>
        <v>Courtland Sutton</v>
      </c>
      <c r="Q43" s="112" t="str">
        <f>IFERROR(INDEX(TableWRCalcPts[TM],MATCH(TableWRVORP[[#This Row],[RK]],TableWRCalcPts[RK],0)),"")</f>
        <v>DEN</v>
      </c>
      <c r="R43" s="112">
        <f>IFERROR(INDEX(TableWRCalcPts[BYE],MATCH(TableWRVORP[[#This Row],[RK]],TableWRCalcPts[RK],0)),"")</f>
        <v>14</v>
      </c>
      <c r="S43" s="113">
        <f>IFERROR(INDEX(TableWRCalcPts[Custom],MATCH(TableWRVORP[[#This Row],[RK]],TableWRCalcPts[RK],0)),"")</f>
        <v>165.59548838461149</v>
      </c>
      <c r="T43" s="114">
        <f>(IFERROR((TableWRVORP[[#This Row],[FPS]]-INDEX(TableWRVORP[FPS],MATCH(WRVORPCalc,TableWRVORP[RK],0)))/INDEX(TableWRVORP[FPS],MATCH(WRVORPCalc,TableWRVORP[RK],0)),""))*1.2</f>
        <v>0.14978796960895593</v>
      </c>
      <c r="V43">
        <v>42</v>
      </c>
      <c r="W43" s="112" t="str">
        <f>IFERROR(INDEX(TableTECalcPts[PLAYER],MATCH(TableTEVORP[[#This Row],[RK]],TableTECalcPts[RK],0)),"")</f>
        <v>Darnell Washington</v>
      </c>
      <c r="X43" s="112" t="str">
        <f>IFERROR(INDEX(TableTECalcPts[TM],MATCH(TableTEVORP[[#This Row],[RK]],TableTECalcPts[RK],0)),"")</f>
        <v>PIT</v>
      </c>
      <c r="Y43" s="112">
        <f>IFERROR(INDEX(TableTECalcPts[BYE],MATCH(TableTEVORP[[#This Row],[RK]],TableTECalcPts[RK],0)),"")</f>
        <v>9</v>
      </c>
      <c r="Z43" s="113">
        <f>IFERROR(INDEX(TableTECalcPts[Custom],MATCH(TableTEVORP[[#This Row],[RK]],TableTECalcPts[RK],0)),"")</f>
        <v>45.128004722701178</v>
      </c>
      <c r="AA43" s="114">
        <f>IFERROR((TableTEVORP[[#This Row],[FPS]]-INDEX(TableTEVORP[FPS],MATCH(TEVORPCalc,TableTEVORP[RK],0)))/INDEX(TableTEVORP[FPS],MATCH(TEVORPCalc,TableTEVORP[RK],0)),"")</f>
        <v>-0.65718370145200278</v>
      </c>
      <c r="AF43" t="s">
        <v>207</v>
      </c>
      <c r="AG43">
        <v>2</v>
      </c>
      <c r="AH43" s="83">
        <f>RANK(TableOverallMaster[[#This Row],[VORP]],TableOverallMaster[VORP])+COUNTIF($AM$2:AM43,AM43)-1</f>
        <v>4</v>
      </c>
      <c r="AI43" s="115" t="str">
        <f>IFERROR(INDEX(TableRBVORP[RUNNING BACK],MATCH(TableOverallMaster[[#This Row],[RK]],TableRBVORP[RK],0)),"")</f>
        <v>Jonathan Taylor</v>
      </c>
      <c r="AJ43" s="115" t="str">
        <f t="shared" si="0"/>
        <v>RB2</v>
      </c>
      <c r="AK43" s="115">
        <f>IFERROR(INDEX(TableRBVORP[BYE],MATCH(TableOverallMaster[[#This Row],[RK]],TableRBVORP[RK],0)),"")</f>
        <v>14</v>
      </c>
      <c r="AL43" s="116">
        <f>IFERROR(INDEX(TableRBVORP[FPS],MATCH(TableOverallMaster[[#This Row],[RK]],TableRBVORP[RK],0)),"")</f>
        <v>261.70705676419283</v>
      </c>
      <c r="AM43" s="117">
        <f>IFERROR(INDEX(TableRBVORP[VORP],MATCH(TableOverallMaster[[#This Row],[RK]],TableRBVORP[RK],0)),"")</f>
        <v>0.94598134779381715</v>
      </c>
      <c r="AO43">
        <v>42</v>
      </c>
      <c r="AP43" s="118" t="str">
        <f>IFERROR(INDEX(TableOverallMaster[OVERALL PLAYER],MATCH(TableOverallRank[[#This Row],[RK]],TableOverallMaster[OVR RK],0)),"")</f>
        <v>Devin Singletary</v>
      </c>
      <c r="AQ43" s="119" t="str">
        <f>IFERROR(INDEX(TableOverallMaster[POS RK],MATCH(TableOverallRank[[#This Row],[OVERALL PLAYER]],TableOverallMaster[OVERALL PLAYER],0)),"")</f>
        <v>RB22</v>
      </c>
      <c r="AR43" s="120">
        <f>IFERROR(INDEX(TableOverallMaster[BYE],MATCH(TableOverallRank[[#This Row],[OVERALL PLAYER]],TableOverallMaster[OVERALL PLAYER],0)),"")</f>
        <v>11</v>
      </c>
      <c r="AS43" s="119">
        <f>IFERROR(INDEX(TableOverallMaster[Custom],MATCH(TableOverallRank[[#This Row],[OVERALL PLAYER]],TableOverallMaster[OVERALL PLAYER],0)),"")</f>
        <v>181.76933222371224</v>
      </c>
      <c r="AT43" s="121">
        <f>IFERROR(INDEX(TableOverallMaster[VORP],MATCH(TableOverallRank[[#This Row],[OVERALL PLAYER]],TableOverallMaster[OVERALL PLAYER],0)),"")</f>
        <v>0.41267598813545531</v>
      </c>
      <c r="AV43">
        <v>42</v>
      </c>
      <c r="AW43" s="122" t="str">
        <f>IFERROR(INDEX(TableWRTECalcPts[PLAYER],MATCH(TableWRTERank[[#This Row],[RK]],TableWRTECalcPts[RK],0)),"")</f>
        <v>Diontae Johnson</v>
      </c>
      <c r="AX43" s="122" t="str">
        <f>IFERROR(INDEX(TableWRTECalcPts[POS RK],MATCH(TableWRTERank[[#This Row],[WR and TE COMBINED]],TableWRTECalcPts[PLAYER],0)),"")</f>
        <v>WR38</v>
      </c>
      <c r="AY43" s="122">
        <f>IFERROR(INDEX(TableWRTECalcPts[BYE],MATCH(TableWRTERank[[#This Row],[RK]],TableWRTECalcPts[RK],0)),"")</f>
        <v>11</v>
      </c>
      <c r="AZ43" s="123">
        <f>IFERROR(INDEX(TableWRTECalcPts[Custom],MATCH(TableWRTERank[[#This Row],[RK]],TableWRTECalcPts[RK],0)),"")</f>
        <v>171.49062820982402</v>
      </c>
      <c r="BA43" s="174">
        <f>IFERROR((TableWRTERank[[#This Row],[FPS]]-INDEX(TableWRTERank[FPS],MATCH(WRTEVORPCalc,TableWRTERank[RK],0)))/INDEX(TableWRTERank[FPS],MATCH(WRTEVORPCalc,TableWRTERank[RK],0)),"")</f>
        <v>9.2832280998087782E-2</v>
      </c>
      <c r="BC43" t="s">
        <v>208</v>
      </c>
      <c r="BD43">
        <v>42</v>
      </c>
      <c r="BE43" s="83">
        <f>RANK(TableWRTEMaster[[#This Row],[VORP]],TableWRTEMaster[VORP])+COUNTIF($BJ$2:BJ43,BJ43)-1</f>
        <v>51</v>
      </c>
      <c r="BF43" s="115" t="str">
        <f>IFERROR(INDEX(TableWRVORP[WIDE RECEIVER],MATCH(TableWRTEMaster[[#This Row],[RK]],TableWRVORP[RK],0)),"")</f>
        <v>Courtland Sutton</v>
      </c>
      <c r="BG43" s="115" t="str">
        <f>_xlfn.CONCAT(TableWRTEMaster[[#This Row],[POS]],TableWRTEMaster[[#This Row],[RK]])</f>
        <v>WR42</v>
      </c>
      <c r="BH43" s="115">
        <f>IFERROR(INDEX(TableWRVORP[BYE],MATCH(TableWRTEMaster[[#This Row],[RK]],TableWRVORP[RK],0)),"")</f>
        <v>14</v>
      </c>
      <c r="BI43" s="116">
        <f>IFERROR(INDEX(TableWRVORP[FPS],MATCH(TableWRTEMaster[[#This Row],[RK]],TableWRVORP[RK],0)),"")</f>
        <v>165.59548838461149</v>
      </c>
      <c r="BJ43" s="117">
        <f>IFERROR(INDEX(TableWRVORP[VORP],MATCH(TableWRTEMaster[[#This Row],[RK]],TableWRVORP[RK],0)),"")</f>
        <v>0.14978796960895593</v>
      </c>
    </row>
    <row r="44" spans="1:62" x14ac:dyDescent="0.2">
      <c r="A44">
        <v>43</v>
      </c>
      <c r="B44" s="112" t="str">
        <f>IFERROR(INDEX(TableQBCalcPts[PLAYER],MATCH(TableQBVORP[[#This Row],[RK]],TableQBCalcPts[RK],0)),"")</f>
        <v>Kyle Trask</v>
      </c>
      <c r="C44" s="112" t="str">
        <f>IFERROR(INDEX(TableQBCalcPts[TM],MATCH(TableQBVORP[[#This Row],[RK]],TableQBCalcPts[RK],0)),"")</f>
        <v>TB</v>
      </c>
      <c r="D44" s="112">
        <f>IFERROR(INDEX(TableQBCalcPts[BYE],MATCH(TableQBVORP[[#This Row],[RK]],TableQBCalcPts[RK],0)),"")</f>
        <v>11</v>
      </c>
      <c r="E44" s="113">
        <f>IFERROR(INDEX(TableQBCalcPts[Custom],MATCH(TableQBVORP[[#This Row],[RK]],TableQBCalcPts[RK],0)),"")</f>
        <v>12.444899348985402</v>
      </c>
      <c r="F44" s="114">
        <f>(IFERROR((TableQBVORP[[#This Row],[FPS]]-INDEX(TableQBVORP[FPS],MATCH(QBVORPCalc,TableQBVORP[RK],0)))/INDEX(TableQBVORP[FPS],MATCH(QBVORPCalc,TableQBVORP[RK],0)),""))+(TableRBVORP[[#This Row],[VORP]]*0.45)</f>
        <v>-0.96572340182864558</v>
      </c>
      <c r="H44">
        <v>43</v>
      </c>
      <c r="I44" s="112" t="str">
        <f>IFERROR(INDEX(TableRBCalcPts[PLAYER],MATCH(TableRBVORP[[#This Row],[RK]],TableRBCalcPts[RK],0)),"")</f>
        <v>Blake Corum</v>
      </c>
      <c r="J44" s="112" t="str">
        <f>IFERROR(INDEX(TableRBCalcPts[TM],MATCH(TableRBVORP[[#This Row],[RK]],TableRBCalcPts[RK],0)),"")</f>
        <v>LAR</v>
      </c>
      <c r="K44" s="112">
        <f>IFERROR(INDEX(TableRBCalcPts[BYE],MATCH(TableRBVORP[[#This Row],[RK]],TableRBCalcPts[RK],0)),"")</f>
        <v>6</v>
      </c>
      <c r="L44" s="113">
        <f>IFERROR(INDEX(TableRBCalcPts[Custom],MATCH(TableRBVORP[[#This Row],[RK]],TableRBCalcPts[RK],0)),"")</f>
        <v>120.1999000133012</v>
      </c>
      <c r="M44" s="114">
        <f>(IFERROR((TableRBVORP[[#This Row],[FPS]]-INDEX(TableRBVORP[FPS],MATCH(RBVORPCalc,TableRBVORP[RK],0)))/INDEX(TableRBVORP[FPS],MATCH(RBVORPCalc,TableRBVORP[RK],0)),""))*0.8</f>
        <v>1.9148815654710296E-3</v>
      </c>
      <c r="O44">
        <v>43</v>
      </c>
      <c r="P44" s="112" t="str">
        <f>IFERROR(INDEX(TableWRCalcPts[PLAYER],MATCH(TableWRVORP[[#This Row],[RK]],TableWRCalcPts[RK],0)),"")</f>
        <v>Jameson Williams</v>
      </c>
      <c r="Q44" s="112" t="str">
        <f>IFERROR(INDEX(TableWRCalcPts[TM],MATCH(TableWRVORP[[#This Row],[RK]],TableWRCalcPts[RK],0)),"")</f>
        <v>DET</v>
      </c>
      <c r="R44" s="112">
        <f>IFERROR(INDEX(TableWRCalcPts[BYE],MATCH(TableWRVORP[[#This Row],[RK]],TableWRCalcPts[RK],0)),"")</f>
        <v>5</v>
      </c>
      <c r="S44" s="113">
        <f>IFERROR(INDEX(TableWRCalcPts[Custom],MATCH(TableWRVORP[[#This Row],[RK]],TableWRCalcPts[RK],0)),"")</f>
        <v>164.89881363257362</v>
      </c>
      <c r="T44" s="114">
        <f>(IFERROR((TableWRVORP[[#This Row],[FPS]]-INDEX(TableWRVORP[FPS],MATCH(WRVORPCalc,TableWRVORP[RK],0)))/INDEX(TableWRVORP[FPS],MATCH(WRVORPCalc,TableWRVORP[RK],0)),""))*1.2</f>
        <v>0.14410929316550761</v>
      </c>
      <c r="V44">
        <v>43</v>
      </c>
      <c r="W44" s="112" t="str">
        <f>IFERROR(INDEX(TableTECalcPts[PLAYER],MATCH(TableTEVORP[[#This Row],[RK]],TableTECalcPts[RK],0)),"")</f>
        <v>Josh Oliver</v>
      </c>
      <c r="X44" s="112" t="str">
        <f>IFERROR(INDEX(TableTECalcPts[TM],MATCH(TableTEVORP[[#This Row],[RK]],TableTECalcPts[RK],0)),"")</f>
        <v>MIN</v>
      </c>
      <c r="Y44" s="112">
        <f>IFERROR(INDEX(TableTECalcPts[BYE],MATCH(TableTEVORP[[#This Row],[RK]],TableTECalcPts[RK],0)),"")</f>
        <v>6</v>
      </c>
      <c r="Z44" s="113">
        <f>IFERROR(INDEX(TableTECalcPts[Custom],MATCH(TableTEVORP[[#This Row],[RK]],TableTECalcPts[RK],0)),"")</f>
        <v>43.132444729764075</v>
      </c>
      <c r="AA44" s="114">
        <f>IFERROR((TableTEVORP[[#This Row],[FPS]]-INDEX(TableTEVORP[FPS],MATCH(TEVORPCalc,TableTEVORP[RK],0)))/INDEX(TableTEVORP[FPS],MATCH(TEVORPCalc,TableTEVORP[RK],0)),"")</f>
        <v>-0.67234303531825357</v>
      </c>
      <c r="AF44" t="s">
        <v>207</v>
      </c>
      <c r="AG44">
        <v>3</v>
      </c>
      <c r="AH44" s="83">
        <f>RANK(TableOverallMaster[[#This Row],[VORP]],TableOverallMaster[VORP])+COUNTIF($AM$2:AM44,AM44)-1</f>
        <v>5</v>
      </c>
      <c r="AI44" s="115" t="str">
        <f>IFERROR(INDEX(TableRBVORP[RUNNING BACK],MATCH(TableOverallMaster[[#This Row],[RK]],TableRBVORP[RK],0)),"")</f>
        <v>Breece Hall</v>
      </c>
      <c r="AJ44" s="115" t="str">
        <f t="shared" si="0"/>
        <v>RB3</v>
      </c>
      <c r="AK44" s="115">
        <f>IFERROR(INDEX(TableRBVORP[BYE],MATCH(TableOverallMaster[[#This Row],[RK]],TableRBVORP[RK],0)),"")</f>
        <v>12</v>
      </c>
      <c r="AL44" s="116">
        <f>IFERROR(INDEX(TableRBVORP[FPS],MATCH(TableOverallMaster[[#This Row],[RK]],TableRBVORP[RK],0)),"")</f>
        <v>256.69251922440355</v>
      </c>
      <c r="AM44" s="117">
        <f>IFERROR(INDEX(TableRBVORP[VORP],MATCH(TableOverallMaster[[#This Row],[RK]],TableRBVORP[RK],0)),"")</f>
        <v>0.91252680850650725</v>
      </c>
      <c r="AO44">
        <v>43</v>
      </c>
      <c r="AP44" s="118" t="str">
        <f>IFERROR(INDEX(TableOverallMaster[OVERALL PLAYER],MATCH(TableOverallRank[[#This Row],[RK]],TableOverallMaster[OVR RK],0)),"")</f>
        <v>Lamar Jackson</v>
      </c>
      <c r="AQ44" s="119" t="str">
        <f>IFERROR(INDEX(TableOverallMaster[POS RK],MATCH(TableOverallRank[[#This Row],[OVERALL PLAYER]],TableOverallMaster[OVERALL PLAYER],0)),"")</f>
        <v>QB3</v>
      </c>
      <c r="AR44" s="120">
        <f>IFERROR(INDEX(TableOverallMaster[BYE],MATCH(TableOverallRank[[#This Row],[OVERALL PLAYER]],TableOverallMaster[OVERALL PLAYER],0)),"")</f>
        <v>14</v>
      </c>
      <c r="AS44" s="119">
        <f>IFERROR(INDEX(TableOverallMaster[Custom],MATCH(TableOverallRank[[#This Row],[OVERALL PLAYER]],TableOverallMaster[OVERALL PLAYER],0)),"")</f>
        <v>370.84652487473829</v>
      </c>
      <c r="AT44" s="121">
        <f>IFERROR(INDEX(TableOverallMaster[VORP],MATCH(TableOverallRank[[#This Row],[OVERALL PLAYER]],TableOverallMaster[OVERALL PLAYER],0)),"")</f>
        <v>0.40637031489991138</v>
      </c>
      <c r="AV44">
        <v>43</v>
      </c>
      <c r="AW44" s="122" t="str">
        <f>IFERROR(INDEX(TableWRTECalcPts[PLAYER],MATCH(TableWRTERank[[#This Row],[RK]],TableWRTECalcPts[RK],0)),"")</f>
        <v>DeAndre Hopkins</v>
      </c>
      <c r="AX44" s="122" t="str">
        <f>IFERROR(INDEX(TableWRTECalcPts[POS RK],MATCH(TableWRTERank[[#This Row],[WR and TE COMBINED]],TableWRTECalcPts[PLAYER],0)),"")</f>
        <v>WR39</v>
      </c>
      <c r="AY44" s="122">
        <f>IFERROR(INDEX(TableWRTECalcPts[BYE],MATCH(TableWRTERank[[#This Row],[RK]],TableWRTECalcPts[RK],0)),"")</f>
        <v>5</v>
      </c>
      <c r="AZ44" s="123">
        <f>IFERROR(INDEX(TableWRTECalcPts[Custom],MATCH(TableWRTERank[[#This Row],[RK]],TableWRTECalcPts[RK],0)),"")</f>
        <v>170.19671371216654</v>
      </c>
      <c r="BA44" s="174">
        <f>IFERROR((TableWRTERank[[#This Row],[FPS]]-INDEX(TableWRTERank[FPS],MATCH(WRTEVORPCalc,TableWRTERank[RK],0)))/INDEX(TableWRTERank[FPS],MATCH(WRTEVORPCalc,TableWRTERank[RK],0)),"")</f>
        <v>8.4586748594058042E-2</v>
      </c>
      <c r="BC44" t="s">
        <v>208</v>
      </c>
      <c r="BD44">
        <v>43</v>
      </c>
      <c r="BE44" s="83">
        <f>RANK(TableWRTEMaster[[#This Row],[VORP]],TableWRTEMaster[VORP])+COUNTIF($BJ$2:BJ44,BJ44)-1</f>
        <v>52</v>
      </c>
      <c r="BF44" s="115" t="str">
        <f>IFERROR(INDEX(TableWRVORP[WIDE RECEIVER],MATCH(TableWRTEMaster[[#This Row],[RK]],TableWRVORP[RK],0)),"")</f>
        <v>Jameson Williams</v>
      </c>
      <c r="BG44" s="115" t="str">
        <f>_xlfn.CONCAT(TableWRTEMaster[[#This Row],[POS]],TableWRTEMaster[[#This Row],[RK]])</f>
        <v>WR43</v>
      </c>
      <c r="BH44" s="115">
        <f>IFERROR(INDEX(TableWRVORP[BYE],MATCH(TableWRTEMaster[[#This Row],[RK]],TableWRVORP[RK],0)),"")</f>
        <v>5</v>
      </c>
      <c r="BI44" s="116">
        <f>IFERROR(INDEX(TableWRVORP[FPS],MATCH(TableWRTEMaster[[#This Row],[RK]],TableWRVORP[RK],0)),"")</f>
        <v>164.89881363257362</v>
      </c>
      <c r="BJ44" s="117">
        <f>IFERROR(INDEX(TableWRVORP[VORP],MATCH(TableWRTEMaster[[#This Row],[RK]],TableWRVORP[RK],0)),"")</f>
        <v>0.14410929316550761</v>
      </c>
    </row>
    <row r="45" spans="1:62" x14ac:dyDescent="0.2">
      <c r="A45">
        <v>44</v>
      </c>
      <c r="B45" s="112" t="str">
        <f>IFERROR(INDEX(TableQBCalcPts[PLAYER],MATCH(TableQBVORP[[#This Row],[RK]],TableQBCalcPts[RK],0)),"")</f>
        <v>Mason Rudolph</v>
      </c>
      <c r="C45" s="112" t="str">
        <f>IFERROR(INDEX(TableQBCalcPts[TM],MATCH(TableQBVORP[[#This Row],[RK]],TableQBCalcPts[RK],0)),"")</f>
        <v>TEN</v>
      </c>
      <c r="D45" s="112">
        <f>IFERROR(INDEX(TableQBCalcPts[BYE],MATCH(TableQBVORP[[#This Row],[RK]],TableQBCalcPts[RK],0)),"")</f>
        <v>5</v>
      </c>
      <c r="E45" s="113">
        <f>IFERROR(INDEX(TableQBCalcPts[Custom],MATCH(TableQBVORP[[#This Row],[RK]],TableQBCalcPts[RK],0)),"")</f>
        <v>11.66843933615211</v>
      </c>
      <c r="F45" s="114">
        <f>(IFERROR((TableQBVORP[[#This Row],[FPS]]-INDEX(TableQBVORP[FPS],MATCH(QBVORPCalc,TableQBVORP[RK],0)))/INDEX(TableQBVORP[FPS],MATCH(QBVORPCalc,TableQBVORP[RK],0)),""))+(TableRBVORP[[#This Row],[VORP]]*0.45)</f>
        <v>-0.96866991529973911</v>
      </c>
      <c r="H45">
        <v>44</v>
      </c>
      <c r="I45" s="112" t="str">
        <f>IFERROR(INDEX(TableRBCalcPts[PLAYER],MATCH(TableRBVORP[[#This Row],[RK]],TableRBCalcPts[RK],0)),"")</f>
        <v>Trey Benson</v>
      </c>
      <c r="J45" s="112" t="str">
        <f>IFERROR(INDEX(TableRBCalcPts[TM],MATCH(TableRBVORP[[#This Row],[RK]],TableRBCalcPts[RK],0)),"")</f>
        <v>ARI</v>
      </c>
      <c r="K45" s="112">
        <f>IFERROR(INDEX(TableRBCalcPts[BYE],MATCH(TableRBVORP[[#This Row],[RK]],TableRBCalcPts[RK],0)),"")</f>
        <v>11</v>
      </c>
      <c r="L45" s="113">
        <f>IFERROR(INDEX(TableRBCalcPts[Custom],MATCH(TableRBVORP[[#This Row],[RK]],TableRBCalcPts[RK],0)),"")</f>
        <v>119.91287631789652</v>
      </c>
      <c r="M45" s="114">
        <f>(IFERROR((TableRBVORP[[#This Row],[FPS]]-INDEX(TableRBVORP[FPS],MATCH(RBVORPCalc,TableRBVORP[RK],0)))/INDEX(TableRBVORP[FPS],MATCH(RBVORPCalc,TableRBVORP[RK],0)),""))*0.8</f>
        <v>0</v>
      </c>
      <c r="O45">
        <v>44</v>
      </c>
      <c r="P45" s="112" t="str">
        <f>IFERROR(INDEX(TableWRCalcPts[PLAYER],MATCH(TableWRVORP[[#This Row],[RK]],TableWRCalcPts[RK],0)),"")</f>
        <v>Jaxon Smith-Njigba</v>
      </c>
      <c r="Q45" s="112" t="str">
        <f>IFERROR(INDEX(TableWRCalcPts[TM],MATCH(TableWRVORP[[#This Row],[RK]],TableWRCalcPts[RK],0)),"")</f>
        <v>SEA</v>
      </c>
      <c r="R45" s="112">
        <f>IFERROR(INDEX(TableWRCalcPts[BYE],MATCH(TableWRVORP[[#This Row],[RK]],TableWRCalcPts[RK],0)),"")</f>
        <v>10</v>
      </c>
      <c r="S45" s="113">
        <f>IFERROR(INDEX(TableWRCalcPts[Custom],MATCH(TableWRVORP[[#This Row],[RK]],TableWRCalcPts[RK],0)),"")</f>
        <v>163.8453388368572</v>
      </c>
      <c r="T45" s="114">
        <f>(IFERROR((TableWRVORP[[#This Row],[FPS]]-INDEX(TableWRVORP[FPS],MATCH(WRVORPCalc,TableWRVORP[RK],0)))/INDEX(TableWRVORP[FPS],MATCH(WRVORPCalc,TableWRVORP[RK],0)),""))*1.2</f>
        <v>0.13552229831790868</v>
      </c>
      <c r="V45">
        <v>44</v>
      </c>
      <c r="W45" s="112" t="str">
        <f>IFERROR(INDEX(TableTECalcPts[PLAYER],MATCH(TableTEVORP[[#This Row],[RK]],TableTECalcPts[RK],0)),"")</f>
        <v>Tyler Higbee</v>
      </c>
      <c r="X45" s="112" t="str">
        <f>IFERROR(INDEX(TableTECalcPts[TM],MATCH(TableTEVORP[[#This Row],[RK]],TableTECalcPts[RK],0)),"")</f>
        <v>LAR</v>
      </c>
      <c r="Y45" s="112">
        <f>IFERROR(INDEX(TableTECalcPts[BYE],MATCH(TableTEVORP[[#This Row],[RK]],TableTECalcPts[RK],0)),"")</f>
        <v>6</v>
      </c>
      <c r="Z45" s="113">
        <f>IFERROR(INDEX(TableTECalcPts[Custom],MATCH(TableTEVORP[[#This Row],[RK]],TableTECalcPts[RK],0)),"")</f>
        <v>40.797864195877821</v>
      </c>
      <c r="AA45" s="114">
        <f>IFERROR((TableTEVORP[[#This Row],[FPS]]-INDEX(TableTEVORP[FPS],MATCH(TEVORPCalc,TableTEVORP[RK],0)))/INDEX(TableTEVORP[FPS],MATCH(TEVORPCalc,TableTEVORP[RK],0)),"")</f>
        <v>-0.69007774932138544</v>
      </c>
      <c r="AF45" t="s">
        <v>207</v>
      </c>
      <c r="AG45">
        <v>4</v>
      </c>
      <c r="AH45" s="83">
        <f>RANK(TableOverallMaster[[#This Row],[VORP]],TableOverallMaster[VORP])+COUNTIF($AM$2:AM45,AM45)-1</f>
        <v>7</v>
      </c>
      <c r="AI45" s="115" t="str">
        <f>IFERROR(INDEX(TableRBVORP[RUNNING BACK],MATCH(TableOverallMaster[[#This Row],[RK]],TableRBVORP[RK],0)),"")</f>
        <v>Bijan Robinson</v>
      </c>
      <c r="AJ45" s="115" t="str">
        <f t="shared" si="0"/>
        <v>RB4</v>
      </c>
      <c r="AK45" s="115">
        <f>IFERROR(INDEX(TableRBVORP[BYE],MATCH(TableOverallMaster[[#This Row],[RK]],TableRBVORP[RK],0)),"")</f>
        <v>12</v>
      </c>
      <c r="AL45" s="116">
        <f>IFERROR(INDEX(TableRBVORP[FPS],MATCH(TableOverallMaster[[#This Row],[RK]],TableRBVORP[RK],0)),"")</f>
        <v>245.64507671266452</v>
      </c>
      <c r="AM45" s="117">
        <f>IFERROR(INDEX(TableRBVORP[VORP],MATCH(TableOverallMaster[[#This Row],[RK]],TableRBVORP[RK],0)),"")</f>
        <v>0.83882368102951066</v>
      </c>
      <c r="AO45">
        <v>44</v>
      </c>
      <c r="AP45" s="118" t="str">
        <f>IFERROR(INDEX(TableOverallMaster[OVERALL PLAYER],MATCH(TableOverallRank[[#This Row],[RK]],TableOverallMaster[OVR RK],0)),"")</f>
        <v>DK Metcalf</v>
      </c>
      <c r="AQ45" s="119" t="str">
        <f>IFERROR(INDEX(TableOverallMaster[POS RK],MATCH(TableOverallRank[[#This Row],[OVERALL PLAYER]],TableOverallMaster[OVERALL PLAYER],0)),"")</f>
        <v>WR18</v>
      </c>
      <c r="AR45" s="120">
        <f>IFERROR(INDEX(TableOverallMaster[BYE],MATCH(TableOverallRank[[#This Row],[OVERALL PLAYER]],TableOverallMaster[OVERALL PLAYER],0)),"")</f>
        <v>10</v>
      </c>
      <c r="AS45" s="119">
        <f>IFERROR(INDEX(TableOverallMaster[Custom],MATCH(TableOverallRank[[#This Row],[OVERALL PLAYER]],TableOverallMaster[OVERALL PLAYER],0)),"")</f>
        <v>196.75593147513993</v>
      </c>
      <c r="AT45" s="121">
        <f>IFERROR(INDEX(TableOverallMaster[VORP],MATCH(TableOverallRank[[#This Row],[OVERALL PLAYER]],TableOverallMaster[OVERALL PLAYER],0)),"")</f>
        <v>0.40378034356537329</v>
      </c>
      <c r="AV45">
        <v>44</v>
      </c>
      <c r="AW45" s="122" t="str">
        <f>IFERROR(INDEX(TableWRTECalcPts[PLAYER],MATCH(TableWRTERank[[#This Row],[RK]],TableWRTECalcPts[RK],0)),"")</f>
        <v>Trey McBride</v>
      </c>
      <c r="AX45" s="122" t="str">
        <f>IFERROR(INDEX(TableWRTECalcPts[POS RK],MATCH(TableWRTERank[[#This Row],[WR and TE COMBINED]],TableWRTECalcPts[PLAYER],0)),"")</f>
        <v>TE5</v>
      </c>
      <c r="AY45" s="122">
        <f>IFERROR(INDEX(TableWRTECalcPts[BYE],MATCH(TableWRTERank[[#This Row],[RK]],TableWRTECalcPts[RK],0)),"")</f>
        <v>11</v>
      </c>
      <c r="AZ45" s="123">
        <f>IFERROR(INDEX(TableWRTECalcPts[Custom],MATCH(TableWRTERank[[#This Row],[RK]],TableWRTECalcPts[RK],0)),"")</f>
        <v>170.05237121158649</v>
      </c>
      <c r="BA45" s="174">
        <f>IFERROR((TableWRTERank[[#This Row],[FPS]]-INDEX(TableWRTERank[FPS],MATCH(WRTEVORPCalc,TableWRTERank[RK],0)))/INDEX(TableWRTERank[FPS],MATCH(WRTEVORPCalc,TableWRTERank[RK],0)),"")</f>
        <v>8.3666919062843875E-2</v>
      </c>
      <c r="BC45" t="s">
        <v>208</v>
      </c>
      <c r="BD45">
        <v>44</v>
      </c>
      <c r="BE45" s="83">
        <f>RANK(TableWRTEMaster[[#This Row],[VORP]],TableWRTEMaster[VORP])+COUNTIF($BJ$2:BJ45,BJ45)-1</f>
        <v>53</v>
      </c>
      <c r="BF45" s="115" t="str">
        <f>IFERROR(INDEX(TableWRVORP[WIDE RECEIVER],MATCH(TableWRTEMaster[[#This Row],[RK]],TableWRVORP[RK],0)),"")</f>
        <v>Jaxon Smith-Njigba</v>
      </c>
      <c r="BG45" s="115" t="str">
        <f>_xlfn.CONCAT(TableWRTEMaster[[#This Row],[POS]],TableWRTEMaster[[#This Row],[RK]])</f>
        <v>WR44</v>
      </c>
      <c r="BH45" s="115">
        <f>IFERROR(INDEX(TableWRVORP[BYE],MATCH(TableWRTEMaster[[#This Row],[RK]],TableWRVORP[RK],0)),"")</f>
        <v>10</v>
      </c>
      <c r="BI45" s="116">
        <f>IFERROR(INDEX(TableWRVORP[FPS],MATCH(TableWRTEMaster[[#This Row],[RK]],TableWRVORP[RK],0)),"")</f>
        <v>163.8453388368572</v>
      </c>
      <c r="BJ45" s="117">
        <f>IFERROR(INDEX(TableWRVORP[VORP],MATCH(TableWRTEMaster[[#This Row],[RK]],TableWRVORP[RK],0)),"")</f>
        <v>0.13552229831790868</v>
      </c>
    </row>
    <row r="46" spans="1:62" x14ac:dyDescent="0.2">
      <c r="A46">
        <v>45</v>
      </c>
      <c r="B46" s="112" t="str">
        <f>IFERROR(INDEX(TableQBCalcPts[PLAYER],MATCH(TableQBVORP[[#This Row],[RK]],TableQBCalcPts[RK],0)),"")</f>
        <v>Joe Flacco</v>
      </c>
      <c r="C46" s="112" t="str">
        <f>IFERROR(INDEX(TableQBCalcPts[TM],MATCH(TableQBVORP[[#This Row],[RK]],TableQBCalcPts[RK],0)),"")</f>
        <v>IND</v>
      </c>
      <c r="D46" s="112">
        <f>IFERROR(INDEX(TableQBCalcPts[BYE],MATCH(TableQBVORP[[#This Row],[RK]],TableQBCalcPts[RK],0)),"")</f>
        <v>14</v>
      </c>
      <c r="E46" s="113">
        <f>IFERROR(INDEX(TableQBCalcPts[Custom],MATCH(TableQBVORP[[#This Row],[RK]],TableQBCalcPts[RK],0)),"")</f>
        <v>11.668072653919413</v>
      </c>
      <c r="F46" s="114">
        <f>(IFERROR((TableQBVORP[[#This Row],[FPS]]-INDEX(TableQBVORP[FPS],MATCH(QBVORPCalc,TableQBVORP[RK],0)))/INDEX(TableQBVORP[FPS],MATCH(QBVORPCalc,TableQBVORP[RK],0)),""))+(TableRBVORP[[#This Row],[VORP]]*0.45)</f>
        <v>-0.97202404792919861</v>
      </c>
      <c r="H46">
        <v>45</v>
      </c>
      <c r="I46" s="112" t="str">
        <f>IFERROR(INDEX(TableRBCalcPts[PLAYER],MATCH(TableRBVORP[[#This Row],[RK]],TableRBCalcPts[RK],0)),"")</f>
        <v>Ty Chandler</v>
      </c>
      <c r="J46" s="112" t="str">
        <f>IFERROR(INDEX(TableRBCalcPts[TM],MATCH(TableRBVORP[[#This Row],[RK]],TableRBCalcPts[RK],0)),"")</f>
        <v>MIN</v>
      </c>
      <c r="K46" s="112">
        <f>IFERROR(INDEX(TableRBCalcPts[BYE],MATCH(TableRBVORP[[#This Row],[RK]],TableRBCalcPts[RK],0)),"")</f>
        <v>6</v>
      </c>
      <c r="L46" s="113">
        <f>IFERROR(INDEX(TableRBCalcPts[Custom],MATCH(TableRBVORP[[#This Row],[RK]],TableRBCalcPts[RK],0)),"")</f>
        <v>118.79597178821116</v>
      </c>
      <c r="M46" s="114">
        <f>(IFERROR((TableRBVORP[[#This Row],[FPS]]-INDEX(TableRBVORP[FPS],MATCH(RBVORPCalc,TableRBVORP[RK],0)))/INDEX(TableRBVORP[FPS],MATCH(RBVORPCalc,TableRBVORP[RK],0)),""))*0.8</f>
        <v>-7.4514401721087788E-3</v>
      </c>
      <c r="O46">
        <v>45</v>
      </c>
      <c r="P46" s="112" t="str">
        <f>IFERROR(INDEX(TableWRCalcPts[PLAYER],MATCH(TableWRVORP[[#This Row],[RK]],TableWRCalcPts[RK],0)),"")</f>
        <v>Xavier Worthy</v>
      </c>
      <c r="Q46" s="112" t="str">
        <f>IFERROR(INDEX(TableWRCalcPts[TM],MATCH(TableWRVORP[[#This Row],[RK]],TableWRCalcPts[RK],0)),"")</f>
        <v>KC</v>
      </c>
      <c r="R46" s="112">
        <f>IFERROR(INDEX(TableWRCalcPts[BYE],MATCH(TableWRVORP[[#This Row],[RK]],TableWRCalcPts[RK],0)),"")</f>
        <v>6</v>
      </c>
      <c r="S46" s="113">
        <f>IFERROR(INDEX(TableWRCalcPts[Custom],MATCH(TableWRVORP[[#This Row],[RK]],TableWRCalcPts[RK],0)),"")</f>
        <v>163.43310093245475</v>
      </c>
      <c r="T46" s="114">
        <f>(IFERROR((TableWRVORP[[#This Row],[FPS]]-INDEX(TableWRVORP[FPS],MATCH(WRVORPCalc,TableWRVORP[RK],0)))/INDEX(TableWRVORP[FPS],MATCH(WRVORPCalc,TableWRVORP[RK],0)),""))*1.2</f>
        <v>0.13216209950206378</v>
      </c>
      <c r="V46">
        <v>45</v>
      </c>
      <c r="W46" s="112" t="str">
        <f>IFERROR(INDEX(TableTECalcPts[PLAYER],MATCH(TableTEVORP[[#This Row],[RK]],TableTECalcPts[RK],0)),"")</f>
        <v>Taysom Hill</v>
      </c>
      <c r="X46" s="112" t="str">
        <f>IFERROR(INDEX(TableTECalcPts[TM],MATCH(TableTEVORP[[#This Row],[RK]],TableTECalcPts[RK],0)),"")</f>
        <v>NO</v>
      </c>
      <c r="Y46" s="112">
        <f>IFERROR(INDEX(TableTECalcPts[BYE],MATCH(TableTEVORP[[#This Row],[RK]],TableTECalcPts[RK],0)),"")</f>
        <v>12</v>
      </c>
      <c r="Z46" s="113">
        <f>IFERROR(INDEX(TableTECalcPts[Custom],MATCH(TableTEVORP[[#This Row],[RK]],TableTECalcPts[RK],0)),"")</f>
        <v>40.294182781789544</v>
      </c>
      <c r="AA46" s="114">
        <f>IFERROR((TableTEVORP[[#This Row],[FPS]]-INDEX(TableTEVORP[FPS],MATCH(TEVORPCalc,TableTEVORP[RK],0)))/INDEX(TableTEVORP[FPS],MATCH(TEVORPCalc,TableTEVORP[RK],0)),"")</f>
        <v>-0.69390398092825956</v>
      </c>
      <c r="AF46" t="s">
        <v>207</v>
      </c>
      <c r="AG46">
        <v>5</v>
      </c>
      <c r="AH46" s="83">
        <f>RANK(TableOverallMaster[[#This Row],[VORP]],TableOverallMaster[VORP])+COUNTIF($AM$2:AM46,AM46)-1</f>
        <v>8</v>
      </c>
      <c r="AI46" s="115" t="str">
        <f>IFERROR(INDEX(TableRBVORP[RUNNING BACK],MATCH(TableOverallMaster[[#This Row],[RK]],TableRBVORP[RK],0)),"")</f>
        <v>Saquon Barkley</v>
      </c>
      <c r="AJ46" s="115" t="str">
        <f t="shared" si="0"/>
        <v>RB5</v>
      </c>
      <c r="AK46" s="115">
        <f>IFERROR(INDEX(TableRBVORP[BYE],MATCH(TableOverallMaster[[#This Row],[RK]],TableRBVORP[RK],0)),"")</f>
        <v>5</v>
      </c>
      <c r="AL46" s="116">
        <f>IFERROR(INDEX(TableRBVORP[FPS],MATCH(TableOverallMaster[[#This Row],[RK]],TableRBVORP[RK],0)),"")</f>
        <v>241.74493605547082</v>
      </c>
      <c r="AM46" s="117">
        <f>IFERROR(INDEX(TableRBVORP[VORP],MATCH(TableOverallMaster[[#This Row],[RK]],TableRBVORP[RK],0)),"")</f>
        <v>0.81280385212070072</v>
      </c>
      <c r="AO46">
        <v>45</v>
      </c>
      <c r="AP46" s="118" t="str">
        <f>IFERROR(INDEX(TableOverallMaster[OVERALL PLAYER],MATCH(TableOverallRank[[#This Row],[RK]],TableOverallMaster[OVR RK],0)),"")</f>
        <v>Brian Robinson</v>
      </c>
      <c r="AQ46" s="119" t="str">
        <f>IFERROR(INDEX(TableOverallMaster[POS RK],MATCH(TableOverallRank[[#This Row],[OVERALL PLAYER]],TableOverallMaster[OVERALL PLAYER],0)),"")</f>
        <v>RB23</v>
      </c>
      <c r="AR46" s="120">
        <f>IFERROR(INDEX(TableOverallMaster[BYE],MATCH(TableOverallRank[[#This Row],[OVERALL PLAYER]],TableOverallMaster[OVERALL PLAYER],0)),"")</f>
        <v>14</v>
      </c>
      <c r="AS46" s="119">
        <f>IFERROR(INDEX(TableOverallMaster[Custom],MATCH(TableOverallRank[[#This Row],[OVERALL PLAYER]],TableOverallMaster[OVERALL PLAYER],0)),"")</f>
        <v>180.40365584897597</v>
      </c>
      <c r="AT46" s="121">
        <f>IFERROR(INDEX(TableOverallMaster[VORP],MATCH(TableOverallRank[[#This Row],[OVERALL PLAYER]],TableOverallMaster[OVERALL PLAYER],0)),"")</f>
        <v>0.40356486401486774</v>
      </c>
      <c r="AV46">
        <v>45</v>
      </c>
      <c r="AW46" s="122" t="str">
        <f>IFERROR(INDEX(TableWRTECalcPts[PLAYER],MATCH(TableWRTERank[[#This Row],[RK]],TableWRTECalcPts[RK],0)),"")</f>
        <v>Marquise Brown</v>
      </c>
      <c r="AX46" s="122" t="str">
        <f>IFERROR(INDEX(TableWRTECalcPts[POS RK],MATCH(TableWRTERank[[#This Row],[WR and TE COMBINED]],TableWRTECalcPts[PLAYER],0)),"")</f>
        <v>WR40</v>
      </c>
      <c r="AY46" s="122">
        <f>IFERROR(INDEX(TableWRTECalcPts[BYE],MATCH(TableWRTERank[[#This Row],[RK]],TableWRTECalcPts[RK],0)),"")</f>
        <v>6</v>
      </c>
      <c r="AZ46" s="123">
        <f>IFERROR(INDEX(TableWRTECalcPts[Custom],MATCH(TableWRTERank[[#This Row],[RK]],TableWRTECalcPts[RK],0)),"")</f>
        <v>169.58278297902092</v>
      </c>
      <c r="BA46" s="174">
        <f>IFERROR((TableWRTERank[[#This Row],[FPS]]-INDEX(TableWRTERank[FPS],MATCH(WRTEVORPCalc,TableWRTERank[RK],0)))/INDEX(TableWRTERank[FPS],MATCH(WRTEVORPCalc,TableWRTERank[RK],0)),"")</f>
        <v>8.0674445452585702E-2</v>
      </c>
      <c r="BC46" t="s">
        <v>208</v>
      </c>
      <c r="BD46">
        <v>45</v>
      </c>
      <c r="BE46" s="83">
        <f>RANK(TableWRTEMaster[[#This Row],[VORP]],TableWRTEMaster[VORP])+COUNTIF($BJ$2:BJ46,BJ46)-1</f>
        <v>54</v>
      </c>
      <c r="BF46" s="115" t="str">
        <f>IFERROR(INDEX(TableWRVORP[WIDE RECEIVER],MATCH(TableWRTEMaster[[#This Row],[RK]],TableWRVORP[RK],0)),"")</f>
        <v>Xavier Worthy</v>
      </c>
      <c r="BG46" s="115" t="str">
        <f>_xlfn.CONCAT(TableWRTEMaster[[#This Row],[POS]],TableWRTEMaster[[#This Row],[RK]])</f>
        <v>WR45</v>
      </c>
      <c r="BH46" s="115">
        <f>IFERROR(INDEX(TableWRVORP[BYE],MATCH(TableWRTEMaster[[#This Row],[RK]],TableWRVORP[RK],0)),"")</f>
        <v>6</v>
      </c>
      <c r="BI46" s="116">
        <f>IFERROR(INDEX(TableWRVORP[FPS],MATCH(TableWRTEMaster[[#This Row],[RK]],TableWRVORP[RK],0)),"")</f>
        <v>163.43310093245475</v>
      </c>
      <c r="BJ46" s="117">
        <f>IFERROR(INDEX(TableWRVORP[VORP],MATCH(TableWRTEMaster[[#This Row],[RK]],TableWRVORP[RK],0)),"")</f>
        <v>0.13216209950206378</v>
      </c>
    </row>
    <row r="47" spans="1:62" x14ac:dyDescent="0.2">
      <c r="A47">
        <v>46</v>
      </c>
      <c r="B47" s="112" t="str">
        <f>IFERROR(INDEX(TableQBCalcPts[PLAYER],MATCH(TableQBVORP[[#This Row],[RK]],TableQBCalcPts[RK],0)),"")</f>
        <v>Josh Johnson</v>
      </c>
      <c r="C47" s="112" t="str">
        <f>IFERROR(INDEX(TableQBCalcPts[TM],MATCH(TableQBVORP[[#This Row],[RK]],TableQBCalcPts[RK],0)),"")</f>
        <v>BAL</v>
      </c>
      <c r="D47" s="112">
        <f>IFERROR(INDEX(TableQBCalcPts[BYE],MATCH(TableQBVORP[[#This Row],[RK]],TableQBCalcPts[RK],0)),"")</f>
        <v>14</v>
      </c>
      <c r="E47" s="113">
        <f>IFERROR(INDEX(TableQBCalcPts[Custom],MATCH(TableQBVORP[[#This Row],[RK]],TableQBCalcPts[RK],0)),"")</f>
        <v>11.632491294020705</v>
      </c>
      <c r="F47" s="114">
        <f>(IFERROR((TableQBVORP[[#This Row],[FPS]]-INDEX(TableQBVORP[FPS],MATCH(QBVORPCalc,TableQBVORP[RK],0)))/INDEX(TableQBVORP[FPS],MATCH(QBVORPCalc,TableQBVORP[RK],0)),""))+(TableRBVORP[[#This Row],[VORP]]*0.45)</f>
        <v>-0.98044666229550625</v>
      </c>
      <c r="H47">
        <v>46</v>
      </c>
      <c r="I47" s="112" t="str">
        <f>IFERROR(INDEX(TableRBCalcPts[PLAYER],MATCH(TableRBVORP[[#This Row],[RK]],TableRBCalcPts[RK],0)),"")</f>
        <v>Tyler Allgeier</v>
      </c>
      <c r="J47" s="112" t="str">
        <f>IFERROR(INDEX(TableRBCalcPts[TM],MATCH(TableRBVORP[[#This Row],[RK]],TableRBCalcPts[RK],0)),"")</f>
        <v>ATL</v>
      </c>
      <c r="K47" s="112">
        <f>IFERROR(INDEX(TableRBCalcPts[BYE],MATCH(TableRBVORP[[#This Row],[RK]],TableRBCalcPts[RK],0)),"")</f>
        <v>12</v>
      </c>
      <c r="L47" s="113">
        <f>IFERROR(INDEX(TableRBCalcPts[Custom],MATCH(TableRBVORP[[#This Row],[RK]],TableRBCalcPts[RK],0)),"")</f>
        <v>116.02229455155656</v>
      </c>
      <c r="M47" s="114">
        <f>(IFERROR((TableRBVORP[[#This Row],[FPS]]-INDEX(TableRBVORP[FPS],MATCH(RBVORPCalc,TableRBVORP[RK],0)))/INDEX(TableRBVORP[FPS],MATCH(RBVORPCalc,TableRBVORP[RK],0)),""))*0.8</f>
        <v>-2.5956056669182305E-2</v>
      </c>
      <c r="O47">
        <v>46</v>
      </c>
      <c r="P47" s="112" t="str">
        <f>IFERROR(INDEX(TableWRCalcPts[PLAYER],MATCH(TableWRVORP[[#This Row],[RK]],TableWRCalcPts[RK],0)),"")</f>
        <v>Ladd McConkey</v>
      </c>
      <c r="Q47" s="112" t="str">
        <f>IFERROR(INDEX(TableWRCalcPts[TM],MATCH(TableWRVORP[[#This Row],[RK]],TableWRCalcPts[RK],0)),"")</f>
        <v>LAC</v>
      </c>
      <c r="R47" s="112">
        <f>IFERROR(INDEX(TableWRCalcPts[BYE],MATCH(TableWRVORP[[#This Row],[RK]],TableWRCalcPts[RK],0)),"")</f>
        <v>5</v>
      </c>
      <c r="S47" s="113">
        <f>IFERROR(INDEX(TableWRCalcPts[Custom],MATCH(TableWRVORP[[#This Row],[RK]],TableWRCalcPts[RK],0)),"")</f>
        <v>163.29882840022213</v>
      </c>
      <c r="T47" s="114">
        <f>(IFERROR((TableWRVORP[[#This Row],[FPS]]-INDEX(TableWRVORP[FPS],MATCH(WRVORPCalc,TableWRVORP[RK],0)))/INDEX(TableWRVORP[FPS],MATCH(WRVORPCalc,TableWRVORP[RK],0)),""))*1.2</f>
        <v>0.13106762856916274</v>
      </c>
      <c r="V47">
        <v>46</v>
      </c>
      <c r="W47" s="112" t="str">
        <f>IFERROR(INDEX(TableTECalcPts[PLAYER],MATCH(TableTEVORP[[#This Row],[RK]],TableTECalcPts[RK],0)),"")</f>
        <v>Jeremy Ruckert</v>
      </c>
      <c r="X47" s="112" t="str">
        <f>IFERROR(INDEX(TableTECalcPts[TM],MATCH(TableTEVORP[[#This Row],[RK]],TableTECalcPts[RK],0)),"")</f>
        <v>NYJ</v>
      </c>
      <c r="Y47" s="112">
        <f>IFERROR(INDEX(TableTECalcPts[BYE],MATCH(TableTEVORP[[#This Row],[RK]],TableTECalcPts[RK],0)),"")</f>
        <v>12</v>
      </c>
      <c r="Z47" s="113">
        <f>IFERROR(INDEX(TableTECalcPts[Custom],MATCH(TableTEVORP[[#This Row],[RK]],TableTECalcPts[RK],0)),"")</f>
        <v>40.072235990399271</v>
      </c>
      <c r="AA47" s="114">
        <f>IFERROR((TableTEVORP[[#This Row],[FPS]]-INDEX(TableTEVORP[FPS],MATCH(TEVORPCalc,TableTEVORP[RK],0)))/INDEX(TableTEVORP[FPS],MATCH(TEVORPCalc,TableTEVORP[RK],0)),"")</f>
        <v>-0.6955900066669678</v>
      </c>
      <c r="AF47" t="s">
        <v>207</v>
      </c>
      <c r="AG47">
        <v>6</v>
      </c>
      <c r="AH47" s="83">
        <f>RANK(TableOverallMaster[[#This Row],[VORP]],TableOverallMaster[VORP])+COUNTIF($AM$2:AM47,AM47)-1</f>
        <v>10</v>
      </c>
      <c r="AI47" s="115" t="str">
        <f>IFERROR(INDEX(TableRBVORP[RUNNING BACK],MATCH(TableOverallMaster[[#This Row],[RK]],TableRBVORP[RK],0)),"")</f>
        <v>Derrick Henry</v>
      </c>
      <c r="AJ47" s="115" t="str">
        <f t="shared" si="0"/>
        <v>RB6</v>
      </c>
      <c r="AK47" s="115">
        <f>IFERROR(INDEX(TableRBVORP[BYE],MATCH(TableOverallMaster[[#This Row],[RK]],TableRBVORP[RK],0)),"")</f>
        <v>14</v>
      </c>
      <c r="AL47" s="116">
        <f>IFERROR(INDEX(TableRBVORP[FPS],MATCH(TableOverallMaster[[#This Row],[RK]],TableRBVORP[RK],0)),"")</f>
        <v>235.57123502841006</v>
      </c>
      <c r="AM47" s="117">
        <f>IFERROR(INDEX(TableRBVORP[VORP],MATCH(TableOverallMaster[[#This Row],[RK]],TableRBVORP[RK],0)),"")</f>
        <v>0.7716159415867635</v>
      </c>
      <c r="AO47">
        <v>46</v>
      </c>
      <c r="AP47" s="118" t="str">
        <f>IFERROR(INDEX(TableOverallMaster[OVERALL PLAYER],MATCH(TableOverallRank[[#This Row],[RK]],TableOverallMaster[OVR RK],0)),"")</f>
        <v>Terry McLaurin</v>
      </c>
      <c r="AQ47" s="119" t="str">
        <f>IFERROR(INDEX(TableOverallMaster[POS RK],MATCH(TableOverallRank[[#This Row],[OVERALL PLAYER]],TableOverallMaster[OVERALL PLAYER],0)),"")</f>
        <v>WR19</v>
      </c>
      <c r="AR47" s="120">
        <f>IFERROR(INDEX(TableOverallMaster[BYE],MATCH(TableOverallRank[[#This Row],[OVERALL PLAYER]],TableOverallMaster[OVERALL PLAYER],0)),"")</f>
        <v>14</v>
      </c>
      <c r="AS47" s="119">
        <f>IFERROR(INDEX(TableOverallMaster[Custom],MATCH(TableOverallRank[[#This Row],[OVERALL PLAYER]],TableOverallMaster[OVERALL PLAYER],0)),"")</f>
        <v>196.63586376487206</v>
      </c>
      <c r="AT47" s="121">
        <f>IFERROR(INDEX(TableOverallMaster[VORP],MATCH(TableOverallRank[[#This Row],[OVERALL PLAYER]],TableOverallMaster[OVERALL PLAYER],0)),"")</f>
        <v>0.40280165777846549</v>
      </c>
      <c r="AV47">
        <v>46</v>
      </c>
      <c r="AW47" s="122" t="str">
        <f>IFERROR(INDEX(TableWRTECalcPts[PLAYER],MATCH(TableWRTERank[[#This Row],[RK]],TableWRTECalcPts[RK],0)),"")</f>
        <v>Chris Godwin</v>
      </c>
      <c r="AX47" s="122" t="str">
        <f>IFERROR(INDEX(TableWRTECalcPts[POS RK],MATCH(TableWRTERank[[#This Row],[WR and TE COMBINED]],TableWRTECalcPts[PLAYER],0)),"")</f>
        <v>WR41</v>
      </c>
      <c r="AY47" s="122">
        <f>IFERROR(INDEX(TableWRTECalcPts[BYE],MATCH(TableWRTERank[[#This Row],[RK]],TableWRTECalcPts[RK],0)),"")</f>
        <v>11</v>
      </c>
      <c r="AZ47" s="123">
        <f>IFERROR(INDEX(TableWRTECalcPts[Custom],MATCH(TableWRTERank[[#This Row],[RK]],TableWRTECalcPts[RK],0)),"")</f>
        <v>167.29208694718784</v>
      </c>
      <c r="BA47" s="174">
        <f>IFERROR((TableWRTERank[[#This Row],[FPS]]-INDEX(TableWRTERank[FPS],MATCH(WRTEVORPCalc,TableWRTERank[RK],0)))/INDEX(TableWRTERank[FPS],MATCH(WRTEVORPCalc,TableWRTERank[RK],0)),"")</f>
        <v>6.6076874753395715E-2</v>
      </c>
      <c r="BC47" t="s">
        <v>208</v>
      </c>
      <c r="BD47">
        <v>46</v>
      </c>
      <c r="BE47" s="83">
        <f>RANK(TableWRTEMaster[[#This Row],[VORP]],TableWRTEMaster[VORP])+COUNTIF($BJ$2:BJ47,BJ47)-1</f>
        <v>55</v>
      </c>
      <c r="BF47" s="115" t="str">
        <f>IFERROR(INDEX(TableWRVORP[WIDE RECEIVER],MATCH(TableWRTEMaster[[#This Row],[RK]],TableWRVORP[RK],0)),"")</f>
        <v>Ladd McConkey</v>
      </c>
      <c r="BG47" s="115" t="str">
        <f>_xlfn.CONCAT(TableWRTEMaster[[#This Row],[POS]],TableWRTEMaster[[#This Row],[RK]])</f>
        <v>WR46</v>
      </c>
      <c r="BH47" s="115">
        <f>IFERROR(INDEX(TableWRVORP[BYE],MATCH(TableWRTEMaster[[#This Row],[RK]],TableWRVORP[RK],0)),"")</f>
        <v>5</v>
      </c>
      <c r="BI47" s="116">
        <f>IFERROR(INDEX(TableWRVORP[FPS],MATCH(TableWRTEMaster[[#This Row],[RK]],TableWRVORP[RK],0)),"")</f>
        <v>163.29882840022213</v>
      </c>
      <c r="BJ47" s="117">
        <f>IFERROR(INDEX(TableWRVORP[VORP],MATCH(TableWRTEMaster[[#This Row],[RK]],TableWRVORP[RK],0)),"")</f>
        <v>0.13106762856916274</v>
      </c>
    </row>
    <row r="48" spans="1:62" x14ac:dyDescent="0.2">
      <c r="A48">
        <v>47</v>
      </c>
      <c r="B48" s="112" t="str">
        <f>IFERROR(INDEX(TableQBCalcPts[PLAYER],MATCH(TableQBVORP[[#This Row],[RK]],TableQBCalcPts[RK],0)),"")</f>
        <v>Marcus Mariota</v>
      </c>
      <c r="C48" s="112" t="str">
        <f>IFERROR(INDEX(TableQBCalcPts[TM],MATCH(TableQBVORP[[#This Row],[RK]],TableQBCalcPts[RK],0)),"")</f>
        <v>WSH</v>
      </c>
      <c r="D48" s="112">
        <f>IFERROR(INDEX(TableQBCalcPts[BYE],MATCH(TableQBVORP[[#This Row],[RK]],TableQBCalcPts[RK],0)),"")</f>
        <v>14</v>
      </c>
      <c r="E48" s="113">
        <f>IFERROR(INDEX(TableQBCalcPts[Custom],MATCH(TableQBVORP[[#This Row],[RK]],TableQBCalcPts[RK],0)),"")</f>
        <v>11.178047239620373</v>
      </c>
      <c r="F48" s="114">
        <f>(IFERROR((TableQBVORP[[#This Row],[FPS]]-INDEX(TableQBVORP[FPS],MATCH(QBVORPCalc,TableQBVORP[RK],0)))/INDEX(TableQBVORP[FPS],MATCH(QBVORPCalc,TableQBVORP[RK],0)),""))+(TableRBVORP[[#This Row],[VORP]]*0.45)</f>
        <v>-0.99641131093557023</v>
      </c>
      <c r="H48">
        <v>47</v>
      </c>
      <c r="I48" s="112" t="str">
        <f>IFERROR(INDEX(TableRBCalcPts[PLAYER],MATCH(TableRBVORP[[#This Row],[RK]],TableRBCalcPts[RK],0)),"")</f>
        <v>Rico Dowdle</v>
      </c>
      <c r="J48" s="112" t="str">
        <f>IFERROR(INDEX(TableRBCalcPts[TM],MATCH(TableRBVORP[[#This Row],[RK]],TableRBCalcPts[RK],0)),"")</f>
        <v>DAL</v>
      </c>
      <c r="K48" s="112">
        <f>IFERROR(INDEX(TableRBCalcPts[BYE],MATCH(TableRBVORP[[#This Row],[RK]],TableRBCalcPts[RK],0)),"")</f>
        <v>7</v>
      </c>
      <c r="L48" s="113">
        <f>IFERROR(INDEX(TableRBCalcPts[Custom],MATCH(TableRBVORP[[#This Row],[RK]],TableRBCalcPts[RK],0)),"")</f>
        <v>111.11104496242798</v>
      </c>
      <c r="M48" s="114">
        <f>(IFERROR((TableRBVORP[[#This Row],[FPS]]-INDEX(TableRBVORP[FPS],MATCH(RBVORPCalc,TableRBVORP[RK],0)))/INDEX(TableRBVORP[FPS],MATCH(RBVORPCalc,TableRBVORP[RK],0)),""))*0.8</f>
        <v>-5.8721509320712698E-2</v>
      </c>
      <c r="O48">
        <v>47</v>
      </c>
      <c r="P48" s="112" t="str">
        <f>IFERROR(INDEX(TableWRCalcPts[PLAYER],MATCH(TableWRVORP[[#This Row],[RK]],TableWRCalcPts[RK],0)),"")</f>
        <v>Tyler Lockett</v>
      </c>
      <c r="Q48" s="112" t="str">
        <f>IFERROR(INDEX(TableWRCalcPts[TM],MATCH(TableWRVORP[[#This Row],[RK]],TableWRCalcPts[RK],0)),"")</f>
        <v>SEA</v>
      </c>
      <c r="R48" s="112">
        <f>IFERROR(INDEX(TableWRCalcPts[BYE],MATCH(TableWRVORP[[#This Row],[RK]],TableWRCalcPts[RK],0)),"")</f>
        <v>10</v>
      </c>
      <c r="S48" s="113">
        <f>IFERROR(INDEX(TableWRCalcPts[Custom],MATCH(TableWRVORP[[#This Row],[RK]],TableWRCalcPts[RK],0)),"")</f>
        <v>162.31493454865003</v>
      </c>
      <c r="T48" s="114">
        <f>(IFERROR((TableWRVORP[[#This Row],[FPS]]-INDEX(TableWRVORP[FPS],MATCH(WRVORPCalc,TableWRVORP[RK],0)))/INDEX(TableWRVORP[FPS],MATCH(WRVORPCalc,TableWRVORP[RK],0)),""))*1.2</f>
        <v>0.12304779604123946</v>
      </c>
      <c r="V48">
        <v>47</v>
      </c>
      <c r="W48" s="112" t="str">
        <f>IFERROR(INDEX(TableTECalcPts[PLAYER],MATCH(TableTEVORP[[#This Row],[RK]],TableTECalcPts[RK],0)),"")</f>
        <v>Austin Hooper</v>
      </c>
      <c r="X48" s="112" t="str">
        <f>IFERROR(INDEX(TableTECalcPts[TM],MATCH(TableTEVORP[[#This Row],[RK]],TableTECalcPts[RK],0)),"")</f>
        <v>NE</v>
      </c>
      <c r="Y48" s="112">
        <f>IFERROR(INDEX(TableTECalcPts[BYE],MATCH(TableTEVORP[[#This Row],[RK]],TableTECalcPts[RK],0)),"")</f>
        <v>14</v>
      </c>
      <c r="Z48" s="113">
        <f>IFERROR(INDEX(TableTECalcPts[Custom],MATCH(TableTEVORP[[#This Row],[RK]],TableTECalcPts[RK],0)),"")</f>
        <v>35.870510360635265</v>
      </c>
      <c r="AA48" s="114">
        <f>IFERROR((TableTEVORP[[#This Row],[FPS]]-INDEX(TableTEVORP[FPS],MATCH(TEVORPCalc,TableTEVORP[RK],0)))/INDEX(TableTEVORP[FPS],MATCH(TEVORPCalc,TableTEVORP[RK],0)),"")</f>
        <v>-0.72750854675667309</v>
      </c>
      <c r="AF48" t="s">
        <v>207</v>
      </c>
      <c r="AG48">
        <v>7</v>
      </c>
      <c r="AH48" s="83">
        <f>RANK(TableOverallMaster[[#This Row],[VORP]],TableOverallMaster[VORP])+COUNTIF($AM$2:AM48,AM48)-1</f>
        <v>12</v>
      </c>
      <c r="AI48" s="115" t="str">
        <f>IFERROR(INDEX(TableRBVORP[RUNNING BACK],MATCH(TableOverallMaster[[#This Row],[RK]],TableRBVORP[RK],0)),"")</f>
        <v>Joe Mixon</v>
      </c>
      <c r="AJ48" s="115" t="str">
        <f t="shared" si="0"/>
        <v>RB7</v>
      </c>
      <c r="AK48" s="115">
        <f>IFERROR(INDEX(TableRBVORP[BYE],MATCH(TableOverallMaster[[#This Row],[RK]],TableRBVORP[RK],0)),"")</f>
        <v>14</v>
      </c>
      <c r="AL48" s="116">
        <f>IFERROR(INDEX(TableRBVORP[FPS],MATCH(TableOverallMaster[[#This Row],[RK]],TableRBVORP[RK],0)),"")</f>
        <v>221.58915310275702</v>
      </c>
      <c r="AM48" s="117">
        <f>IFERROR(INDEX(TableRBVORP[VORP],MATCH(TableOverallMaster[[#This Row],[RK]],TableRBVORP[RK],0)),"")</f>
        <v>0.67833433677504562</v>
      </c>
      <c r="AO48">
        <v>47</v>
      </c>
      <c r="AP48" s="118" t="str">
        <f>IFERROR(INDEX(TableOverallMaster[OVERALL PLAYER],MATCH(TableOverallRank[[#This Row],[RK]],TableOverallMaster[OVR RK],0)),"")</f>
        <v>Javonte Williams</v>
      </c>
      <c r="AQ48" s="119" t="str">
        <f>IFERROR(INDEX(TableOverallMaster[POS RK],MATCH(TableOverallRank[[#This Row],[OVERALL PLAYER]],TableOverallMaster[OVERALL PLAYER],0)),"")</f>
        <v>RB24</v>
      </c>
      <c r="AR48" s="120">
        <f>IFERROR(INDEX(TableOverallMaster[BYE],MATCH(TableOverallRank[[#This Row],[OVERALL PLAYER]],TableOverallMaster[OVERALL PLAYER],0)),"")</f>
        <v>14</v>
      </c>
      <c r="AS48" s="119">
        <f>IFERROR(INDEX(TableOverallMaster[Custom],MATCH(TableOverallRank[[#This Row],[OVERALL PLAYER]],TableOverallMaster[OVERALL PLAYER],0)),"")</f>
        <v>179.90516382745326</v>
      </c>
      <c r="AT48" s="121">
        <f>IFERROR(INDEX(TableOverallMaster[VORP],MATCH(TableOverallRank[[#This Row],[OVERALL PLAYER]],TableOverallMaster[OVERALL PLAYER],0)),"")</f>
        <v>0.40023916931498466</v>
      </c>
      <c r="AV48">
        <v>47</v>
      </c>
      <c r="AW48" s="122" t="str">
        <f>IFERROR(INDEX(TableWRTECalcPts[PLAYER],MATCH(TableWRTERank[[#This Row],[RK]],TableWRTECalcPts[RK],0)),"")</f>
        <v>Courtland Sutton</v>
      </c>
      <c r="AX48" s="122" t="str">
        <f>IFERROR(INDEX(TableWRTECalcPts[POS RK],MATCH(TableWRTERank[[#This Row],[WR and TE COMBINED]],TableWRTECalcPts[PLAYER],0)),"")</f>
        <v>WR42</v>
      </c>
      <c r="AY48" s="122">
        <f>IFERROR(INDEX(TableWRTECalcPts[BYE],MATCH(TableWRTERank[[#This Row],[RK]],TableWRTECalcPts[RK],0)),"")</f>
        <v>14</v>
      </c>
      <c r="AZ48" s="123">
        <f>IFERROR(INDEX(TableWRTECalcPts[Custom],MATCH(TableWRTERank[[#This Row],[RK]],TableWRTECalcPts[RK],0)),"")</f>
        <v>165.59548838461149</v>
      </c>
      <c r="BA48" s="174">
        <f>IFERROR((TableWRTERank[[#This Row],[FPS]]-INDEX(TableWRTERank[FPS],MATCH(WRTEVORPCalc,TableWRTERank[RK],0)))/INDEX(TableWRTERank[FPS],MATCH(WRTEVORPCalc,TableWRTERank[RK],0)),"")</f>
        <v>5.5265218767099777E-2</v>
      </c>
      <c r="BC48" t="s">
        <v>208</v>
      </c>
      <c r="BD48">
        <v>47</v>
      </c>
      <c r="BE48" s="83">
        <f>RANK(TableWRTEMaster[[#This Row],[VORP]],TableWRTEMaster[VORP])+COUNTIF($BJ$2:BJ48,BJ48)-1</f>
        <v>56</v>
      </c>
      <c r="BF48" s="115" t="str">
        <f>IFERROR(INDEX(TableWRVORP[WIDE RECEIVER],MATCH(TableWRTEMaster[[#This Row],[RK]],TableWRVORP[RK],0)),"")</f>
        <v>Tyler Lockett</v>
      </c>
      <c r="BG48" s="115" t="str">
        <f>_xlfn.CONCAT(TableWRTEMaster[[#This Row],[POS]],TableWRTEMaster[[#This Row],[RK]])</f>
        <v>WR47</v>
      </c>
      <c r="BH48" s="115">
        <f>IFERROR(INDEX(TableWRVORP[BYE],MATCH(TableWRTEMaster[[#This Row],[RK]],TableWRVORP[RK],0)),"")</f>
        <v>10</v>
      </c>
      <c r="BI48" s="116">
        <f>IFERROR(INDEX(TableWRVORP[FPS],MATCH(TableWRTEMaster[[#This Row],[RK]],TableWRVORP[RK],0)),"")</f>
        <v>162.31493454865003</v>
      </c>
      <c r="BJ48" s="117">
        <f>IFERROR(INDEX(TableWRVORP[VORP],MATCH(TableWRTEMaster[[#This Row],[RK]],TableWRVORP[RK],0)),"")</f>
        <v>0.12304779604123946</v>
      </c>
    </row>
    <row r="49" spans="1:62" x14ac:dyDescent="0.2">
      <c r="A49">
        <v>48</v>
      </c>
      <c r="B49" s="112" t="str">
        <f>IFERROR(INDEX(TableQBCalcPts[PLAYER],MATCH(TableQBVORP[[#This Row],[RK]],TableQBCalcPts[RK],0)),"")</f>
        <v>Jimmy Garoppolo</v>
      </c>
      <c r="C49" s="112" t="str">
        <f>IFERROR(INDEX(TableQBCalcPts[TM],MATCH(TableQBVORP[[#This Row],[RK]],TableQBCalcPts[RK],0)),"")</f>
        <v>LAR</v>
      </c>
      <c r="D49" s="112">
        <f>IFERROR(INDEX(TableQBCalcPts[BYE],MATCH(TableQBVORP[[#This Row],[RK]],TableQBCalcPts[RK],0)),"")</f>
        <v>6</v>
      </c>
      <c r="E49" s="113">
        <f>IFERROR(INDEX(TableQBCalcPts[Custom],MATCH(TableQBVORP[[#This Row],[RK]],TableQBCalcPts[RK],0)),"")</f>
        <v>11.151845668709123</v>
      </c>
      <c r="F49" s="114">
        <f>(IFERROR((TableQBVORP[[#This Row],[FPS]]-INDEX(TableQBVORP[FPS],MATCH(QBVORPCalc,TableQBVORP[RK],0)))/INDEX(TableQBVORP[FPS],MATCH(QBVORPCalc,TableQBVORP[RK],0)),""))+(TableRBVORP[[#This Row],[VORP]]*0.45)</f>
        <v>-1.0005563311153929</v>
      </c>
      <c r="H49">
        <v>48</v>
      </c>
      <c r="I49" s="112" t="str">
        <f>IFERROR(INDEX(TableRBCalcPts[PLAYER],MATCH(TableRBVORP[[#This Row],[RK]],TableRBCalcPts[RK],0)),"")</f>
        <v>Chase Brown</v>
      </c>
      <c r="J49" s="112" t="str">
        <f>IFERROR(INDEX(TableRBCalcPts[TM],MATCH(TableRBVORP[[#This Row],[RK]],TableRBCalcPts[RK],0)),"")</f>
        <v>CIN</v>
      </c>
      <c r="K49" s="112">
        <f>IFERROR(INDEX(TableRBCalcPts[BYE],MATCH(TableRBVORP[[#This Row],[RK]],TableRBCalcPts[RK],0)),"")</f>
        <v>12</v>
      </c>
      <c r="L49" s="113">
        <f>IFERROR(INDEX(TableRBCalcPts[Custom],MATCH(TableRBVORP[[#This Row],[RK]],TableRBCalcPts[RK],0)),"")</f>
        <v>109.75380832983265</v>
      </c>
      <c r="M49" s="114">
        <f>(IFERROR((TableRBVORP[[#This Row],[FPS]]-INDEX(TableRBVORP[FPS],MATCH(RBVORPCalc,TableRBVORP[RK],0)))/INDEX(TableRBVORP[FPS],MATCH(RBVORPCalc,TableRBVORP[RK],0)),""))*0.8</f>
        <v>-6.7776327613935594E-2</v>
      </c>
      <c r="O49">
        <v>48</v>
      </c>
      <c r="P49" s="112" t="str">
        <f>IFERROR(INDEX(TableWRCalcPts[PLAYER],MATCH(TableWRVORP[[#This Row],[RK]],TableWRCalcPts[RK],0)),"")</f>
        <v>Jakobi Meyers</v>
      </c>
      <c r="Q49" s="112" t="str">
        <f>IFERROR(INDEX(TableWRCalcPts[TM],MATCH(TableWRVORP[[#This Row],[RK]],TableWRCalcPts[RK],0)),"")</f>
        <v>LV</v>
      </c>
      <c r="R49" s="112">
        <f>IFERROR(INDEX(TableWRCalcPts[BYE],MATCH(TableWRVORP[[#This Row],[RK]],TableWRCalcPts[RK],0)),"")</f>
        <v>10</v>
      </c>
      <c r="S49" s="113">
        <f>IFERROR(INDEX(TableWRCalcPts[Custom],MATCH(TableWRVORP[[#This Row],[RK]],TableWRCalcPts[RK],0)),"")</f>
        <v>159.5175566273596</v>
      </c>
      <c r="T49" s="114">
        <f>(IFERROR((TableWRVORP[[#This Row],[FPS]]-INDEX(TableWRVORP[FPS],MATCH(WRVORPCalc,TableWRVORP[RK],0)))/INDEX(TableWRVORP[FPS],MATCH(WRVORPCalc,TableWRVORP[RK],0)),""))*1.2</f>
        <v>0.10024604521190696</v>
      </c>
      <c r="V49">
        <v>48</v>
      </c>
      <c r="W49" s="112" t="str">
        <f>IFERROR(INDEX(TableTECalcPts[PLAYER],MATCH(TableTEVORP[[#This Row],[RK]],TableTECalcPts[RK],0)),"")</f>
        <v>Cade Stover</v>
      </c>
      <c r="X49" s="112" t="str">
        <f>IFERROR(INDEX(TableTECalcPts[TM],MATCH(TableTEVORP[[#This Row],[RK]],TableTECalcPts[RK],0)),"")</f>
        <v>HOU</v>
      </c>
      <c r="Y49" s="112">
        <f>IFERROR(INDEX(TableTECalcPts[BYE],MATCH(TableTEVORP[[#This Row],[RK]],TableTECalcPts[RK],0)),"")</f>
        <v>14</v>
      </c>
      <c r="Z49" s="113">
        <f>IFERROR(INDEX(TableTECalcPts[Custom],MATCH(TableTEVORP[[#This Row],[RK]],TableTECalcPts[RK],0)),"")</f>
        <v>32.672274321811308</v>
      </c>
      <c r="AA49" s="114">
        <f>IFERROR((TableTEVORP[[#This Row],[FPS]]-INDEX(TableTEVORP[FPS],MATCH(TEVORPCalc,TableTEVORP[RK],0)))/INDEX(TableTEVORP[FPS],MATCH(TEVORPCalc,TableTEVORP[RK],0)),"")</f>
        <v>-0.75180404680037216</v>
      </c>
      <c r="AF49" t="s">
        <v>207</v>
      </c>
      <c r="AG49">
        <v>8</v>
      </c>
      <c r="AH49" s="83">
        <f>RANK(TableOverallMaster[[#This Row],[VORP]],TableOverallMaster[VORP])+COUNTIF($AM$2:AM49,AM49)-1</f>
        <v>15</v>
      </c>
      <c r="AI49" s="115" t="str">
        <f>IFERROR(INDEX(TableRBVORP[RUNNING BACK],MATCH(TableOverallMaster[[#This Row],[RK]],TableRBVORP[RK],0)),"")</f>
        <v>Kyren Williams</v>
      </c>
      <c r="AJ49" s="115" t="str">
        <f t="shared" si="0"/>
        <v>RB8</v>
      </c>
      <c r="AK49" s="115">
        <f>IFERROR(INDEX(TableRBVORP[BYE],MATCH(TableOverallMaster[[#This Row],[RK]],TableRBVORP[RK],0)),"")</f>
        <v>6</v>
      </c>
      <c r="AL49" s="116">
        <f>IFERROR(INDEX(TableRBVORP[FPS],MATCH(TableOverallMaster[[#This Row],[RK]],TableRBVORP[RK],0)),"")</f>
        <v>214.43728721829297</v>
      </c>
      <c r="AM49" s="117">
        <f>IFERROR(INDEX(TableRBVORP[VORP],MATCH(TableOverallMaster[[#This Row],[RK]],TableRBVORP[RK],0)),"")</f>
        <v>0.63062058923384567</v>
      </c>
      <c r="AO49">
        <v>48</v>
      </c>
      <c r="AP49" s="118" t="str">
        <f>IFERROR(INDEX(TableOverallMaster[OVERALL PLAYER],MATCH(TableOverallRank[[#This Row],[RK]],TableOverallMaster[OVR RK],0)),"")</f>
        <v>Marvin Harrison</v>
      </c>
      <c r="AQ49" s="119" t="str">
        <f>IFERROR(INDEX(TableOverallMaster[POS RK],MATCH(TableOverallRank[[#This Row],[OVERALL PLAYER]],TableOverallMaster[OVERALL PLAYER],0)),"")</f>
        <v>WR20</v>
      </c>
      <c r="AR49" s="120">
        <f>IFERROR(INDEX(TableOverallMaster[BYE],MATCH(TableOverallRank[[#This Row],[OVERALL PLAYER]],TableOverallMaster[OVERALL PLAYER],0)),"")</f>
        <v>11</v>
      </c>
      <c r="AS49" s="119">
        <f>IFERROR(INDEX(TableOverallMaster[Custom],MATCH(TableOverallRank[[#This Row],[OVERALL PLAYER]],TableOverallMaster[OVERALL PLAYER],0)),"")</f>
        <v>196.12822049057965</v>
      </c>
      <c r="AT49" s="121">
        <f>IFERROR(INDEX(TableOverallMaster[VORP],MATCH(TableOverallRank[[#This Row],[OVERALL PLAYER]],TableOverallMaster[OVERALL PLAYER],0)),"")</f>
        <v>0.39866379876324087</v>
      </c>
      <c r="AV49">
        <v>48</v>
      </c>
      <c r="AW49" s="122" t="str">
        <f>IFERROR(INDEX(TableWRTECalcPts[PLAYER],MATCH(TableWRTERank[[#This Row],[RK]],TableWRTECalcPts[RK],0)),"")</f>
        <v>Jameson Williams</v>
      </c>
      <c r="AX49" s="122" t="str">
        <f>IFERROR(INDEX(TableWRTECalcPts[POS RK],MATCH(TableWRTERank[[#This Row],[WR and TE COMBINED]],TableWRTECalcPts[PLAYER],0)),"")</f>
        <v>WR43</v>
      </c>
      <c r="AY49" s="122">
        <f>IFERROR(INDEX(TableWRTECalcPts[BYE],MATCH(TableWRTERank[[#This Row],[RK]],TableWRTECalcPts[RK],0)),"")</f>
        <v>5</v>
      </c>
      <c r="AZ49" s="123">
        <f>IFERROR(INDEX(TableWRTECalcPts[Custom],MATCH(TableWRTERank[[#This Row],[RK]],TableWRTECalcPts[RK],0)),"")</f>
        <v>164.89881363257362</v>
      </c>
      <c r="BA49" s="174">
        <f>IFERROR((TableWRTERank[[#This Row],[FPS]]-INDEX(TableWRTERank[FPS],MATCH(WRTEVORPCalc,TableWRTERank[RK],0)))/INDEX(TableWRTERank[FPS],MATCH(WRTEVORPCalc,TableWRTERank[RK],0)),"")</f>
        <v>5.0825625383303992E-2</v>
      </c>
      <c r="BC49" t="s">
        <v>208</v>
      </c>
      <c r="BD49">
        <v>48</v>
      </c>
      <c r="BE49" s="83">
        <f>RANK(TableWRTEMaster[[#This Row],[VORP]],TableWRTEMaster[VORP])+COUNTIF($BJ$2:BJ49,BJ49)-1</f>
        <v>57</v>
      </c>
      <c r="BF49" s="115" t="str">
        <f>IFERROR(INDEX(TableWRVORP[WIDE RECEIVER],MATCH(TableWRTEMaster[[#This Row],[RK]],TableWRVORP[RK],0)),"")</f>
        <v>Jakobi Meyers</v>
      </c>
      <c r="BG49" s="115" t="str">
        <f>_xlfn.CONCAT(TableWRTEMaster[[#This Row],[POS]],TableWRTEMaster[[#This Row],[RK]])</f>
        <v>WR48</v>
      </c>
      <c r="BH49" s="115">
        <f>IFERROR(INDEX(TableWRVORP[BYE],MATCH(TableWRTEMaster[[#This Row],[RK]],TableWRVORP[RK],0)),"")</f>
        <v>10</v>
      </c>
      <c r="BI49" s="116">
        <f>IFERROR(INDEX(TableWRVORP[FPS],MATCH(TableWRTEMaster[[#This Row],[RK]],TableWRVORP[RK],0)),"")</f>
        <v>159.5175566273596</v>
      </c>
      <c r="BJ49" s="117">
        <f>IFERROR(INDEX(TableWRVORP[VORP],MATCH(TableWRTEMaster[[#This Row],[RK]],TableWRVORP[RK],0)),"")</f>
        <v>0.10024604521190696</v>
      </c>
    </row>
    <row r="50" spans="1:62" x14ac:dyDescent="0.2">
      <c r="A50">
        <v>49</v>
      </c>
      <c r="B50" s="112" t="str">
        <f>IFERROR(INDEX(TableQBCalcPts[PLAYER],MATCH(TableQBVORP[[#This Row],[RK]],TableQBCalcPts[RK],0)),"")</f>
        <v>Zach Wilson</v>
      </c>
      <c r="C50" s="112" t="str">
        <f>IFERROR(INDEX(TableQBCalcPts[TM],MATCH(TableQBVORP[[#This Row],[RK]],TableQBCalcPts[RK],0)),"")</f>
        <v>DEN</v>
      </c>
      <c r="D50" s="112">
        <f>IFERROR(INDEX(TableQBCalcPts[BYE],MATCH(TableQBVORP[[#This Row],[RK]],TableQBCalcPts[RK],0)),"")</f>
        <v>14</v>
      </c>
      <c r="E50" s="113">
        <f>IFERROR(INDEX(TableQBCalcPts[Custom],MATCH(TableQBVORP[[#This Row],[RK]],TableQBCalcPts[RK],0)),"")</f>
        <v>9.5981190378000001</v>
      </c>
      <c r="F50" s="114">
        <f>(IFERROR((TableQBVORP[[#This Row],[FPS]]-INDEX(TableQBVORP[FPS],MATCH(QBVORPCalc,TableQBVORP[RK],0)))/INDEX(TableQBVORP[FPS],MATCH(QBVORPCalc,TableQBVORP[RK],0)),""))+(TableRBVORP[[#This Row],[VORP]]*0.45)</f>
        <v>-1.0097151341492212</v>
      </c>
      <c r="H50">
        <v>49</v>
      </c>
      <c r="I50" s="112" t="str">
        <f>IFERROR(INDEX(TableRBCalcPts[PLAYER],MATCH(TableRBVORP[[#This Row],[RK]],TableRBCalcPts[RK],0)),"")</f>
        <v>Bucky Irving</v>
      </c>
      <c r="J50" s="112" t="str">
        <f>IFERROR(INDEX(TableRBCalcPts[TM],MATCH(TableRBVORP[[#This Row],[RK]],TableRBCalcPts[RK],0)),"")</f>
        <v>TB</v>
      </c>
      <c r="K50" s="112">
        <f>IFERROR(INDEX(TableRBCalcPts[BYE],MATCH(TableRBVORP[[#This Row],[RK]],TableRBCalcPts[RK],0)),"")</f>
        <v>11</v>
      </c>
      <c r="L50" s="113">
        <f>IFERROR(INDEX(TableRBCalcPts[Custom],MATCH(TableRBVORP[[#This Row],[RK]],TableRBCalcPts[RK],0)),"")</f>
        <v>108.09268065474014</v>
      </c>
      <c r="M50" s="114">
        <f>(IFERROR((TableRBVORP[[#This Row],[FPS]]-INDEX(TableRBVORP[FPS],MATCH(RBVORPCalc,TableRBVORP[RK],0)))/INDEX(TableRBVORP[FPS],MATCH(RBVORPCalc,TableRBVORP[RK],0)),""))*0.8</f>
        <v>-7.8858558153973773E-2</v>
      </c>
      <c r="O50">
        <v>49</v>
      </c>
      <c r="P50" s="112" t="str">
        <f>IFERROR(INDEX(TableWRCalcPts[PLAYER],MATCH(TableWRVORP[[#This Row],[RK]],TableWRCalcPts[RK],0)),"")</f>
        <v>Romeo Doubs</v>
      </c>
      <c r="Q50" s="112" t="str">
        <f>IFERROR(INDEX(TableWRCalcPts[TM],MATCH(TableWRVORP[[#This Row],[RK]],TableWRCalcPts[RK],0)),"")</f>
        <v>GB</v>
      </c>
      <c r="R50" s="112">
        <f>IFERROR(INDEX(TableWRCalcPts[BYE],MATCH(TableWRVORP[[#This Row],[RK]],TableWRCalcPts[RK],0)),"")</f>
        <v>10</v>
      </c>
      <c r="S50" s="113">
        <f>IFERROR(INDEX(TableWRCalcPts[Custom],MATCH(TableWRVORP[[#This Row],[RK]],TableWRCalcPts[RK],0)),"")</f>
        <v>159.42435883867063</v>
      </c>
      <c r="T50" s="114">
        <f>(IFERROR((TableWRVORP[[#This Row],[FPS]]-INDEX(TableWRVORP[FPS],MATCH(WRVORPCalc,TableWRVORP[RK],0)))/INDEX(TableWRVORP[FPS],MATCH(WRVORPCalc,TableWRVORP[RK],0)),""))*1.2</f>
        <v>9.9486379262105532E-2</v>
      </c>
      <c r="V50">
        <v>49</v>
      </c>
      <c r="W50" s="112" t="str">
        <f>IFERROR(INDEX(TableTECalcPts[PLAYER],MATCH(TableTEVORP[[#This Row],[RK]],TableTECalcPts[RK],0)),"")</f>
        <v>Gerald Everett</v>
      </c>
      <c r="X50" s="112" t="str">
        <f>IFERROR(INDEX(TableTECalcPts[TM],MATCH(TableTEVORP[[#This Row],[RK]],TableTECalcPts[RK],0)),"")</f>
        <v>CHI</v>
      </c>
      <c r="Y50" s="112">
        <f>IFERROR(INDEX(TableTECalcPts[BYE],MATCH(TableTEVORP[[#This Row],[RK]],TableTECalcPts[RK],0)),"")</f>
        <v>7</v>
      </c>
      <c r="Z50" s="113">
        <f>IFERROR(INDEX(TableTECalcPts[Custom],MATCH(TableTEVORP[[#This Row],[RK]],TableTECalcPts[RK],0)),"")</f>
        <v>28.159483725102589</v>
      </c>
      <c r="AA50" s="114">
        <f>IFERROR((TableTEVORP[[#This Row],[FPS]]-INDEX(TableTEVORP[FPS],MATCH(TEVORPCalc,TableTEVORP[RK],0)))/INDEX(TableTEVORP[FPS],MATCH(TEVORPCalc,TableTEVORP[RK],0)),"")</f>
        <v>-0.78608560163516095</v>
      </c>
      <c r="AF50" t="s">
        <v>207</v>
      </c>
      <c r="AG50">
        <v>9</v>
      </c>
      <c r="AH50" s="83">
        <f>RANK(TableOverallMaster[[#This Row],[VORP]],TableOverallMaster[VORP])+COUNTIF($AM$2:AM50,AM50)-1</f>
        <v>16</v>
      </c>
      <c r="AI50" s="115" t="str">
        <f>IFERROR(INDEX(TableRBVORP[RUNNING BACK],MATCH(TableOverallMaster[[#This Row],[RK]],TableRBVORP[RK],0)),"")</f>
        <v>Josh Jacobs</v>
      </c>
      <c r="AJ50" s="115" t="str">
        <f t="shared" si="0"/>
        <v>RB9</v>
      </c>
      <c r="AK50" s="115">
        <f>IFERROR(INDEX(TableRBVORP[BYE],MATCH(TableOverallMaster[[#This Row],[RK]],TableRBVORP[RK],0)),"")</f>
        <v>10</v>
      </c>
      <c r="AL50" s="116">
        <f>IFERROR(INDEX(TableRBVORP[FPS],MATCH(TableOverallMaster[[#This Row],[RK]],TableRBVORP[RK],0)),"")</f>
        <v>214.24072523951244</v>
      </c>
      <c r="AM50" s="117">
        <f>IFERROR(INDEX(TableRBVORP[VORP],MATCH(TableOverallMaster[[#This Row],[RK]],TableRBVORP[RK],0)),"")</f>
        <v>0.62930922395054167</v>
      </c>
      <c r="AO50">
        <v>49</v>
      </c>
      <c r="AP50" s="118" t="str">
        <f>IFERROR(INDEX(TableOverallMaster[OVERALL PLAYER],MATCH(TableOverallRank[[#This Row],[RK]],TableOverallMaster[OVR RK],0)),"")</f>
        <v>Zack Moss</v>
      </c>
      <c r="AQ50" s="119" t="str">
        <f>IFERROR(INDEX(TableOverallMaster[POS RK],MATCH(TableOverallRank[[#This Row],[OVERALL PLAYER]],TableOverallMaster[OVERALL PLAYER],0)),"")</f>
        <v>RB25</v>
      </c>
      <c r="AR50" s="120">
        <f>IFERROR(INDEX(TableOverallMaster[BYE],MATCH(TableOverallRank[[#This Row],[OVERALL PLAYER]],TableOverallMaster[OVERALL PLAYER],0)),"")</f>
        <v>12</v>
      </c>
      <c r="AS50" s="119">
        <f>IFERROR(INDEX(TableOverallMaster[Custom],MATCH(TableOverallRank[[#This Row],[OVERALL PLAYER]],TableOverallMaster[OVERALL PLAYER],0)),"")</f>
        <v>178.11832512965827</v>
      </c>
      <c r="AT50" s="121">
        <f>IFERROR(INDEX(TableOverallMaster[VORP],MATCH(TableOverallRank[[#This Row],[OVERALL PLAYER]],TableOverallMaster[OVERALL PLAYER],0)),"")</f>
        <v>0.38831825638111112</v>
      </c>
      <c r="AV50">
        <v>49</v>
      </c>
      <c r="AW50" s="122" t="str">
        <f>IFERROR(INDEX(TableWRTECalcPts[PLAYER],MATCH(TableWRTERank[[#This Row],[RK]],TableWRTECalcPts[RK],0)),"")</f>
        <v>Jaxon Smith-Njigba</v>
      </c>
      <c r="AX50" s="122" t="str">
        <f>IFERROR(INDEX(TableWRTECalcPts[POS RK],MATCH(TableWRTERank[[#This Row],[WR and TE COMBINED]],TableWRTECalcPts[PLAYER],0)),"")</f>
        <v>WR44</v>
      </c>
      <c r="AY50" s="122">
        <f>IFERROR(INDEX(TableWRTECalcPts[BYE],MATCH(TableWRTERank[[#This Row],[RK]],TableWRTECalcPts[RK],0)),"")</f>
        <v>10</v>
      </c>
      <c r="AZ50" s="123">
        <f>IFERROR(INDEX(TableWRTECalcPts[Custom],MATCH(TableWRTERank[[#This Row],[RK]],TableWRTECalcPts[RK],0)),"")</f>
        <v>163.8453388368572</v>
      </c>
      <c r="BA50" s="174">
        <f>IFERROR((TableWRTERank[[#This Row],[FPS]]-INDEX(TableWRTERank[FPS],MATCH(WRTEVORPCalc,TableWRTERank[RK],0)))/INDEX(TableWRTERank[FPS],MATCH(WRTEVORPCalc,TableWRTERank[RK],0)),"")</f>
        <v>4.4112306550696069E-2</v>
      </c>
      <c r="BC50" t="s">
        <v>208</v>
      </c>
      <c r="BD50">
        <v>49</v>
      </c>
      <c r="BE50" s="83">
        <f>RANK(TableWRTEMaster[[#This Row],[VORP]],TableWRTEMaster[VORP])+COUNTIF($BJ$2:BJ50,BJ50)-1</f>
        <v>58</v>
      </c>
      <c r="BF50" s="115" t="str">
        <f>IFERROR(INDEX(TableWRVORP[WIDE RECEIVER],MATCH(TableWRTEMaster[[#This Row],[RK]],TableWRVORP[RK],0)),"")</f>
        <v>Romeo Doubs</v>
      </c>
      <c r="BG50" s="115" t="str">
        <f>_xlfn.CONCAT(TableWRTEMaster[[#This Row],[POS]],TableWRTEMaster[[#This Row],[RK]])</f>
        <v>WR49</v>
      </c>
      <c r="BH50" s="115">
        <f>IFERROR(INDEX(TableWRVORP[BYE],MATCH(TableWRTEMaster[[#This Row],[RK]],TableWRVORP[RK],0)),"")</f>
        <v>10</v>
      </c>
      <c r="BI50" s="116">
        <f>IFERROR(INDEX(TableWRVORP[FPS],MATCH(TableWRTEMaster[[#This Row],[RK]],TableWRVORP[RK],0)),"")</f>
        <v>159.42435883867063</v>
      </c>
      <c r="BJ50" s="117">
        <f>IFERROR(INDEX(TableWRVORP[VORP],MATCH(TableWRTEMaster[[#This Row],[RK]],TableWRVORP[RK],0)),"")</f>
        <v>9.9486379262105532E-2</v>
      </c>
    </row>
    <row r="51" spans="1:62" x14ac:dyDescent="0.2">
      <c r="A51">
        <v>50</v>
      </c>
      <c r="B51" s="112" t="str">
        <f>IFERROR(INDEX(TableQBCalcPts[PLAYER],MATCH(TableQBVORP[[#This Row],[RK]],TableQBCalcPts[RK],0)),"")</f>
        <v>Mike White</v>
      </c>
      <c r="C51" s="112" t="str">
        <f>IFERROR(INDEX(TableQBCalcPts[TM],MATCH(TableQBVORP[[#This Row],[RK]],TableQBCalcPts[RK],0)),"")</f>
        <v>MIA</v>
      </c>
      <c r="D51" s="112">
        <f>IFERROR(INDEX(TableQBCalcPts[BYE],MATCH(TableQBVORP[[#This Row],[RK]],TableQBCalcPts[RK],0)),"")</f>
        <v>6</v>
      </c>
      <c r="E51" s="113">
        <f>IFERROR(INDEX(TableQBCalcPts[Custom],MATCH(TableQBVORP[[#This Row],[RK]],TableQBCalcPts[RK],0)),"")</f>
        <v>6.8101210808395845</v>
      </c>
      <c r="F51" s="114">
        <f>(IFERROR((TableQBVORP[[#This Row],[FPS]]-INDEX(TableQBVORP[FPS],MATCH(QBVORPCalc,TableQBVORP[RK],0)))/INDEX(TableQBVORP[FPS],MATCH(QBVORPCalc,TableQBVORP[RK],0)),""))+(TableRBVORP[[#This Row],[VORP]]*0.45)</f>
        <v>-1.0355868526580443</v>
      </c>
      <c r="H51">
        <v>50</v>
      </c>
      <c r="I51" s="112" t="str">
        <f>IFERROR(INDEX(TableRBCalcPts[PLAYER],MATCH(TableRBVORP[[#This Row],[RK]],TableRBCalcPts[RK],0)),"")</f>
        <v>Jaleel McLaughlin</v>
      </c>
      <c r="J51" s="112" t="str">
        <f>IFERROR(INDEX(TableRBCalcPts[TM],MATCH(TableRBVORP[[#This Row],[RK]],TableRBCalcPts[RK],0)),"")</f>
        <v>DEN</v>
      </c>
      <c r="K51" s="112">
        <f>IFERROR(INDEX(TableRBCalcPts[BYE],MATCH(TableRBVORP[[#This Row],[RK]],TableRBCalcPts[RK],0)),"")</f>
        <v>14</v>
      </c>
      <c r="L51" s="113">
        <f>IFERROR(INDEX(TableRBCalcPts[Custom],MATCH(TableRBVORP[[#This Row],[RK]],TableRBCalcPts[RK],0)),"")</f>
        <v>101.96850811551907</v>
      </c>
      <c r="M51" s="114">
        <f>(IFERROR((TableRBVORP[[#This Row],[FPS]]-INDEX(TableRBVORP[FPS],MATCH(RBVORPCalc,TableRBVORP[RK],0)))/INDEX(TableRBVORP[FPS],MATCH(RBVORPCalc,TableRBVORP[RK],0)),""))*0.8</f>
        <v>-0.11971603886679064</v>
      </c>
      <c r="O51">
        <v>50</v>
      </c>
      <c r="P51" s="112" t="str">
        <f>IFERROR(INDEX(TableWRCalcPts[PLAYER],MATCH(TableWRVORP[[#This Row],[RK]],TableWRCalcPts[RK],0)),"")</f>
        <v>Mike Williams</v>
      </c>
      <c r="Q51" s="112" t="str">
        <f>IFERROR(INDEX(TableWRCalcPts[TM],MATCH(TableWRVORP[[#This Row],[RK]],TableWRCalcPts[RK],0)),"")</f>
        <v>NYJ</v>
      </c>
      <c r="R51" s="112">
        <f>IFERROR(INDEX(TableWRCalcPts[BYE],MATCH(TableWRVORP[[#This Row],[RK]],TableWRCalcPts[RK],0)),"")</f>
        <v>12</v>
      </c>
      <c r="S51" s="113">
        <f>IFERROR(INDEX(TableWRCalcPts[Custom],MATCH(TableWRVORP[[#This Row],[RK]],TableWRCalcPts[RK],0)),"")</f>
        <v>158.6684307713081</v>
      </c>
      <c r="T51" s="114">
        <f>(IFERROR((TableWRVORP[[#This Row],[FPS]]-INDEX(TableWRVORP[FPS],MATCH(WRVORPCalc,TableWRVORP[RK],0)))/INDEX(TableWRVORP[FPS],MATCH(WRVORPCalc,TableWRVORP[RK],0)),""))*1.2</f>
        <v>9.3324722195423551E-2</v>
      </c>
      <c r="V51">
        <v>50</v>
      </c>
      <c r="W51" s="112" t="str">
        <f>IFERROR(INDEX(TableTECalcPts[PLAYER],MATCH(TableTEVORP[[#This Row],[RK]],TableTECalcPts[RK],0)),"")</f>
        <v>Charlie Woerner</v>
      </c>
      <c r="X51" s="112" t="str">
        <f>IFERROR(INDEX(TableTECalcPts[TM],MATCH(TableTEVORP[[#This Row],[RK]],TableTECalcPts[RK],0)),"")</f>
        <v>ATL</v>
      </c>
      <c r="Y51" s="112">
        <f>IFERROR(INDEX(TableTECalcPts[BYE],MATCH(TableTEVORP[[#This Row],[RK]],TableTECalcPts[RK],0)),"")</f>
        <v>12</v>
      </c>
      <c r="Z51" s="113">
        <f>IFERROR(INDEX(TableTECalcPts[Custom],MATCH(TableTEVORP[[#This Row],[RK]],TableTECalcPts[RK],0)),"")</f>
        <v>27.714480291641177</v>
      </c>
      <c r="AA51" s="114">
        <f>IFERROR((TableTEVORP[[#This Row],[FPS]]-INDEX(TableTEVORP[FPS],MATCH(TEVORPCalc,TableTEVORP[RK],0)))/INDEX(TableTEVORP[FPS],MATCH(TEVORPCalc,TableTEVORP[RK],0)),"")</f>
        <v>-0.7894660841279677</v>
      </c>
      <c r="AF51" t="s">
        <v>207</v>
      </c>
      <c r="AG51">
        <v>10</v>
      </c>
      <c r="AH51" s="83">
        <f>RANK(TableOverallMaster[[#This Row],[VORP]],TableOverallMaster[VORP])+COUNTIF($AM$2:AM51,AM51)-1</f>
        <v>17</v>
      </c>
      <c r="AI51" s="115" t="str">
        <f>IFERROR(INDEX(TableRBVORP[RUNNING BACK],MATCH(TableOverallMaster[[#This Row],[RK]],TableRBVORP[RK],0)),"")</f>
        <v>Isiah Pacheco</v>
      </c>
      <c r="AJ51" s="115" t="str">
        <f t="shared" si="0"/>
        <v>RB10</v>
      </c>
      <c r="AK51" s="115">
        <f>IFERROR(INDEX(TableRBVORP[BYE],MATCH(TableOverallMaster[[#This Row],[RK]],TableRBVORP[RK],0)),"")</f>
        <v>6</v>
      </c>
      <c r="AL51" s="116">
        <f>IFERROR(INDEX(TableRBVORP[FPS],MATCH(TableOverallMaster[[#This Row],[RK]],TableRBVORP[RK],0)),"")</f>
        <v>214.06072143966074</v>
      </c>
      <c r="AM51" s="117">
        <f>IFERROR(INDEX(TableRBVORP[VORP],MATCH(TableOverallMaster[[#This Row],[RK]],TableRBVORP[RK],0)),"")</f>
        <v>0.6281083267299663</v>
      </c>
      <c r="AO51">
        <v>50</v>
      </c>
      <c r="AP51" s="118" t="str">
        <f>IFERROR(INDEX(TableOverallMaster[OVERALL PLAYER],MATCH(TableOverallRank[[#This Row],[RK]],TableOverallMaster[OVR RK],0)),"")</f>
        <v>Sam LaPorta</v>
      </c>
      <c r="AQ51" s="119" t="str">
        <f>IFERROR(INDEX(TableOverallMaster[POS RK],MATCH(TableOverallRank[[#This Row],[OVERALL PLAYER]],TableOverallMaster[OVERALL PLAYER],0)),"")</f>
        <v>TE2</v>
      </c>
      <c r="AR51" s="120">
        <f>IFERROR(INDEX(TableOverallMaster[BYE],MATCH(TableOverallRank[[#This Row],[OVERALL PLAYER]],TableOverallMaster[OVERALL PLAYER],0)),"")</f>
        <v>5</v>
      </c>
      <c r="AS51" s="119">
        <f>IFERROR(INDEX(TableOverallMaster[Custom],MATCH(TableOverallRank[[#This Row],[OVERALL PLAYER]],TableOverallMaster[OVERALL PLAYER],0)),"")</f>
        <v>182.53673189245154</v>
      </c>
      <c r="AT51" s="121">
        <f>IFERROR(INDEX(TableOverallMaster[VORP],MATCH(TableOverallRank[[#This Row],[OVERALL PLAYER]],TableOverallMaster[OVERALL PLAYER],0)),"")</f>
        <v>0.38664598980020687</v>
      </c>
      <c r="AV51">
        <v>50</v>
      </c>
      <c r="AW51" s="122" t="str">
        <f>IFERROR(INDEX(TableWRTECalcPts[PLAYER],MATCH(TableWRTERank[[#This Row],[RK]],TableWRTECalcPts[RK],0)),"")</f>
        <v>Jake Ferguson</v>
      </c>
      <c r="AX51" s="122" t="str">
        <f>IFERROR(INDEX(TableWRTECalcPts[POS RK],MATCH(TableWRTERank[[#This Row],[WR and TE COMBINED]],TableWRTECalcPts[PLAYER],0)),"")</f>
        <v>TE6</v>
      </c>
      <c r="AY51" s="122">
        <f>IFERROR(INDEX(TableWRTECalcPts[BYE],MATCH(TableWRTERank[[#This Row],[RK]],TableWRTECalcPts[RK],0)),"")</f>
        <v>7</v>
      </c>
      <c r="AZ51" s="123">
        <f>IFERROR(INDEX(TableWRTECalcPts[Custom],MATCH(TableWRTERank[[#This Row],[RK]],TableWRTECalcPts[RK],0)),"")</f>
        <v>163.6950494543639</v>
      </c>
      <c r="BA51" s="174">
        <f>IFERROR((TableWRTERank[[#This Row],[FPS]]-INDEX(TableWRTERank[FPS],MATCH(WRTEVORPCalc,TableWRTERank[RK],0)))/INDEX(TableWRTERank[FPS],MATCH(WRTEVORPCalc,TableWRTERank[RK],0)),"")</f>
        <v>4.3154580228304901E-2</v>
      </c>
      <c r="BC51" t="s">
        <v>208</v>
      </c>
      <c r="BD51">
        <v>50</v>
      </c>
      <c r="BE51" s="83">
        <f>RANK(TableWRTEMaster[[#This Row],[VORP]],TableWRTEMaster[VORP])+COUNTIF($BJ$2:BJ51,BJ51)-1</f>
        <v>59</v>
      </c>
      <c r="BF51" s="115" t="str">
        <f>IFERROR(INDEX(TableWRVORP[WIDE RECEIVER],MATCH(TableWRTEMaster[[#This Row],[RK]],TableWRVORP[RK],0)),"")</f>
        <v>Mike Williams</v>
      </c>
      <c r="BG51" s="115" t="str">
        <f>_xlfn.CONCAT(TableWRTEMaster[[#This Row],[POS]],TableWRTEMaster[[#This Row],[RK]])</f>
        <v>WR50</v>
      </c>
      <c r="BH51" s="115">
        <f>IFERROR(INDEX(TableWRVORP[BYE],MATCH(TableWRTEMaster[[#This Row],[RK]],TableWRVORP[RK],0)),"")</f>
        <v>12</v>
      </c>
      <c r="BI51" s="116">
        <f>IFERROR(INDEX(TableWRVORP[FPS],MATCH(TableWRTEMaster[[#This Row],[RK]],TableWRVORP[RK],0)),"")</f>
        <v>158.6684307713081</v>
      </c>
      <c r="BJ51" s="117">
        <f>IFERROR(INDEX(TableWRVORP[VORP],MATCH(TableWRTEMaster[[#This Row],[RK]],TableWRVORP[RK],0)),"")</f>
        <v>9.3324722195423551E-2</v>
      </c>
    </row>
    <row r="52" spans="1:62" x14ac:dyDescent="0.2">
      <c r="A52">
        <v>51</v>
      </c>
      <c r="B52" s="112" t="str">
        <f>IFERROR(INDEX(TableQBCalcPts[PLAYER],MATCH(TableQBVORP[[#This Row],[RK]],TableQBCalcPts[RK],0)),"")</f>
        <v>Jameis Winston</v>
      </c>
      <c r="C52" s="112" t="str">
        <f>IFERROR(INDEX(TableQBCalcPts[TM],MATCH(TableQBVORP[[#This Row],[RK]],TableQBCalcPts[RK],0)),"")</f>
        <v>CLE</v>
      </c>
      <c r="D52" s="112">
        <f>IFERROR(INDEX(TableQBCalcPts[BYE],MATCH(TableQBVORP[[#This Row],[RK]],TableQBCalcPts[RK],0)),"")</f>
        <v>10</v>
      </c>
      <c r="E52" s="113">
        <f>IFERROR(INDEX(TableQBCalcPts[Custom],MATCH(TableQBVORP[[#This Row],[RK]],TableQBCalcPts[RK],0)),"")</f>
        <v>6.4643817227131688</v>
      </c>
      <c r="F52" s="114">
        <f>(IFERROR((TableQBVORP[[#This Row],[FPS]]-INDEX(TableQBVORP[FPS],MATCH(QBVORPCalc,TableQBVORP[RK],0)))/INDEX(TableQBVORP[FPS],MATCH(QBVORPCalc,TableQBVORP[RK],0)),""))+(TableRBVORP[[#This Row],[VORP]]*0.45)</f>
        <v>-1.0469425799176402</v>
      </c>
      <c r="H52">
        <v>51</v>
      </c>
      <c r="I52" s="112" t="str">
        <f>IFERROR(INDEX(TableRBCalcPts[PLAYER],MATCH(TableRBVORP[[#This Row],[RK]],TableRBCalcPts[RK],0)),"")</f>
        <v>Jordan Mason</v>
      </c>
      <c r="J52" s="112" t="str">
        <f>IFERROR(INDEX(TableRBCalcPts[TM],MATCH(TableRBVORP[[#This Row],[RK]],TableRBCalcPts[RK],0)),"")</f>
        <v>SF</v>
      </c>
      <c r="K52" s="112">
        <f>IFERROR(INDEX(TableRBCalcPts[BYE],MATCH(TableRBVORP[[#This Row],[RK]],TableRBCalcPts[RK],0)),"")</f>
        <v>9</v>
      </c>
      <c r="L52" s="113">
        <f>IFERROR(INDEX(TableRBCalcPts[Custom],MATCH(TableRBVORP[[#This Row],[RK]],TableRBCalcPts[RK],0)),"")</f>
        <v>98.495229171198076</v>
      </c>
      <c r="M52" s="114">
        <f>(IFERROR((TableRBVORP[[#This Row],[FPS]]-INDEX(TableRBVORP[FPS],MATCH(RBVORPCalc,TableRBVORP[RK],0)))/INDEX(TableRBVORP[FPS],MATCH(RBVORPCalc,TableRBVORP[RK],0)),""))*0.8</f>
        <v>-0.14288805542396582</v>
      </c>
      <c r="O52">
        <v>51</v>
      </c>
      <c r="P52" s="112" t="str">
        <f>IFERROR(INDEX(TableWRCalcPts[PLAYER],MATCH(TableWRVORP[[#This Row],[RK]],TableWRCalcPts[RK],0)),"")</f>
        <v>Keenan Allen</v>
      </c>
      <c r="Q52" s="112" t="str">
        <f>IFERROR(INDEX(TableWRCalcPts[TM],MATCH(TableWRVORP[[#This Row],[RK]],TableWRCalcPts[RK],0)),"")</f>
        <v>CHI</v>
      </c>
      <c r="R52" s="112">
        <f>IFERROR(INDEX(TableWRCalcPts[BYE],MATCH(TableWRVORP[[#This Row],[RK]],TableWRCalcPts[RK],0)),"")</f>
        <v>7</v>
      </c>
      <c r="S52" s="113">
        <f>IFERROR(INDEX(TableWRCalcPts[Custom],MATCH(TableWRVORP[[#This Row],[RK]],TableWRCalcPts[RK],0)),"")</f>
        <v>156.9230989893536</v>
      </c>
      <c r="T52" s="114">
        <f>(IFERROR((TableWRVORP[[#This Row],[FPS]]-INDEX(TableWRVORP[FPS],MATCH(WRVORPCalc,TableWRVORP[RK],0)))/INDEX(TableWRVORP[FPS],MATCH(WRVORPCalc,TableWRVORP[RK],0)),""))*1.2</f>
        <v>7.9098321070371791E-2</v>
      </c>
      <c r="V52">
        <v>51</v>
      </c>
      <c r="W52" s="112" t="str">
        <f>IFERROR(INDEX(TableTECalcPts[PLAYER],MATCH(TableTEVORP[[#This Row],[RK]],TableTECalcPts[RK],0)),"")</f>
        <v>Jared Wiley</v>
      </c>
      <c r="X52" s="112" t="str">
        <f>IFERROR(INDEX(TableTECalcPts[TM],MATCH(TableTEVORP[[#This Row],[RK]],TableTECalcPts[RK],0)),"")</f>
        <v>KC</v>
      </c>
      <c r="Y52" s="112">
        <f>IFERROR(INDEX(TableTECalcPts[BYE],MATCH(TableTEVORP[[#This Row],[RK]],TableTECalcPts[RK],0)),"")</f>
        <v>6</v>
      </c>
      <c r="Z52" s="113">
        <f>IFERROR(INDEX(TableTECalcPts[Custom],MATCH(TableTEVORP[[#This Row],[RK]],TableTECalcPts[RK],0)),"")</f>
        <v>25.838048037454413</v>
      </c>
      <c r="AA52" s="114">
        <f>IFERROR((TableTEVORP[[#This Row],[FPS]]-INDEX(TableTEVORP[FPS],MATCH(TEVORPCalc,TableTEVORP[RK],0)))/INDEX(TableTEVORP[FPS],MATCH(TEVORPCalc,TableTEVORP[RK],0)),"")</f>
        <v>-0.80372046040294598</v>
      </c>
      <c r="AF52" t="s">
        <v>207</v>
      </c>
      <c r="AG52">
        <v>11</v>
      </c>
      <c r="AH52" s="83">
        <f>RANK(TableOverallMaster[[#This Row],[VORP]],TableOverallMaster[VORP])+COUNTIF($AM$2:AM52,AM52)-1</f>
        <v>19</v>
      </c>
      <c r="AI52" s="115" t="str">
        <f>IFERROR(INDEX(TableRBVORP[RUNNING BACK],MATCH(TableOverallMaster[[#This Row],[RK]],TableRBVORP[RK],0)),"")</f>
        <v>Jahmyr Gibbs</v>
      </c>
      <c r="AJ52" s="115" t="str">
        <f t="shared" si="0"/>
        <v>RB11</v>
      </c>
      <c r="AK52" s="115">
        <f>IFERROR(INDEX(TableRBVORP[BYE],MATCH(TableOverallMaster[[#This Row],[RK]],TableRBVORP[RK],0)),"")</f>
        <v>5</v>
      </c>
      <c r="AL52" s="116">
        <f>IFERROR(INDEX(TableRBVORP[FPS],MATCH(TableOverallMaster[[#This Row],[RK]],TableRBVORP[RK],0)),"")</f>
        <v>211.62050926422344</v>
      </c>
      <c r="AM52" s="117">
        <f>IFERROR(INDEX(TableRBVORP[VORP],MATCH(TableOverallMaster[[#This Row],[RK]],TableRBVORP[RK],0)),"")</f>
        <v>0.61182842585281183</v>
      </c>
      <c r="AO52">
        <v>51</v>
      </c>
      <c r="AP52" s="118" t="str">
        <f>IFERROR(INDEX(TableOverallMaster[OVERALL PLAYER],MATCH(TableOverallRank[[#This Row],[RK]],TableOverallMaster[OVR RK],0)),"")</f>
        <v>Mark Andrews</v>
      </c>
      <c r="AQ52" s="119" t="str">
        <f>IFERROR(INDEX(TableOverallMaster[POS RK],MATCH(TableOverallRank[[#This Row],[OVERALL PLAYER]],TableOverallMaster[OVERALL PLAYER],0)),"")</f>
        <v>TE3</v>
      </c>
      <c r="AR52" s="120">
        <f>IFERROR(INDEX(TableOverallMaster[BYE],MATCH(TableOverallRank[[#This Row],[OVERALL PLAYER]],TableOverallMaster[OVERALL PLAYER],0)),"")</f>
        <v>14</v>
      </c>
      <c r="AS52" s="119">
        <f>IFERROR(INDEX(TableOverallMaster[Custom],MATCH(TableOverallRank[[#This Row],[OVERALL PLAYER]],TableOverallMaster[OVERALL PLAYER],0)),"")</f>
        <v>182.29298496535898</v>
      </c>
      <c r="AT52" s="121">
        <f>IFERROR(INDEX(TableOverallMaster[VORP],MATCH(TableOverallRank[[#This Row],[OVERALL PLAYER]],TableOverallMaster[OVERALL PLAYER],0)),"")</f>
        <v>0.38479435864917827</v>
      </c>
      <c r="AV52">
        <v>51</v>
      </c>
      <c r="AW52" s="122" t="str">
        <f>IFERROR(INDEX(TableWRTECalcPts[PLAYER],MATCH(TableWRTERank[[#This Row],[RK]],TableWRTECalcPts[RK],0)),"")</f>
        <v>Xavier Worthy</v>
      </c>
      <c r="AX52" s="122" t="str">
        <f>IFERROR(INDEX(TableWRTECalcPts[POS RK],MATCH(TableWRTERank[[#This Row],[WR and TE COMBINED]],TableWRTECalcPts[PLAYER],0)),"")</f>
        <v>WR45</v>
      </c>
      <c r="AY52" s="122">
        <f>IFERROR(INDEX(TableWRTECalcPts[BYE],MATCH(TableWRTERank[[#This Row],[RK]],TableWRTECalcPts[RK],0)),"")</f>
        <v>6</v>
      </c>
      <c r="AZ52" s="123">
        <f>IFERROR(INDEX(TableWRTECalcPts[Custom],MATCH(TableWRTERank[[#This Row],[RK]],TableWRTECalcPts[RK],0)),"")</f>
        <v>163.43310093245475</v>
      </c>
      <c r="BA52" s="174">
        <f>IFERROR((TableWRTERank[[#This Row],[FPS]]-INDEX(TableWRTERank[FPS],MATCH(WRTEVORPCalc,TableWRTERank[RK],0)))/INDEX(TableWRTERank[FPS],MATCH(WRTEVORPCalc,TableWRTERank[RK],0)),"")</f>
        <v>4.1485300666556514E-2</v>
      </c>
      <c r="BC52" t="s">
        <v>208</v>
      </c>
      <c r="BD52">
        <v>51</v>
      </c>
      <c r="BE52" s="83">
        <f>RANK(TableWRTEMaster[[#This Row],[VORP]],TableWRTEMaster[VORP])+COUNTIF($BJ$2:BJ52,BJ52)-1</f>
        <v>61</v>
      </c>
      <c r="BF52" s="115" t="str">
        <f>IFERROR(INDEX(TableWRVORP[WIDE RECEIVER],MATCH(TableWRTEMaster[[#This Row],[RK]],TableWRVORP[RK],0)),"")</f>
        <v>Keenan Allen</v>
      </c>
      <c r="BG52" s="115" t="str">
        <f>_xlfn.CONCAT(TableWRTEMaster[[#This Row],[POS]],TableWRTEMaster[[#This Row],[RK]])</f>
        <v>WR51</v>
      </c>
      <c r="BH52" s="115">
        <f>IFERROR(INDEX(TableWRVORP[BYE],MATCH(TableWRTEMaster[[#This Row],[RK]],TableWRVORP[RK],0)),"")</f>
        <v>7</v>
      </c>
      <c r="BI52" s="116">
        <f>IFERROR(INDEX(TableWRVORP[FPS],MATCH(TableWRTEMaster[[#This Row],[RK]],TableWRVORP[RK],0)),"")</f>
        <v>156.9230989893536</v>
      </c>
      <c r="BJ52" s="117">
        <f>IFERROR(INDEX(TableWRVORP[VORP],MATCH(TableWRTEMaster[[#This Row],[RK]],TableWRVORP[RK],0)),"")</f>
        <v>7.9098321070371791E-2</v>
      </c>
    </row>
    <row r="53" spans="1:62" x14ac:dyDescent="0.2">
      <c r="A53">
        <v>52</v>
      </c>
      <c r="B53" s="112" t="str">
        <f>IFERROR(INDEX(TableQBCalcPts[PLAYER],MATCH(TableQBVORP[[#This Row],[RK]],TableQBCalcPts[RK],0)),"")</f>
        <v>Taylor Heinicke</v>
      </c>
      <c r="C53" s="112" t="str">
        <f>IFERROR(INDEX(TableQBCalcPts[TM],MATCH(TableQBVORP[[#This Row],[RK]],TableQBCalcPts[RK],0)),"")</f>
        <v>ATL</v>
      </c>
      <c r="D53" s="112">
        <f>IFERROR(INDEX(TableQBCalcPts[BYE],MATCH(TableQBVORP[[#This Row],[RK]],TableQBCalcPts[RK],0)),"")</f>
        <v>12</v>
      </c>
      <c r="E53" s="113">
        <f>IFERROR(INDEX(TableQBCalcPts[Custom],MATCH(TableQBVORP[[#This Row],[RK]],TableQBCalcPts[RK],0)),"")</f>
        <v>6.3741828070080002</v>
      </c>
      <c r="F53" s="114">
        <f>(IFERROR((TableQBVORP[[#This Row],[FPS]]-INDEX(TableQBVORP[FPS],MATCH(QBVORPCalc,TableQBVORP[RK],0)))/INDEX(TableQBVORP[FPS],MATCH(QBVORPCalc,TableQBVORP[RK],0)),""))+(TableRBVORP[[#This Row],[VORP]]*0.45)</f>
        <v>-1.0535098597480774</v>
      </c>
      <c r="H53">
        <v>52</v>
      </c>
      <c r="I53" s="112" t="str">
        <f>IFERROR(INDEX(TableRBCalcPts[PLAYER],MATCH(TableRBVORP[[#This Row],[RK]],TableRBCalcPts[RK],0)),"")</f>
        <v>MarShawn Lloyd</v>
      </c>
      <c r="J53" s="112" t="str">
        <f>IFERROR(INDEX(TableRBCalcPts[TM],MATCH(TableRBVORP[[#This Row],[RK]],TableRBCalcPts[RK],0)),"")</f>
        <v>GB</v>
      </c>
      <c r="K53" s="112">
        <f>IFERROR(INDEX(TableRBCalcPts[BYE],MATCH(TableRBVORP[[#This Row],[RK]],TableRBCalcPts[RK],0)),"")</f>
        <v>10</v>
      </c>
      <c r="L53" s="113">
        <f>IFERROR(INDEX(TableRBCalcPts[Custom],MATCH(TableRBVORP[[#This Row],[RK]],TableRBCalcPts[RK],0)),"")</f>
        <v>96.388395498843764</v>
      </c>
      <c r="M53" s="114">
        <f>(IFERROR((TableRBVORP[[#This Row],[FPS]]-INDEX(TableRBVORP[FPS],MATCH(RBVORPCalc,TableRBVORP[RK],0)))/INDEX(TableRBVORP[FPS],MATCH(RBVORPCalc,TableRBVORP[RK],0)),""))*0.8</f>
        <v>-0.15694381815469349</v>
      </c>
      <c r="O53">
        <v>52</v>
      </c>
      <c r="P53" s="112" t="str">
        <f>IFERROR(INDEX(TableWRCalcPts[PLAYER],MATCH(TableWRVORP[[#This Row],[RK]],TableWRCalcPts[RK],0)),"")</f>
        <v>Christian Watson</v>
      </c>
      <c r="Q53" s="112" t="str">
        <f>IFERROR(INDEX(TableWRCalcPts[TM],MATCH(TableWRVORP[[#This Row],[RK]],TableWRCalcPts[RK],0)),"")</f>
        <v>GB</v>
      </c>
      <c r="R53" s="112">
        <f>IFERROR(INDEX(TableWRCalcPts[BYE],MATCH(TableWRVORP[[#This Row],[RK]],TableWRCalcPts[RK],0)),"")</f>
        <v>10</v>
      </c>
      <c r="S53" s="113">
        <f>IFERROR(INDEX(TableWRCalcPts[Custom],MATCH(TableWRVORP[[#This Row],[RK]],TableWRCalcPts[RK],0)),"")</f>
        <v>155.86557059484923</v>
      </c>
      <c r="T53" s="114">
        <f>(IFERROR((TableWRVORP[[#This Row],[FPS]]-INDEX(TableWRVORP[FPS],MATCH(WRVORPCalc,TableWRVORP[RK],0)))/INDEX(TableWRVORP[FPS],MATCH(WRVORPCalc,TableWRVORP[RK],0)),""))*1.2</f>
        <v>7.0478284870433103E-2</v>
      </c>
      <c r="V53">
        <v>52</v>
      </c>
      <c r="W53" s="112" t="str">
        <f>IFERROR(INDEX(TableTECalcPts[PLAYER],MATCH(TableTEVORP[[#This Row],[RK]],TableTECalcPts[RK],0)),"")</f>
        <v>Adam Trautman</v>
      </c>
      <c r="X53" s="112" t="str">
        <f>IFERROR(INDEX(TableTECalcPts[TM],MATCH(TableTEVORP[[#This Row],[RK]],TableTECalcPts[RK],0)),"")</f>
        <v>DEN</v>
      </c>
      <c r="Y53" s="112">
        <f>IFERROR(INDEX(TableTECalcPts[BYE],MATCH(TableTEVORP[[#This Row],[RK]],TableTECalcPts[RK],0)),"")</f>
        <v>14</v>
      </c>
      <c r="Z53" s="113">
        <f>IFERROR(INDEX(TableTECalcPts[Custom],MATCH(TableTEVORP[[#This Row],[RK]],TableTECalcPts[RK],0)),"")</f>
        <v>24.53739429731975</v>
      </c>
      <c r="AA53" s="114">
        <f>IFERROR((TableTEVORP[[#This Row],[FPS]]-INDEX(TableTEVORP[FPS],MATCH(TEVORPCalc,TableTEVORP[RK],0)))/INDEX(TableTEVORP[FPS],MATCH(TEVORPCalc,TableTEVORP[RK],0)),"")</f>
        <v>-0.81360091719746674</v>
      </c>
      <c r="AF53" t="s">
        <v>207</v>
      </c>
      <c r="AG53">
        <v>12</v>
      </c>
      <c r="AH53" s="83">
        <f>RANK(TableOverallMaster[[#This Row],[VORP]],TableOverallMaster[VORP])+COUNTIF($AM$2:AM53,AM53)-1</f>
        <v>20</v>
      </c>
      <c r="AI53" s="115" t="str">
        <f>IFERROR(INDEX(TableRBVORP[RUNNING BACK],MATCH(TableOverallMaster[[#This Row],[RK]],TableRBVORP[RK],0)),"")</f>
        <v>Aaron Jones</v>
      </c>
      <c r="AJ53" s="115" t="str">
        <f t="shared" si="0"/>
        <v>RB12</v>
      </c>
      <c r="AK53" s="115">
        <f>IFERROR(INDEX(TableRBVORP[BYE],MATCH(TableOverallMaster[[#This Row],[RK]],TableRBVORP[RK],0)),"")</f>
        <v>6</v>
      </c>
      <c r="AL53" s="116">
        <f>IFERROR(INDEX(TableRBVORP[FPS],MATCH(TableOverallMaster[[#This Row],[RK]],TableRBVORP[RK],0)),"")</f>
        <v>211.41095636016271</v>
      </c>
      <c r="AM53" s="117">
        <f>IFERROR(INDEX(TableRBVORP[VORP],MATCH(TableOverallMaster[[#This Row],[RK]],TableRBVORP[RK],0)),"")</f>
        <v>0.6104303914765522</v>
      </c>
      <c r="AO53">
        <v>52</v>
      </c>
      <c r="AP53" s="118" t="str">
        <f>IFERROR(INDEX(TableOverallMaster[OVERALL PLAYER],MATCH(TableOverallRank[[#This Row],[RK]],TableOverallMaster[OVR RK],0)),"")</f>
        <v>Davante Adams</v>
      </c>
      <c r="AQ53" s="119" t="str">
        <f>IFERROR(INDEX(TableOverallMaster[POS RK],MATCH(TableOverallRank[[#This Row],[OVERALL PLAYER]],TableOverallMaster[OVERALL PLAYER],0)),"")</f>
        <v>WR21</v>
      </c>
      <c r="AR53" s="120">
        <f>IFERROR(INDEX(TableOverallMaster[BYE],MATCH(TableOverallRank[[#This Row],[OVERALL PLAYER]],TableOverallMaster[OVERALL PLAYER],0)),"")</f>
        <v>10</v>
      </c>
      <c r="AS53" s="119">
        <f>IFERROR(INDEX(TableOverallMaster[Custom],MATCH(TableOverallRank[[#This Row],[OVERALL PLAYER]],TableOverallMaster[OVERALL PLAYER],0)),"")</f>
        <v>193.52615414390021</v>
      </c>
      <c r="AT53" s="121">
        <f>IFERROR(INDEX(TableOverallMaster[VORP],MATCH(TableOverallRank[[#This Row],[OVERALL PLAYER]],TableOverallMaster[OVERALL PLAYER],0)),"")</f>
        <v>0.3774540551576982</v>
      </c>
      <c r="AV53">
        <v>52</v>
      </c>
      <c r="AW53" s="122" t="str">
        <f>IFERROR(INDEX(TableWRTECalcPts[PLAYER],MATCH(TableWRTERank[[#This Row],[RK]],TableWRTECalcPts[RK],0)),"")</f>
        <v>Ladd McConkey</v>
      </c>
      <c r="AX53" s="122" t="str">
        <f>IFERROR(INDEX(TableWRTECalcPts[POS RK],MATCH(TableWRTERank[[#This Row],[WR and TE COMBINED]],TableWRTECalcPts[PLAYER],0)),"")</f>
        <v>WR46</v>
      </c>
      <c r="AY53" s="122">
        <f>IFERROR(INDEX(TableWRTECalcPts[BYE],MATCH(TableWRTERank[[#This Row],[RK]],TableWRTECalcPts[RK],0)),"")</f>
        <v>5</v>
      </c>
      <c r="AZ53" s="123">
        <f>IFERROR(INDEX(TableWRTECalcPts[Custom],MATCH(TableWRTERank[[#This Row],[RK]],TableWRTECalcPts[RK],0)),"")</f>
        <v>163.29882840022213</v>
      </c>
      <c r="BA53" s="174">
        <f>IFERROR((TableWRTERank[[#This Row],[FPS]]-INDEX(TableWRTERank[FPS],MATCH(WRTEVORPCalc,TableWRTERank[RK],0)))/INDEX(TableWRTERank[FPS],MATCH(WRTEVORPCalc,TableWRTERank[RK],0)),"")</f>
        <v>4.062964249323861E-2</v>
      </c>
      <c r="BC53" t="s">
        <v>208</v>
      </c>
      <c r="BD53">
        <v>52</v>
      </c>
      <c r="BE53" s="83">
        <f>RANK(TableWRTEMaster[[#This Row],[VORP]],TableWRTEMaster[VORP])+COUNTIF($BJ$2:BJ53,BJ53)-1</f>
        <v>62</v>
      </c>
      <c r="BF53" s="115" t="str">
        <f>IFERROR(INDEX(TableWRVORP[WIDE RECEIVER],MATCH(TableWRTEMaster[[#This Row],[RK]],TableWRVORP[RK],0)),"")</f>
        <v>Christian Watson</v>
      </c>
      <c r="BG53" s="115" t="str">
        <f>_xlfn.CONCAT(TableWRTEMaster[[#This Row],[POS]],TableWRTEMaster[[#This Row],[RK]])</f>
        <v>WR52</v>
      </c>
      <c r="BH53" s="115">
        <f>IFERROR(INDEX(TableWRVORP[BYE],MATCH(TableWRTEMaster[[#This Row],[RK]],TableWRVORP[RK],0)),"")</f>
        <v>10</v>
      </c>
      <c r="BI53" s="116">
        <f>IFERROR(INDEX(TableWRVORP[FPS],MATCH(TableWRTEMaster[[#This Row],[RK]],TableWRVORP[RK],0)),"")</f>
        <v>155.86557059484923</v>
      </c>
      <c r="BJ53" s="117">
        <f>IFERROR(INDEX(TableWRVORP[VORP],MATCH(TableWRTEMaster[[#This Row],[RK]],TableWRVORP[RK],0)),"")</f>
        <v>7.0478284870433103E-2</v>
      </c>
    </row>
    <row r="54" spans="1:62" x14ac:dyDescent="0.2">
      <c r="A54">
        <v>53</v>
      </c>
      <c r="B54" s="112" t="str">
        <f>IFERROR(INDEX(TableQBCalcPts[PLAYER],MATCH(TableQBVORP[[#This Row],[RK]],TableQBCalcPts[RK],0)),"")</f>
        <v>Tyrod Taylor</v>
      </c>
      <c r="C54" s="112" t="str">
        <f>IFERROR(INDEX(TableQBCalcPts[TM],MATCH(TableQBVORP[[#This Row],[RK]],TableQBCalcPts[RK],0)),"")</f>
        <v>NYJ</v>
      </c>
      <c r="D54" s="112">
        <f>IFERROR(INDEX(TableQBCalcPts[BYE],MATCH(TableQBVORP[[#This Row],[RK]],TableQBCalcPts[RK],0)),"")</f>
        <v>12</v>
      </c>
      <c r="E54" s="113">
        <f>IFERROR(INDEX(TableQBCalcPts[Custom],MATCH(TableQBVORP[[#This Row],[RK]],TableQBCalcPts[RK],0)),"")</f>
        <v>6.2338821112386551</v>
      </c>
      <c r="F54" s="114">
        <f>(IFERROR((TableQBVORP[[#This Row],[FPS]]-INDEX(TableQBVORP[FPS],MATCH(QBVORPCalc,TableQBVORP[RK],0)))/INDEX(TableQBVORP[FPS],MATCH(QBVORPCalc,TableQBVORP[RK],0)),""))+(TableRBVORP[[#This Row],[VORP]]*0.45)</f>
        <v>-1.0873419865137781</v>
      </c>
      <c r="H54">
        <v>53</v>
      </c>
      <c r="I54" s="112" t="str">
        <f>IFERROR(INDEX(TableRBCalcPts[PLAYER],MATCH(TableRBVORP[[#This Row],[RK]],TableRBCalcPts[RK],0)),"")</f>
        <v>Dalvin Cook</v>
      </c>
      <c r="J54" s="112" t="str">
        <f>IFERROR(INDEX(TableRBCalcPts[TM],MATCH(TableRBVORP[[#This Row],[RK]],TableRBCalcPts[RK],0)),"")</f>
        <v>DAL</v>
      </c>
      <c r="K54" s="112">
        <f>IFERROR(INDEX(TableRBCalcPts[BYE],MATCH(TableRBVORP[[#This Row],[RK]],TableRBCalcPts[RK],0)),"")</f>
        <v>7</v>
      </c>
      <c r="L54" s="113">
        <f>IFERROR(INDEX(TableRBCalcPts[Custom],MATCH(TableRBVORP[[#This Row],[RK]],TableRBCalcPts[RK],0)),"")</f>
        <v>85.244686888648587</v>
      </c>
      <c r="M54" s="114">
        <f>(IFERROR((TableRBVORP[[#This Row],[FPS]]-INDEX(TableRBVORP[FPS],MATCH(RBVORPCalc,TableRBVORP[RK],0)))/INDEX(TableRBVORP[FPS],MATCH(RBVORPCalc,TableRBVORP[RK],0)),""))*0.8</f>
        <v>-0.23128918590754438</v>
      </c>
      <c r="O54">
        <v>53</v>
      </c>
      <c r="P54" s="112" t="str">
        <f>IFERROR(INDEX(TableWRCalcPts[PLAYER],MATCH(TableWRVORP[[#This Row],[RK]],TableWRCalcPts[RK],0)),"")</f>
        <v>Curtis Samuel</v>
      </c>
      <c r="Q54" s="112" t="str">
        <f>IFERROR(INDEX(TableWRCalcPts[TM],MATCH(TableWRVORP[[#This Row],[RK]],TableWRCalcPts[RK],0)),"")</f>
        <v>BUF</v>
      </c>
      <c r="R54" s="112">
        <f>IFERROR(INDEX(TableWRCalcPts[BYE],MATCH(TableWRVORP[[#This Row],[RK]],TableWRCalcPts[RK],0)),"")</f>
        <v>12</v>
      </c>
      <c r="S54" s="113">
        <f>IFERROR(INDEX(TableWRCalcPts[Custom],MATCH(TableWRVORP[[#This Row],[RK]],TableWRCalcPts[RK],0)),"")</f>
        <v>152.29973704531247</v>
      </c>
      <c r="T54" s="114">
        <f>(IFERROR((TableWRVORP[[#This Row],[FPS]]-INDEX(TableWRVORP[FPS],MATCH(WRVORPCalc,TableWRVORP[RK],0)))/INDEX(TableWRVORP[FPS],MATCH(WRVORPCalc,TableWRVORP[RK],0)),""))*1.2</f>
        <v>4.1412763377397084E-2</v>
      </c>
      <c r="V54">
        <v>53</v>
      </c>
      <c r="W54" s="112" t="str">
        <f>IFERROR(INDEX(TableTECalcPts[PLAYER],MATCH(TableTEVORP[[#This Row],[RK]],TableTECalcPts[RK],0)),"")</f>
        <v>Luke Schoonmaker</v>
      </c>
      <c r="X54" s="112" t="str">
        <f>IFERROR(INDEX(TableTECalcPts[TM],MATCH(TableTEVORP[[#This Row],[RK]],TableTECalcPts[RK],0)),"")</f>
        <v>DAL</v>
      </c>
      <c r="Y54" s="112">
        <f>IFERROR(INDEX(TableTECalcPts[BYE],MATCH(TableTEVORP[[#This Row],[RK]],TableTECalcPts[RK],0)),"")</f>
        <v>7</v>
      </c>
      <c r="Z54" s="113">
        <f>IFERROR(INDEX(TableTECalcPts[Custom],MATCH(TableTEVORP[[#This Row],[RK]],TableTECalcPts[RK],0)),"")</f>
        <v>24.051614582192396</v>
      </c>
      <c r="AA54" s="114">
        <f>IFERROR((TableTEVORP[[#This Row],[FPS]]-INDEX(TableTEVORP[FPS],MATCH(TEVORPCalc,TableTEVORP[RK],0)))/INDEX(TableTEVORP[FPS],MATCH(TEVORPCalc,TableTEVORP[RK],0)),"")</f>
        <v>-0.81729115798858876</v>
      </c>
      <c r="AF54" t="s">
        <v>207</v>
      </c>
      <c r="AG54">
        <v>13</v>
      </c>
      <c r="AH54" s="83">
        <f>RANK(TableOverallMaster[[#This Row],[VORP]],TableOverallMaster[VORP])+COUNTIF($AM$2:AM54,AM54)-1</f>
        <v>21</v>
      </c>
      <c r="AI54" s="115" t="str">
        <f>IFERROR(INDEX(TableRBVORP[RUNNING BACK],MATCH(TableOverallMaster[[#This Row],[RK]],TableRBVORP[RK],0)),"")</f>
        <v>Alvin Kamara</v>
      </c>
      <c r="AJ54" s="115" t="str">
        <f t="shared" si="0"/>
        <v>RB13</v>
      </c>
      <c r="AK54" s="115">
        <f>IFERROR(INDEX(TableRBVORP[BYE],MATCH(TableOverallMaster[[#This Row],[RK]],TableRBVORP[RK],0)),"")</f>
        <v>12</v>
      </c>
      <c r="AL54" s="116">
        <f>IFERROR(INDEX(TableRBVORP[FPS],MATCH(TableOverallMaster[[#This Row],[RK]],TableRBVORP[RK],0)),"")</f>
        <v>208.49750339596642</v>
      </c>
      <c r="AM54" s="117">
        <f>IFERROR(INDEX(TableRBVORP[VORP],MATCH(TableOverallMaster[[#This Row],[RK]],TableRBVORP[RK],0)),"")</f>
        <v>0.59099325976120543</v>
      </c>
      <c r="AO54">
        <v>53</v>
      </c>
      <c r="AP54" s="118" t="str">
        <f>IFERROR(INDEX(TableOverallMaster[OVERALL PLAYER],MATCH(TableOverallRank[[#This Row],[RK]],TableOverallMaster[OVR RK],0)),"")</f>
        <v>Rhamondre Stevenson</v>
      </c>
      <c r="AQ54" s="119" t="str">
        <f>IFERROR(INDEX(TableOverallMaster[POS RK],MATCH(TableOverallRank[[#This Row],[OVERALL PLAYER]],TableOverallMaster[OVERALL PLAYER],0)),"")</f>
        <v>RB26</v>
      </c>
      <c r="AR54" s="120">
        <f>IFERROR(INDEX(TableOverallMaster[BYE],MATCH(TableOverallRank[[#This Row],[OVERALL PLAYER]],TableOverallMaster[OVERALL PLAYER],0)),"")</f>
        <v>14</v>
      </c>
      <c r="AS54" s="119">
        <f>IFERROR(INDEX(TableOverallMaster[Custom],MATCH(TableOverallRank[[#This Row],[OVERALL PLAYER]],TableOverallMaster[OVERALL PLAYER],0)),"")</f>
        <v>176.28004011613581</v>
      </c>
      <c r="AT54" s="121">
        <f>IFERROR(INDEX(TableOverallMaster[VORP],MATCH(TableOverallRank[[#This Row],[OVERALL PLAYER]],TableOverallMaster[OVERALL PLAYER],0)),"")</f>
        <v>0.37605411881744155</v>
      </c>
      <c r="AV54">
        <v>53</v>
      </c>
      <c r="AW54" s="122" t="str">
        <f>IFERROR(INDEX(TableWRTECalcPts[PLAYER],MATCH(TableWRTERank[[#This Row],[RK]],TableWRTECalcPts[RK],0)),"")</f>
        <v>Tyler Lockett</v>
      </c>
      <c r="AX54" s="122" t="str">
        <f>IFERROR(INDEX(TableWRTECalcPts[POS RK],MATCH(TableWRTERank[[#This Row],[WR and TE COMBINED]],TableWRTECalcPts[PLAYER],0)),"")</f>
        <v>WR47</v>
      </c>
      <c r="AY54" s="122">
        <f>IFERROR(INDEX(TableWRTECalcPts[BYE],MATCH(TableWRTERank[[#This Row],[RK]],TableWRTECalcPts[RK],0)),"")</f>
        <v>10</v>
      </c>
      <c r="AZ54" s="123">
        <f>IFERROR(INDEX(TableWRTECalcPts[Custom],MATCH(TableWRTERank[[#This Row],[RK]],TableWRTECalcPts[RK],0)),"")</f>
        <v>162.31493454865003</v>
      </c>
      <c r="BA54" s="174">
        <f>IFERROR((TableWRTERank[[#This Row],[FPS]]-INDEX(TableWRTERank[FPS],MATCH(WRTEVORPCalc,TableWRTERank[RK],0)))/INDEX(TableWRTERank[FPS],MATCH(WRTEVORPCalc,TableWRTERank[RK],0)),"")</f>
        <v>3.4359731575669634E-2</v>
      </c>
      <c r="BC54" t="s">
        <v>208</v>
      </c>
      <c r="BD54">
        <v>53</v>
      </c>
      <c r="BE54" s="83">
        <f>RANK(TableWRTEMaster[[#This Row],[VORP]],TableWRTEMaster[VORP])+COUNTIF($BJ$2:BJ54,BJ54)-1</f>
        <v>64</v>
      </c>
      <c r="BF54" s="115" t="str">
        <f>IFERROR(INDEX(TableWRVORP[WIDE RECEIVER],MATCH(TableWRTEMaster[[#This Row],[RK]],TableWRVORP[RK],0)),"")</f>
        <v>Curtis Samuel</v>
      </c>
      <c r="BG54" s="115" t="str">
        <f>_xlfn.CONCAT(TableWRTEMaster[[#This Row],[POS]],TableWRTEMaster[[#This Row],[RK]])</f>
        <v>WR53</v>
      </c>
      <c r="BH54" s="115">
        <f>IFERROR(INDEX(TableWRVORP[BYE],MATCH(TableWRTEMaster[[#This Row],[RK]],TableWRVORP[RK],0)),"")</f>
        <v>12</v>
      </c>
      <c r="BI54" s="116">
        <f>IFERROR(INDEX(TableWRVORP[FPS],MATCH(TableWRTEMaster[[#This Row],[RK]],TableWRVORP[RK],0)),"")</f>
        <v>152.29973704531247</v>
      </c>
      <c r="BJ54" s="117">
        <f>IFERROR(INDEX(TableWRVORP[VORP],MATCH(TableWRTEMaster[[#This Row],[RK]],TableWRVORP[RK],0)),"")</f>
        <v>4.1412763377397084E-2</v>
      </c>
    </row>
    <row r="55" spans="1:62" x14ac:dyDescent="0.2">
      <c r="A55">
        <v>54</v>
      </c>
      <c r="B55" s="112" t="str">
        <f>IFERROR(INDEX(TableQBCalcPts[PLAYER],MATCH(TableQBVORP[[#This Row],[RK]],TableQBCalcPts[RK],0)),"")</f>
        <v>Kenny Pickett</v>
      </c>
      <c r="C55" s="112" t="str">
        <f>IFERROR(INDEX(TableQBCalcPts[TM],MATCH(TableQBVORP[[#This Row],[RK]],TableQBCalcPts[RK],0)),"")</f>
        <v>PHI</v>
      </c>
      <c r="D55" s="112">
        <f>IFERROR(INDEX(TableQBCalcPts[BYE],MATCH(TableQBVORP[[#This Row],[RK]],TableQBCalcPts[RK],0)),"")</f>
        <v>5</v>
      </c>
      <c r="E55" s="113">
        <f>IFERROR(INDEX(TableQBCalcPts[Custom],MATCH(TableQBVORP[[#This Row],[RK]],TableQBCalcPts[RK],0)),"")</f>
        <v>6.0923809038144068</v>
      </c>
      <c r="F55" s="114">
        <f>(IFERROR((TableQBVORP[[#This Row],[FPS]]-INDEX(TableQBVORP[FPS],MATCH(QBVORPCalc,TableQBVORP[RK],0)))/INDEX(TableQBVORP[FPS],MATCH(QBVORPCalc,TableQBVORP[RK],0)),""))+(TableRBVORP[[#This Row],[VORP]]*0.45)</f>
        <v>-1.0909676026480009</v>
      </c>
      <c r="H55">
        <v>54</v>
      </c>
      <c r="I55" s="112" t="str">
        <f>IFERROR(INDEX(TableRBCalcPts[PLAYER],MATCH(TableRBVORP[[#This Row],[RK]],TableRBCalcPts[RK],0)),"")</f>
        <v>Alexander Mattison</v>
      </c>
      <c r="J55" s="112" t="str">
        <f>IFERROR(INDEX(TableRBCalcPts[TM],MATCH(TableRBVORP[[#This Row],[RK]],TableRBCalcPts[RK],0)),"")</f>
        <v>LV</v>
      </c>
      <c r="K55" s="112">
        <f>IFERROR(INDEX(TableRBCalcPts[BYE],MATCH(TableRBVORP[[#This Row],[RK]],TableRBCalcPts[RK],0)),"")</f>
        <v>10</v>
      </c>
      <c r="L55" s="113">
        <f>IFERROR(INDEX(TableRBCalcPts[Custom],MATCH(TableRBVORP[[#This Row],[RK]],TableRBCalcPts[RK],0)),"")</f>
        <v>84.163578560068146</v>
      </c>
      <c r="M55" s="114">
        <f>(IFERROR((TableRBVORP[[#This Row],[FPS]]-INDEX(TableRBVORP[FPS],MATCH(RBVORPCalc,TableRBVORP[RK],0)))/INDEX(TableRBVORP[FPS],MATCH(RBVORPCalc,TableRBVORP[RK],0)),""))*0.8</f>
        <v>-0.23850181135213375</v>
      </c>
      <c r="O55">
        <v>54</v>
      </c>
      <c r="P55" s="112" t="str">
        <f>IFERROR(INDEX(TableWRCalcPts[PLAYER],MATCH(TableWRVORP[[#This Row],[RK]],TableWRCalcPts[RK],0)),"")</f>
        <v>Adonai Mitchell</v>
      </c>
      <c r="Q55" s="112" t="str">
        <f>IFERROR(INDEX(TableWRCalcPts[TM],MATCH(TableWRVORP[[#This Row],[RK]],TableWRCalcPts[RK],0)),"")</f>
        <v>IND</v>
      </c>
      <c r="R55" s="112">
        <f>IFERROR(INDEX(TableWRCalcPts[BYE],MATCH(TableWRVORP[[#This Row],[RK]],TableWRCalcPts[RK],0)),"")</f>
        <v>14</v>
      </c>
      <c r="S55" s="113">
        <f>IFERROR(INDEX(TableWRCalcPts[Custom],MATCH(TableWRVORP[[#This Row],[RK]],TableWRCalcPts[RK],0)),"")</f>
        <v>151.99119359423997</v>
      </c>
      <c r="T55" s="114">
        <f>(IFERROR((TableWRVORP[[#This Row],[FPS]]-INDEX(TableWRVORP[FPS],MATCH(WRVORPCalc,TableWRVORP[RK],0)))/INDEX(TableWRVORP[FPS],MATCH(WRVORPCalc,TableWRVORP[RK],0)),""))*1.2</f>
        <v>3.8897790038316761E-2</v>
      </c>
      <c r="V55">
        <v>54</v>
      </c>
      <c r="W55" s="112" t="str">
        <f>IFERROR(INDEX(TableTECalcPts[PLAYER],MATCH(TableTEVORP[[#This Row],[RK]],TableTECalcPts[RK],0)),"")</f>
        <v>Brenton Strange</v>
      </c>
      <c r="X55" s="112" t="str">
        <f>IFERROR(INDEX(TableTECalcPts[TM],MATCH(TableTEVORP[[#This Row],[RK]],TableTECalcPts[RK],0)),"")</f>
        <v>JAX</v>
      </c>
      <c r="Y55" s="112">
        <f>IFERROR(INDEX(TableTECalcPts[BYE],MATCH(TableTEVORP[[#This Row],[RK]],TableTECalcPts[RK],0)),"")</f>
        <v>12</v>
      </c>
      <c r="Z55" s="113">
        <f>IFERROR(INDEX(TableTECalcPts[Custom],MATCH(TableTEVORP[[#This Row],[RK]],TableTECalcPts[RK],0)),"")</f>
        <v>23.035335255416182</v>
      </c>
      <c r="AA55" s="114">
        <f>IFERROR((TableTEVORP[[#This Row],[FPS]]-INDEX(TableTEVORP[FPS],MATCH(TEVORPCalc,TableTEVORP[RK],0)))/INDEX(TableTEVORP[FPS],MATCH(TEVORPCalc,TableTEVORP[RK],0)),"")</f>
        <v>-0.82501135566267325</v>
      </c>
      <c r="AF55" t="s">
        <v>207</v>
      </c>
      <c r="AG55">
        <v>14</v>
      </c>
      <c r="AH55" s="83">
        <f>RANK(TableOverallMaster[[#This Row],[VORP]],TableOverallMaster[VORP])+COUNTIF($AM$2:AM55,AM55)-1</f>
        <v>22</v>
      </c>
      <c r="AI55" s="115" t="str">
        <f>IFERROR(INDEX(TableRBVORP[RUNNING BACK],MATCH(TableOverallMaster[[#This Row],[RK]],TableRBVORP[RK],0)),"")</f>
        <v>De'Von Achane</v>
      </c>
      <c r="AJ55" s="115" t="str">
        <f t="shared" si="0"/>
        <v>RB14</v>
      </c>
      <c r="AK55" s="115">
        <f>IFERROR(INDEX(TableRBVORP[BYE],MATCH(TableOverallMaster[[#This Row],[RK]],TableRBVORP[RK],0)),"")</f>
        <v>6</v>
      </c>
      <c r="AL55" s="116">
        <f>IFERROR(INDEX(TableRBVORP[FPS],MATCH(TableOverallMaster[[#This Row],[RK]],TableRBVORP[RK],0)),"")</f>
        <v>206.99043080924</v>
      </c>
      <c r="AM55" s="117">
        <f>IFERROR(INDEX(TableRBVORP[VORP],MATCH(TableOverallMaster[[#This Row],[RK]],TableRBVORP[RK],0)),"")</f>
        <v>0.58093880934351338</v>
      </c>
      <c r="AO55">
        <v>54</v>
      </c>
      <c r="AP55" s="118" t="str">
        <f>IFERROR(INDEX(TableOverallMaster[OVERALL PLAYER],MATCH(TableOverallRank[[#This Row],[RK]],TableOverallMaster[OVR RK],0)),"")</f>
        <v>David Montgomery</v>
      </c>
      <c r="AQ55" s="119" t="str">
        <f>IFERROR(INDEX(TableOverallMaster[POS RK],MATCH(TableOverallRank[[#This Row],[OVERALL PLAYER]],TableOverallMaster[OVERALL PLAYER],0)),"")</f>
        <v>RB27</v>
      </c>
      <c r="AR55" s="120">
        <f>IFERROR(INDEX(TableOverallMaster[BYE],MATCH(TableOverallRank[[#This Row],[OVERALL PLAYER]],TableOverallMaster[OVERALL PLAYER],0)),"")</f>
        <v>5</v>
      </c>
      <c r="AS55" s="119">
        <f>IFERROR(INDEX(TableOverallMaster[Custom],MATCH(TableOverallRank[[#This Row],[OVERALL PLAYER]],TableOverallMaster[OVERALL PLAYER],0)),"")</f>
        <v>175.52927230347515</v>
      </c>
      <c r="AT55" s="121">
        <f>IFERROR(INDEX(TableOverallMaster[VORP],MATCH(TableOverallRank[[#This Row],[OVERALL PLAYER]],TableOverallMaster[OVERALL PLAYER],0)),"")</f>
        <v>0.37104536355636136</v>
      </c>
      <c r="AV55">
        <v>54</v>
      </c>
      <c r="AW55" s="122" t="str">
        <f>IFERROR(INDEX(TableWRTECalcPts[PLAYER],MATCH(TableWRTERank[[#This Row],[RK]],TableWRTECalcPts[RK],0)),"")</f>
        <v>Evan Engram</v>
      </c>
      <c r="AX55" s="122" t="str">
        <f>IFERROR(INDEX(TableWRTECalcPts[POS RK],MATCH(TableWRTERank[[#This Row],[WR and TE COMBINED]],TableWRTECalcPts[PLAYER],0)),"")</f>
        <v>TE7</v>
      </c>
      <c r="AY55" s="122">
        <f>IFERROR(INDEX(TableWRTECalcPts[BYE],MATCH(TableWRTERank[[#This Row],[RK]],TableWRTECalcPts[RK],0)),"")</f>
        <v>12</v>
      </c>
      <c r="AZ55" s="123">
        <f>IFERROR(INDEX(TableWRTECalcPts[Custom],MATCH(TableWRTERank[[#This Row],[RK]],TableWRTECalcPts[RK],0)),"")</f>
        <v>162.13728753207036</v>
      </c>
      <c r="BA55" s="174">
        <f>IFERROR((TableWRTERank[[#This Row],[FPS]]-INDEX(TableWRTERank[FPS],MATCH(WRTEVORPCalc,TableWRTERank[RK],0)))/INDEX(TableWRTERank[FPS],MATCH(WRTEVORPCalc,TableWRTERank[RK],0)),"")</f>
        <v>3.3227667413517688E-2</v>
      </c>
      <c r="BC55" t="s">
        <v>208</v>
      </c>
      <c r="BD55">
        <v>54</v>
      </c>
      <c r="BE55" s="83">
        <f>RANK(TableWRTEMaster[[#This Row],[VORP]],TableWRTEMaster[VORP])+COUNTIF($BJ$2:BJ55,BJ55)-1</f>
        <v>65</v>
      </c>
      <c r="BF55" s="115" t="str">
        <f>IFERROR(INDEX(TableWRVORP[WIDE RECEIVER],MATCH(TableWRTEMaster[[#This Row],[RK]],TableWRVORP[RK],0)),"")</f>
        <v>Adonai Mitchell</v>
      </c>
      <c r="BG55" s="115" t="str">
        <f>_xlfn.CONCAT(TableWRTEMaster[[#This Row],[POS]],TableWRTEMaster[[#This Row],[RK]])</f>
        <v>WR54</v>
      </c>
      <c r="BH55" s="115">
        <f>IFERROR(INDEX(TableWRVORP[BYE],MATCH(TableWRTEMaster[[#This Row],[RK]],TableWRVORP[RK],0)),"")</f>
        <v>14</v>
      </c>
      <c r="BI55" s="116">
        <f>IFERROR(INDEX(TableWRVORP[FPS],MATCH(TableWRTEMaster[[#This Row],[RK]],TableWRVORP[RK],0)),"")</f>
        <v>151.99119359423997</v>
      </c>
      <c r="BJ55" s="117">
        <f>IFERROR(INDEX(TableWRVORP[VORP],MATCH(TableWRTEMaster[[#This Row],[RK]],TableWRVORP[RK],0)),"")</f>
        <v>3.8897790038316761E-2</v>
      </c>
    </row>
    <row r="56" spans="1:62" x14ac:dyDescent="0.2">
      <c r="A56">
        <v>55</v>
      </c>
      <c r="B56" s="112" t="str">
        <f>IFERROR(INDEX(TableQBCalcPts[PLAYER],MATCH(TableQBVORP[[#This Row],[RK]],TableQBCalcPts[RK],0)),"")</f>
        <v>Spencer Rattler</v>
      </c>
      <c r="C56" s="112" t="str">
        <f>IFERROR(INDEX(TableQBCalcPts[TM],MATCH(TableQBVORP[[#This Row],[RK]],TableQBCalcPts[RK],0)),"")</f>
        <v>NO</v>
      </c>
      <c r="D56" s="112">
        <f>IFERROR(INDEX(TableQBCalcPts[BYE],MATCH(TableQBVORP[[#This Row],[RK]],TableQBCalcPts[RK],0)),"")</f>
        <v>12</v>
      </c>
      <c r="E56" s="113">
        <f>IFERROR(INDEX(TableQBCalcPts[Custom],MATCH(TableQBVORP[[#This Row],[RK]],TableQBCalcPts[RK],0)),"")</f>
        <v>5.7567016256639985</v>
      </c>
      <c r="F56" s="114">
        <f>(IFERROR((TableQBVORP[[#This Row],[FPS]]-INDEX(TableQBVORP[FPS],MATCH(QBVORPCalc,TableQBVORP[RK],0)))/INDEX(TableQBVORP[FPS],MATCH(QBVORPCalc,TableQBVORP[RK],0)),""))+(TableRBVORP[[#This Row],[VORP]]*0.45)</f>
        <v>-1.0953815376491494</v>
      </c>
      <c r="H56">
        <v>55</v>
      </c>
      <c r="I56" s="112" t="str">
        <f>IFERROR(INDEX(TableRBCalcPts[PLAYER],MATCH(TableRBVORP[[#This Row],[RK]],TableRBCalcPts[RK],0)),"")</f>
        <v>Roschon Johnson</v>
      </c>
      <c r="J56" s="112" t="str">
        <f>IFERROR(INDEX(TableRBCalcPts[TM],MATCH(TableRBVORP[[#This Row],[RK]],TableRBCalcPts[RK],0)),"")</f>
        <v>CHI</v>
      </c>
      <c r="K56" s="112">
        <f>IFERROR(INDEX(TableRBCalcPts[BYE],MATCH(TableRBVORP[[#This Row],[RK]],TableRBCalcPts[RK],0)),"")</f>
        <v>7</v>
      </c>
      <c r="L56" s="113">
        <f>IFERROR(INDEX(TableRBCalcPts[Custom],MATCH(TableRBVORP[[#This Row],[RK]],TableRBCalcPts[RK],0)),"")</f>
        <v>82.993553055914475</v>
      </c>
      <c r="M56" s="114">
        <f>(IFERROR((TableRBVORP[[#This Row],[FPS]]-INDEX(TableRBVORP[FPS],MATCH(RBVORPCalc,TableRBVORP[RK],0)))/INDEX(TableRBVORP[FPS],MATCH(RBVORPCalc,TableRBVORP[RK],0)),""))*0.8</f>
        <v>-0.24630764865722421</v>
      </c>
      <c r="O56">
        <v>55</v>
      </c>
      <c r="P56" s="112" t="str">
        <f>IFERROR(INDEX(TableWRCalcPts[PLAYER],MATCH(TableWRVORP[[#This Row],[RK]],TableWRCalcPts[RK],0)),"")</f>
        <v>Rome Odunze</v>
      </c>
      <c r="Q56" s="112" t="str">
        <f>IFERROR(INDEX(TableWRCalcPts[TM],MATCH(TableWRVORP[[#This Row],[RK]],TableWRCalcPts[RK],0)),"")</f>
        <v>CHI</v>
      </c>
      <c r="R56" s="112">
        <f>IFERROR(INDEX(TableWRCalcPts[BYE],MATCH(TableWRVORP[[#This Row],[RK]],TableWRCalcPts[RK],0)),"")</f>
        <v>7</v>
      </c>
      <c r="S56" s="113">
        <f>IFERROR(INDEX(TableWRCalcPts[Custom],MATCH(TableWRVORP[[#This Row],[RK]],TableWRCalcPts[RK],0)),"")</f>
        <v>151.03909567844491</v>
      </c>
      <c r="T56" s="114">
        <f>(IFERROR((TableWRVORP[[#This Row],[FPS]]-INDEX(TableWRVORP[FPS],MATCH(WRVORPCalc,TableWRVORP[RK],0)))/INDEX(TableWRVORP[FPS],MATCH(WRVORPCalc,TableWRVORP[RK],0)),""))*1.2</f>
        <v>3.1137129858704253E-2</v>
      </c>
      <c r="V56">
        <v>55</v>
      </c>
      <c r="W56" s="112" t="str">
        <f>IFERROR(INDEX(TableTECalcPts[PLAYER],MATCH(TableTEVORP[[#This Row],[RK]],TableTECalcPts[RK],0)),"")</f>
        <v>Ko Kieft</v>
      </c>
      <c r="X56" s="112" t="str">
        <f>IFERROR(INDEX(TableTECalcPts[TM],MATCH(TableTEVORP[[#This Row],[RK]],TableTECalcPts[RK],0)),"")</f>
        <v>TB</v>
      </c>
      <c r="Y56" s="112">
        <f>IFERROR(INDEX(TableTECalcPts[BYE],MATCH(TableTEVORP[[#This Row],[RK]],TableTECalcPts[RK],0)),"")</f>
        <v>11</v>
      </c>
      <c r="Z56" s="113">
        <f>IFERROR(INDEX(TableTECalcPts[Custom],MATCH(TableTEVORP[[#This Row],[RK]],TableTECalcPts[RK],0)),"")</f>
        <v>22.234463133326038</v>
      </c>
      <c r="AA56" s="114">
        <f>IFERROR((TableTEVORP[[#This Row],[FPS]]-INDEX(TableTEVORP[FPS],MATCH(TEVORPCalc,TableTEVORP[RK],0)))/INDEX(TableTEVORP[FPS],MATCH(TEVORPCalc,TableTEVORP[RK],0)),"")</f>
        <v>-0.83109520577287122</v>
      </c>
      <c r="AF56" t="s">
        <v>207</v>
      </c>
      <c r="AG56">
        <v>15</v>
      </c>
      <c r="AH56" s="83">
        <f>RANK(TableOverallMaster[[#This Row],[VORP]],TableOverallMaster[VORP])+COUNTIF($AM$2:AM56,AM56)-1</f>
        <v>25</v>
      </c>
      <c r="AI56" s="115" t="str">
        <f>IFERROR(INDEX(TableRBVORP[RUNNING BACK],MATCH(TableOverallMaster[[#This Row],[RK]],TableRBVORP[RK],0)),"")</f>
        <v>Rachaad White</v>
      </c>
      <c r="AJ56" s="115" t="str">
        <f t="shared" si="0"/>
        <v>RB15</v>
      </c>
      <c r="AK56" s="115">
        <f>IFERROR(INDEX(TableRBVORP[BYE],MATCH(TableOverallMaster[[#This Row],[RK]],TableRBVORP[RK],0)),"")</f>
        <v>11</v>
      </c>
      <c r="AL56" s="116">
        <f>IFERROR(INDEX(TableRBVORP[FPS],MATCH(TableOverallMaster[[#This Row],[RK]],TableRBVORP[RK],0)),"")</f>
        <v>197.44771324617597</v>
      </c>
      <c r="AM56" s="117">
        <f>IFERROR(INDEX(TableRBVORP[VORP],MATCH(TableOverallMaster[[#This Row],[RK]],TableRBVORP[RK],0)),"")</f>
        <v>0.51727446999256199</v>
      </c>
      <c r="AO56">
        <v>55</v>
      </c>
      <c r="AP56" s="118" t="str">
        <f>IFERROR(INDEX(TableOverallMaster[OVERALL PLAYER],MATCH(TableOverallRank[[#This Row],[RK]],TableOverallMaster[OVR RK],0)),"")</f>
        <v>Tony Pollard</v>
      </c>
      <c r="AQ56" s="119" t="str">
        <f>IFERROR(INDEX(TableOverallMaster[POS RK],MATCH(TableOverallRank[[#This Row],[OVERALL PLAYER]],TableOverallMaster[OVERALL PLAYER],0)),"")</f>
        <v>RB28</v>
      </c>
      <c r="AR56" s="120">
        <f>IFERROR(INDEX(TableOverallMaster[BYE],MATCH(TableOverallRank[[#This Row],[OVERALL PLAYER]],TableOverallMaster[OVERALL PLAYER],0)),"")</f>
        <v>5</v>
      </c>
      <c r="AS56" s="119">
        <f>IFERROR(INDEX(TableOverallMaster[Custom],MATCH(TableOverallRank[[#This Row],[OVERALL PLAYER]],TableOverallMaster[OVERALL PLAYER],0)),"")</f>
        <v>175.18208691056179</v>
      </c>
      <c r="AT56" s="121">
        <f>IFERROR(INDEX(TableOverallMaster[VORP],MATCH(TableOverallRank[[#This Row],[OVERALL PLAYER]],TableOverallMaster[OVERALL PLAYER],0)),"")</f>
        <v>0.36872911260100638</v>
      </c>
      <c r="AV56">
        <v>55</v>
      </c>
      <c r="AW56" s="122" t="str">
        <f>IFERROR(INDEX(TableWRTECalcPts[PLAYER],MATCH(TableWRTERank[[#This Row],[RK]],TableWRTECalcPts[RK],0)),"")</f>
        <v>George Kittle</v>
      </c>
      <c r="AX56" s="122" t="str">
        <f>IFERROR(INDEX(TableWRTECalcPts[POS RK],MATCH(TableWRTERank[[#This Row],[WR and TE COMBINED]],TableWRTECalcPts[PLAYER],0)),"")</f>
        <v>TE8</v>
      </c>
      <c r="AY56" s="122">
        <f>IFERROR(INDEX(TableWRTECalcPts[BYE],MATCH(TableWRTERank[[#This Row],[RK]],TableWRTECalcPts[RK],0)),"")</f>
        <v>9</v>
      </c>
      <c r="AZ56" s="123">
        <f>IFERROR(INDEX(TableWRTECalcPts[Custom],MATCH(TableWRTERank[[#This Row],[RK]],TableWRTECalcPts[RK],0)),"")</f>
        <v>161.66168890481731</v>
      </c>
      <c r="BA56" s="174">
        <f>IFERROR((TableWRTERank[[#This Row],[FPS]]-INDEX(TableWRTERank[FPS],MATCH(WRTEVORPCalc,TableWRTERank[RK],0)))/INDEX(TableWRTERank[FPS],MATCH(WRTEVORPCalc,TableWRTERank[RK],0)),"")</f>
        <v>3.0196892273872275E-2</v>
      </c>
      <c r="BC56" t="s">
        <v>208</v>
      </c>
      <c r="BD56">
        <v>55</v>
      </c>
      <c r="BE56" s="83">
        <f>RANK(TableWRTEMaster[[#This Row],[VORP]],TableWRTEMaster[VORP])+COUNTIF($BJ$2:BJ56,BJ56)-1</f>
        <v>66</v>
      </c>
      <c r="BF56" s="115" t="str">
        <f>IFERROR(INDEX(TableWRVORP[WIDE RECEIVER],MATCH(TableWRTEMaster[[#This Row],[RK]],TableWRVORP[RK],0)),"")</f>
        <v>Rome Odunze</v>
      </c>
      <c r="BG56" s="115" t="str">
        <f>_xlfn.CONCAT(TableWRTEMaster[[#This Row],[POS]],TableWRTEMaster[[#This Row],[RK]])</f>
        <v>WR55</v>
      </c>
      <c r="BH56" s="115">
        <f>IFERROR(INDEX(TableWRVORP[BYE],MATCH(TableWRTEMaster[[#This Row],[RK]],TableWRVORP[RK],0)),"")</f>
        <v>7</v>
      </c>
      <c r="BI56" s="116">
        <f>IFERROR(INDEX(TableWRVORP[FPS],MATCH(TableWRTEMaster[[#This Row],[RK]],TableWRVORP[RK],0)),"")</f>
        <v>151.03909567844491</v>
      </c>
      <c r="BJ56" s="117">
        <f>IFERROR(INDEX(TableWRVORP[VORP],MATCH(TableWRTEMaster[[#This Row],[RK]],TableWRVORP[RK],0)),"")</f>
        <v>3.1137129858704253E-2</v>
      </c>
    </row>
    <row r="57" spans="1:62" x14ac:dyDescent="0.2">
      <c r="A57">
        <v>56</v>
      </c>
      <c r="B57" s="112" t="str">
        <f>IFERROR(INDEX(TableQBCalcPts[PLAYER],MATCH(TableQBVORP[[#This Row],[RK]],TableQBCalcPts[RK],0)),"")</f>
        <v>Trey Lance</v>
      </c>
      <c r="C57" s="112" t="str">
        <f>IFERROR(INDEX(TableQBCalcPts[TM],MATCH(TableQBVORP[[#This Row],[RK]],TableQBCalcPts[RK],0)),"")</f>
        <v>DAL</v>
      </c>
      <c r="D57" s="112">
        <f>IFERROR(INDEX(TableQBCalcPts[BYE],MATCH(TableQBVORP[[#This Row],[RK]],TableQBCalcPts[RK],0)),"")</f>
        <v>7</v>
      </c>
      <c r="E57" s="113">
        <f>IFERROR(INDEX(TableQBCalcPts[Custom],MATCH(TableQBVORP[[#This Row],[RK]],TableQBCalcPts[RK],0)),"")</f>
        <v>5.6193425291810213</v>
      </c>
      <c r="F57" s="114">
        <f>(IFERROR((TableQBVORP[[#This Row],[FPS]]-INDEX(TableQBVORP[FPS],MATCH(QBVORPCalc,TableQBVORP[RK],0)))/INDEX(TableQBVORP[FPS],MATCH(QBVORPCalc,TableQBVORP[RK],0)),""))+(TableRBVORP[[#This Row],[VORP]]*0.45)</f>
        <v>-1.0990976334624343</v>
      </c>
      <c r="H57">
        <v>56</v>
      </c>
      <c r="I57" s="112" t="str">
        <f>IFERROR(INDEX(TableRBCalcPts[PLAYER],MATCH(TableRBVORP[[#This Row],[RK]],TableRBCalcPts[RK],0)),"")</f>
        <v>Jamaal Williams</v>
      </c>
      <c r="J57" s="112" t="str">
        <f>IFERROR(INDEX(TableRBCalcPts[TM],MATCH(TableRBVORP[[#This Row],[RK]],TableRBCalcPts[RK],0)),"")</f>
        <v>NO</v>
      </c>
      <c r="K57" s="112">
        <f>IFERROR(INDEX(TableRBCalcPts[BYE],MATCH(TableRBVORP[[#This Row],[RK]],TableRBCalcPts[RK],0)),"")</f>
        <v>12</v>
      </c>
      <c r="L57" s="113">
        <f>IFERROR(INDEX(TableRBCalcPts[Custom],MATCH(TableRBVORP[[#This Row],[RK]],TableRBCalcPts[RK],0)),"")</f>
        <v>81.878602195123278</v>
      </c>
      <c r="M57" s="114">
        <f>(IFERROR((TableRBVORP[[#This Row],[FPS]]-INDEX(TableRBVORP[FPS],MATCH(RBVORPCalc,TableRBVORP[RK],0)))/INDEX(TableRBVORP[FPS],MATCH(RBVORPCalc,TableRBVORP[RK],0)),""))*0.8</f>
        <v>-0.25374605490701102</v>
      </c>
      <c r="O57">
        <v>56</v>
      </c>
      <c r="P57" s="112" t="str">
        <f>IFERROR(INDEX(TableWRCalcPts[PLAYER],MATCH(TableWRVORP[[#This Row],[RK]],TableWRCalcPts[RK],0)),"")</f>
        <v>Keon Coleman</v>
      </c>
      <c r="Q57" s="112" t="str">
        <f>IFERROR(INDEX(TableWRCalcPts[TM],MATCH(TableWRVORP[[#This Row],[RK]],TableWRCalcPts[RK],0)),"")</f>
        <v>BUF</v>
      </c>
      <c r="R57" s="112">
        <f>IFERROR(INDEX(TableWRCalcPts[BYE],MATCH(TableWRVORP[[#This Row],[RK]],TableWRCalcPts[RK],0)),"")</f>
        <v>12</v>
      </c>
      <c r="S57" s="113">
        <f>IFERROR(INDEX(TableWRCalcPts[Custom],MATCH(TableWRVORP[[#This Row],[RK]],TableWRCalcPts[RK],0)),"")</f>
        <v>147.77140943565098</v>
      </c>
      <c r="T57" s="114">
        <f>(IFERROR((TableWRVORP[[#This Row],[FPS]]-INDEX(TableWRVORP[FPS],MATCH(WRVORPCalc,TableWRVORP[RK],0)))/INDEX(TableWRVORP[FPS],MATCH(WRVORPCalc,TableWRVORP[RK],0)),""))*1.2</f>
        <v>4.5018415304637124E-3</v>
      </c>
      <c r="V57">
        <v>56</v>
      </c>
      <c r="W57" s="112" t="str">
        <f>IFERROR(INDEX(TableTECalcPts[PLAYER],MATCH(TableTEVORP[[#This Row],[RK]],TableTECalcPts[RK],0)),"")</f>
        <v>Pharaoh Brown</v>
      </c>
      <c r="X57" s="112" t="str">
        <f>IFERROR(INDEX(TableTECalcPts[TM],MATCH(TableTEVORP[[#This Row],[RK]],TableTECalcPts[RK],0)),"")</f>
        <v>SEA</v>
      </c>
      <c r="Y57" s="112">
        <f>IFERROR(INDEX(TableTECalcPts[BYE],MATCH(TableTEVORP[[#This Row],[RK]],TableTECalcPts[RK],0)),"")</f>
        <v>10</v>
      </c>
      <c r="Z57" s="113">
        <f>IFERROR(INDEX(TableTECalcPts[Custom],MATCH(TableTEVORP[[#This Row],[RK]],TableTECalcPts[RK],0)),"")</f>
        <v>21.431073332560469</v>
      </c>
      <c r="AA57" s="114">
        <f>IFERROR((TableTEVORP[[#This Row],[FPS]]-INDEX(TableTEVORP[FPS],MATCH(TEVORPCalc,TableTEVORP[RK],0)))/INDEX(TableTEVORP[FPS],MATCH(TEVORPCalc,TableTEVORP[RK],0)),"")</f>
        <v>-0.8371981815078281</v>
      </c>
      <c r="AF57" t="s">
        <v>207</v>
      </c>
      <c r="AG57">
        <v>16</v>
      </c>
      <c r="AH57" s="83">
        <f>RANK(TableOverallMaster[[#This Row],[VORP]],TableOverallMaster[VORP])+COUNTIF($AM$2:AM57,AM57)-1</f>
        <v>26</v>
      </c>
      <c r="AI57" s="115" t="str">
        <f>IFERROR(INDEX(TableRBVORP[RUNNING BACK],MATCH(TableOverallMaster[[#This Row],[RK]],TableRBVORP[RK],0)),"")</f>
        <v>Kenneth Walker</v>
      </c>
      <c r="AJ57" s="115" t="str">
        <f t="shared" si="0"/>
        <v>RB16</v>
      </c>
      <c r="AK57" s="115">
        <f>IFERROR(INDEX(TableRBVORP[BYE],MATCH(TableOverallMaster[[#This Row],[RK]],TableRBVORP[RK],0)),"")</f>
        <v>10</v>
      </c>
      <c r="AL57" s="116">
        <f>IFERROR(INDEX(TableRBVORP[FPS],MATCH(TableOverallMaster[[#This Row],[RK]],TableRBVORP[RK],0)),"")</f>
        <v>196.34691268147145</v>
      </c>
      <c r="AM57" s="117">
        <f>IFERROR(INDEX(TableRBVORP[VORP],MATCH(TableOverallMaster[[#This Row],[RK]],TableRBVORP[RK],0)),"")</f>
        <v>0.50993046759010952</v>
      </c>
      <c r="AO57">
        <v>56</v>
      </c>
      <c r="AP57" s="118" t="str">
        <f>IFERROR(INDEX(TableOverallMaster[OVERALL PLAYER],MATCH(TableOverallRank[[#This Row],[RK]],TableOverallMaster[OVR RK],0)),"")</f>
        <v>DJ Moore</v>
      </c>
      <c r="AQ57" s="119" t="str">
        <f>IFERROR(INDEX(TableOverallMaster[POS RK],MATCH(TableOverallRank[[#This Row],[OVERALL PLAYER]],TableOverallMaster[OVERALL PLAYER],0)),"")</f>
        <v>WR22</v>
      </c>
      <c r="AR57" s="120">
        <f>IFERROR(INDEX(TableOverallMaster[BYE],MATCH(TableOverallRank[[#This Row],[OVERALL PLAYER]],TableOverallMaster[OVERALL PLAYER],0)),"")</f>
        <v>7</v>
      </c>
      <c r="AS57" s="119">
        <f>IFERROR(INDEX(TableOverallMaster[Custom],MATCH(TableOverallRank[[#This Row],[OVERALL PLAYER]],TableOverallMaster[OVERALL PLAYER],0)),"")</f>
        <v>192.10939741928462</v>
      </c>
      <c r="AT57" s="121">
        <f>IFERROR(INDEX(TableOverallMaster[VORP],MATCH(TableOverallRank[[#This Row],[OVERALL PLAYER]],TableOverallMaster[OVERALL PLAYER],0)),"")</f>
        <v>0.36590590731017247</v>
      </c>
      <c r="AV57">
        <v>56</v>
      </c>
      <c r="AW57" s="122" t="str">
        <f>IFERROR(INDEX(TableWRTECalcPts[PLAYER],MATCH(TableWRTERank[[#This Row],[RK]],TableWRTECalcPts[RK],0)),"")</f>
        <v>Jakobi Meyers</v>
      </c>
      <c r="AX57" s="122" t="str">
        <f>IFERROR(INDEX(TableWRTECalcPts[POS RK],MATCH(TableWRTERank[[#This Row],[WR and TE COMBINED]],TableWRTECalcPts[PLAYER],0)),"")</f>
        <v>WR48</v>
      </c>
      <c r="AY57" s="122">
        <f>IFERROR(INDEX(TableWRTECalcPts[BYE],MATCH(TableWRTERank[[#This Row],[RK]],TableWRTECalcPts[RK],0)),"")</f>
        <v>10</v>
      </c>
      <c r="AZ57" s="123">
        <f>IFERROR(INDEX(TableWRTECalcPts[Custom],MATCH(TableWRTERank[[#This Row],[RK]],TableWRTECalcPts[RK],0)),"")</f>
        <v>159.5175566273596</v>
      </c>
      <c r="BA57" s="174">
        <f>IFERROR((TableWRTERank[[#This Row],[FPS]]-INDEX(TableWRTERank[FPS],MATCH(WRTEVORPCalc,TableWRTERank[RK],0)))/INDEX(TableWRTERank[FPS],MATCH(WRTEVORPCalc,TableWRTERank[RK],0)),"")</f>
        <v>1.653330615260161E-2</v>
      </c>
      <c r="BC57" t="s">
        <v>208</v>
      </c>
      <c r="BD57">
        <v>56</v>
      </c>
      <c r="BE57" s="83">
        <f>RANK(TableWRTEMaster[[#This Row],[VORP]],TableWRTEMaster[VORP])+COUNTIF($BJ$2:BJ57,BJ57)-1</f>
        <v>67</v>
      </c>
      <c r="BF57" s="115" t="str">
        <f>IFERROR(INDEX(TableWRVORP[WIDE RECEIVER],MATCH(TableWRTEMaster[[#This Row],[RK]],TableWRVORP[RK],0)),"")</f>
        <v>Keon Coleman</v>
      </c>
      <c r="BG57" s="115" t="str">
        <f>_xlfn.CONCAT(TableWRTEMaster[[#This Row],[POS]],TableWRTEMaster[[#This Row],[RK]])</f>
        <v>WR56</v>
      </c>
      <c r="BH57" s="115">
        <f>IFERROR(INDEX(TableWRVORP[BYE],MATCH(TableWRTEMaster[[#This Row],[RK]],TableWRVORP[RK],0)),"")</f>
        <v>12</v>
      </c>
      <c r="BI57" s="116">
        <f>IFERROR(INDEX(TableWRVORP[FPS],MATCH(TableWRTEMaster[[#This Row],[RK]],TableWRVORP[RK],0)),"")</f>
        <v>147.77140943565098</v>
      </c>
      <c r="BJ57" s="117">
        <f>IFERROR(INDEX(TableWRVORP[VORP],MATCH(TableWRTEMaster[[#This Row],[RK]],TableWRVORP[RK],0)),"")</f>
        <v>4.5018415304637124E-3</v>
      </c>
    </row>
    <row r="58" spans="1:62" x14ac:dyDescent="0.2">
      <c r="A58">
        <v>57</v>
      </c>
      <c r="B58" s="112" t="str">
        <f>IFERROR(INDEX(TableQBCalcPts[PLAYER],MATCH(TableQBVORP[[#This Row],[RK]],TableQBCalcPts[RK],0)),"")</f>
        <v>Hendon Hooker</v>
      </c>
      <c r="C58" s="112" t="str">
        <f>IFERROR(INDEX(TableQBCalcPts[TM],MATCH(TableQBVORP[[#This Row],[RK]],TableQBCalcPts[RK],0)),"")</f>
        <v>DET</v>
      </c>
      <c r="D58" s="112">
        <f>IFERROR(INDEX(TableQBCalcPts[BYE],MATCH(TableQBVORP[[#This Row],[RK]],TableQBCalcPts[RK],0)),"")</f>
        <v>5</v>
      </c>
      <c r="E58" s="113">
        <f>IFERROR(INDEX(TableQBCalcPts[Custom],MATCH(TableQBVORP[[#This Row],[RK]],TableQBCalcPts[RK],0)),"")</f>
        <v>4.9786844845606719</v>
      </c>
      <c r="F58" s="114">
        <f>(IFERROR((TableQBVORP[[#This Row],[FPS]]-INDEX(TableQBVORP[FPS],MATCH(QBVORPCalc,TableQBVORP[RK],0)))/INDEX(TableQBVORP[FPS],MATCH(QBVORPCalc,TableQBVORP[RK],0)),""))+(TableRBVORP[[#This Row],[VORP]]*0.45)</f>
        <v>-1.1081178368822662</v>
      </c>
      <c r="H58">
        <v>57</v>
      </c>
      <c r="I58" s="112" t="str">
        <f>IFERROR(INDEX(TableRBCalcPts[PLAYER],MATCH(TableRBVORP[[#This Row],[RK]],TableRBCalcPts[RK],0)),"")</f>
        <v>Cordarrelle Patterson</v>
      </c>
      <c r="J58" s="112" t="str">
        <f>IFERROR(INDEX(TableRBCalcPts[TM],MATCH(TableRBVORP[[#This Row],[RK]],TableRBCalcPts[RK],0)),"")</f>
        <v>PIT</v>
      </c>
      <c r="K58" s="112">
        <f>IFERROR(INDEX(TableRBCalcPts[BYE],MATCH(TableRBVORP[[#This Row],[RK]],TableRBCalcPts[RK],0)),"")</f>
        <v>9</v>
      </c>
      <c r="L58" s="113">
        <f>IFERROR(INDEX(TableRBCalcPts[Custom],MATCH(TableRBVORP[[#This Row],[RK]],TableRBCalcPts[RK],0)),"")</f>
        <v>79.44702930055405</v>
      </c>
      <c r="M58" s="114">
        <f>(IFERROR((TableRBVORP[[#This Row],[FPS]]-INDEX(TableRBVORP[FPS],MATCH(RBVORPCalc,TableRBVORP[RK],0)))/INDEX(TableRBVORP[FPS],MATCH(RBVORPCalc,TableRBVORP[RK],0)),""))*0.8</f>
        <v>-0.26996831873211002</v>
      </c>
      <c r="O58">
        <v>57</v>
      </c>
      <c r="P58" s="112" t="str">
        <f>IFERROR(INDEX(TableWRCalcPts[PLAYER],MATCH(TableWRVORP[[#This Row],[RK]],TableWRCalcPts[RK],0)),"")</f>
        <v>Darnell Mooney</v>
      </c>
      <c r="Q58" s="112" t="str">
        <f>IFERROR(INDEX(TableWRCalcPts[TM],MATCH(TableWRVORP[[#This Row],[RK]],TableWRCalcPts[RK],0)),"")</f>
        <v>ATL</v>
      </c>
      <c r="R58" s="112">
        <f>IFERROR(INDEX(TableWRCalcPts[BYE],MATCH(TableWRVORP[[#This Row],[RK]],TableWRCalcPts[RK],0)),"")</f>
        <v>12</v>
      </c>
      <c r="S58" s="113">
        <f>IFERROR(INDEX(TableWRCalcPts[Custom],MATCH(TableWRVORP[[#This Row],[RK]],TableWRCalcPts[RK],0)),"")</f>
        <v>147.21911184250882</v>
      </c>
      <c r="T58" s="114">
        <f>(IFERROR((TableWRVORP[[#This Row],[FPS]]-INDEX(TableWRVORP[FPS],MATCH(WRVORPCalc,TableWRVORP[RK],0)))/INDEX(TableWRVORP[FPS],MATCH(WRVORPCalc,TableWRVORP[RK],0)),""))*1.2</f>
        <v>0</v>
      </c>
      <c r="V58">
        <v>57</v>
      </c>
      <c r="W58" s="112" t="str">
        <f>IFERROR(INDEX(TableTECalcPts[PLAYER],MATCH(TableTEVORP[[#This Row],[RK]],TableTECalcPts[RK],0)),"")</f>
        <v>Jordan Akins</v>
      </c>
      <c r="X58" s="112" t="str">
        <f>IFERROR(INDEX(TableTECalcPts[TM],MATCH(TableTEVORP[[#This Row],[RK]],TableTECalcPts[RK],0)),"")</f>
        <v>CLE</v>
      </c>
      <c r="Y58" s="112">
        <f>IFERROR(INDEX(TableTECalcPts[BYE],MATCH(TableTEVORP[[#This Row],[RK]],TableTECalcPts[RK],0)),"")</f>
        <v>10</v>
      </c>
      <c r="Z58" s="113">
        <f>IFERROR(INDEX(TableTECalcPts[Custom],MATCH(TableTEVORP[[#This Row],[RK]],TableTECalcPts[RK],0)),"")</f>
        <v>20.366298459374043</v>
      </c>
      <c r="AA58" s="114">
        <f>IFERROR((TableTEVORP[[#This Row],[FPS]]-INDEX(TableTEVORP[FPS],MATCH(TEVORPCalc,TableTEVORP[RK],0)))/INDEX(TableTEVORP[FPS],MATCH(TEVORPCalc,TableTEVORP[RK],0)),"")</f>
        <v>-0.84528677711615707</v>
      </c>
      <c r="AF58" t="s">
        <v>207</v>
      </c>
      <c r="AG58">
        <v>17</v>
      </c>
      <c r="AH58" s="83">
        <f>RANK(TableOverallMaster[[#This Row],[VORP]],TableOverallMaster[VORP])+COUNTIF($AM$2:AM58,AM58)-1</f>
        <v>28</v>
      </c>
      <c r="AI58" s="115" t="str">
        <f>IFERROR(INDEX(TableRBVORP[RUNNING BACK],MATCH(TableOverallMaster[[#This Row],[RK]],TableRBVORP[RK],0)),"")</f>
        <v>Travis Etienne</v>
      </c>
      <c r="AJ58" s="115" t="str">
        <f t="shared" si="0"/>
        <v>RB17</v>
      </c>
      <c r="AK58" s="115">
        <f>IFERROR(INDEX(TableRBVORP[BYE],MATCH(TableOverallMaster[[#This Row],[RK]],TableRBVORP[RK],0)),"")</f>
        <v>12</v>
      </c>
      <c r="AL58" s="116">
        <f>IFERROR(INDEX(TableRBVORP[FPS],MATCH(TableOverallMaster[[#This Row],[RK]],TableRBVORP[RK],0)),"")</f>
        <v>195.93259725063314</v>
      </c>
      <c r="AM58" s="117">
        <f>IFERROR(INDEX(TableRBVORP[VORP],MATCH(TableOverallMaster[[#This Row],[RK]],TableRBVORP[RK],0)),"")</f>
        <v>0.5071663578893969</v>
      </c>
      <c r="AO58">
        <v>57</v>
      </c>
      <c r="AP58" s="118" t="str">
        <f>IFERROR(INDEX(TableOverallMaster[OVERALL PLAYER],MATCH(TableOverallRank[[#This Row],[RK]],TableOverallMaster[OVR RK],0)),"")</f>
        <v>Patrick Mahomes</v>
      </c>
      <c r="AQ58" s="119" t="str">
        <f>IFERROR(INDEX(TableOverallMaster[POS RK],MATCH(TableOverallRank[[#This Row],[OVERALL PLAYER]],TableOverallMaster[OVERALL PLAYER],0)),"")</f>
        <v>QB4</v>
      </c>
      <c r="AR58" s="120">
        <f>IFERROR(INDEX(TableOverallMaster[BYE],MATCH(TableOverallRank[[#This Row],[OVERALL PLAYER]],TableOverallMaster[OVERALL PLAYER],0)),"")</f>
        <v>6</v>
      </c>
      <c r="AS58" s="119">
        <f>IFERROR(INDEX(TableOverallMaster[Custom],MATCH(TableOverallRank[[#This Row],[OVERALL PLAYER]],TableOverallMaster[OVERALL PLAYER],0)),"")</f>
        <v>366.68296514016993</v>
      </c>
      <c r="AT58" s="121">
        <f>IFERROR(INDEX(TableOverallMaster[VORP],MATCH(TableOverallRank[[#This Row],[OVERALL PLAYER]],TableOverallMaster[OVERALL PLAYER],0)),"")</f>
        <v>0.36202463365118248</v>
      </c>
      <c r="AV58">
        <v>57</v>
      </c>
      <c r="AW58" s="122" t="str">
        <f>IFERROR(INDEX(TableWRTECalcPts[PLAYER],MATCH(TableWRTERank[[#This Row],[RK]],TableWRTECalcPts[RK],0)),"")</f>
        <v>Romeo Doubs</v>
      </c>
      <c r="AX58" s="122" t="str">
        <f>IFERROR(INDEX(TableWRTECalcPts[POS RK],MATCH(TableWRTERank[[#This Row],[WR and TE COMBINED]],TableWRTECalcPts[PLAYER],0)),"")</f>
        <v>WR49</v>
      </c>
      <c r="AY58" s="122">
        <f>IFERROR(INDEX(TableWRTECalcPts[BYE],MATCH(TableWRTERank[[#This Row],[RK]],TableWRTECalcPts[RK],0)),"")</f>
        <v>10</v>
      </c>
      <c r="AZ58" s="123">
        <f>IFERROR(INDEX(TableWRTECalcPts[Custom],MATCH(TableWRTERank[[#This Row],[RK]],TableWRTECalcPts[RK],0)),"")</f>
        <v>159.42435883867063</v>
      </c>
      <c r="BA58" s="174">
        <f>IFERROR((TableWRTERank[[#This Row],[FPS]]-INDEX(TableWRTERank[FPS],MATCH(WRTEVORPCalc,TableWRTERank[RK],0)))/INDEX(TableWRTERank[FPS],MATCH(WRTEVORPCalc,TableWRTERank[RK],0)),"")</f>
        <v>1.5939398759176431E-2</v>
      </c>
      <c r="BC58" t="s">
        <v>208</v>
      </c>
      <c r="BD58">
        <v>57</v>
      </c>
      <c r="BE58" s="83">
        <f>RANK(TableWRTEMaster[[#This Row],[VORP]],TableWRTEMaster[VORP])+COUNTIF($BJ$2:BJ58,BJ58)-1</f>
        <v>68</v>
      </c>
      <c r="BF58" s="115" t="str">
        <f>IFERROR(INDEX(TableWRVORP[WIDE RECEIVER],MATCH(TableWRTEMaster[[#This Row],[RK]],TableWRVORP[RK],0)),"")</f>
        <v>Darnell Mooney</v>
      </c>
      <c r="BG58" s="115" t="str">
        <f>_xlfn.CONCAT(TableWRTEMaster[[#This Row],[POS]],TableWRTEMaster[[#This Row],[RK]])</f>
        <v>WR57</v>
      </c>
      <c r="BH58" s="115">
        <f>IFERROR(INDEX(TableWRVORP[BYE],MATCH(TableWRTEMaster[[#This Row],[RK]],TableWRVORP[RK],0)),"")</f>
        <v>12</v>
      </c>
      <c r="BI58" s="116">
        <f>IFERROR(INDEX(TableWRVORP[FPS],MATCH(TableWRTEMaster[[#This Row],[RK]],TableWRVORP[RK],0)),"")</f>
        <v>147.21911184250882</v>
      </c>
      <c r="BJ58" s="117">
        <f>IFERROR(INDEX(TableWRVORP[VORP],MATCH(TableWRTEMaster[[#This Row],[RK]],TableWRVORP[RK],0)),"")</f>
        <v>0</v>
      </c>
    </row>
    <row r="59" spans="1:62" x14ac:dyDescent="0.2">
      <c r="A59">
        <v>58</v>
      </c>
      <c r="B59" s="112" t="str">
        <f>IFERROR(INDEX(TableQBCalcPts[PLAYER],MATCH(TableQBVORP[[#This Row],[RK]],TableQBCalcPts[RK],0)),"")</f>
        <v>Tyson Bagent</v>
      </c>
      <c r="C59" s="112" t="str">
        <f>IFERROR(INDEX(TableQBCalcPts[TM],MATCH(TableQBVORP[[#This Row],[RK]],TableQBCalcPts[RK],0)),"")</f>
        <v>CHI</v>
      </c>
      <c r="D59" s="112">
        <f>IFERROR(INDEX(TableQBCalcPts[BYE],MATCH(TableQBVORP[[#This Row],[RK]],TableQBCalcPts[RK],0)),"")</f>
        <v>7</v>
      </c>
      <c r="E59" s="113">
        <f>IFERROR(INDEX(TableQBCalcPts[Custom],MATCH(TableQBVORP[[#This Row],[RK]],TableQBCalcPts[RK],0)),"")</f>
        <v>4.8038456617290173</v>
      </c>
      <c r="F59" s="114">
        <f>(IFERROR((TableQBVORP[[#This Row],[FPS]]-INDEX(TableQBVORP[FPS],MATCH(QBVORPCalc,TableQBVORP[RK],0)))/INDEX(TableQBVORP[FPS],MATCH(QBVORPCalc,TableQBVORP[RK],0)),""))+(TableRBVORP[[#This Row],[VORP]]*0.45)</f>
        <v>-1.1115079491920086</v>
      </c>
      <c r="H59">
        <v>58</v>
      </c>
      <c r="I59" s="112" t="str">
        <f>IFERROR(INDEX(TableRBCalcPts[PLAYER],MATCH(TableRBVORP[[#This Row],[RK]],TableRBCalcPts[RK],0)),"")</f>
        <v>Ray Davis</v>
      </c>
      <c r="J59" s="112" t="str">
        <f>IFERROR(INDEX(TableRBCalcPts[TM],MATCH(TableRBVORP[[#This Row],[RK]],TableRBCalcPts[RK],0)),"")</f>
        <v>BUF</v>
      </c>
      <c r="K59" s="112">
        <f>IFERROR(INDEX(TableRBCalcPts[BYE],MATCH(TableRBVORP[[#This Row],[RK]],TableRBCalcPts[RK],0)),"")</f>
        <v>12</v>
      </c>
      <c r="L59" s="113">
        <f>IFERROR(INDEX(TableRBCalcPts[Custom],MATCH(TableRBVORP[[#This Row],[RK]],TableRBCalcPts[RK],0)),"")</f>
        <v>78.474181064928302</v>
      </c>
      <c r="M59" s="114">
        <f>(IFERROR((TableRBVORP[[#This Row],[FPS]]-INDEX(TableRBVORP[FPS],MATCH(RBVORPCalc,TableRBVORP[RK],0)))/INDEX(TableRBVORP[FPS],MATCH(RBVORPCalc,TableRBVORP[RK],0)),""))*0.8</f>
        <v>-0.2764586858419551</v>
      </c>
      <c r="O59">
        <v>58</v>
      </c>
      <c r="P59" s="112" t="str">
        <f>IFERROR(INDEX(TableWRCalcPts[PLAYER],MATCH(TableWRVORP[[#This Row],[RK]],TableWRCalcPts[RK],0)),"")</f>
        <v>Rashid Shaheed</v>
      </c>
      <c r="Q59" s="112" t="str">
        <f>IFERROR(INDEX(TableWRCalcPts[TM],MATCH(TableWRVORP[[#This Row],[RK]],TableWRCalcPts[RK],0)),"")</f>
        <v>NO</v>
      </c>
      <c r="R59" s="112">
        <f>IFERROR(INDEX(TableWRCalcPts[BYE],MATCH(TableWRVORP[[#This Row],[RK]],TableWRCalcPts[RK],0)),"")</f>
        <v>12</v>
      </c>
      <c r="S59" s="113">
        <f>IFERROR(INDEX(TableWRCalcPts[Custom],MATCH(TableWRVORP[[#This Row],[RK]],TableWRCalcPts[RK],0)),"")</f>
        <v>146.61073300360175</v>
      </c>
      <c r="T59" s="114">
        <f>(IFERROR((TableWRVORP[[#This Row],[FPS]]-INDEX(TableWRVORP[FPS],MATCH(WRVORPCalc,TableWRVORP[RK],0)))/INDEX(TableWRVORP[FPS],MATCH(WRVORPCalc,TableWRVORP[RK],0)),""))*1.2</f>
        <v>-4.9589662480064379E-3</v>
      </c>
      <c r="V59">
        <v>58</v>
      </c>
      <c r="W59" s="112" t="str">
        <f>IFERROR(INDEX(TableTECalcPts[PLAYER],MATCH(TableTEVORP[[#This Row],[RK]],TableTECalcPts[RK],0)),"")</f>
        <v>Grant Calcaterra</v>
      </c>
      <c r="X59" s="112" t="str">
        <f>IFERROR(INDEX(TableTECalcPts[TM],MATCH(TableTEVORP[[#This Row],[RK]],TableTECalcPts[RK],0)),"")</f>
        <v>PHI</v>
      </c>
      <c r="Y59" s="112">
        <f>IFERROR(INDEX(TableTECalcPts[BYE],MATCH(TableTEVORP[[#This Row],[RK]],TableTECalcPts[RK],0)),"")</f>
        <v>5</v>
      </c>
      <c r="Z59" s="113">
        <f>IFERROR(INDEX(TableTECalcPts[Custom],MATCH(TableTEVORP[[#This Row],[RK]],TableTECalcPts[RK],0)),"")</f>
        <v>20.360312945280004</v>
      </c>
      <c r="AA59" s="114">
        <f>IFERROR((TableTEVORP[[#This Row],[FPS]]-INDEX(TableTEVORP[FPS],MATCH(TEVORPCalc,TableTEVORP[RK],0)))/INDEX(TableTEVORP[FPS],MATCH(TEVORPCalc,TableTEVORP[RK],0)),"")</f>
        <v>-0.84533224626107561</v>
      </c>
      <c r="AF59" t="s">
        <v>207</v>
      </c>
      <c r="AG59">
        <v>18</v>
      </c>
      <c r="AH59" s="83">
        <f>RANK(TableOverallMaster[[#This Row],[VORP]],TableOverallMaster[VORP])+COUNTIF($AM$2:AM59,AM59)-1</f>
        <v>30</v>
      </c>
      <c r="AI59" s="115" t="str">
        <f>IFERROR(INDEX(TableRBVORP[RUNNING BACK],MATCH(TableOverallMaster[[#This Row],[RK]],TableRBVORP[RK],0)),"")</f>
        <v>James Cook</v>
      </c>
      <c r="AJ59" s="115" t="str">
        <f t="shared" si="0"/>
        <v>RB18</v>
      </c>
      <c r="AK59" s="115">
        <f>IFERROR(INDEX(TableRBVORP[BYE],MATCH(TableOverallMaster[[#This Row],[RK]],TableRBVORP[RK],0)),"")</f>
        <v>12</v>
      </c>
      <c r="AL59" s="116">
        <f>IFERROR(INDEX(TableRBVORP[FPS],MATCH(TableOverallMaster[[#This Row],[RK]],TableRBVORP[RK],0)),"")</f>
        <v>193.69430971828919</v>
      </c>
      <c r="AM59" s="117">
        <f>IFERROR(INDEX(TableRBVORP[VORP],MATCH(TableOverallMaster[[#This Row],[RK]],TableRBVORP[RK],0)),"")</f>
        <v>0.49223359936621647</v>
      </c>
      <c r="AO59">
        <v>58</v>
      </c>
      <c r="AP59" s="118" t="str">
        <f>IFERROR(INDEX(TableOverallMaster[OVERALL PLAYER],MATCH(TableOverallRank[[#This Row],[RK]],TableOverallMaster[OVR RK],0)),"")</f>
        <v>Garrett Wilson</v>
      </c>
      <c r="AQ59" s="119" t="str">
        <f>IFERROR(INDEX(TableOverallMaster[POS RK],MATCH(TableOverallRank[[#This Row],[OVERALL PLAYER]],TableOverallMaster[OVERALL PLAYER],0)),"")</f>
        <v>WR23</v>
      </c>
      <c r="AR59" s="120">
        <f>IFERROR(INDEX(TableOverallMaster[BYE],MATCH(TableOverallRank[[#This Row],[OVERALL PLAYER]],TableOverallMaster[OVERALL PLAYER],0)),"")</f>
        <v>12</v>
      </c>
      <c r="AS59" s="119">
        <f>IFERROR(INDEX(TableOverallMaster[Custom],MATCH(TableOverallRank[[#This Row],[OVERALL PLAYER]],TableOverallMaster[OVERALL PLAYER],0)),"")</f>
        <v>191.61840654680199</v>
      </c>
      <c r="AT59" s="121">
        <f>IFERROR(INDEX(TableOverallMaster[VORP],MATCH(TableOverallRank[[#This Row],[OVERALL PLAYER]],TableOverallMaster[OVERALL PLAYER],0)),"")</f>
        <v>0.36190378394721234</v>
      </c>
      <c r="AV59">
        <v>58</v>
      </c>
      <c r="AW59" s="122" t="str">
        <f>IFERROR(INDEX(TableWRTECalcPts[PLAYER],MATCH(TableWRTERank[[#This Row],[RK]],TableWRTECalcPts[RK],0)),"")</f>
        <v>Mike Williams</v>
      </c>
      <c r="AX59" s="122" t="str">
        <f>IFERROR(INDEX(TableWRTECalcPts[POS RK],MATCH(TableWRTERank[[#This Row],[WR and TE COMBINED]],TableWRTECalcPts[PLAYER],0)),"")</f>
        <v>WR50</v>
      </c>
      <c r="AY59" s="122">
        <f>IFERROR(INDEX(TableWRTECalcPts[BYE],MATCH(TableWRTERank[[#This Row],[RK]],TableWRTECalcPts[RK],0)),"")</f>
        <v>12</v>
      </c>
      <c r="AZ59" s="123">
        <f>IFERROR(INDEX(TableWRTECalcPts[Custom],MATCH(TableWRTERank[[#This Row],[RK]],TableWRTECalcPts[RK],0)),"")</f>
        <v>158.6684307713081</v>
      </c>
      <c r="BA59" s="174">
        <f>IFERROR((TableWRTERank[[#This Row],[FPS]]-INDEX(TableWRTERank[FPS],MATCH(WRTEVORPCalc,TableWRTERank[RK],0)))/INDEX(TableWRTERank[FPS],MATCH(WRTEVORPCalc,TableWRTERank[RK],0)),"")</f>
        <v>1.1122210771996684E-2</v>
      </c>
      <c r="BC59" t="s">
        <v>208</v>
      </c>
      <c r="BD59">
        <v>58</v>
      </c>
      <c r="BE59" s="83">
        <f>RANK(TableWRTEMaster[[#This Row],[VORP]],TableWRTEMaster[VORP])+COUNTIF($BJ$2:BJ59,BJ59)-1</f>
        <v>70</v>
      </c>
      <c r="BF59" s="115" t="str">
        <f>IFERROR(INDEX(TableWRVORP[WIDE RECEIVER],MATCH(TableWRTEMaster[[#This Row],[RK]],TableWRVORP[RK],0)),"")</f>
        <v>Rashid Shaheed</v>
      </c>
      <c r="BG59" s="115" t="str">
        <f>_xlfn.CONCAT(TableWRTEMaster[[#This Row],[POS]],TableWRTEMaster[[#This Row],[RK]])</f>
        <v>WR58</v>
      </c>
      <c r="BH59" s="115">
        <f>IFERROR(INDEX(TableWRVORP[BYE],MATCH(TableWRTEMaster[[#This Row],[RK]],TableWRVORP[RK],0)),"")</f>
        <v>12</v>
      </c>
      <c r="BI59" s="116">
        <f>IFERROR(INDEX(TableWRVORP[FPS],MATCH(TableWRTEMaster[[#This Row],[RK]],TableWRVORP[RK],0)),"")</f>
        <v>146.61073300360175</v>
      </c>
      <c r="BJ59" s="117">
        <f>IFERROR(INDEX(TableWRVORP[VORP],MATCH(TableWRTEMaster[[#This Row],[RK]],TableWRVORP[RK],0)),"")</f>
        <v>-4.9589662480064379E-3</v>
      </c>
    </row>
    <row r="60" spans="1:62" x14ac:dyDescent="0.2">
      <c r="A60">
        <v>59</v>
      </c>
      <c r="B60" s="112" t="str">
        <f>IFERROR(INDEX(TableQBCalcPts[PLAYER],MATCH(TableQBVORP[[#This Row],[RK]],TableQBCalcPts[RK],0)),"")</f>
        <v>Josh Dobbs</v>
      </c>
      <c r="C60" s="112" t="str">
        <f>IFERROR(INDEX(TableQBCalcPts[TM],MATCH(TableQBVORP[[#This Row],[RK]],TableQBCalcPts[RK],0)),"")</f>
        <v>SF</v>
      </c>
      <c r="D60" s="112">
        <f>IFERROR(INDEX(TableQBCalcPts[BYE],MATCH(TableQBVORP[[#This Row],[RK]],TableQBCalcPts[RK],0)),"")</f>
        <v>9</v>
      </c>
      <c r="E60" s="113">
        <f>IFERROR(INDEX(TableQBCalcPts[Custom],MATCH(TableQBVORP[[#This Row],[RK]],TableQBCalcPts[RK],0)),"")</f>
        <v>4.1862129429456001</v>
      </c>
      <c r="F60" s="114">
        <f>(IFERROR((TableQBVORP[[#This Row],[FPS]]-INDEX(TableQBVORP[FPS],MATCH(QBVORPCalc,TableQBVORP[RK],0)))/INDEX(TableQBVORP[FPS],MATCH(QBVORPCalc,TableQBVORP[RK],0)),""))+(TableRBVORP[[#This Row],[VORP]]*0.45)</f>
        <v>-1.1254922100588272</v>
      </c>
      <c r="H60">
        <v>59</v>
      </c>
      <c r="I60" s="112" t="str">
        <f>IFERROR(INDEX(TableRBCalcPts[PLAYER],MATCH(TableRBVORP[[#This Row],[RK]],TableRBCalcPts[RK],0)),"")</f>
        <v>Jaylen Wright</v>
      </c>
      <c r="J60" s="112" t="str">
        <f>IFERROR(INDEX(TableRBCalcPts[TM],MATCH(TableRBVORP[[#This Row],[RK]],TableRBCalcPts[RK],0)),"")</f>
        <v>MIA</v>
      </c>
      <c r="K60" s="112">
        <f>IFERROR(INDEX(TableRBCalcPts[BYE],MATCH(TableRBVORP[[#This Row],[RK]],TableRBCalcPts[RK],0)),"")</f>
        <v>6</v>
      </c>
      <c r="L60" s="113">
        <f>IFERROR(INDEX(TableRBCalcPts[Custom],MATCH(TableRBVORP[[#This Row],[RK]],TableRBCalcPts[RK],0)),"")</f>
        <v>74.368530788872704</v>
      </c>
      <c r="M60" s="114">
        <f>(IFERROR((TableRBVORP[[#This Row],[FPS]]-INDEX(TableRBVORP[FPS],MATCH(RBVORPCalc,TableRBVORP[RK],0)))/INDEX(TableRBVORP[FPS],MATCH(RBVORPCalc,TableRBVORP[RK],0)),""))*0.8</f>
        <v>-0.30384957430781939</v>
      </c>
      <c r="O60">
        <v>59</v>
      </c>
      <c r="P60" s="112" t="str">
        <f>IFERROR(INDEX(TableWRCalcPts[PLAYER],MATCH(TableWRVORP[[#This Row],[RK]],TableWRCalcPts[RK],0)),"")</f>
        <v>Jayden Reed</v>
      </c>
      <c r="Q60" s="112" t="str">
        <f>IFERROR(INDEX(TableWRCalcPts[TM],MATCH(TableWRVORP[[#This Row],[RK]],TableWRCalcPts[RK],0)),"")</f>
        <v>GB</v>
      </c>
      <c r="R60" s="112">
        <f>IFERROR(INDEX(TableWRCalcPts[BYE],MATCH(TableWRVORP[[#This Row],[RK]],TableWRCalcPts[RK],0)),"")</f>
        <v>10</v>
      </c>
      <c r="S60" s="113">
        <f>IFERROR(INDEX(TableWRCalcPts[Custom],MATCH(TableWRVORP[[#This Row],[RK]],TableWRCalcPts[RK],0)),"")</f>
        <v>145.49022396972001</v>
      </c>
      <c r="T60" s="114">
        <f>(IFERROR((TableWRVORP[[#This Row],[FPS]]-INDEX(TableWRVORP[FPS],MATCH(WRVORPCalc,TableWRVORP[RK],0)))/INDEX(TableWRVORP[FPS],MATCH(WRVORPCalc,TableWRVORP[RK],0)),""))*1.2</f>
        <v>-1.4092364920432369E-2</v>
      </c>
      <c r="V60">
        <v>59</v>
      </c>
      <c r="W60" s="112" t="str">
        <f>IFERROR(INDEX(TableTECalcPts[PLAYER],MATCH(TableTEVORP[[#This Row],[RK]],TableTECalcPts[RK],0)),"")</f>
        <v>James Mitchell</v>
      </c>
      <c r="X60" s="112" t="str">
        <f>IFERROR(INDEX(TableTECalcPts[TM],MATCH(TableTEVORP[[#This Row],[RK]],TableTECalcPts[RK],0)),"")</f>
        <v>DET</v>
      </c>
      <c r="Y60" s="112">
        <f>IFERROR(INDEX(TableTECalcPts[BYE],MATCH(TableTEVORP[[#This Row],[RK]],TableTECalcPts[RK],0)),"")</f>
        <v>5</v>
      </c>
      <c r="Z60" s="113">
        <f>IFERROR(INDEX(TableTECalcPts[Custom],MATCH(TableTEVORP[[#This Row],[RK]],TableTECalcPts[RK],0)),"")</f>
        <v>18.454743522522669</v>
      </c>
      <c r="AA60" s="114">
        <f>IFERROR((TableTEVORP[[#This Row],[FPS]]-INDEX(TableTEVORP[FPS],MATCH(TEVORPCalc,TableTEVORP[RK],0)))/INDEX(TableTEVORP[FPS],MATCH(TEVORPCalc,TableTEVORP[RK],0)),"")</f>
        <v>-0.85980796394790915</v>
      </c>
      <c r="AF60" t="s">
        <v>207</v>
      </c>
      <c r="AG60">
        <v>19</v>
      </c>
      <c r="AH60" s="83">
        <f>RANK(TableOverallMaster[[#This Row],[VORP]],TableOverallMaster[VORP])+COUNTIF($AM$2:AM60,AM60)-1</f>
        <v>32</v>
      </c>
      <c r="AI60" s="115" t="str">
        <f>IFERROR(INDEX(TableRBVORP[RUNNING BACK],MATCH(TableOverallMaster[[#This Row],[RK]],TableRBVORP[RK],0)),"")</f>
        <v>Zamir White</v>
      </c>
      <c r="AJ60" s="115" t="str">
        <f t="shared" si="0"/>
        <v>RB19</v>
      </c>
      <c r="AK60" s="115">
        <f>IFERROR(INDEX(TableRBVORP[BYE],MATCH(TableOverallMaster[[#This Row],[RK]],TableRBVORP[RK],0)),"")</f>
        <v>10</v>
      </c>
      <c r="AL60" s="116">
        <f>IFERROR(INDEX(TableRBVORP[FPS],MATCH(TableOverallMaster[[#This Row],[RK]],TableRBVORP[RK],0)),"")</f>
        <v>192.23347940104071</v>
      </c>
      <c r="AM60" s="117">
        <f>IFERROR(INDEX(TableRBVORP[VORP],MATCH(TableOverallMaster[[#This Row],[RK]],TableRBVORP[RK],0)),"")</f>
        <v>0.48248765472970734</v>
      </c>
      <c r="AO60">
        <v>59</v>
      </c>
      <c r="AP60" s="118" t="str">
        <f>IFERROR(INDEX(TableOverallMaster[OVERALL PLAYER],MATCH(TableOverallRank[[#This Row],[RK]],TableOverallMaster[OVR RK],0)),"")</f>
        <v>Chris Olave</v>
      </c>
      <c r="AQ60" s="119" t="str">
        <f>IFERROR(INDEX(TableOverallMaster[POS RK],MATCH(TableOverallRank[[#This Row],[OVERALL PLAYER]],TableOverallMaster[OVERALL PLAYER],0)),"")</f>
        <v>WR24</v>
      </c>
      <c r="AR60" s="120">
        <f>IFERROR(INDEX(TableOverallMaster[BYE],MATCH(TableOverallRank[[#This Row],[OVERALL PLAYER]],TableOverallMaster[OVERALL PLAYER],0)),"")</f>
        <v>12</v>
      </c>
      <c r="AS60" s="119">
        <f>IFERROR(INDEX(TableOverallMaster[Custom],MATCH(TableOverallRank[[#This Row],[OVERALL PLAYER]],TableOverallMaster[OVERALL PLAYER],0)),"")</f>
        <v>191.5147230908091</v>
      </c>
      <c r="AT60" s="121">
        <f>IFERROR(INDEX(TableOverallMaster[VORP],MATCH(TableOverallRank[[#This Row],[OVERALL PLAYER]],TableOverallMaster[OVERALL PLAYER],0)),"")</f>
        <v>0.36105864811101346</v>
      </c>
      <c r="AV60">
        <v>59</v>
      </c>
      <c r="AW60" s="122" t="str">
        <f>IFERROR(INDEX(TableWRTECalcPts[PLAYER],MATCH(TableWRTERank[[#This Row],[RK]],TableWRTECalcPts[RK],0)),"")</f>
        <v>Dalton Kincaid</v>
      </c>
      <c r="AX60" s="122" t="str">
        <f>IFERROR(INDEX(TableWRTECalcPts[POS RK],MATCH(TableWRTERank[[#This Row],[WR and TE COMBINED]],TableWRTECalcPts[PLAYER],0)),"")</f>
        <v>TE9</v>
      </c>
      <c r="AY60" s="122">
        <f>IFERROR(INDEX(TableWRTECalcPts[BYE],MATCH(TableWRTERank[[#This Row],[RK]],TableWRTECalcPts[RK],0)),"")</f>
        <v>12</v>
      </c>
      <c r="AZ60" s="123">
        <f>IFERROR(INDEX(TableWRTECalcPts[Custom],MATCH(TableWRTERank[[#This Row],[RK]],TableWRTECalcPts[RK],0)),"")</f>
        <v>157.46104686653487</v>
      </c>
      <c r="BA60" s="174">
        <f>IFERROR((TableWRTERank[[#This Row],[FPS]]-INDEX(TableWRTERank[FPS],MATCH(WRTEVORPCalc,TableWRTERank[RK],0)))/INDEX(TableWRTERank[FPS],MATCH(WRTEVORPCalc,TableWRTERank[RK],0)),"")</f>
        <v>3.4280987352777429E-3</v>
      </c>
      <c r="BC60" t="s">
        <v>208</v>
      </c>
      <c r="BD60">
        <v>59</v>
      </c>
      <c r="BE60" s="83">
        <f>RANK(TableWRTEMaster[[#This Row],[VORP]],TableWRTEMaster[VORP])+COUNTIF($BJ$2:BJ60,BJ60)-1</f>
        <v>71</v>
      </c>
      <c r="BF60" s="115" t="str">
        <f>IFERROR(INDEX(TableWRVORP[WIDE RECEIVER],MATCH(TableWRTEMaster[[#This Row],[RK]],TableWRVORP[RK],0)),"")</f>
        <v>Jayden Reed</v>
      </c>
      <c r="BG60" s="115" t="str">
        <f>_xlfn.CONCAT(TableWRTEMaster[[#This Row],[POS]],TableWRTEMaster[[#This Row],[RK]])</f>
        <v>WR59</v>
      </c>
      <c r="BH60" s="115">
        <f>IFERROR(INDEX(TableWRVORP[BYE],MATCH(TableWRTEMaster[[#This Row],[RK]],TableWRVORP[RK],0)),"")</f>
        <v>10</v>
      </c>
      <c r="BI60" s="116">
        <f>IFERROR(INDEX(TableWRVORP[FPS],MATCH(TableWRTEMaster[[#This Row],[RK]],TableWRVORP[RK],0)),"")</f>
        <v>145.49022396972001</v>
      </c>
      <c r="BJ60" s="117">
        <f>IFERROR(INDEX(TableWRVORP[VORP],MATCH(TableWRTEMaster[[#This Row],[RK]],TableWRVORP[RK],0)),"")</f>
        <v>-1.4092364920432369E-2</v>
      </c>
    </row>
    <row r="61" spans="1:62" x14ac:dyDescent="0.2">
      <c r="A61">
        <v>60</v>
      </c>
      <c r="B61" s="112" t="str">
        <f>IFERROR(INDEX(TableQBCalcPts[PLAYER],MATCH(TableQBVORP[[#This Row],[RK]],TableQBCalcPts[RK],0)),"")</f>
        <v>Carson Wentz</v>
      </c>
      <c r="C61" s="112" t="str">
        <f>IFERROR(INDEX(TableQBCalcPts[TM],MATCH(TableQBVORP[[#This Row],[RK]],TableQBCalcPts[RK],0)),"")</f>
        <v>KC</v>
      </c>
      <c r="D61" s="112">
        <f>IFERROR(INDEX(TableQBCalcPts[BYE],MATCH(TableQBVORP[[#This Row],[RK]],TableQBCalcPts[RK],0)),"")</f>
        <v>6</v>
      </c>
      <c r="E61" s="113">
        <f>IFERROR(INDEX(TableQBCalcPts[Custom],MATCH(TableQBVORP[[#This Row],[RK]],TableQBCalcPts[RK],0)),"")</f>
        <v>2.8660399159420229</v>
      </c>
      <c r="F61" s="114">
        <f>(IFERROR((TableQBVORP[[#This Row],[FPS]]-INDEX(TableQBVORP[FPS],MATCH(QBVORPCalc,TableQBVORP[RK],0)))/INDEX(TableQBVORP[FPS],MATCH(QBVORPCalc,TableQBVORP[RK],0)),""))+(TableRBVORP[[#This Row],[VORP]]*0.45)</f>
        <v>-1.1371929974871415</v>
      </c>
      <c r="H61">
        <v>60</v>
      </c>
      <c r="I61" s="112" t="str">
        <f>IFERROR(INDEX(TableRBCalcPts[PLAYER],MATCH(TableRBVORP[[#This Row],[RK]],TableRBCalcPts[RK],0)),"")</f>
        <v>Samaje Perine</v>
      </c>
      <c r="J61" s="112" t="str">
        <f>IFERROR(INDEX(TableRBCalcPts[TM],MATCH(TableRBVORP[[#This Row],[RK]],TableRBCalcPts[RK],0)),"")</f>
        <v>KC</v>
      </c>
      <c r="K61" s="112">
        <f>IFERROR(INDEX(TableRBCalcPts[BYE],MATCH(TableRBVORP[[#This Row],[RK]],TableRBCalcPts[RK],0)),"")</f>
        <v>6</v>
      </c>
      <c r="L61" s="113">
        <f>IFERROR(INDEX(TableRBCalcPts[Custom],MATCH(TableRBVORP[[#This Row],[RK]],TableRBCalcPts[RK],0)),"")</f>
        <v>71.651809288191984</v>
      </c>
      <c r="M61" s="114">
        <f>(IFERROR((TableRBVORP[[#This Row],[FPS]]-INDEX(TableRBVORP[FPS],MATCH(RBVORPCalc,TableRBVORP[RK],0)))/INDEX(TableRBVORP[FPS],MATCH(RBVORPCalc,TableRBVORP[RK],0)),""))*0.8</f>
        <v>-0.3219742100206916</v>
      </c>
      <c r="O61">
        <v>60</v>
      </c>
      <c r="P61" s="112" t="str">
        <f>IFERROR(INDEX(TableWRCalcPts[PLAYER],MATCH(TableWRVORP[[#This Row],[RK]],TableWRCalcPts[RK],0)),"")</f>
        <v>Brandin Cooks</v>
      </c>
      <c r="Q61" s="112" t="str">
        <f>IFERROR(INDEX(TableWRCalcPts[TM],MATCH(TableWRVORP[[#This Row],[RK]],TableWRCalcPts[RK],0)),"")</f>
        <v>DAL</v>
      </c>
      <c r="R61" s="112">
        <f>IFERROR(INDEX(TableWRCalcPts[BYE],MATCH(TableWRVORP[[#This Row],[RK]],TableWRCalcPts[RK],0)),"")</f>
        <v>7</v>
      </c>
      <c r="S61" s="113">
        <f>IFERROR(INDEX(TableWRCalcPts[Custom],MATCH(TableWRVORP[[#This Row],[RK]],TableWRCalcPts[RK],0)),"")</f>
        <v>143.24353207428095</v>
      </c>
      <c r="T61" s="114">
        <f>(IFERROR((TableWRVORP[[#This Row],[FPS]]-INDEX(TableWRVORP[FPS],MATCH(WRVORPCalc,TableWRVORP[RK],0)))/INDEX(TableWRVORP[FPS],MATCH(WRVORPCalc,TableWRVORP[RK],0)),""))*1.2</f>
        <v>-3.2405410290594711E-2</v>
      </c>
      <c r="V61">
        <v>60</v>
      </c>
      <c r="W61" s="112" t="str">
        <f>IFERROR(INDEX(TableTECalcPts[PLAYER],MATCH(TableTEVORP[[#This Row],[RK]],TableTECalcPts[RK],0)),"")</f>
        <v>Elijah Higgins</v>
      </c>
      <c r="X61" s="112" t="str">
        <f>IFERROR(INDEX(TableTECalcPts[TM],MATCH(TableTEVORP[[#This Row],[RK]],TableTECalcPts[RK],0)),"")</f>
        <v>ARI</v>
      </c>
      <c r="Y61" s="112">
        <f>IFERROR(INDEX(TableTECalcPts[BYE],MATCH(TableTEVORP[[#This Row],[RK]],TableTECalcPts[RK],0)),"")</f>
        <v>11</v>
      </c>
      <c r="Z61" s="113">
        <f>IFERROR(INDEX(TableTECalcPts[Custom],MATCH(TableTEVORP[[#This Row],[RK]],TableTECalcPts[RK],0)),"")</f>
        <v>18.331703037823868</v>
      </c>
      <c r="AA61" s="114">
        <f>IFERROR((TableTEVORP[[#This Row],[FPS]]-INDEX(TableTEVORP[FPS],MATCH(TEVORPCalc,TableTEVORP[RK],0)))/INDEX(TableTEVORP[FPS],MATCH(TEVORPCalc,TableTEVORP[RK],0)),"")</f>
        <v>-0.86074264483608887</v>
      </c>
      <c r="AF61" t="s">
        <v>207</v>
      </c>
      <c r="AG61">
        <v>20</v>
      </c>
      <c r="AH61" s="83">
        <f>RANK(TableOverallMaster[[#This Row],[VORP]],TableOverallMaster[VORP])+COUNTIF($AM$2:AM61,AM61)-1</f>
        <v>33</v>
      </c>
      <c r="AI61" s="115" t="str">
        <f>IFERROR(INDEX(TableRBVORP[RUNNING BACK],MATCH(TableOverallMaster[[#This Row],[RK]],TableRBVORP[RK],0)),"")</f>
        <v>James Conner</v>
      </c>
      <c r="AJ61" s="115" t="str">
        <f t="shared" si="0"/>
        <v>RB20</v>
      </c>
      <c r="AK61" s="115">
        <f>IFERROR(INDEX(TableRBVORP[BYE],MATCH(TableOverallMaster[[#This Row],[RK]],TableRBVORP[RK],0)),"")</f>
        <v>11</v>
      </c>
      <c r="AL61" s="116">
        <f>IFERROR(INDEX(TableRBVORP[FPS],MATCH(TableOverallMaster[[#This Row],[RK]],TableRBVORP[RK],0)),"")</f>
        <v>191.74352001145337</v>
      </c>
      <c r="AM61" s="117">
        <f>IFERROR(INDEX(TableRBVORP[VORP],MATCH(TableOverallMaster[[#This Row],[RK]],TableRBVORP[RK],0)),"")</f>
        <v>0.47921888557241732</v>
      </c>
      <c r="AO61">
        <v>60</v>
      </c>
      <c r="AP61" s="118" t="str">
        <f>IFERROR(INDEX(TableOverallMaster[OVERALL PLAYER],MATCH(TableOverallRank[[#This Row],[RK]],TableOverallMaster[OVR RK],0)),"")</f>
        <v>Tyjae Spears</v>
      </c>
      <c r="AQ61" s="119" t="str">
        <f>IFERROR(INDEX(TableOverallMaster[POS RK],MATCH(TableOverallRank[[#This Row],[OVERALL PLAYER]],TableOverallMaster[OVERALL PLAYER],0)),"")</f>
        <v>RB29</v>
      </c>
      <c r="AR61" s="120">
        <f>IFERROR(INDEX(TableOverallMaster[BYE],MATCH(TableOverallRank[[#This Row],[OVERALL PLAYER]],TableOverallMaster[OVERALL PLAYER],0)),"")</f>
        <v>5</v>
      </c>
      <c r="AS61" s="119">
        <f>IFERROR(INDEX(TableOverallMaster[Custom],MATCH(TableOverallRank[[#This Row],[OVERALL PLAYER]],TableOverallMaster[OVERALL PLAYER],0)),"")</f>
        <v>174.00101222826075</v>
      </c>
      <c r="AT61" s="121">
        <f>IFERROR(INDEX(TableOverallMaster[VORP],MATCH(TableOverallRank[[#This Row],[OVERALL PLAYER]],TableOverallMaster[OVERALL PLAYER],0)),"")</f>
        <v>0.36084956058912776</v>
      </c>
      <c r="AV61">
        <v>60</v>
      </c>
      <c r="AW61" s="122" t="str">
        <f>IFERROR(INDEX(TableWRTECalcPts[PLAYER],MATCH(TableWRTERank[[#This Row],[RK]],TableWRTECalcPts[RK],0)),"")</f>
        <v>Keenan Allen</v>
      </c>
      <c r="AX61" s="122" t="str">
        <f>IFERROR(INDEX(TableWRTECalcPts[POS RK],MATCH(TableWRTERank[[#This Row],[WR and TE COMBINED]],TableWRTECalcPts[PLAYER],0)),"")</f>
        <v>WR51</v>
      </c>
      <c r="AY61" s="122">
        <f>IFERROR(INDEX(TableWRTECalcPts[BYE],MATCH(TableWRTERank[[#This Row],[RK]],TableWRTECalcPts[RK],0)),"")</f>
        <v>7</v>
      </c>
      <c r="AZ61" s="123">
        <f>IFERROR(INDEX(TableWRTECalcPts[Custom],MATCH(TableWRTERank[[#This Row],[RK]],TableWRTECalcPts[RK],0)),"")</f>
        <v>156.9230989893536</v>
      </c>
      <c r="BA61" s="174">
        <f>IFERROR((TableWRTERank[[#This Row],[FPS]]-INDEX(TableWRTERank[FPS],MATCH(WRTEVORPCalc,TableWRTERank[RK],0)))/INDEX(TableWRTERank[FPS],MATCH(WRTEVORPCalc,TableWRTERank[RK],0)),"")</f>
        <v>0</v>
      </c>
      <c r="BC61" t="s">
        <v>208</v>
      </c>
      <c r="BD61">
        <v>60</v>
      </c>
      <c r="BE61" s="83">
        <f>RANK(TableWRTEMaster[[#This Row],[VORP]],TableWRTEMaster[VORP])+COUNTIF($BJ$2:BJ61,BJ61)-1</f>
        <v>72</v>
      </c>
      <c r="BF61" s="115" t="str">
        <f>IFERROR(INDEX(TableWRVORP[WIDE RECEIVER],MATCH(TableWRTEMaster[[#This Row],[RK]],TableWRVORP[RK],0)),"")</f>
        <v>Brandin Cooks</v>
      </c>
      <c r="BG61" s="115" t="str">
        <f>_xlfn.CONCAT(TableWRTEMaster[[#This Row],[POS]],TableWRTEMaster[[#This Row],[RK]])</f>
        <v>WR60</v>
      </c>
      <c r="BH61" s="115">
        <f>IFERROR(INDEX(TableWRVORP[BYE],MATCH(TableWRTEMaster[[#This Row],[RK]],TableWRVORP[RK],0)),"")</f>
        <v>7</v>
      </c>
      <c r="BI61" s="116">
        <f>IFERROR(INDEX(TableWRVORP[FPS],MATCH(TableWRTEMaster[[#This Row],[RK]],TableWRVORP[RK],0)),"")</f>
        <v>143.24353207428095</v>
      </c>
      <c r="BJ61" s="117">
        <f>IFERROR(INDEX(TableWRVORP[VORP],MATCH(TableWRTEMaster[[#This Row],[RK]],TableWRVORP[RK],0)),"")</f>
        <v>-3.2405410290594711E-2</v>
      </c>
    </row>
    <row r="62" spans="1:62" x14ac:dyDescent="0.2">
      <c r="A62">
        <v>61</v>
      </c>
      <c r="B62" s="112" t="str">
        <f>IFERROR(INDEX(TableQBCalcPts[PLAYER],MATCH(TableQBVORP[[#This Row],[RK]],TableQBCalcPts[RK],0)),"")</f>
        <v>Sean Clifford</v>
      </c>
      <c r="C62" s="112" t="str">
        <f>IFERROR(INDEX(TableQBCalcPts[TM],MATCH(TableQBVORP[[#This Row],[RK]],TableQBCalcPts[RK],0)),"")</f>
        <v>GB</v>
      </c>
      <c r="D62" s="112">
        <f>IFERROR(INDEX(TableQBCalcPts[BYE],MATCH(TableQBVORP[[#This Row],[RK]],TableQBCalcPts[RK],0)),"")</f>
        <v>10</v>
      </c>
      <c r="E62" s="113">
        <f>IFERROR(INDEX(TableQBCalcPts[Custom],MATCH(TableQBVORP[[#This Row],[RK]],TableQBCalcPts[RK],0)),"")</f>
        <v>2.6511939708001879</v>
      </c>
      <c r="F62" s="114">
        <f>(IFERROR((TableQBVORP[[#This Row],[FPS]]-INDEX(TableQBVORP[FPS],MATCH(QBVORPCalc,TableQBVORP[RK],0)))/INDEX(TableQBVORP[FPS],MATCH(QBVORPCalc,TableQBVORP[RK],0)),""))+(TableRBVORP[[#This Row],[VORP]]*0.45)</f>
        <v>-1.1417245606485835</v>
      </c>
      <c r="H62">
        <v>61</v>
      </c>
      <c r="I62" s="112" t="str">
        <f>IFERROR(INDEX(TableRBCalcPts[PLAYER],MATCH(TableRBVORP[[#This Row],[RK]],TableRBCalcPts[RK],0)),"")</f>
        <v>Khalil Herbert</v>
      </c>
      <c r="J62" s="112" t="str">
        <f>IFERROR(INDEX(TableRBCalcPts[TM],MATCH(TableRBVORP[[#This Row],[RK]],TableRBCalcPts[RK],0)),"")</f>
        <v>CHI</v>
      </c>
      <c r="K62" s="112">
        <f>IFERROR(INDEX(TableRBCalcPts[BYE],MATCH(TableRBVORP[[#This Row],[RK]],TableRBCalcPts[RK],0)),"")</f>
        <v>7</v>
      </c>
      <c r="L62" s="113">
        <f>IFERROR(INDEX(TableRBCalcPts[Custom],MATCH(TableRBVORP[[#This Row],[RK]],TableRBCalcPts[RK],0)),"")</f>
        <v>70.334534427318147</v>
      </c>
      <c r="M62" s="114">
        <f>(IFERROR((TableRBVORP[[#This Row],[FPS]]-INDEX(TableRBVORP[FPS],MATCH(RBVORPCalc,TableRBVORP[RK],0)))/INDEX(TableRBVORP[FPS],MATCH(RBVORPCalc,TableRBVORP[RK],0)),""))*0.8</f>
        <v>-0.33076242293875491</v>
      </c>
      <c r="O62">
        <v>61</v>
      </c>
      <c r="P62" s="112" t="str">
        <f>IFERROR(INDEX(TableWRCalcPts[PLAYER],MATCH(TableWRVORP[[#This Row],[RK]],TableWRCalcPts[RK],0)),"")</f>
        <v>Adam Thielen</v>
      </c>
      <c r="Q62" s="112" t="str">
        <f>IFERROR(INDEX(TableWRCalcPts[TM],MATCH(TableWRVORP[[#This Row],[RK]],TableWRCalcPts[RK],0)),"")</f>
        <v>CAR</v>
      </c>
      <c r="R62" s="112">
        <f>IFERROR(INDEX(TableWRCalcPts[BYE],MATCH(TableWRVORP[[#This Row],[RK]],TableWRCalcPts[RK],0)),"")</f>
        <v>11</v>
      </c>
      <c r="S62" s="113">
        <f>IFERROR(INDEX(TableWRCalcPts[Custom],MATCH(TableWRVORP[[#This Row],[RK]],TableWRCalcPts[RK],0)),"")</f>
        <v>136.73499170173079</v>
      </c>
      <c r="T62" s="114">
        <f>(IFERROR((TableWRVORP[[#This Row],[FPS]]-INDEX(TableWRVORP[FPS],MATCH(WRVORPCalc,TableWRVORP[RK],0)))/INDEX(TableWRVORP[FPS],MATCH(WRVORPCalc,TableWRVORP[RK],0)),""))*1.2</f>
        <v>-8.5457275291759699E-2</v>
      </c>
      <c r="V62">
        <v>61</v>
      </c>
      <c r="W62" s="112" t="str">
        <f>IFERROR(INDEX(TableTECalcPts[PLAYER],MATCH(TableTEVORP[[#This Row],[RK]],TableTECalcPts[RK],0)),"")</f>
        <v>Josh Whyle</v>
      </c>
      <c r="X62" s="112" t="str">
        <f>IFERROR(INDEX(TableTECalcPts[TM],MATCH(TableTEVORP[[#This Row],[RK]],TableTECalcPts[RK],0)),"")</f>
        <v>TEN</v>
      </c>
      <c r="Y62" s="112">
        <f>IFERROR(INDEX(TableTECalcPts[BYE],MATCH(TableTEVORP[[#This Row],[RK]],TableTECalcPts[RK],0)),"")</f>
        <v>5</v>
      </c>
      <c r="Z62" s="113">
        <f>IFERROR(INDEX(TableTECalcPts[Custom],MATCH(TableTEVORP[[#This Row],[RK]],TableTECalcPts[RK],0)),"")</f>
        <v>18.05009058043116</v>
      </c>
      <c r="AA62" s="114">
        <f>IFERROR((TableTEVORP[[#This Row],[FPS]]-INDEX(TableTEVORP[FPS],MATCH(TEVORPCalc,TableTEVORP[RK],0)))/INDEX(TableTEVORP[FPS],MATCH(TEVORPCalc,TableTEVORP[RK],0)),"")</f>
        <v>-0.86288192267169439</v>
      </c>
      <c r="AF62" t="s">
        <v>207</v>
      </c>
      <c r="AG62">
        <v>21</v>
      </c>
      <c r="AH62" s="83">
        <f>RANK(TableOverallMaster[[#This Row],[VORP]],TableOverallMaster[VORP])+COUNTIF($AM$2:AM62,AM62)-1</f>
        <v>38</v>
      </c>
      <c r="AI62" s="115" t="str">
        <f>IFERROR(INDEX(TableRBVORP[RUNNING BACK],MATCH(TableOverallMaster[[#This Row],[RK]],TableRBVORP[RK],0)),"")</f>
        <v>D'Andre Swift</v>
      </c>
      <c r="AJ62" s="115" t="str">
        <f t="shared" si="0"/>
        <v>RB21</v>
      </c>
      <c r="AK62" s="115">
        <f>IFERROR(INDEX(TableRBVORP[BYE],MATCH(TableOverallMaster[[#This Row],[RK]],TableRBVORP[RK],0)),"")</f>
        <v>7</v>
      </c>
      <c r="AL62" s="116">
        <f>IFERROR(INDEX(TableRBVORP[FPS],MATCH(TableOverallMaster[[#This Row],[RK]],TableRBVORP[RK],0)),"")</f>
        <v>188.77453535321337</v>
      </c>
      <c r="AM62" s="117">
        <f>IFERROR(INDEX(TableRBVORP[VORP],MATCH(TableOverallMaster[[#This Row],[RK]],TableRBVORP[RK],0)),"")</f>
        <v>0.45941127358339928</v>
      </c>
      <c r="AO62">
        <v>61</v>
      </c>
      <c r="AP62" s="118" t="str">
        <f>IFERROR(INDEX(TableOverallMaster[OVERALL PLAYER],MATCH(TableOverallRank[[#This Row],[RK]],TableOverallMaster[OVR RK],0)),"")</f>
        <v>Kyle Pitts</v>
      </c>
      <c r="AQ62" s="119" t="str">
        <f>IFERROR(INDEX(TableOverallMaster[POS RK],MATCH(TableOverallRank[[#This Row],[OVERALL PLAYER]],TableOverallMaster[OVERALL PLAYER],0)),"")</f>
        <v>TE4</v>
      </c>
      <c r="AR62" s="120">
        <f>IFERROR(INDEX(TableOverallMaster[BYE],MATCH(TableOverallRank[[#This Row],[OVERALL PLAYER]],TableOverallMaster[OVERALL PLAYER],0)),"")</f>
        <v>12</v>
      </c>
      <c r="AS62" s="119">
        <f>IFERROR(INDEX(TableOverallMaster[Custom],MATCH(TableOverallRank[[#This Row],[OVERALL PLAYER]],TableOverallMaster[OVERALL PLAYER],0)),"")</f>
        <v>177.62908957073282</v>
      </c>
      <c r="AT62" s="121">
        <f>IFERROR(INDEX(TableOverallMaster[VORP],MATCH(TableOverallRank[[#This Row],[OVERALL PLAYER]],TableOverallMaster[OVERALL PLAYER],0)),"")</f>
        <v>0.34936493149357206</v>
      </c>
      <c r="AV62">
        <v>61</v>
      </c>
      <c r="AW62" s="122" t="str">
        <f>IFERROR(INDEX(TableWRTECalcPts[PLAYER],MATCH(TableWRTERank[[#This Row],[RK]],TableWRTECalcPts[RK],0)),"")</f>
        <v>Christian Watson</v>
      </c>
      <c r="AX62" s="122" t="str">
        <f>IFERROR(INDEX(TableWRTECalcPts[POS RK],MATCH(TableWRTERank[[#This Row],[WR and TE COMBINED]],TableWRTECalcPts[PLAYER],0)),"")</f>
        <v>WR52</v>
      </c>
      <c r="AY62" s="122">
        <f>IFERROR(INDEX(TableWRTECalcPts[BYE],MATCH(TableWRTERank[[#This Row],[RK]],TableWRTECalcPts[RK],0)),"")</f>
        <v>10</v>
      </c>
      <c r="AZ62" s="123">
        <f>IFERROR(INDEX(TableWRTECalcPts[Custom],MATCH(TableWRTERank[[#This Row],[RK]],TableWRTECalcPts[RK],0)),"")</f>
        <v>155.86557059484923</v>
      </c>
      <c r="BA62" s="174">
        <f>IFERROR((TableWRTERank[[#This Row],[FPS]]-INDEX(TableWRTERank[FPS],MATCH(WRTEVORPCalc,TableWRTERank[RK],0)))/INDEX(TableWRTERank[FPS],MATCH(WRTEVORPCalc,TableWRTERank[RK],0)),"")</f>
        <v>-6.7391505859575292E-3</v>
      </c>
      <c r="BC62" t="s">
        <v>208</v>
      </c>
      <c r="BD62">
        <v>61</v>
      </c>
      <c r="BE62" s="83">
        <f>RANK(TableWRTEMaster[[#This Row],[VORP]],TableWRTEMaster[VORP])+COUNTIF($BJ$2:BJ62,BJ62)-1</f>
        <v>74</v>
      </c>
      <c r="BF62" s="115" t="str">
        <f>IFERROR(INDEX(TableWRVORP[WIDE RECEIVER],MATCH(TableWRTEMaster[[#This Row],[RK]],TableWRVORP[RK],0)),"")</f>
        <v>Adam Thielen</v>
      </c>
      <c r="BG62" s="115" t="str">
        <f>_xlfn.CONCAT(TableWRTEMaster[[#This Row],[POS]],TableWRTEMaster[[#This Row],[RK]])</f>
        <v>WR61</v>
      </c>
      <c r="BH62" s="115">
        <f>IFERROR(INDEX(TableWRVORP[BYE],MATCH(TableWRTEMaster[[#This Row],[RK]],TableWRVORP[RK],0)),"")</f>
        <v>11</v>
      </c>
      <c r="BI62" s="116">
        <f>IFERROR(INDEX(TableWRVORP[FPS],MATCH(TableWRTEMaster[[#This Row],[RK]],TableWRVORP[RK],0)),"")</f>
        <v>136.73499170173079</v>
      </c>
      <c r="BJ62" s="117">
        <f>IFERROR(INDEX(TableWRVORP[VORP],MATCH(TableWRTEMaster[[#This Row],[RK]],TableWRVORP[RK],0)),"")</f>
        <v>-8.5457275291759699E-2</v>
      </c>
    </row>
    <row r="63" spans="1:62" x14ac:dyDescent="0.2">
      <c r="A63">
        <v>62</v>
      </c>
      <c r="B63" s="112" t="str">
        <f>IFERROR(INDEX(TableQBCalcPts[PLAYER],MATCH(TableQBVORP[[#This Row],[RK]],TableQBCalcPts[RK],0)),"")</f>
        <v>Case Keenum</v>
      </c>
      <c r="C63" s="112" t="str">
        <f>IFERROR(INDEX(TableQBCalcPts[TM],MATCH(TableQBVORP[[#This Row],[RK]],TableQBCalcPts[RK],0)),"")</f>
        <v>HOU</v>
      </c>
      <c r="D63" s="112">
        <f>IFERROR(INDEX(TableQBCalcPts[BYE],MATCH(TableQBVORP[[#This Row],[RK]],TableQBCalcPts[RK],0)),"")</f>
        <v>14</v>
      </c>
      <c r="E63" s="113">
        <f>IFERROR(INDEX(TableQBCalcPts[Custom],MATCH(TableQBVORP[[#This Row],[RK]],TableQBCalcPts[RK],0)),"")</f>
        <v>2.601194169892628</v>
      </c>
      <c r="F63" s="114">
        <f>(IFERROR((TableQBVORP[[#This Row],[FPS]]-INDEX(TableQBVORP[FPS],MATCH(QBVORPCalc,TableQBVORP[RK],0)))/INDEX(TableQBVORP[FPS],MATCH(QBVORPCalc,TableQBVORP[RK],0)),""))+(TableRBVORP[[#This Row],[VORP]]*0.45)</f>
        <v>-1.142103665521782</v>
      </c>
      <c r="H63">
        <v>62</v>
      </c>
      <c r="I63" s="112" t="str">
        <f>IFERROR(INDEX(TableRBCalcPts[PLAYER],MATCH(TableRBVORP[[#This Row],[RK]],TableRBCalcPts[RK],0)),"")</f>
        <v>Braelon Allen</v>
      </c>
      <c r="J63" s="112" t="str">
        <f>IFERROR(INDEX(TableRBCalcPts[TM],MATCH(TableRBVORP[[#This Row],[RK]],TableRBCalcPts[RK],0)),"")</f>
        <v>NYJ</v>
      </c>
      <c r="K63" s="112">
        <f>IFERROR(INDEX(TableRBCalcPts[BYE],MATCH(TableRBVORP[[#This Row],[RK]],TableRBCalcPts[RK],0)),"")</f>
        <v>12</v>
      </c>
      <c r="L63" s="113">
        <f>IFERROR(INDEX(TableRBCalcPts[Custom],MATCH(TableRBVORP[[#This Row],[RK]],TableRBCalcPts[RK],0)),"")</f>
        <v>70.252975679571662</v>
      </c>
      <c r="M63" s="114">
        <f>(IFERROR((TableRBVORP[[#This Row],[FPS]]-INDEX(TableRBVORP[FPS],MATCH(RBVORPCalc,TableRBVORP[RK],0)))/INDEX(TableRBVORP[FPS],MATCH(RBVORPCalc,TableRBVORP[RK],0)),""))*0.8</f>
        <v>-0.33130654297157119</v>
      </c>
      <c r="O63">
        <v>62</v>
      </c>
      <c r="P63" s="112" t="str">
        <f>IFERROR(INDEX(TableWRCalcPts[PLAYER],MATCH(TableWRVORP[[#This Row],[RK]],TableWRCalcPts[RK],0)),"")</f>
        <v>Gabe Davis</v>
      </c>
      <c r="Q63" s="112" t="str">
        <f>IFERROR(INDEX(TableWRCalcPts[TM],MATCH(TableWRVORP[[#This Row],[RK]],TableWRCalcPts[RK],0)),"")</f>
        <v>JAX</v>
      </c>
      <c r="R63" s="112">
        <f>IFERROR(INDEX(TableWRCalcPts[BYE],MATCH(TableWRVORP[[#This Row],[RK]],TableWRCalcPts[RK],0)),"")</f>
        <v>12</v>
      </c>
      <c r="S63" s="113">
        <f>IFERROR(INDEX(TableWRCalcPts[Custom],MATCH(TableWRVORP[[#This Row],[RK]],TableWRCalcPts[RK],0)),"")</f>
        <v>132.40466047325438</v>
      </c>
      <c r="T63" s="114">
        <f>(IFERROR((TableWRVORP[[#This Row],[FPS]]-INDEX(TableWRVORP[FPS],MATCH(WRVORPCalc,TableWRVORP[RK],0)))/INDEX(TableWRVORP[FPS],MATCH(WRVORPCalc,TableWRVORP[RK],0)),""))*1.2</f>
        <v>-0.12075430574613891</v>
      </c>
      <c r="V63">
        <v>62</v>
      </c>
      <c r="W63" s="112" t="str">
        <f>IFERROR(INDEX(TableTECalcPts[PLAYER],MATCH(TableTEVORP[[#This Row],[RK]],TableTECalcPts[RK],0)),"")</f>
        <v>Robert Tonyan</v>
      </c>
      <c r="X63" s="112" t="str">
        <f>IFERROR(INDEX(TableTECalcPts[TM],MATCH(TableTEVORP[[#This Row],[RK]],TableTECalcPts[RK],0)),"")</f>
        <v>MIN</v>
      </c>
      <c r="Y63" s="112">
        <f>IFERROR(INDEX(TableTECalcPts[BYE],MATCH(TableTEVORP[[#This Row],[RK]],TableTECalcPts[RK],0)),"")</f>
        <v>6</v>
      </c>
      <c r="Z63" s="113">
        <f>IFERROR(INDEX(TableTECalcPts[Custom],MATCH(TableTEVORP[[#This Row],[RK]],TableTECalcPts[RK],0)),"")</f>
        <v>17.787149326799572</v>
      </c>
      <c r="AA63" s="114">
        <f>IFERROR((TableTEVORP[[#This Row],[FPS]]-INDEX(TableTEVORP[FPS],MATCH(TEVORPCalc,TableTEVORP[RK],0)))/INDEX(TableTEVORP[FPS],MATCH(TEVORPCalc,TableTEVORP[RK],0)),"")</f>
        <v>-0.86487936412427879</v>
      </c>
      <c r="AF63" t="s">
        <v>207</v>
      </c>
      <c r="AG63">
        <v>22</v>
      </c>
      <c r="AH63" s="83">
        <f>RANK(TableOverallMaster[[#This Row],[VORP]],TableOverallMaster[VORP])+COUNTIF($AM$2:AM63,AM63)-1</f>
        <v>42</v>
      </c>
      <c r="AI63" s="115" t="str">
        <f>IFERROR(INDEX(TableRBVORP[RUNNING BACK],MATCH(TableOverallMaster[[#This Row],[RK]],TableRBVORP[RK],0)),"")</f>
        <v>Devin Singletary</v>
      </c>
      <c r="AJ63" s="115" t="str">
        <f t="shared" si="0"/>
        <v>RB22</v>
      </c>
      <c r="AK63" s="115">
        <f>IFERROR(INDEX(TableRBVORP[BYE],MATCH(TableOverallMaster[[#This Row],[RK]],TableRBVORP[RK],0)),"")</f>
        <v>11</v>
      </c>
      <c r="AL63" s="116">
        <f>IFERROR(INDEX(TableRBVORP[FPS],MATCH(TableOverallMaster[[#This Row],[RK]],TableRBVORP[RK],0)),"")</f>
        <v>181.76933222371224</v>
      </c>
      <c r="AM63" s="117">
        <f>IFERROR(INDEX(TableRBVORP[VORP],MATCH(TableOverallMaster[[#This Row],[RK]],TableRBVORP[RK],0)),"")</f>
        <v>0.41267598813545531</v>
      </c>
      <c r="AO63">
        <v>62</v>
      </c>
      <c r="AP63" s="118" t="str">
        <f>IFERROR(INDEX(TableOverallMaster[OVERALL PLAYER],MATCH(TableOverallRank[[#This Row],[RK]],TableOverallMaster[OVR RK],0)),"")</f>
        <v>George Pickens</v>
      </c>
      <c r="AQ63" s="119" t="str">
        <f>IFERROR(INDEX(TableOverallMaster[POS RK],MATCH(TableOverallRank[[#This Row],[OVERALL PLAYER]],TableOverallMaster[OVERALL PLAYER],0)),"")</f>
        <v>WR25</v>
      </c>
      <c r="AR63" s="120">
        <f>IFERROR(INDEX(TableOverallMaster[BYE],MATCH(TableOverallRank[[#This Row],[OVERALL PLAYER]],TableOverallMaster[OVERALL PLAYER],0)),"")</f>
        <v>9</v>
      </c>
      <c r="AS63" s="119">
        <f>IFERROR(INDEX(TableOverallMaster[Custom],MATCH(TableOverallRank[[#This Row],[OVERALL PLAYER]],TableOverallMaster[OVERALL PLAYER],0)),"")</f>
        <v>189.09560213560073</v>
      </c>
      <c r="AT63" s="121">
        <f>IFERROR(INDEX(TableOverallMaster[VORP],MATCH(TableOverallRank[[#This Row],[OVERALL PLAYER]],TableOverallMaster[OVERALL PLAYER],0)),"")</f>
        <v>0.3413401135408855</v>
      </c>
      <c r="AV63">
        <v>62</v>
      </c>
      <c r="AW63" s="122" t="str">
        <f>IFERROR(INDEX(TableWRTECalcPts[PLAYER],MATCH(TableWRTERank[[#This Row],[RK]],TableWRTECalcPts[RK],0)),"")</f>
        <v>Curtis Samuel</v>
      </c>
      <c r="AX63" s="122" t="str">
        <f>IFERROR(INDEX(TableWRTECalcPts[POS RK],MATCH(TableWRTERank[[#This Row],[WR and TE COMBINED]],TableWRTECalcPts[PLAYER],0)),"")</f>
        <v>WR53</v>
      </c>
      <c r="AY63" s="122">
        <f>IFERROR(INDEX(TableWRTECalcPts[BYE],MATCH(TableWRTERank[[#This Row],[RK]],TableWRTECalcPts[RK],0)),"")</f>
        <v>12</v>
      </c>
      <c r="AZ63" s="123">
        <f>IFERROR(INDEX(TableWRTECalcPts[Custom],MATCH(TableWRTERank[[#This Row],[RK]],TableWRTECalcPts[RK],0)),"")</f>
        <v>152.29973704531247</v>
      </c>
      <c r="BA63" s="174">
        <f>IFERROR((TableWRTERank[[#This Row],[FPS]]-INDEX(TableWRTERank[FPS],MATCH(WRTEVORPCalc,TableWRTERank[RK],0)))/INDEX(TableWRTERank[FPS],MATCH(WRTEVORPCalc,TableWRTERank[RK],0)),"")</f>
        <v>-2.9462596480807499E-2</v>
      </c>
      <c r="BC63" t="s">
        <v>208</v>
      </c>
      <c r="BD63">
        <v>62</v>
      </c>
      <c r="BE63" s="83">
        <f>RANK(TableWRTEMaster[[#This Row],[VORP]],TableWRTEMaster[VORP])+COUNTIF($BJ$2:BJ63,BJ63)-1</f>
        <v>75</v>
      </c>
      <c r="BF63" s="115" t="str">
        <f>IFERROR(INDEX(TableWRVORP[WIDE RECEIVER],MATCH(TableWRTEMaster[[#This Row],[RK]],TableWRVORP[RK],0)),"")</f>
        <v>Gabe Davis</v>
      </c>
      <c r="BG63" s="115" t="str">
        <f>_xlfn.CONCAT(TableWRTEMaster[[#This Row],[POS]],TableWRTEMaster[[#This Row],[RK]])</f>
        <v>WR62</v>
      </c>
      <c r="BH63" s="115">
        <f>IFERROR(INDEX(TableWRVORP[BYE],MATCH(TableWRTEMaster[[#This Row],[RK]],TableWRVORP[RK],0)),"")</f>
        <v>12</v>
      </c>
      <c r="BI63" s="116">
        <f>IFERROR(INDEX(TableWRVORP[FPS],MATCH(TableWRTEMaster[[#This Row],[RK]],TableWRVORP[RK],0)),"")</f>
        <v>132.40466047325438</v>
      </c>
      <c r="BJ63" s="117">
        <f>IFERROR(INDEX(TableWRVORP[VORP],MATCH(TableWRTEMaster[[#This Row],[RK]],TableWRVORP[RK],0)),"")</f>
        <v>-0.12075430574613891</v>
      </c>
    </row>
    <row r="64" spans="1:62" x14ac:dyDescent="0.2">
      <c r="A64">
        <v>63</v>
      </c>
      <c r="B64" s="112" t="str">
        <f>IFERROR(INDEX(TableQBCalcPts[PLAYER],MATCH(TableQBVORP[[#This Row],[RK]],TableQBCalcPts[RK],0)),"")</f>
        <v>Mac Jones</v>
      </c>
      <c r="C64" s="112" t="str">
        <f>IFERROR(INDEX(TableQBCalcPts[TM],MATCH(TableQBVORP[[#This Row],[RK]],TableQBCalcPts[RK],0)),"")</f>
        <v>JAX</v>
      </c>
      <c r="D64" s="112">
        <f>IFERROR(INDEX(TableQBCalcPts[BYE],MATCH(TableQBVORP[[#This Row],[RK]],TableQBCalcPts[RK],0)),"")</f>
        <v>12</v>
      </c>
      <c r="E64" s="113">
        <f>IFERROR(INDEX(TableQBCalcPts[Custom],MATCH(TableQBVORP[[#This Row],[RK]],TableQBCalcPts[RK],0)),"")</f>
        <v>2.5560768646550009</v>
      </c>
      <c r="F64" s="114">
        <f>(IFERROR((TableQBVORP[[#This Row],[FPS]]-INDEX(TableQBVORP[FPS],MATCH(QBVORPCalc,TableQBVORP[RK],0)))/INDEX(TableQBVORP[FPS],MATCH(QBVORPCalc,TableQBVORP[RK],0)),""))+(TableRBVORP[[#This Row],[VORP]]*0.45)</f>
        <v>-1.1435819427285852</v>
      </c>
      <c r="H64">
        <v>63</v>
      </c>
      <c r="I64" s="112" t="str">
        <f>IFERROR(INDEX(TableRBCalcPts[PLAYER],MATCH(TableRBVORP[[#This Row],[RK]],TableRBCalcPts[RK],0)),"")</f>
        <v>Kenneth Gainwell</v>
      </c>
      <c r="J64" s="112" t="str">
        <f>IFERROR(INDEX(TableRBCalcPts[TM],MATCH(TableRBVORP[[#This Row],[RK]],TableRBCalcPts[RK],0)),"")</f>
        <v>PHI</v>
      </c>
      <c r="K64" s="112">
        <f>IFERROR(INDEX(TableRBCalcPts[BYE],MATCH(TableRBVORP[[#This Row],[RK]],TableRBCalcPts[RK],0)),"")</f>
        <v>5</v>
      </c>
      <c r="L64" s="113">
        <f>IFERROR(INDEX(TableRBCalcPts[Custom],MATCH(TableRBVORP[[#This Row],[RK]],TableRBCalcPts[RK],0)),"")</f>
        <v>69.800925458603601</v>
      </c>
      <c r="M64" s="114">
        <f>(IFERROR((TableRBVORP[[#This Row],[FPS]]-INDEX(TableRBVORP[FPS],MATCH(RBVORPCalc,TableRBVORP[RK],0)))/INDEX(TableRBVORP[FPS],MATCH(RBVORPCalc,TableRBVORP[RK],0)),""))*0.8</f>
        <v>-0.33432240071662034</v>
      </c>
      <c r="O64">
        <v>63</v>
      </c>
      <c r="P64" s="112" t="str">
        <f>IFERROR(INDEX(TableWRCalcPts[PLAYER],MATCH(TableWRVORP[[#This Row],[RK]],TableWRCalcPts[RK],0)),"")</f>
        <v>Demarcus Robinson</v>
      </c>
      <c r="Q64" s="112" t="str">
        <f>IFERROR(INDEX(TableWRCalcPts[TM],MATCH(TableWRVORP[[#This Row],[RK]],TableWRCalcPts[RK],0)),"")</f>
        <v>LAR</v>
      </c>
      <c r="R64" s="112">
        <f>IFERROR(INDEX(TableWRCalcPts[BYE],MATCH(TableWRVORP[[#This Row],[RK]],TableWRCalcPts[RK],0)),"")</f>
        <v>6</v>
      </c>
      <c r="S64" s="113">
        <f>IFERROR(INDEX(TableWRCalcPts[Custom],MATCH(TableWRVORP[[#This Row],[RK]],TableWRCalcPts[RK],0)),"")</f>
        <v>130.31560834928999</v>
      </c>
      <c r="T64" s="114">
        <f>(IFERROR((TableWRVORP[[#This Row],[FPS]]-INDEX(TableWRVORP[FPS],MATCH(WRVORPCalc,TableWRVORP[RK],0)))/INDEX(TableWRVORP[FPS],MATCH(WRVORPCalc,TableWRVORP[RK],0)),""))*1.2</f>
        <v>-0.13778241111495168</v>
      </c>
      <c r="V64">
        <v>63</v>
      </c>
      <c r="W64" s="112" t="str">
        <f>IFERROR(INDEX(TableTECalcPts[PLAYER],MATCH(TableTEVORP[[#This Row],[RK]],TableTECalcPts[RK],0)),"")</f>
        <v>Erick All</v>
      </c>
      <c r="X64" s="112" t="str">
        <f>IFERROR(INDEX(TableTECalcPts[TM],MATCH(TableTEVORP[[#This Row],[RK]],TableTECalcPts[RK],0)),"")</f>
        <v>CIN</v>
      </c>
      <c r="Y64" s="112">
        <f>IFERROR(INDEX(TableTECalcPts[BYE],MATCH(TableTEVORP[[#This Row],[RK]],TableTECalcPts[RK],0)),"")</f>
        <v>12</v>
      </c>
      <c r="Z64" s="113">
        <f>IFERROR(INDEX(TableTECalcPts[Custom],MATCH(TableTEVORP[[#This Row],[RK]],TableTECalcPts[RK],0)),"")</f>
        <v>17.628349629906413</v>
      </c>
      <c r="AA64" s="114">
        <f>IFERROR((TableTEVORP[[#This Row],[FPS]]-INDEX(TableTEVORP[FPS],MATCH(TEVORPCalc,TableTEVORP[RK],0)))/INDEX(TableTEVORP[FPS],MATCH(TEVORPCalc,TableTEVORP[RK],0)),"")</f>
        <v>-0.86608569098570276</v>
      </c>
      <c r="AF64" t="s">
        <v>207</v>
      </c>
      <c r="AG64">
        <v>23</v>
      </c>
      <c r="AH64" s="83">
        <f>RANK(TableOverallMaster[[#This Row],[VORP]],TableOverallMaster[VORP])+COUNTIF($AM$2:AM64,AM64)-1</f>
        <v>45</v>
      </c>
      <c r="AI64" s="115" t="str">
        <f>IFERROR(INDEX(TableRBVORP[RUNNING BACK],MATCH(TableOverallMaster[[#This Row],[RK]],TableRBVORP[RK],0)),"")</f>
        <v>Brian Robinson</v>
      </c>
      <c r="AJ64" s="115" t="str">
        <f t="shared" si="0"/>
        <v>RB23</v>
      </c>
      <c r="AK64" s="115">
        <f>IFERROR(INDEX(TableRBVORP[BYE],MATCH(TableOverallMaster[[#This Row],[RK]],TableRBVORP[RK],0)),"")</f>
        <v>14</v>
      </c>
      <c r="AL64" s="116">
        <f>IFERROR(INDEX(TableRBVORP[FPS],MATCH(TableOverallMaster[[#This Row],[RK]],TableRBVORP[RK],0)),"")</f>
        <v>180.40365584897597</v>
      </c>
      <c r="AM64" s="117">
        <f>IFERROR(INDEX(TableRBVORP[VORP],MATCH(TableOverallMaster[[#This Row],[RK]],TableRBVORP[RK],0)),"")</f>
        <v>0.40356486401486774</v>
      </c>
      <c r="AO64">
        <v>63</v>
      </c>
      <c r="AP64" s="118" t="str">
        <f>IFERROR(INDEX(TableOverallMaster[OVERALL PLAYER],MATCH(TableOverallRank[[#This Row],[RK]],TableOverallMaster[OVR RK],0)),"")</f>
        <v>Malik Nabers</v>
      </c>
      <c r="AQ64" s="119" t="str">
        <f>IFERROR(INDEX(TableOverallMaster[POS RK],MATCH(TableOverallRank[[#This Row],[OVERALL PLAYER]],TableOverallMaster[OVERALL PLAYER],0)),"")</f>
        <v>WR26</v>
      </c>
      <c r="AR64" s="120">
        <f>IFERROR(INDEX(TableOverallMaster[BYE],MATCH(TableOverallRank[[#This Row],[OVERALL PLAYER]],TableOverallMaster[OVERALL PLAYER],0)),"")</f>
        <v>11</v>
      </c>
      <c r="AS64" s="119">
        <f>IFERROR(INDEX(TableOverallMaster[Custom],MATCH(TableOverallRank[[#This Row],[OVERALL PLAYER]],TableOverallMaster[OVERALL PLAYER],0)),"")</f>
        <v>188.23503874057269</v>
      </c>
      <c r="AT64" s="121">
        <f>IFERROR(INDEX(TableOverallMaster[VORP],MATCH(TableOverallRank[[#This Row],[OVERALL PLAYER]],TableOverallMaster[OVERALL PLAYER],0)),"")</f>
        <v>0.33432556182195938</v>
      </c>
      <c r="AV64">
        <v>63</v>
      </c>
      <c r="AW64" s="122" t="str">
        <f>IFERROR(INDEX(TableWRTECalcPts[PLAYER],MATCH(TableWRTERank[[#This Row],[RK]],TableWRTECalcPts[RK],0)),"")</f>
        <v>Adonai Mitchell</v>
      </c>
      <c r="AX64" s="122" t="str">
        <f>IFERROR(INDEX(TableWRTECalcPts[POS RK],MATCH(TableWRTERank[[#This Row],[WR and TE COMBINED]],TableWRTECalcPts[PLAYER],0)),"")</f>
        <v>WR54</v>
      </c>
      <c r="AY64" s="122">
        <f>IFERROR(INDEX(TableWRTECalcPts[BYE],MATCH(TableWRTERank[[#This Row],[RK]],TableWRTECalcPts[RK],0)),"")</f>
        <v>14</v>
      </c>
      <c r="AZ64" s="123">
        <f>IFERROR(INDEX(TableWRTECalcPts[Custom],MATCH(TableWRTERank[[#This Row],[RK]],TableWRTECalcPts[RK],0)),"")</f>
        <v>151.99119359423997</v>
      </c>
      <c r="BA64" s="174">
        <f>IFERROR((TableWRTERank[[#This Row],[FPS]]-INDEX(TableWRTERank[FPS],MATCH(WRTEVORPCalc,TableWRTERank[RK],0)))/INDEX(TableWRTERank[FPS],MATCH(WRTEVORPCalc,TableWRTERank[RK],0)),"")</f>
        <v>-3.1428804470960865E-2</v>
      </c>
      <c r="BC64" t="s">
        <v>208</v>
      </c>
      <c r="BD64">
        <v>63</v>
      </c>
      <c r="BE64" s="83">
        <f>RANK(TableWRTEMaster[[#This Row],[VORP]],TableWRTEMaster[VORP])+COUNTIF($BJ$2:BJ64,BJ64)-1</f>
        <v>76</v>
      </c>
      <c r="BF64" s="115" t="str">
        <f>IFERROR(INDEX(TableWRVORP[WIDE RECEIVER],MATCH(TableWRTEMaster[[#This Row],[RK]],TableWRVORP[RK],0)),"")</f>
        <v>Demarcus Robinson</v>
      </c>
      <c r="BG64" s="115" t="str">
        <f>_xlfn.CONCAT(TableWRTEMaster[[#This Row],[POS]],TableWRTEMaster[[#This Row],[RK]])</f>
        <v>WR63</v>
      </c>
      <c r="BH64" s="115">
        <f>IFERROR(INDEX(TableWRVORP[BYE],MATCH(TableWRTEMaster[[#This Row],[RK]],TableWRVORP[RK],0)),"")</f>
        <v>6</v>
      </c>
      <c r="BI64" s="116">
        <f>IFERROR(INDEX(TableWRVORP[FPS],MATCH(TableWRTEMaster[[#This Row],[RK]],TableWRVORP[RK],0)),"")</f>
        <v>130.31560834928999</v>
      </c>
      <c r="BJ64" s="117">
        <f>IFERROR(INDEX(TableWRVORP[VORP],MATCH(TableWRTEMaster[[#This Row],[RK]],TableWRVORP[RK],0)),"")</f>
        <v>-0.13778241111495168</v>
      </c>
    </row>
    <row r="65" spans="1:62" x14ac:dyDescent="0.2">
      <c r="A65">
        <v>64</v>
      </c>
      <c r="B65" s="112" t="str">
        <f>IFERROR(INDEX(TableQBCalcPts[PLAYER],MATCH(TableQBVORP[[#This Row],[RK]],TableQBCalcPts[RK],0)),"")</f>
        <v>Mitch Trubisky</v>
      </c>
      <c r="C65" s="112" t="str">
        <f>IFERROR(INDEX(TableQBCalcPts[TM],MATCH(TableQBVORP[[#This Row],[RK]],TableQBCalcPts[RK],0)),"")</f>
        <v>BUF</v>
      </c>
      <c r="D65" s="112">
        <f>IFERROR(INDEX(TableQBCalcPts[BYE],MATCH(TableQBVORP[[#This Row],[RK]],TableQBCalcPts[RK],0)),"")</f>
        <v>12</v>
      </c>
      <c r="E65" s="113">
        <f>IFERROR(INDEX(TableQBCalcPts[Custom],MATCH(TableQBVORP[[#This Row],[RK]],TableQBCalcPts[RK],0)),"")</f>
        <v>2.2217373057024021</v>
      </c>
      <c r="F65" s="114">
        <f>(IFERROR((TableQBVORP[[#This Row],[FPS]]-INDEX(TableQBVORP[FPS],MATCH(QBVORPCalc,TableQBVORP[RK],0)))/INDEX(TableQBVORP[FPS],MATCH(QBVORPCalc,TableQBVORP[RK],0)),""))+(TableRBVORP[[#This Row],[VORP]]*0.45)</f>
        <v>-1.1551000527591777</v>
      </c>
      <c r="H65">
        <v>64</v>
      </c>
      <c r="I65" s="112" t="str">
        <f>IFERROR(INDEX(TableRBCalcPts[PLAYER],MATCH(TableRBVORP[[#This Row],[RK]],TableRBCalcPts[RK],0)),"")</f>
        <v>Tyrone Tracy</v>
      </c>
      <c r="J65" s="112" t="str">
        <f>IFERROR(INDEX(TableRBCalcPts[TM],MATCH(TableRBVORP[[#This Row],[RK]],TableRBCalcPts[RK],0)),"")</f>
        <v>NYG</v>
      </c>
      <c r="K65" s="112">
        <f>IFERROR(INDEX(TableRBCalcPts[BYE],MATCH(TableRBVORP[[#This Row],[RK]],TableRBCalcPts[RK],0)),"")</f>
        <v>11</v>
      </c>
      <c r="L65" s="113">
        <f>IFERROR(INDEX(TableRBCalcPts[Custom],MATCH(TableRBVORP[[#This Row],[RK]],TableRBCalcPts[RK],0)),"")</f>
        <v>66.263362703752577</v>
      </c>
      <c r="M65" s="114">
        <f>(IFERROR((TableRBVORP[[#This Row],[FPS]]-INDEX(TableRBVORP[FPS],MATCH(RBVORPCalc,TableRBVORP[RK],0)))/INDEX(TableRBVORP[FPS],MATCH(RBVORPCalc,TableRBVORP[RK],0)),""))*0.8</f>
        <v>-0.35792328738352158</v>
      </c>
      <c r="O65">
        <v>64</v>
      </c>
      <c r="P65" s="112" t="str">
        <f>IFERROR(INDEX(TableWRCalcPts[PLAYER],MATCH(TableWRVORP[[#This Row],[RK]],TableWRCalcPts[RK],0)),"")</f>
        <v>Demario Douglas</v>
      </c>
      <c r="Q65" s="112" t="str">
        <f>IFERROR(INDEX(TableWRCalcPts[TM],MATCH(TableWRVORP[[#This Row],[RK]],TableWRCalcPts[RK],0)),"")</f>
        <v>NE</v>
      </c>
      <c r="R65" s="112">
        <f>IFERROR(INDEX(TableWRCalcPts[BYE],MATCH(TableWRVORP[[#This Row],[RK]],TableWRCalcPts[RK],0)),"")</f>
        <v>14</v>
      </c>
      <c r="S65" s="113">
        <f>IFERROR(INDEX(TableWRCalcPts[Custom],MATCH(TableWRVORP[[#This Row],[RK]],TableWRCalcPts[RK],0)),"")</f>
        <v>127.43642317391996</v>
      </c>
      <c r="T65" s="114">
        <f>(IFERROR((TableWRVORP[[#This Row],[FPS]]-INDEX(TableWRVORP[FPS],MATCH(WRVORPCalc,TableWRVORP[RK],0)))/INDEX(TableWRVORP[FPS],MATCH(WRVORPCalc,TableWRVORP[RK],0)),""))*1.2</f>
        <v>-0.16125098232967358</v>
      </c>
      <c r="V65">
        <v>64</v>
      </c>
      <c r="W65" s="112" t="str">
        <f>IFERROR(INDEX(TableTECalcPts[PLAYER],MATCH(TableTEVORP[[#This Row],[RK]],TableTECalcPts[RK],0)),"")</f>
        <v>Logan Thomas</v>
      </c>
      <c r="X65" s="112" t="str">
        <f>IFERROR(INDEX(TableTECalcPts[TM],MATCH(TableTEVORP[[#This Row],[RK]],TableTECalcPts[RK],0)),"")</f>
        <v>SF</v>
      </c>
      <c r="Y65" s="112">
        <f>IFERROR(INDEX(TableTECalcPts[BYE],MATCH(TableTEVORP[[#This Row],[RK]],TableTECalcPts[RK],0)),"")</f>
        <v>9</v>
      </c>
      <c r="Z65" s="113">
        <f>IFERROR(INDEX(TableTECalcPts[Custom],MATCH(TableTEVORP[[#This Row],[RK]],TableTECalcPts[RK],0)),"")</f>
        <v>14.762780687885456</v>
      </c>
      <c r="AA65" s="114">
        <f>IFERROR((TableTEVORP[[#This Row],[FPS]]-INDEX(TableTEVORP[FPS],MATCH(TEVORPCalc,TableTEVORP[RK],0)))/INDEX(TableTEVORP[FPS],MATCH(TEVORPCalc,TableTEVORP[RK],0)),"")</f>
        <v>-0.88785407502958136</v>
      </c>
      <c r="AF65" t="s">
        <v>207</v>
      </c>
      <c r="AG65">
        <v>24</v>
      </c>
      <c r="AH65" s="83">
        <f>RANK(TableOverallMaster[[#This Row],[VORP]],TableOverallMaster[VORP])+COUNTIF($AM$2:AM65,AM65)-1</f>
        <v>47</v>
      </c>
      <c r="AI65" s="115" t="str">
        <f>IFERROR(INDEX(TableRBVORP[RUNNING BACK],MATCH(TableOverallMaster[[#This Row],[RK]],TableRBVORP[RK],0)),"")</f>
        <v>Javonte Williams</v>
      </c>
      <c r="AJ65" s="115" t="str">
        <f t="shared" si="0"/>
        <v>RB24</v>
      </c>
      <c r="AK65" s="115">
        <f>IFERROR(INDEX(TableRBVORP[BYE],MATCH(TableOverallMaster[[#This Row],[RK]],TableRBVORP[RK],0)),"")</f>
        <v>14</v>
      </c>
      <c r="AL65" s="116">
        <f>IFERROR(INDEX(TableRBVORP[FPS],MATCH(TableOverallMaster[[#This Row],[RK]],TableRBVORP[RK],0)),"")</f>
        <v>179.90516382745326</v>
      </c>
      <c r="AM65" s="117">
        <f>IFERROR(INDEX(TableRBVORP[VORP],MATCH(TableOverallMaster[[#This Row],[RK]],TableRBVORP[RK],0)),"")</f>
        <v>0.40023916931498466</v>
      </c>
      <c r="AO65">
        <v>64</v>
      </c>
      <c r="AP65" s="118" t="str">
        <f>IFERROR(INDEX(TableOverallMaster[OVERALL PLAYER],MATCH(TableOverallRank[[#This Row],[RK]],TableOverallMaster[OVR RK],0)),"")</f>
        <v>Raheem Mostert</v>
      </c>
      <c r="AQ65" s="119" t="str">
        <f>IFERROR(INDEX(TableOverallMaster[POS RK],MATCH(TableOverallRank[[#This Row],[OVERALL PLAYER]],TableOverallMaster[OVERALL PLAYER],0)),"")</f>
        <v>RB30</v>
      </c>
      <c r="AR65" s="120">
        <f>IFERROR(INDEX(TableOverallMaster[BYE],MATCH(TableOverallRank[[#This Row],[OVERALL PLAYER]],TableOverallMaster[OVERALL PLAYER],0)),"")</f>
        <v>6</v>
      </c>
      <c r="AS65" s="119">
        <f>IFERROR(INDEX(TableOverallMaster[Custom],MATCH(TableOverallRank[[#This Row],[OVERALL PLAYER]],TableOverallMaster[OVERALL PLAYER],0)),"")</f>
        <v>169.2372413840734</v>
      </c>
      <c r="AT65" s="121">
        <f>IFERROR(INDEX(TableOverallMaster[VORP],MATCH(TableOverallRank[[#This Row],[OVERALL PLAYER]],TableOverallMaster[OVERALL PLAYER],0)),"")</f>
        <v>0.32906801391646989</v>
      </c>
      <c r="AV65">
        <v>64</v>
      </c>
      <c r="AW65" s="122" t="str">
        <f>IFERROR(INDEX(TableWRTECalcPts[PLAYER],MATCH(TableWRTERank[[#This Row],[RK]],TableWRTECalcPts[RK],0)),"")</f>
        <v>Rome Odunze</v>
      </c>
      <c r="AX65" s="122" t="str">
        <f>IFERROR(INDEX(TableWRTECalcPts[POS RK],MATCH(TableWRTERank[[#This Row],[WR and TE COMBINED]],TableWRTECalcPts[PLAYER],0)),"")</f>
        <v>WR55</v>
      </c>
      <c r="AY65" s="122">
        <f>IFERROR(INDEX(TableWRTECalcPts[BYE],MATCH(TableWRTERank[[#This Row],[RK]],TableWRTECalcPts[RK],0)),"")</f>
        <v>7</v>
      </c>
      <c r="AZ65" s="123">
        <f>IFERROR(INDEX(TableWRTECalcPts[Custom],MATCH(TableWRTERank[[#This Row],[RK]],TableWRTECalcPts[RK],0)),"")</f>
        <v>151.03909567844491</v>
      </c>
      <c r="BA65" s="174">
        <f>IFERROR((TableWRTERank[[#This Row],[FPS]]-INDEX(TableWRTERank[FPS],MATCH(WRTEVORPCalc,TableWRTERank[RK],0)))/INDEX(TableWRTERank[FPS],MATCH(WRTEVORPCalc,TableWRTERank[RK],0)),"")</f>
        <v>-3.7496094257658617E-2</v>
      </c>
      <c r="BC65" t="s">
        <v>208</v>
      </c>
      <c r="BD65">
        <v>64</v>
      </c>
      <c r="BE65" s="83">
        <f>RANK(TableWRTEMaster[[#This Row],[VORP]],TableWRTEMaster[VORP])+COUNTIF($BJ$2:BJ65,BJ65)-1</f>
        <v>77</v>
      </c>
      <c r="BF65" s="115" t="str">
        <f>IFERROR(INDEX(TableWRVORP[WIDE RECEIVER],MATCH(TableWRTEMaster[[#This Row],[RK]],TableWRVORP[RK],0)),"")</f>
        <v>Demario Douglas</v>
      </c>
      <c r="BG65" s="115" t="str">
        <f>_xlfn.CONCAT(TableWRTEMaster[[#This Row],[POS]],TableWRTEMaster[[#This Row],[RK]])</f>
        <v>WR64</v>
      </c>
      <c r="BH65" s="115">
        <f>IFERROR(INDEX(TableWRVORP[BYE],MATCH(TableWRTEMaster[[#This Row],[RK]],TableWRVORP[RK],0)),"")</f>
        <v>14</v>
      </c>
      <c r="BI65" s="116">
        <f>IFERROR(INDEX(TableWRVORP[FPS],MATCH(TableWRTEMaster[[#This Row],[RK]],TableWRVORP[RK],0)),"")</f>
        <v>127.43642317391996</v>
      </c>
      <c r="BJ65" s="117">
        <f>IFERROR(INDEX(TableWRVORP[VORP],MATCH(TableWRTEMaster[[#This Row],[RK]],TableWRVORP[RK],0)),"")</f>
        <v>-0.16125098232967358</v>
      </c>
    </row>
    <row r="66" spans="1:62" x14ac:dyDescent="0.2">
      <c r="A66">
        <v>65</v>
      </c>
      <c r="B66" s="112" t="str">
        <f>IFERROR(INDEX(TableQBCalcPts[PLAYER],MATCH(TableQBVORP[[#This Row],[RK]],TableQBCalcPts[RK],0)),"")</f>
        <v/>
      </c>
      <c r="C66" s="112" t="str">
        <f>IFERROR(INDEX(TableQBCalcPts[TM],MATCH(TableQBVORP[[#This Row],[RK]],TableQBCalcPts[RK],0)),"")</f>
        <v/>
      </c>
      <c r="D66" s="112" t="str">
        <f>IFERROR(INDEX(TableQBCalcPts[BYE],MATCH(TableQBVORP[[#This Row],[RK]],TableQBCalcPts[RK],0)),"")</f>
        <v/>
      </c>
      <c r="E66" s="113" t="str">
        <f>IFERROR(INDEX(TableQBCalcPts[Custom],MATCH(TableQBVORP[[#This Row],[RK]],TableQBCalcPts[RK],0)),"")</f>
        <v/>
      </c>
      <c r="F66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66">
        <v>65</v>
      </c>
      <c r="I66" s="112" t="str">
        <f>IFERROR(INDEX(TableRBCalcPts[PLAYER],MATCH(TableRBVORP[[#This Row],[RK]],TableRBCalcPts[RK],0)),"")</f>
        <v>Audric Estime</v>
      </c>
      <c r="J66" s="112" t="str">
        <f>IFERROR(INDEX(TableRBCalcPts[TM],MATCH(TableRBVORP[[#This Row],[RK]],TableRBCalcPts[RK],0)),"")</f>
        <v>DEN</v>
      </c>
      <c r="K66" s="112">
        <f>IFERROR(INDEX(TableRBCalcPts[BYE],MATCH(TableRBVORP[[#This Row],[RK]],TableRBCalcPts[RK],0)),"")</f>
        <v>14</v>
      </c>
      <c r="L66" s="113">
        <f>IFERROR(INDEX(TableRBCalcPts[Custom],MATCH(TableRBVORP[[#This Row],[RK]],TableRBCalcPts[RK],0)),"")</f>
        <v>64.324957412268304</v>
      </c>
      <c r="M66" s="114">
        <f>(IFERROR((TableRBVORP[[#This Row],[FPS]]-INDEX(TableRBVORP[FPS],MATCH(RBVORPCalc,TableRBVORP[RK],0)))/INDEX(TableRBVORP[FPS],MATCH(RBVORPCalc,TableRBVORP[RK],0)),""))*0.8</f>
        <v>-0.37085537842165461</v>
      </c>
      <c r="O66">
        <v>65</v>
      </c>
      <c r="P66" s="112" t="str">
        <f>IFERROR(INDEX(TableWRCalcPts[PLAYER],MATCH(TableWRVORP[[#This Row],[RK]],TableWRCalcPts[RK],0)),"")</f>
        <v>Xavier Legette</v>
      </c>
      <c r="Q66" s="112" t="str">
        <f>IFERROR(INDEX(TableWRCalcPts[TM],MATCH(TableWRVORP[[#This Row],[RK]],TableWRCalcPts[RK],0)),"")</f>
        <v>CAR</v>
      </c>
      <c r="R66" s="112">
        <f>IFERROR(INDEX(TableWRCalcPts[BYE],MATCH(TableWRVORP[[#This Row],[RK]],TableWRCalcPts[RK],0)),"")</f>
        <v>11</v>
      </c>
      <c r="S66" s="113">
        <f>IFERROR(INDEX(TableWRCalcPts[Custom],MATCH(TableWRVORP[[#This Row],[RK]],TableWRCalcPts[RK],0)),"")</f>
        <v>126.21441605736145</v>
      </c>
      <c r="T66" s="114">
        <f>(IFERROR((TableWRVORP[[#This Row],[FPS]]-INDEX(TableWRVORP[FPS],MATCH(WRVORPCalc,TableWRVORP[RK],0)))/INDEX(TableWRVORP[FPS],MATCH(WRVORPCalc,TableWRVORP[RK],0)),""))*1.2</f>
        <v>-0.17121170360775703</v>
      </c>
      <c r="V66">
        <v>65</v>
      </c>
      <c r="W66" s="112" t="str">
        <f>IFERROR(INDEX(TableTECalcPts[PLAYER],MATCH(TableTEVORP[[#This Row],[RK]],TableTECalcPts[RK],0)),"")</f>
        <v>Harrison Bryant</v>
      </c>
      <c r="X66" s="112" t="str">
        <f>IFERROR(INDEX(TableTECalcPts[TM],MATCH(TableTEVORP[[#This Row],[RK]],TableTECalcPts[RK],0)),"")</f>
        <v>LV</v>
      </c>
      <c r="Y66" s="112">
        <f>IFERROR(INDEX(TableTECalcPts[BYE],MATCH(TableTEVORP[[#This Row],[RK]],TableTECalcPts[RK],0)),"")</f>
        <v>10</v>
      </c>
      <c r="Z66" s="113">
        <f>IFERROR(INDEX(TableTECalcPts[Custom],MATCH(TableTEVORP[[#This Row],[RK]],TableTECalcPts[RK],0)),"")</f>
        <v>13.931348290998656</v>
      </c>
      <c r="AA66" s="114">
        <f>IFERROR((TableTEVORP[[#This Row],[FPS]]-INDEX(TableTEVORP[FPS],MATCH(TEVORPCalc,TableTEVORP[RK],0)))/INDEX(TableTEVORP[FPS],MATCH(TEVORPCalc,TableTEVORP[RK],0)),"")</f>
        <v>-0.89417007722256636</v>
      </c>
      <c r="AF66" t="s">
        <v>207</v>
      </c>
      <c r="AG66">
        <v>25</v>
      </c>
      <c r="AH66" s="83">
        <f>RANK(TableOverallMaster[[#This Row],[VORP]],TableOverallMaster[VORP])+COUNTIF($AM$2:AM66,AM66)-1</f>
        <v>49</v>
      </c>
      <c r="AI66" s="115" t="str">
        <f>IFERROR(INDEX(TableRBVORP[RUNNING BACK],MATCH(TableOverallMaster[[#This Row],[RK]],TableRBVORP[RK],0)),"")</f>
        <v>Zack Moss</v>
      </c>
      <c r="AJ66" s="115" t="str">
        <f t="shared" ref="AJ66:AJ129" si="1">CONCATENATE(AF66,AG66)</f>
        <v>RB25</v>
      </c>
      <c r="AK66" s="115">
        <f>IFERROR(INDEX(TableRBVORP[BYE],MATCH(TableOverallMaster[[#This Row],[RK]],TableRBVORP[RK],0)),"")</f>
        <v>12</v>
      </c>
      <c r="AL66" s="116">
        <f>IFERROR(INDEX(TableRBVORP[FPS],MATCH(TableOverallMaster[[#This Row],[RK]],TableRBVORP[RK],0)),"")</f>
        <v>178.11832512965827</v>
      </c>
      <c r="AM66" s="117">
        <f>IFERROR(INDEX(TableRBVORP[VORP],MATCH(TableOverallMaster[[#This Row],[RK]],TableRBVORP[RK],0)),"")</f>
        <v>0.38831825638111112</v>
      </c>
      <c r="AO66">
        <v>65</v>
      </c>
      <c r="AP66" s="118" t="str">
        <f>IFERROR(INDEX(TableOverallMaster[OVERALL PLAYER],MATCH(TableOverallRank[[#This Row],[RK]],TableOverallMaster[OVR RK],0)),"")</f>
        <v>Jerome Ford</v>
      </c>
      <c r="AQ66" s="119" t="str">
        <f>IFERROR(INDEX(TableOverallMaster[POS RK],MATCH(TableOverallRank[[#This Row],[OVERALL PLAYER]],TableOverallMaster[OVERALL PLAYER],0)),"")</f>
        <v>RB31</v>
      </c>
      <c r="AR66" s="120">
        <f>IFERROR(INDEX(TableOverallMaster[BYE],MATCH(TableOverallRank[[#This Row],[OVERALL PLAYER]],TableOverallMaster[OVERALL PLAYER],0)),"")</f>
        <v>10</v>
      </c>
      <c r="AS66" s="119">
        <f>IFERROR(INDEX(TableOverallMaster[Custom],MATCH(TableOverallRank[[#This Row],[OVERALL PLAYER]],TableOverallMaster[OVERALL PLAYER],0)),"")</f>
        <v>168.69179379937501</v>
      </c>
      <c r="AT66" s="121">
        <f>IFERROR(INDEX(TableOverallMaster[VORP],MATCH(TableOverallRank[[#This Row],[OVERALL PLAYER]],TableOverallMaster[OVERALL PLAYER],0)),"")</f>
        <v>0.32542905468908967</v>
      </c>
      <c r="AV66">
        <v>65</v>
      </c>
      <c r="AW66" s="122" t="str">
        <f>IFERROR(INDEX(TableWRTECalcPts[PLAYER],MATCH(TableWRTERank[[#This Row],[RK]],TableWRTECalcPts[RK],0)),"")</f>
        <v>Keon Coleman</v>
      </c>
      <c r="AX66" s="122" t="str">
        <f>IFERROR(INDEX(TableWRTECalcPts[POS RK],MATCH(TableWRTERank[[#This Row],[WR and TE COMBINED]],TableWRTECalcPts[PLAYER],0)),"")</f>
        <v>WR56</v>
      </c>
      <c r="AY66" s="122">
        <f>IFERROR(INDEX(TableWRTECalcPts[BYE],MATCH(TableWRTERank[[#This Row],[RK]],TableWRTECalcPts[RK],0)),"")</f>
        <v>12</v>
      </c>
      <c r="AZ66" s="123">
        <f>IFERROR(INDEX(TableWRTECalcPts[Custom],MATCH(TableWRTERank[[#This Row],[RK]],TableWRTECalcPts[RK],0)),"")</f>
        <v>147.77140943565098</v>
      </c>
      <c r="BA66" s="174">
        <f>IFERROR((TableWRTERank[[#This Row],[FPS]]-INDEX(TableWRTERank[FPS],MATCH(WRTEVORPCalc,TableWRTERank[RK],0)))/INDEX(TableWRTERank[FPS],MATCH(WRTEVORPCalc,TableWRTERank[RK],0)),"")</f>
        <v>-5.8319582092394934E-2</v>
      </c>
      <c r="BC66" t="s">
        <v>208</v>
      </c>
      <c r="BD66">
        <v>65</v>
      </c>
      <c r="BE66" s="83">
        <f>RANK(TableWRTEMaster[[#This Row],[VORP]],TableWRTEMaster[VORP])+COUNTIF($BJ$2:BJ66,BJ66)-1</f>
        <v>79</v>
      </c>
      <c r="BF66" s="115" t="str">
        <f>IFERROR(INDEX(TableWRVORP[WIDE RECEIVER],MATCH(TableWRTEMaster[[#This Row],[RK]],TableWRVORP[RK],0)),"")</f>
        <v>Xavier Legette</v>
      </c>
      <c r="BG66" s="115" t="str">
        <f>_xlfn.CONCAT(TableWRTEMaster[[#This Row],[POS]],TableWRTEMaster[[#This Row],[RK]])</f>
        <v>WR65</v>
      </c>
      <c r="BH66" s="115">
        <f>IFERROR(INDEX(TableWRVORP[BYE],MATCH(TableWRTEMaster[[#This Row],[RK]],TableWRVORP[RK],0)),"")</f>
        <v>11</v>
      </c>
      <c r="BI66" s="116">
        <f>IFERROR(INDEX(TableWRVORP[FPS],MATCH(TableWRTEMaster[[#This Row],[RK]],TableWRVORP[RK],0)),"")</f>
        <v>126.21441605736145</v>
      </c>
      <c r="BJ66" s="117">
        <f>IFERROR(INDEX(TableWRVORP[VORP],MATCH(TableWRTEMaster[[#This Row],[RK]],TableWRVORP[RK],0)),"")</f>
        <v>-0.17121170360775703</v>
      </c>
    </row>
    <row r="67" spans="1:62" x14ac:dyDescent="0.2">
      <c r="A67">
        <v>66</v>
      </c>
      <c r="B67" s="112" t="str">
        <f>IFERROR(INDEX(TableQBCalcPts[PLAYER],MATCH(TableQBVORP[[#This Row],[RK]],TableQBCalcPts[RK],0)),"")</f>
        <v/>
      </c>
      <c r="C67" s="112" t="str">
        <f>IFERROR(INDEX(TableQBCalcPts[TM],MATCH(TableQBVORP[[#This Row],[RK]],TableQBCalcPts[RK],0)),"")</f>
        <v/>
      </c>
      <c r="D67" s="112" t="str">
        <f>IFERROR(INDEX(TableQBCalcPts[BYE],MATCH(TableQBVORP[[#This Row],[RK]],TableQBCalcPts[RK],0)),"")</f>
        <v/>
      </c>
      <c r="E67" s="113" t="str">
        <f>IFERROR(INDEX(TableQBCalcPts[Custom],MATCH(TableQBVORP[[#This Row],[RK]],TableQBCalcPts[RK],0)),"")</f>
        <v/>
      </c>
      <c r="F67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67">
        <v>66</v>
      </c>
      <c r="I67" s="112" t="str">
        <f>IFERROR(INDEX(TableRBCalcPts[PLAYER],MATCH(TableRBVORP[[#This Row],[RK]],TableRBCalcPts[RK],0)),"")</f>
        <v>Tank Bigsby</v>
      </c>
      <c r="J67" s="112" t="str">
        <f>IFERROR(INDEX(TableRBCalcPts[TM],MATCH(TableRBVORP[[#This Row],[RK]],TableRBCalcPts[RK],0)),"")</f>
        <v>JAX</v>
      </c>
      <c r="K67" s="112">
        <f>IFERROR(INDEX(TableRBCalcPts[BYE],MATCH(TableRBVORP[[#This Row],[RK]],TableRBCalcPts[RK],0)),"")</f>
        <v>12</v>
      </c>
      <c r="L67" s="113">
        <f>IFERROR(INDEX(TableRBCalcPts[Custom],MATCH(TableRBVORP[[#This Row],[RK]],TableRBCalcPts[RK],0)),"")</f>
        <v>63.249476038763987</v>
      </c>
      <c r="M67" s="114">
        <f>(IFERROR((TableRBVORP[[#This Row],[FPS]]-INDEX(TableRBVORP[FPS],MATCH(RBVORPCalc,TableRBVORP[RK],0)))/INDEX(TableRBVORP[FPS],MATCH(RBVORPCalc,TableRBVORP[RK],0)),""))*0.8</f>
        <v>-0.37803046357700115</v>
      </c>
      <c r="O67">
        <v>66</v>
      </c>
      <c r="P67" s="112" t="str">
        <f>IFERROR(INDEX(TableWRCalcPts[PLAYER],MATCH(TableWRVORP[[#This Row],[RK]],TableWRCalcPts[RK],0)),"")</f>
        <v>Wan'Dale Robinson</v>
      </c>
      <c r="Q67" s="112" t="str">
        <f>IFERROR(INDEX(TableWRCalcPts[TM],MATCH(TableWRVORP[[#This Row],[RK]],TableWRCalcPts[RK],0)),"")</f>
        <v>NYG</v>
      </c>
      <c r="R67" s="112">
        <f>IFERROR(INDEX(TableWRCalcPts[BYE],MATCH(TableWRVORP[[#This Row],[RK]],TableWRCalcPts[RK],0)),"")</f>
        <v>11</v>
      </c>
      <c r="S67" s="113">
        <f>IFERROR(INDEX(TableWRCalcPts[Custom],MATCH(TableWRVORP[[#This Row],[RK]],TableWRCalcPts[RK],0)),"")</f>
        <v>125.38100715896201</v>
      </c>
      <c r="T67" s="114">
        <f>(IFERROR((TableWRVORP[[#This Row],[FPS]]-INDEX(TableWRVORP[FPS],MATCH(WRVORPCalc,TableWRVORP[RK],0)))/INDEX(TableWRVORP[FPS],MATCH(WRVORPCalc,TableWRVORP[RK],0)),""))*1.2</f>
        <v>-0.17800491588544826</v>
      </c>
      <c r="V67">
        <v>66</v>
      </c>
      <c r="W67" s="112" t="str">
        <f>IFERROR(INDEX(TableTECalcPts[PLAYER],MATCH(TableTEVORP[[#This Row],[RK]],TableTECalcPts[RK],0)),"")</f>
        <v>Brock Wright</v>
      </c>
      <c r="X67" s="112" t="str">
        <f>IFERROR(INDEX(TableTECalcPts[TM],MATCH(TableTEVORP[[#This Row],[RK]],TableTECalcPts[RK],0)),"")</f>
        <v>DET</v>
      </c>
      <c r="Y67" s="112">
        <f>IFERROR(INDEX(TableTECalcPts[BYE],MATCH(TableTEVORP[[#This Row],[RK]],TableTECalcPts[RK],0)),"")</f>
        <v>5</v>
      </c>
      <c r="Z67" s="113">
        <f>IFERROR(INDEX(TableTECalcPts[Custom],MATCH(TableTEVORP[[#This Row],[RK]],TableTECalcPts[RK],0)),"")</f>
        <v>11.88556874619356</v>
      </c>
      <c r="AA67" s="114">
        <f>IFERROR((TableTEVORP[[#This Row],[FPS]]-INDEX(TableTEVORP[FPS],MATCH(TEVORPCalc,TableTEVORP[RK],0)))/INDEX(TableTEVORP[FPS],MATCH(TEVORPCalc,TableTEVORP[RK],0)),"")</f>
        <v>-0.9097109054844128</v>
      </c>
      <c r="AF67" t="s">
        <v>207</v>
      </c>
      <c r="AG67">
        <v>26</v>
      </c>
      <c r="AH67" s="83">
        <f>RANK(TableOverallMaster[[#This Row],[VORP]],TableOverallMaster[VORP])+COUNTIF($AM$2:AM67,AM67)-1</f>
        <v>53</v>
      </c>
      <c r="AI67" s="115" t="str">
        <f>IFERROR(INDEX(TableRBVORP[RUNNING BACK],MATCH(TableOverallMaster[[#This Row],[RK]],TableRBVORP[RK],0)),"")</f>
        <v>Rhamondre Stevenson</v>
      </c>
      <c r="AJ67" s="115" t="str">
        <f t="shared" si="1"/>
        <v>RB26</v>
      </c>
      <c r="AK67" s="115">
        <f>IFERROR(INDEX(TableRBVORP[BYE],MATCH(TableOverallMaster[[#This Row],[RK]],TableRBVORP[RK],0)),"")</f>
        <v>14</v>
      </c>
      <c r="AL67" s="116">
        <f>IFERROR(INDEX(TableRBVORP[FPS],MATCH(TableOverallMaster[[#This Row],[RK]],TableRBVORP[RK],0)),"")</f>
        <v>176.28004011613581</v>
      </c>
      <c r="AM67" s="117">
        <f>IFERROR(INDEX(TableRBVORP[VORP],MATCH(TableOverallMaster[[#This Row],[RK]],TableRBVORP[RK],0)),"")</f>
        <v>0.37605411881744155</v>
      </c>
      <c r="AO67">
        <v>66</v>
      </c>
      <c r="AP67" s="118" t="str">
        <f>IFERROR(INDEX(TableOverallMaster[OVERALL PLAYER],MATCH(TableOverallRank[[#This Row],[RK]],TableOverallMaster[OVR RK],0)),"")</f>
        <v>Christian Kirk</v>
      </c>
      <c r="AQ67" s="119" t="str">
        <f>IFERROR(INDEX(TableOverallMaster[POS RK],MATCH(TableOverallRank[[#This Row],[OVERALL PLAYER]],TableOverallMaster[OVERALL PLAYER],0)),"")</f>
        <v>WR27</v>
      </c>
      <c r="AR67" s="120">
        <f>IFERROR(INDEX(TableOverallMaster[BYE],MATCH(TableOverallRank[[#This Row],[OVERALL PLAYER]],TableOverallMaster[OVERALL PLAYER],0)),"")</f>
        <v>12</v>
      </c>
      <c r="AS67" s="119">
        <f>IFERROR(INDEX(TableOverallMaster[Custom],MATCH(TableOverallRank[[#This Row],[OVERALL PLAYER]],TableOverallMaster[OVERALL PLAYER],0)),"")</f>
        <v>185.57758003995784</v>
      </c>
      <c r="AT67" s="121">
        <f>IFERROR(INDEX(TableOverallMaster[VORP],MATCH(TableOverallRank[[#This Row],[OVERALL PLAYER]],TableOverallMaster[OVERALL PLAYER],0)),"")</f>
        <v>0.31266430873581608</v>
      </c>
      <c r="AV67">
        <v>66</v>
      </c>
      <c r="AW67" s="122" t="str">
        <f>IFERROR(INDEX(TableWRTECalcPts[PLAYER],MATCH(TableWRTERank[[#This Row],[RK]],TableWRTECalcPts[RK],0)),"")</f>
        <v>Darnell Mooney</v>
      </c>
      <c r="AX67" s="122" t="str">
        <f>IFERROR(INDEX(TableWRTECalcPts[POS RK],MATCH(TableWRTERank[[#This Row],[WR and TE COMBINED]],TableWRTECalcPts[PLAYER],0)),"")</f>
        <v>WR57</v>
      </c>
      <c r="AY67" s="122">
        <f>IFERROR(INDEX(TableWRTECalcPts[BYE],MATCH(TableWRTERank[[#This Row],[RK]],TableWRTECalcPts[RK],0)),"")</f>
        <v>12</v>
      </c>
      <c r="AZ67" s="123">
        <f>IFERROR(INDEX(TableWRTECalcPts[Custom],MATCH(TableWRTERank[[#This Row],[RK]],TableWRTECalcPts[RK],0)),"")</f>
        <v>147.21911184250882</v>
      </c>
      <c r="BA67" s="174">
        <f>IFERROR((TableWRTERank[[#This Row],[FPS]]-INDEX(TableWRTERank[FPS],MATCH(WRTEVORPCalc,TableWRTERank[RK],0)))/INDEX(TableWRTERank[FPS],MATCH(WRTEVORPCalc,TableWRTERank[RK],0)),"")</f>
        <v>-6.1839125083192149E-2</v>
      </c>
      <c r="BC67" t="s">
        <v>208</v>
      </c>
      <c r="BD67">
        <v>66</v>
      </c>
      <c r="BE67" s="83">
        <f>RANK(TableWRTEMaster[[#This Row],[VORP]],TableWRTEMaster[VORP])+COUNTIF($BJ$2:BJ67,BJ67)-1</f>
        <v>80</v>
      </c>
      <c r="BF67" s="115" t="str">
        <f>IFERROR(INDEX(TableWRVORP[WIDE RECEIVER],MATCH(TableWRTEMaster[[#This Row],[RK]],TableWRVORP[RK],0)),"")</f>
        <v>Wan'Dale Robinson</v>
      </c>
      <c r="BG67" s="115" t="str">
        <f>_xlfn.CONCAT(TableWRTEMaster[[#This Row],[POS]],TableWRTEMaster[[#This Row],[RK]])</f>
        <v>WR66</v>
      </c>
      <c r="BH67" s="115">
        <f>IFERROR(INDEX(TableWRVORP[BYE],MATCH(TableWRTEMaster[[#This Row],[RK]],TableWRVORP[RK],0)),"")</f>
        <v>11</v>
      </c>
      <c r="BI67" s="116">
        <f>IFERROR(INDEX(TableWRVORP[FPS],MATCH(TableWRTEMaster[[#This Row],[RK]],TableWRVORP[RK],0)),"")</f>
        <v>125.38100715896201</v>
      </c>
      <c r="BJ67" s="117">
        <f>IFERROR(INDEX(TableWRVORP[VORP],MATCH(TableWRTEMaster[[#This Row],[RK]],TableWRVORP[RK],0)),"")</f>
        <v>-0.17800491588544826</v>
      </c>
    </row>
    <row r="68" spans="1:62" x14ac:dyDescent="0.2">
      <c r="A68">
        <v>67</v>
      </c>
      <c r="B68" s="112" t="str">
        <f>IFERROR(INDEX(TableQBCalcPts[PLAYER],MATCH(TableQBVORP[[#This Row],[RK]],TableQBCalcPts[RK],0)),"")</f>
        <v/>
      </c>
      <c r="C68" s="112" t="str">
        <f>IFERROR(INDEX(TableQBCalcPts[TM],MATCH(TableQBVORP[[#This Row],[RK]],TableQBCalcPts[RK],0)),"")</f>
        <v/>
      </c>
      <c r="D68" s="112" t="str">
        <f>IFERROR(INDEX(TableQBCalcPts[BYE],MATCH(TableQBVORP[[#This Row],[RK]],TableQBCalcPts[RK],0)),"")</f>
        <v/>
      </c>
      <c r="E68" s="113" t="str">
        <f>IFERROR(INDEX(TableQBCalcPts[Custom],MATCH(TableQBVORP[[#This Row],[RK]],TableQBCalcPts[RK],0)),"")</f>
        <v/>
      </c>
      <c r="F68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68">
        <v>67</v>
      </c>
      <c r="I68" s="112" t="str">
        <f>IFERROR(INDEX(TableRBCalcPts[PLAYER],MATCH(TableRBVORP[[#This Row],[RK]],TableRBCalcPts[RK],0)),"")</f>
        <v>Isaiah Davis</v>
      </c>
      <c r="J68" s="112" t="str">
        <f>IFERROR(INDEX(TableRBCalcPts[TM],MATCH(TableRBVORP[[#This Row],[RK]],TableRBCalcPts[RK],0)),"")</f>
        <v>NYJ</v>
      </c>
      <c r="K68" s="112">
        <f>IFERROR(INDEX(TableRBCalcPts[BYE],MATCH(TableRBVORP[[#This Row],[RK]],TableRBCalcPts[RK],0)),"")</f>
        <v>12</v>
      </c>
      <c r="L68" s="113">
        <f>IFERROR(INDEX(TableRBCalcPts[Custom],MATCH(TableRBVORP[[#This Row],[RK]],TableRBCalcPts[RK],0)),"")</f>
        <v>62.875623136388576</v>
      </c>
      <c r="M68" s="114">
        <f>(IFERROR((TableRBVORP[[#This Row],[FPS]]-INDEX(TableRBVORP[FPS],MATCH(RBVORPCalc,TableRBVORP[RK],0)))/INDEX(TableRBVORP[FPS],MATCH(RBVORPCalc,TableRBVORP[RK],0)),""))*0.8</f>
        <v>-0.38052462709875212</v>
      </c>
      <c r="O68">
        <v>67</v>
      </c>
      <c r="P68" s="112" t="str">
        <f>IFERROR(INDEX(TableWRCalcPts[PLAYER],MATCH(TableWRVORP[[#This Row],[RK]],TableWRCalcPts[RK],0)),"")</f>
        <v>Jalen Tolbert</v>
      </c>
      <c r="Q68" s="112" t="str">
        <f>IFERROR(INDEX(TableWRCalcPts[TM],MATCH(TableWRVORP[[#This Row],[RK]],TableWRCalcPts[RK],0)),"")</f>
        <v>DAL</v>
      </c>
      <c r="R68" s="112">
        <f>IFERROR(INDEX(TableWRCalcPts[BYE],MATCH(TableWRVORP[[#This Row],[RK]],TableWRCalcPts[RK],0)),"")</f>
        <v>7</v>
      </c>
      <c r="S68" s="113">
        <f>IFERROR(INDEX(TableWRCalcPts[Custom],MATCH(TableWRVORP[[#This Row],[RK]],TableWRCalcPts[RK],0)),"")</f>
        <v>123.19600289357085</v>
      </c>
      <c r="T68" s="114">
        <f>(IFERROR((TableWRVORP[[#This Row],[FPS]]-INDEX(TableWRVORP[FPS],MATCH(WRVORPCalc,TableWRVORP[RK],0)))/INDEX(TableWRVORP[FPS],MATCH(WRVORPCalc,TableWRVORP[RK],0)),""))*1.2</f>
        <v>-0.19581513825164715</v>
      </c>
      <c r="V68">
        <v>67</v>
      </c>
      <c r="W68" s="112" t="str">
        <f>IFERROR(INDEX(TableTECalcPts[PLAYER],MATCH(TableTEVORP[[#This Row],[RK]],TableTECalcPts[RK],0)),"")</f>
        <v>Luke Farrell</v>
      </c>
      <c r="X68" s="112" t="str">
        <f>IFERROR(INDEX(TableTECalcPts[TM],MATCH(TableTEVORP[[#This Row],[RK]],TableTECalcPts[RK],0)),"")</f>
        <v>JAX</v>
      </c>
      <c r="Y68" s="112">
        <f>IFERROR(INDEX(TableTECalcPts[BYE],MATCH(TableTEVORP[[#This Row],[RK]],TableTECalcPts[RK],0)),"")</f>
        <v>12</v>
      </c>
      <c r="Z68" s="113">
        <f>IFERROR(INDEX(TableTECalcPts[Custom],MATCH(TableTEVORP[[#This Row],[RK]],TableTECalcPts[RK],0)),"")</f>
        <v>11.845446054100696</v>
      </c>
      <c r="AA68" s="114">
        <f>IFERROR((TableTEVORP[[#This Row],[FPS]]-INDEX(TableTEVORP[FPS],MATCH(TEVORPCalc,TableTEVORP[RK],0)))/INDEX(TableTEVORP[FPS],MATCH(TEVORPCalc,TableTEVORP[RK],0)),"")</f>
        <v>-0.91001569876910537</v>
      </c>
      <c r="AF68" t="s">
        <v>207</v>
      </c>
      <c r="AG68">
        <v>27</v>
      </c>
      <c r="AH68" s="83">
        <f>RANK(TableOverallMaster[[#This Row],[VORP]],TableOverallMaster[VORP])+COUNTIF($AM$2:AM68,AM68)-1</f>
        <v>54</v>
      </c>
      <c r="AI68" s="115" t="str">
        <f>IFERROR(INDEX(TableRBVORP[RUNNING BACK],MATCH(TableOverallMaster[[#This Row],[RK]],TableRBVORP[RK],0)),"")</f>
        <v>David Montgomery</v>
      </c>
      <c r="AJ68" s="115" t="str">
        <f t="shared" si="1"/>
        <v>RB27</v>
      </c>
      <c r="AK68" s="115">
        <f>IFERROR(INDEX(TableRBVORP[BYE],MATCH(TableOverallMaster[[#This Row],[RK]],TableRBVORP[RK],0)),"")</f>
        <v>5</v>
      </c>
      <c r="AL68" s="116">
        <f>IFERROR(INDEX(TableRBVORP[FPS],MATCH(TableOverallMaster[[#This Row],[RK]],TableRBVORP[RK],0)),"")</f>
        <v>175.52927230347515</v>
      </c>
      <c r="AM68" s="117">
        <f>IFERROR(INDEX(TableRBVORP[VORP],MATCH(TableOverallMaster[[#This Row],[RK]],TableRBVORP[RK],0)),"")</f>
        <v>0.37104536355636136</v>
      </c>
      <c r="AO68">
        <v>67</v>
      </c>
      <c r="AP68" s="118" t="str">
        <f>IFERROR(INDEX(TableOverallMaster[OVERALL PLAYER],MATCH(TableOverallRank[[#This Row],[RK]],TableOverallMaster[OVR RK],0)),"")</f>
        <v>Stefon Diggs</v>
      </c>
      <c r="AQ68" s="119" t="str">
        <f>IFERROR(INDEX(TableOverallMaster[POS RK],MATCH(TableOverallRank[[#This Row],[OVERALL PLAYER]],TableOverallMaster[OVERALL PLAYER],0)),"")</f>
        <v>WR28</v>
      </c>
      <c r="AR68" s="120">
        <f>IFERROR(INDEX(TableOverallMaster[BYE],MATCH(TableOverallRank[[#This Row],[OVERALL PLAYER]],TableOverallMaster[OVERALL PLAYER],0)),"")</f>
        <v>14</v>
      </c>
      <c r="AS68" s="119">
        <f>IFERROR(INDEX(TableOverallMaster[Custom],MATCH(TableOverallRank[[#This Row],[OVERALL PLAYER]],TableOverallMaster[OVERALL PLAYER],0)),"")</f>
        <v>185.17442688786917</v>
      </c>
      <c r="AT68" s="121">
        <f>IFERROR(INDEX(TableOverallMaster[VORP],MATCH(TableOverallRank[[#This Row],[OVERALL PLAYER]],TableOverallMaster[OVERALL PLAYER],0)),"")</f>
        <v>0.30937816078633018</v>
      </c>
      <c r="AV68">
        <v>67</v>
      </c>
      <c r="AW68" s="122" t="str">
        <f>IFERROR(INDEX(TableWRTECalcPts[PLAYER],MATCH(TableWRTERank[[#This Row],[RK]],TableWRTECalcPts[RK],0)),"")</f>
        <v>Rashid Shaheed</v>
      </c>
      <c r="AX68" s="122" t="str">
        <f>IFERROR(INDEX(TableWRTECalcPts[POS RK],MATCH(TableWRTERank[[#This Row],[WR and TE COMBINED]],TableWRTECalcPts[PLAYER],0)),"")</f>
        <v>WR58</v>
      </c>
      <c r="AY68" s="122">
        <f>IFERROR(INDEX(TableWRTECalcPts[BYE],MATCH(TableWRTERank[[#This Row],[RK]],TableWRTECalcPts[RK],0)),"")</f>
        <v>12</v>
      </c>
      <c r="AZ68" s="123">
        <f>IFERROR(INDEX(TableWRTECalcPts[Custom],MATCH(TableWRTERank[[#This Row],[RK]],TableWRTECalcPts[RK],0)),"")</f>
        <v>146.61073300360175</v>
      </c>
      <c r="BA68" s="174">
        <f>IFERROR((TableWRTERank[[#This Row],[FPS]]-INDEX(TableWRTERank[FPS],MATCH(WRTEVORPCalc,TableWRTERank[RK],0)))/INDEX(TableWRTERank[FPS],MATCH(WRTEVORPCalc,TableWRTERank[RK],0)),"")</f>
        <v>-6.5716048511452685E-2</v>
      </c>
      <c r="BC68" t="s">
        <v>208</v>
      </c>
      <c r="BD68">
        <v>67</v>
      </c>
      <c r="BE68" s="83">
        <f>RANK(TableWRTEMaster[[#This Row],[VORP]],TableWRTEMaster[VORP])+COUNTIF($BJ$2:BJ68,BJ68)-1</f>
        <v>81</v>
      </c>
      <c r="BF68" s="115" t="str">
        <f>IFERROR(INDEX(TableWRVORP[WIDE RECEIVER],MATCH(TableWRTEMaster[[#This Row],[RK]],TableWRVORP[RK],0)),"")</f>
        <v>Jalen Tolbert</v>
      </c>
      <c r="BG68" s="115" t="str">
        <f>_xlfn.CONCAT(TableWRTEMaster[[#This Row],[POS]],TableWRTEMaster[[#This Row],[RK]])</f>
        <v>WR67</v>
      </c>
      <c r="BH68" s="115">
        <f>IFERROR(INDEX(TableWRVORP[BYE],MATCH(TableWRTEMaster[[#This Row],[RK]],TableWRVORP[RK],0)),"")</f>
        <v>7</v>
      </c>
      <c r="BI68" s="116">
        <f>IFERROR(INDEX(TableWRVORP[FPS],MATCH(TableWRTEMaster[[#This Row],[RK]],TableWRVORP[RK],0)),"")</f>
        <v>123.19600289357085</v>
      </c>
      <c r="BJ68" s="117">
        <f>IFERROR(INDEX(TableWRVORP[VORP],MATCH(TableWRTEMaster[[#This Row],[RK]],TableWRVORP[RK],0)),"")</f>
        <v>-0.19581513825164715</v>
      </c>
    </row>
    <row r="69" spans="1:62" x14ac:dyDescent="0.2">
      <c r="A69">
        <v>68</v>
      </c>
      <c r="B69" s="112" t="str">
        <f>IFERROR(INDEX(TableQBCalcPts[PLAYER],MATCH(TableQBVORP[[#This Row],[RK]],TableQBCalcPts[RK],0)),"")</f>
        <v/>
      </c>
      <c r="C69" s="112" t="str">
        <f>IFERROR(INDEX(TableQBCalcPts[TM],MATCH(TableQBVORP[[#This Row],[RK]],TableQBCalcPts[RK],0)),"")</f>
        <v/>
      </c>
      <c r="D69" s="112" t="str">
        <f>IFERROR(INDEX(TableQBCalcPts[BYE],MATCH(TableQBVORP[[#This Row],[RK]],TableQBCalcPts[RK],0)),"")</f>
        <v/>
      </c>
      <c r="E69" s="113" t="str">
        <f>IFERROR(INDEX(TableQBCalcPts[Custom],MATCH(TableQBVORP[[#This Row],[RK]],TableQBCalcPts[RK],0)),"")</f>
        <v/>
      </c>
      <c r="F69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69">
        <v>68</v>
      </c>
      <c r="I69" s="112" t="str">
        <f>IFERROR(INDEX(TableRBCalcPts[PLAYER],MATCH(TableRBVORP[[#This Row],[RK]],TableRBCalcPts[RK],0)),"")</f>
        <v>Eric Gray</v>
      </c>
      <c r="J69" s="112" t="str">
        <f>IFERROR(INDEX(TableRBCalcPts[TM],MATCH(TableRBVORP[[#This Row],[RK]],TableRBCalcPts[RK],0)),"")</f>
        <v>NYG</v>
      </c>
      <c r="K69" s="112">
        <f>IFERROR(INDEX(TableRBCalcPts[BYE],MATCH(TableRBVORP[[#This Row],[RK]],TableRBCalcPts[RK],0)),"")</f>
        <v>11</v>
      </c>
      <c r="L69" s="113">
        <f>IFERROR(INDEX(TableRBCalcPts[Custom],MATCH(TableRBVORP[[#This Row],[RK]],TableRBCalcPts[RK],0)),"")</f>
        <v>56.079180159279936</v>
      </c>
      <c r="M69" s="114">
        <f>(IFERROR((TableRBVORP[[#This Row],[FPS]]-INDEX(TableRBVORP[FPS],MATCH(RBVORPCalc,TableRBVORP[RK],0)))/INDEX(TableRBVORP[FPS],MATCH(RBVORPCalc,TableRBVORP[RK],0)),""))*0.8</f>
        <v>-0.42586716702142624</v>
      </c>
      <c r="O69">
        <v>68</v>
      </c>
      <c r="P69" s="112" t="str">
        <f>IFERROR(INDEX(TableWRCalcPts[PLAYER],MATCH(TableWRVORP[[#This Row],[RK]],TableWRCalcPts[RK],0)),"")</f>
        <v>Jerry Jeudy</v>
      </c>
      <c r="Q69" s="112" t="str">
        <f>IFERROR(INDEX(TableWRCalcPts[TM],MATCH(TableWRVORP[[#This Row],[RK]],TableWRCalcPts[RK],0)),"")</f>
        <v>CLE</v>
      </c>
      <c r="R69" s="112">
        <f>IFERROR(INDEX(TableWRCalcPts[BYE],MATCH(TableWRVORP[[#This Row],[RK]],TableWRCalcPts[RK],0)),"")</f>
        <v>10</v>
      </c>
      <c r="S69" s="113">
        <f>IFERROR(INDEX(TableWRCalcPts[Custom],MATCH(TableWRVORP[[#This Row],[RK]],TableWRCalcPts[RK],0)),"")</f>
        <v>119.45643086477995</v>
      </c>
      <c r="T69" s="114">
        <f>(IFERROR((TableWRVORP[[#This Row],[FPS]]-INDEX(TableWRVORP[FPS],MATCH(WRVORPCalc,TableWRVORP[RK],0)))/INDEX(TableWRVORP[FPS],MATCH(WRVORPCalc,TableWRVORP[RK],0)),""))*1.2</f>
        <v>-0.22629682217424602</v>
      </c>
      <c r="V69">
        <v>68</v>
      </c>
      <c r="W69" s="112" t="str">
        <f>IFERROR(INDEX(TableTECalcPts[PLAYER],MATCH(TableTEVORP[[#This Row],[RK]],TableTECalcPts[RK],0)),"")</f>
        <v>Ian Thomas</v>
      </c>
      <c r="X69" s="112" t="str">
        <f>IFERROR(INDEX(TableTECalcPts[TM],MATCH(TableTEVORP[[#This Row],[RK]],TableTECalcPts[RK],0)),"")</f>
        <v>CAR</v>
      </c>
      <c r="Y69" s="112">
        <f>IFERROR(INDEX(TableTECalcPts[BYE],MATCH(TableTEVORP[[#This Row],[RK]],TableTECalcPts[RK],0)),"")</f>
        <v>11</v>
      </c>
      <c r="Z69" s="113">
        <f>IFERROR(INDEX(TableTECalcPts[Custom],MATCH(TableTEVORP[[#This Row],[RK]],TableTECalcPts[RK],0)),"")</f>
        <v>11.009039341968327</v>
      </c>
      <c r="AA69" s="114">
        <f>IFERROR((TableTEVORP[[#This Row],[FPS]]-INDEX(TableTEVORP[FPS],MATCH(TEVORPCalc,TableTEVORP[RK],0)))/INDEX(TableTEVORP[FPS],MATCH(TEVORPCalc,TableTEVORP[RK],0)),"")</f>
        <v>-0.91636948850334721</v>
      </c>
      <c r="AF69" t="s">
        <v>207</v>
      </c>
      <c r="AG69">
        <v>28</v>
      </c>
      <c r="AH69" s="83">
        <f>RANK(TableOverallMaster[[#This Row],[VORP]],TableOverallMaster[VORP])+COUNTIF($AM$2:AM69,AM69)-1</f>
        <v>55</v>
      </c>
      <c r="AI69" s="115" t="str">
        <f>IFERROR(INDEX(TableRBVORP[RUNNING BACK],MATCH(TableOverallMaster[[#This Row],[RK]],TableRBVORP[RK],0)),"")</f>
        <v>Tony Pollard</v>
      </c>
      <c r="AJ69" s="115" t="str">
        <f t="shared" si="1"/>
        <v>RB28</v>
      </c>
      <c r="AK69" s="115">
        <f>IFERROR(INDEX(TableRBVORP[BYE],MATCH(TableOverallMaster[[#This Row],[RK]],TableRBVORP[RK],0)),"")</f>
        <v>5</v>
      </c>
      <c r="AL69" s="116">
        <f>IFERROR(INDEX(TableRBVORP[FPS],MATCH(TableOverallMaster[[#This Row],[RK]],TableRBVORP[RK],0)),"")</f>
        <v>175.18208691056179</v>
      </c>
      <c r="AM69" s="117">
        <f>IFERROR(INDEX(TableRBVORP[VORP],MATCH(TableOverallMaster[[#This Row],[RK]],TableRBVORP[RK],0)),"")</f>
        <v>0.36872911260100638</v>
      </c>
      <c r="AO69">
        <v>68</v>
      </c>
      <c r="AP69" s="118" t="str">
        <f>IFERROR(INDEX(TableOverallMaster[OVERALL PLAYER],MATCH(TableOverallRank[[#This Row],[RK]],TableOverallMaster[OVR RK],0)),"")</f>
        <v>Amari Cooper</v>
      </c>
      <c r="AQ69" s="119" t="str">
        <f>IFERROR(INDEX(TableOverallMaster[POS RK],MATCH(TableOverallRank[[#This Row],[OVERALL PLAYER]],TableOverallMaster[OVERALL PLAYER],0)),"")</f>
        <v>WR29</v>
      </c>
      <c r="AR69" s="120">
        <f>IFERROR(INDEX(TableOverallMaster[BYE],MATCH(TableOverallRank[[#This Row],[OVERALL PLAYER]],TableOverallMaster[OVERALL PLAYER],0)),"")</f>
        <v>10</v>
      </c>
      <c r="AS69" s="119">
        <f>IFERROR(INDEX(TableOverallMaster[Custom],MATCH(TableOverallRank[[#This Row],[OVERALL PLAYER]],TableOverallMaster[OVERALL PLAYER],0)),"")</f>
        <v>183.56746715999992</v>
      </c>
      <c r="AT69" s="121">
        <f>IFERROR(INDEX(TableOverallMaster[VORP],MATCH(TableOverallRank[[#This Row],[OVERALL PLAYER]],TableOverallMaster[OVERALL PLAYER],0)),"")</f>
        <v>0.29627964627072839</v>
      </c>
      <c r="AV69">
        <v>68</v>
      </c>
      <c r="AW69" s="122" t="str">
        <f>IFERROR(INDEX(TableWRTECalcPts[PLAYER],MATCH(TableWRTERank[[#This Row],[RK]],TableWRTECalcPts[RK],0)),"")</f>
        <v>Jayden Reed</v>
      </c>
      <c r="AX69" s="122" t="str">
        <f>IFERROR(INDEX(TableWRTECalcPts[POS RK],MATCH(TableWRTERank[[#This Row],[WR and TE COMBINED]],TableWRTECalcPts[PLAYER],0)),"")</f>
        <v>WR59</v>
      </c>
      <c r="AY69" s="122">
        <f>IFERROR(INDEX(TableWRTECalcPts[BYE],MATCH(TableWRTERank[[#This Row],[RK]],TableWRTECalcPts[RK],0)),"")</f>
        <v>10</v>
      </c>
      <c r="AZ69" s="123">
        <f>IFERROR(INDEX(TableWRTECalcPts[Custom],MATCH(TableWRTERank[[#This Row],[RK]],TableWRTECalcPts[RK],0)),"")</f>
        <v>145.49022396972001</v>
      </c>
      <c r="BA69" s="174">
        <f>IFERROR((TableWRTERank[[#This Row],[FPS]]-INDEX(TableWRTERank[FPS],MATCH(WRTEVORPCalc,TableWRTERank[RK],0)))/INDEX(TableWRTERank[FPS],MATCH(WRTEVORPCalc,TableWRTERank[RK],0)),"")</f>
        <v>-7.2856546252691959E-2</v>
      </c>
      <c r="BC69" t="s">
        <v>208</v>
      </c>
      <c r="BD69">
        <v>68</v>
      </c>
      <c r="BE69" s="83">
        <f>RANK(TableWRTEMaster[[#This Row],[VORP]],TableWRTEMaster[VORP])+COUNTIF($BJ$2:BJ69,BJ69)-1</f>
        <v>82</v>
      </c>
      <c r="BF69" s="115" t="str">
        <f>IFERROR(INDEX(TableWRVORP[WIDE RECEIVER],MATCH(TableWRTEMaster[[#This Row],[RK]],TableWRVORP[RK],0)),"")</f>
        <v>Jerry Jeudy</v>
      </c>
      <c r="BG69" s="115" t="str">
        <f>_xlfn.CONCAT(TableWRTEMaster[[#This Row],[POS]],TableWRTEMaster[[#This Row],[RK]])</f>
        <v>WR68</v>
      </c>
      <c r="BH69" s="115">
        <f>IFERROR(INDEX(TableWRVORP[BYE],MATCH(TableWRTEMaster[[#This Row],[RK]],TableWRVORP[RK],0)),"")</f>
        <v>10</v>
      </c>
      <c r="BI69" s="116">
        <f>IFERROR(INDEX(TableWRVORP[FPS],MATCH(TableWRTEMaster[[#This Row],[RK]],TableWRVORP[RK],0)),"")</f>
        <v>119.45643086477995</v>
      </c>
      <c r="BJ69" s="117">
        <f>IFERROR(INDEX(TableWRVORP[VORP],MATCH(TableWRTEMaster[[#This Row],[RK]],TableWRVORP[RK],0)),"")</f>
        <v>-0.22629682217424602</v>
      </c>
    </row>
    <row r="70" spans="1:62" x14ac:dyDescent="0.2">
      <c r="A70">
        <v>69</v>
      </c>
      <c r="B70" s="112" t="str">
        <f>IFERROR(INDEX(TableQBCalcPts[PLAYER],MATCH(TableQBVORP[[#This Row],[RK]],TableQBCalcPts[RK],0)),"")</f>
        <v/>
      </c>
      <c r="C70" s="112" t="str">
        <f>IFERROR(INDEX(TableQBCalcPts[TM],MATCH(TableQBVORP[[#This Row],[RK]],TableQBCalcPts[RK],0)),"")</f>
        <v/>
      </c>
      <c r="D70" s="112" t="str">
        <f>IFERROR(INDEX(TableQBCalcPts[BYE],MATCH(TableQBVORP[[#This Row],[RK]],TableQBCalcPts[RK],0)),"")</f>
        <v/>
      </c>
      <c r="E70" s="113" t="str">
        <f>IFERROR(INDEX(TableQBCalcPts[Custom],MATCH(TableQBVORP[[#This Row],[RK]],TableQBCalcPts[RK],0)),"")</f>
        <v/>
      </c>
      <c r="F70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70">
        <v>69</v>
      </c>
      <c r="I70" s="112" t="str">
        <f>IFERROR(INDEX(TableRBCalcPts[PLAYER],MATCH(TableRBVORP[[#This Row],[RK]],TableRBCalcPts[RK],0)),"")</f>
        <v>Cam Akers</v>
      </c>
      <c r="J70" s="112" t="str">
        <f>IFERROR(INDEX(TableRBCalcPts[TM],MATCH(TableRBVORP[[#This Row],[RK]],TableRBCalcPts[RK],0)),"")</f>
        <v>HOU</v>
      </c>
      <c r="K70" s="112">
        <f>IFERROR(INDEX(TableRBCalcPts[BYE],MATCH(TableRBVORP[[#This Row],[RK]],TableRBCalcPts[RK],0)),"")</f>
        <v>14</v>
      </c>
      <c r="L70" s="113">
        <f>IFERROR(INDEX(TableRBCalcPts[Custom],MATCH(TableRBVORP[[#This Row],[RK]],TableRBCalcPts[RK],0)),"")</f>
        <v>55.821044843199999</v>
      </c>
      <c r="M70" s="114">
        <f>(IFERROR((TableRBVORP[[#This Row],[FPS]]-INDEX(TableRBVORP[FPS],MATCH(RBVORPCalc,TableRBVORP[RK],0)))/INDEX(TableRBVORP[FPS],MATCH(RBVORPCalc,TableRBVORP[RK],0)),""))*0.8</f>
        <v>-0.42758931946414214</v>
      </c>
      <c r="O70">
        <v>69</v>
      </c>
      <c r="P70" s="112" t="str">
        <f>IFERROR(INDEX(TableWRCalcPts[PLAYER],MATCH(TableWRVORP[[#This Row],[RK]],TableWRCalcPts[RK],0)),"")</f>
        <v>Josh Downs</v>
      </c>
      <c r="Q70" s="112" t="str">
        <f>IFERROR(INDEX(TableWRCalcPts[TM],MATCH(TableWRVORP[[#This Row],[RK]],TableWRCalcPts[RK],0)),"")</f>
        <v>IND</v>
      </c>
      <c r="R70" s="112">
        <f>IFERROR(INDEX(TableWRCalcPts[BYE],MATCH(TableWRVORP[[#This Row],[RK]],TableWRCalcPts[RK],0)),"")</f>
        <v>14</v>
      </c>
      <c r="S70" s="113">
        <f>IFERROR(INDEX(TableWRCalcPts[Custom],MATCH(TableWRVORP[[#This Row],[RK]],TableWRCalcPts[RK],0)),"")</f>
        <v>118.20034773366744</v>
      </c>
      <c r="T70" s="114">
        <f>(IFERROR((TableWRVORP[[#This Row],[FPS]]-INDEX(TableWRVORP[FPS],MATCH(WRVORPCalc,TableWRVORP[RK],0)))/INDEX(TableWRVORP[FPS],MATCH(WRVORPCalc,TableWRVORP[RK],0)),""))*1.2</f>
        <v>-0.23653530098634123</v>
      </c>
      <c r="V70">
        <v>69</v>
      </c>
      <c r="W70" s="112" t="str">
        <f>IFERROR(INDEX(TableTECalcPts[PLAYER],MATCH(TableTEVORP[[#This Row],[RK]],TableTECalcPts[RK],0)),"")</f>
        <v>Julian Hill</v>
      </c>
      <c r="X70" s="112" t="str">
        <f>IFERROR(INDEX(TableTECalcPts[TM],MATCH(TableTEVORP[[#This Row],[RK]],TableTECalcPts[RK],0)),"")</f>
        <v>MIA</v>
      </c>
      <c r="Y70" s="112">
        <f>IFERROR(INDEX(TableTECalcPts[BYE],MATCH(TableTEVORP[[#This Row],[RK]],TableTECalcPts[RK],0)),"")</f>
        <v>6</v>
      </c>
      <c r="Z70" s="113">
        <f>IFERROR(INDEX(TableTECalcPts[Custom],MATCH(TableTEVORP[[#This Row],[RK]],TableTECalcPts[RK],0)),"")</f>
        <v>10.861141758436784</v>
      </c>
      <c r="AA70" s="114">
        <f>IFERROR((TableTEVORP[[#This Row],[FPS]]-INDEX(TableTEVORP[FPS],MATCH(TEVORPCalc,TableTEVORP[RK],0)))/INDEX(TableTEVORP[FPS],MATCH(TEVORPCalc,TableTEVORP[RK],0)),"")</f>
        <v>-0.91749299711982657</v>
      </c>
      <c r="AF70" t="s">
        <v>207</v>
      </c>
      <c r="AG70">
        <v>29</v>
      </c>
      <c r="AH70" s="83">
        <f>RANK(TableOverallMaster[[#This Row],[VORP]],TableOverallMaster[VORP])+COUNTIF($AM$2:AM70,AM70)-1</f>
        <v>60</v>
      </c>
      <c r="AI70" s="115" t="str">
        <f>IFERROR(INDEX(TableRBVORP[RUNNING BACK],MATCH(TableOverallMaster[[#This Row],[RK]],TableRBVORP[RK],0)),"")</f>
        <v>Tyjae Spears</v>
      </c>
      <c r="AJ70" s="115" t="str">
        <f t="shared" si="1"/>
        <v>RB29</v>
      </c>
      <c r="AK70" s="115">
        <f>IFERROR(INDEX(TableRBVORP[BYE],MATCH(TableOverallMaster[[#This Row],[RK]],TableRBVORP[RK],0)),"")</f>
        <v>5</v>
      </c>
      <c r="AL70" s="116">
        <f>IFERROR(INDEX(TableRBVORP[FPS],MATCH(TableOverallMaster[[#This Row],[RK]],TableRBVORP[RK],0)),"")</f>
        <v>174.00101222826075</v>
      </c>
      <c r="AM70" s="117">
        <f>IFERROR(INDEX(TableRBVORP[VORP],MATCH(TableOverallMaster[[#This Row],[RK]],TableRBVORP[RK],0)),"")</f>
        <v>0.36084956058912776</v>
      </c>
      <c r="AO70">
        <v>69</v>
      </c>
      <c r="AP70" s="118" t="str">
        <f>IFERROR(INDEX(TableOverallMaster[OVERALL PLAYER],MATCH(TableOverallRank[[#This Row],[RK]],TableOverallMaster[OVR RK],0)),"")</f>
        <v>Trey McBride</v>
      </c>
      <c r="AQ70" s="119" t="str">
        <f>IFERROR(INDEX(TableOverallMaster[POS RK],MATCH(TableOverallRank[[#This Row],[OVERALL PLAYER]],TableOverallMaster[OVERALL PLAYER],0)),"")</f>
        <v>TE5</v>
      </c>
      <c r="AR70" s="120">
        <f>IFERROR(INDEX(TableOverallMaster[BYE],MATCH(TableOverallRank[[#This Row],[OVERALL PLAYER]],TableOverallMaster[OVERALL PLAYER],0)),"")</f>
        <v>11</v>
      </c>
      <c r="AS70" s="119">
        <f>IFERROR(INDEX(TableOverallMaster[Custom],MATCH(TableOverallRank[[#This Row],[OVERALL PLAYER]],TableOverallMaster[OVERALL PLAYER],0)),"")</f>
        <v>170.05237121158649</v>
      </c>
      <c r="AT70" s="121">
        <f>IFERROR(INDEX(TableOverallMaster[VORP],MATCH(TableOverallRank[[#This Row],[OVERALL PLAYER]],TableOverallMaster[OVERALL PLAYER],0)),"")</f>
        <v>0.2918081536350422</v>
      </c>
      <c r="AV70">
        <v>69</v>
      </c>
      <c r="AW70" s="122" t="str">
        <f>IFERROR(INDEX(TableWRTECalcPts[PLAYER],MATCH(TableWRTERank[[#This Row],[RK]],TableWRTECalcPts[RK],0)),"")</f>
        <v>Brandin Cooks</v>
      </c>
      <c r="AX70" s="122" t="str">
        <f>IFERROR(INDEX(TableWRTECalcPts[POS RK],MATCH(TableWRTERank[[#This Row],[WR and TE COMBINED]],TableWRTECalcPts[PLAYER],0)),"")</f>
        <v>WR60</v>
      </c>
      <c r="AY70" s="122">
        <f>IFERROR(INDEX(TableWRTECalcPts[BYE],MATCH(TableWRTERank[[#This Row],[RK]],TableWRTECalcPts[RK],0)),"")</f>
        <v>7</v>
      </c>
      <c r="AZ70" s="123">
        <f>IFERROR(INDEX(TableWRTECalcPts[Custom],MATCH(TableWRTERank[[#This Row],[RK]],TableWRTECalcPts[RK],0)),"")</f>
        <v>143.24353207428095</v>
      </c>
      <c r="BA70" s="174">
        <f>IFERROR((TableWRTERank[[#This Row],[FPS]]-INDEX(TableWRTERank[FPS],MATCH(WRTEVORPCalc,TableWRTERank[RK],0)))/INDEX(TableWRTERank[FPS],MATCH(WRTEVORPCalc,TableWRTERank[RK],0)),"")</f>
        <v>-8.7173698475077541E-2</v>
      </c>
      <c r="BC70" t="s">
        <v>208</v>
      </c>
      <c r="BD70">
        <v>69</v>
      </c>
      <c r="BE70" s="83">
        <f>RANK(TableWRTEMaster[[#This Row],[VORP]],TableWRTEMaster[VORP])+COUNTIF($BJ$2:BJ70,BJ70)-1</f>
        <v>84</v>
      </c>
      <c r="BF70" s="115" t="str">
        <f>IFERROR(INDEX(TableWRVORP[WIDE RECEIVER],MATCH(TableWRTEMaster[[#This Row],[RK]],TableWRVORP[RK],0)),"")</f>
        <v>Josh Downs</v>
      </c>
      <c r="BG70" s="115" t="str">
        <f>_xlfn.CONCAT(TableWRTEMaster[[#This Row],[POS]],TableWRTEMaster[[#This Row],[RK]])</f>
        <v>WR69</v>
      </c>
      <c r="BH70" s="115">
        <f>IFERROR(INDEX(TableWRVORP[BYE],MATCH(TableWRTEMaster[[#This Row],[RK]],TableWRVORP[RK],0)),"")</f>
        <v>14</v>
      </c>
      <c r="BI70" s="116">
        <f>IFERROR(INDEX(TableWRVORP[FPS],MATCH(TableWRTEMaster[[#This Row],[RK]],TableWRVORP[RK],0)),"")</f>
        <v>118.20034773366744</v>
      </c>
      <c r="BJ70" s="117">
        <f>IFERROR(INDEX(TableWRVORP[VORP],MATCH(TableWRTEMaster[[#This Row],[RK]],TableWRVORP[RK],0)),"")</f>
        <v>-0.23653530098634123</v>
      </c>
    </row>
    <row r="71" spans="1:62" x14ac:dyDescent="0.2">
      <c r="A71">
        <v>70</v>
      </c>
      <c r="B71" s="112" t="str">
        <f>IFERROR(INDEX(TableQBCalcPts[PLAYER],MATCH(TableQBVORP[[#This Row],[RK]],TableQBCalcPts[RK],0)),"")</f>
        <v/>
      </c>
      <c r="C71" s="112" t="str">
        <f>IFERROR(INDEX(TableQBCalcPts[TM],MATCH(TableQBVORP[[#This Row],[RK]],TableQBCalcPts[RK],0)),"")</f>
        <v/>
      </c>
      <c r="D71" s="112" t="str">
        <f>IFERROR(INDEX(TableQBCalcPts[BYE],MATCH(TableQBVORP[[#This Row],[RK]],TableQBCalcPts[RK],0)),"")</f>
        <v/>
      </c>
      <c r="E71" s="113" t="str">
        <f>IFERROR(INDEX(TableQBCalcPts[Custom],MATCH(TableQBVORP[[#This Row],[RK]],TableQBCalcPts[RK],0)),"")</f>
        <v/>
      </c>
      <c r="F71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71">
        <v>70</v>
      </c>
      <c r="I71" s="112" t="str">
        <f>IFERROR(INDEX(TableRBCalcPts[PLAYER],MATCH(TableRBVORP[[#This Row],[RK]],TableRBCalcPts[RK],0)),"")</f>
        <v>Dylan Laube</v>
      </c>
      <c r="J71" s="112" t="str">
        <f>IFERROR(INDEX(TableRBCalcPts[TM],MATCH(TableRBVORP[[#This Row],[RK]],TableRBCalcPts[RK],0)),"")</f>
        <v>LV</v>
      </c>
      <c r="K71" s="112">
        <f>IFERROR(INDEX(TableRBCalcPts[BYE],MATCH(TableRBVORP[[#This Row],[RK]],TableRBCalcPts[RK],0)),"")</f>
        <v>10</v>
      </c>
      <c r="L71" s="113">
        <f>IFERROR(INDEX(TableRBCalcPts[Custom],MATCH(TableRBVORP[[#This Row],[RK]],TableRBCalcPts[RK],0)),"")</f>
        <v>53.447944614591705</v>
      </c>
      <c r="M71" s="114">
        <f>(IFERROR((TableRBVORP[[#This Row],[FPS]]-INDEX(TableRBVORP[FPS],MATCH(RBVORPCalc,TableRBVORP[RK],0)))/INDEX(TableRBVORP[FPS],MATCH(RBVORPCalc,TableRBVORP[RK],0)),""))*0.8</f>
        <v>-0.44342148229087353</v>
      </c>
      <c r="O71">
        <v>70</v>
      </c>
      <c r="P71" s="112" t="str">
        <f>IFERROR(INDEX(TableWRCalcPts[PLAYER],MATCH(TableWRVORP[[#This Row],[RK]],TableWRCalcPts[RK],0)),"")</f>
        <v>Dontayvion Wicks</v>
      </c>
      <c r="Q71" s="112" t="str">
        <f>IFERROR(INDEX(TableWRCalcPts[TM],MATCH(TableWRVORP[[#This Row],[RK]],TableWRCalcPts[RK],0)),"")</f>
        <v>GB</v>
      </c>
      <c r="R71" s="112">
        <f>IFERROR(INDEX(TableWRCalcPts[BYE],MATCH(TableWRVORP[[#This Row],[RK]],TableWRCalcPts[RK],0)),"")</f>
        <v>10</v>
      </c>
      <c r="S71" s="113">
        <f>IFERROR(INDEX(TableWRCalcPts[Custom],MATCH(TableWRVORP[[#This Row],[RK]],TableWRCalcPts[RK],0)),"")</f>
        <v>116.82642108095868</v>
      </c>
      <c r="T71" s="114">
        <f>(IFERROR((TableWRVORP[[#This Row],[FPS]]-INDEX(TableWRVORP[FPS],MATCH(WRVORPCalc,TableWRVORP[RK],0)))/INDEX(TableWRVORP[FPS],MATCH(WRVORPCalc,TableWRVORP[RK],0)),""))*1.2</f>
        <v>-0.24773433596635294</v>
      </c>
      <c r="V71">
        <v>70</v>
      </c>
      <c r="W71" s="112" t="str">
        <f>IFERROR(INDEX(TableTECalcPts[PLAYER],MATCH(TableTEVORP[[#This Row],[RK]],TableTECalcPts[RK],0)),"")</f>
        <v>Durham Smythe</v>
      </c>
      <c r="X71" s="112" t="str">
        <f>IFERROR(INDEX(TableTECalcPts[TM],MATCH(TableTEVORP[[#This Row],[RK]],TableTECalcPts[RK],0)),"")</f>
        <v>MIA</v>
      </c>
      <c r="Y71" s="112">
        <f>IFERROR(INDEX(TableTECalcPts[BYE],MATCH(TableTEVORP[[#This Row],[RK]],TableTECalcPts[RK],0)),"")</f>
        <v>6</v>
      </c>
      <c r="Z71" s="113">
        <f>IFERROR(INDEX(TableTECalcPts[Custom],MATCH(TableTEVORP[[#This Row],[RK]],TableTECalcPts[RK],0)),"")</f>
        <v>9.7230845072298351</v>
      </c>
      <c r="AA71" s="114">
        <f>IFERROR((TableTEVORP[[#This Row],[FPS]]-INDEX(TableTEVORP[FPS],MATCH(TEVORPCalc,TableTEVORP[RK],0)))/INDEX(TableTEVORP[FPS],MATCH(TEVORPCalc,TableTEVORP[RK],0)),"")</f>
        <v>-0.92613828460354775</v>
      </c>
      <c r="AF71" t="s">
        <v>207</v>
      </c>
      <c r="AG71">
        <v>30</v>
      </c>
      <c r="AH71" s="83">
        <f>RANK(TableOverallMaster[[#This Row],[VORP]],TableOverallMaster[VORP])+COUNTIF($AM$2:AM71,AM71)-1</f>
        <v>64</v>
      </c>
      <c r="AI71" s="115" t="str">
        <f>IFERROR(INDEX(TableRBVORP[RUNNING BACK],MATCH(TableOverallMaster[[#This Row],[RK]],TableRBVORP[RK],0)),"")</f>
        <v>Raheem Mostert</v>
      </c>
      <c r="AJ71" s="115" t="str">
        <f t="shared" si="1"/>
        <v>RB30</v>
      </c>
      <c r="AK71" s="115">
        <f>IFERROR(INDEX(TableRBVORP[BYE],MATCH(TableOverallMaster[[#This Row],[RK]],TableRBVORP[RK],0)),"")</f>
        <v>6</v>
      </c>
      <c r="AL71" s="116">
        <f>IFERROR(INDEX(TableRBVORP[FPS],MATCH(TableOverallMaster[[#This Row],[RK]],TableRBVORP[RK],0)),"")</f>
        <v>169.2372413840734</v>
      </c>
      <c r="AM71" s="117">
        <f>IFERROR(INDEX(TableRBVORP[VORP],MATCH(TableOverallMaster[[#This Row],[RK]],TableRBVORP[RK],0)),"")</f>
        <v>0.32906801391646989</v>
      </c>
      <c r="AO71">
        <v>70</v>
      </c>
      <c r="AP71" s="118" t="str">
        <f>IFERROR(INDEX(TableOverallMaster[OVERALL PLAYER],MATCH(TableOverallRank[[#This Row],[RK]],TableOverallMaster[OVR RK],0)),"")</f>
        <v>Calvin Ridley</v>
      </c>
      <c r="AQ71" s="119" t="str">
        <f>IFERROR(INDEX(TableOverallMaster[POS RK],MATCH(TableOverallRank[[#This Row],[OVERALL PLAYER]],TableOverallMaster[OVERALL PLAYER],0)),"")</f>
        <v>WR30</v>
      </c>
      <c r="AR71" s="120">
        <f>IFERROR(INDEX(TableOverallMaster[BYE],MATCH(TableOverallRank[[#This Row],[OVERALL PLAYER]],TableOverallMaster[OVERALL PLAYER],0)),"")</f>
        <v>5</v>
      </c>
      <c r="AS71" s="119">
        <f>IFERROR(INDEX(TableOverallMaster[Custom],MATCH(TableOverallRank[[#This Row],[OVERALL PLAYER]],TableOverallMaster[OVERALL PLAYER],0)),"")</f>
        <v>182.91329454254475</v>
      </c>
      <c r="AT71" s="121">
        <f>IFERROR(INDEX(TableOverallMaster[VORP],MATCH(TableOverallRank[[#This Row],[OVERALL PLAYER]],TableOverallMaster[OVERALL PLAYER],0)),"")</f>
        <v>0.29094740963975357</v>
      </c>
      <c r="AV71">
        <v>70</v>
      </c>
      <c r="AW71" s="122" t="str">
        <f>IFERROR(INDEX(TableWRTECalcPts[PLAYER],MATCH(TableWRTERank[[#This Row],[RK]],TableWRTECalcPts[RK],0)),"")</f>
        <v>Brock Bowers</v>
      </c>
      <c r="AX71" s="122" t="str">
        <f>IFERROR(INDEX(TableWRTECalcPts[POS RK],MATCH(TableWRTERank[[#This Row],[WR and TE COMBINED]],TableWRTECalcPts[PLAYER],0)),"")</f>
        <v>TE10</v>
      </c>
      <c r="AY71" s="122">
        <f>IFERROR(INDEX(TableWRTECalcPts[BYE],MATCH(TableWRTERank[[#This Row],[RK]],TableWRTECalcPts[RK],0)),"")</f>
        <v>10</v>
      </c>
      <c r="AZ71" s="123">
        <f>IFERROR(INDEX(TableWRTECalcPts[Custom],MATCH(TableWRTERank[[#This Row],[RK]],TableWRTECalcPts[RK],0)),"")</f>
        <v>142.6223646861975</v>
      </c>
      <c r="BA71" s="174">
        <f>IFERROR((TableWRTERank[[#This Row],[FPS]]-INDEX(TableWRTERank[FPS],MATCH(WRTEVORPCalc,TableWRTERank[RK],0)))/INDEX(TableWRTERank[FPS],MATCH(WRTEVORPCalc,TableWRTERank[RK],0)),"")</f>
        <v>-9.1132117548394412E-2</v>
      </c>
      <c r="BC71" t="s">
        <v>208</v>
      </c>
      <c r="BD71">
        <v>70</v>
      </c>
      <c r="BE71" s="83">
        <f>RANK(TableWRTEMaster[[#This Row],[VORP]],TableWRTEMaster[VORP])+COUNTIF($BJ$2:BJ71,BJ71)-1</f>
        <v>86</v>
      </c>
      <c r="BF71" s="115" t="str">
        <f>IFERROR(INDEX(TableWRVORP[WIDE RECEIVER],MATCH(TableWRTEMaster[[#This Row],[RK]],TableWRVORP[RK],0)),"")</f>
        <v>Dontayvion Wicks</v>
      </c>
      <c r="BG71" s="115" t="str">
        <f>_xlfn.CONCAT(TableWRTEMaster[[#This Row],[POS]],TableWRTEMaster[[#This Row],[RK]])</f>
        <v>WR70</v>
      </c>
      <c r="BH71" s="115">
        <f>IFERROR(INDEX(TableWRVORP[BYE],MATCH(TableWRTEMaster[[#This Row],[RK]],TableWRVORP[RK],0)),"")</f>
        <v>10</v>
      </c>
      <c r="BI71" s="116">
        <f>IFERROR(INDEX(TableWRVORP[FPS],MATCH(TableWRTEMaster[[#This Row],[RK]],TableWRVORP[RK],0)),"")</f>
        <v>116.82642108095868</v>
      </c>
      <c r="BJ71" s="117">
        <f>IFERROR(INDEX(TableWRVORP[VORP],MATCH(TableWRTEMaster[[#This Row],[RK]],TableWRVORP[RK],0)),"")</f>
        <v>-0.24773433596635294</v>
      </c>
    </row>
    <row r="72" spans="1:62" x14ac:dyDescent="0.2">
      <c r="A72">
        <v>71</v>
      </c>
      <c r="B72" s="112" t="str">
        <f>IFERROR(INDEX(TableQBCalcPts[PLAYER],MATCH(TableQBVORP[[#This Row],[RK]],TableQBCalcPts[RK],0)),"")</f>
        <v/>
      </c>
      <c r="C72" s="112" t="str">
        <f>IFERROR(INDEX(TableQBCalcPts[TM],MATCH(TableQBVORP[[#This Row],[RK]],TableQBCalcPts[RK],0)),"")</f>
        <v/>
      </c>
      <c r="D72" s="112" t="str">
        <f>IFERROR(INDEX(TableQBCalcPts[BYE],MATCH(TableQBVORP[[#This Row],[RK]],TableQBCalcPts[RK],0)),"")</f>
        <v/>
      </c>
      <c r="E72" s="113" t="str">
        <f>IFERROR(INDEX(TableQBCalcPts[Custom],MATCH(TableQBVORP[[#This Row],[RK]],TableQBCalcPts[RK],0)),"")</f>
        <v/>
      </c>
      <c r="F72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72">
        <v>71</v>
      </c>
      <c r="I72" s="112" t="str">
        <f>IFERROR(INDEX(TableRBCalcPts[PLAYER],MATCH(TableRBVORP[[#This Row],[RK]],TableRBCalcPts[RK],0)),"")</f>
        <v>Kendre Miller</v>
      </c>
      <c r="J72" s="112" t="str">
        <f>IFERROR(INDEX(TableRBCalcPts[TM],MATCH(TableRBVORP[[#This Row],[RK]],TableRBCalcPts[RK],0)),"")</f>
        <v>NO</v>
      </c>
      <c r="K72" s="112">
        <f>IFERROR(INDEX(TableRBCalcPts[BYE],MATCH(TableRBVORP[[#This Row],[RK]],TableRBCalcPts[RK],0)),"")</f>
        <v>12</v>
      </c>
      <c r="L72" s="113">
        <f>IFERROR(INDEX(TableRBCalcPts[Custom],MATCH(TableRBVORP[[#This Row],[RK]],TableRBCalcPts[RK],0)),"")</f>
        <v>50.418412403374404</v>
      </c>
      <c r="M72" s="114">
        <f>(IFERROR((TableRBVORP[[#This Row],[FPS]]-INDEX(TableRBVORP[FPS],MATCH(RBVORPCalc,TableRBVORP[RK],0)))/INDEX(TableRBVORP[FPS],MATCH(RBVORPCalc,TableRBVORP[RK],0)),""))*0.8</f>
        <v>-0.46363303790854254</v>
      </c>
      <c r="O72">
        <v>71</v>
      </c>
      <c r="P72" s="112" t="str">
        <f>IFERROR(INDEX(TableWRCalcPts[PLAYER],MATCH(TableWRVORP[[#This Row],[RK]],TableWRCalcPts[RK],0)),"")</f>
        <v>Josh Reynolds</v>
      </c>
      <c r="Q72" s="112" t="str">
        <f>IFERROR(INDEX(TableWRCalcPts[TM],MATCH(TableWRVORP[[#This Row],[RK]],TableWRCalcPts[RK],0)),"")</f>
        <v>DEN</v>
      </c>
      <c r="R72" s="112">
        <f>IFERROR(INDEX(TableWRCalcPts[BYE],MATCH(TableWRVORP[[#This Row],[RK]],TableWRCalcPts[RK],0)),"")</f>
        <v>14</v>
      </c>
      <c r="S72" s="113">
        <f>IFERROR(INDEX(TableWRCalcPts[Custom],MATCH(TableWRVORP[[#This Row],[RK]],TableWRCalcPts[RK],0)),"")</f>
        <v>115.87277082752136</v>
      </c>
      <c r="T72" s="114">
        <f>(IFERROR((TableWRVORP[[#This Row],[FPS]]-INDEX(TableWRVORP[FPS],MATCH(WRVORPCalc,TableWRVORP[RK],0)))/INDEX(TableWRVORP[FPS],MATCH(WRVORPCalc,TableWRVORP[RK],0)),""))*1.2</f>
        <v>-0.25550764942954657</v>
      </c>
      <c r="V72">
        <v>71</v>
      </c>
      <c r="W72" s="112" t="str">
        <f>IFERROR(INDEX(TableTECalcPts[PLAYER],MATCH(TableTEVORP[[#This Row],[RK]],TableTECalcPts[RK],0)),"")</f>
        <v>Chris Manhertz</v>
      </c>
      <c r="X72" s="112" t="str">
        <f>IFERROR(INDEX(TableTECalcPts[TM],MATCH(TableTEVORP[[#This Row],[RK]],TableTECalcPts[RK],0)),"")</f>
        <v>NYG</v>
      </c>
      <c r="Y72" s="112">
        <f>IFERROR(INDEX(TableTECalcPts[BYE],MATCH(TableTEVORP[[#This Row],[RK]],TableTECalcPts[RK],0)),"")</f>
        <v>11</v>
      </c>
      <c r="Z72" s="113">
        <f>IFERROR(INDEX(TableTECalcPts[Custom],MATCH(TableTEVORP[[#This Row],[RK]],TableTECalcPts[RK],0)),"")</f>
        <v>8.4511644931076084</v>
      </c>
      <c r="AA72" s="114">
        <f>IFERROR((TableTEVORP[[#This Row],[FPS]]-INDEX(TableTEVORP[FPS],MATCH(TEVORPCalc,TableTEVORP[RK],0)))/INDEX(TableTEVORP[FPS],MATCH(TEVORPCalc,TableTEVORP[RK],0)),"")</f>
        <v>-0.93580046475021739</v>
      </c>
      <c r="AF72" t="s">
        <v>207</v>
      </c>
      <c r="AG72">
        <v>31</v>
      </c>
      <c r="AH72" s="83">
        <f>RANK(TableOverallMaster[[#This Row],[VORP]],TableOverallMaster[VORP])+COUNTIF($AM$2:AM72,AM72)-1</f>
        <v>65</v>
      </c>
      <c r="AI72" s="115" t="str">
        <f>IFERROR(INDEX(TableRBVORP[RUNNING BACK],MATCH(TableOverallMaster[[#This Row],[RK]],TableRBVORP[RK],0)),"")</f>
        <v>Jerome Ford</v>
      </c>
      <c r="AJ72" s="115" t="str">
        <f t="shared" si="1"/>
        <v>RB31</v>
      </c>
      <c r="AK72" s="115">
        <f>IFERROR(INDEX(TableRBVORP[BYE],MATCH(TableOverallMaster[[#This Row],[RK]],TableRBVORP[RK],0)),"")</f>
        <v>10</v>
      </c>
      <c r="AL72" s="116">
        <f>IFERROR(INDEX(TableRBVORP[FPS],MATCH(TableOverallMaster[[#This Row],[RK]],TableRBVORP[RK],0)),"")</f>
        <v>168.69179379937501</v>
      </c>
      <c r="AM72" s="117">
        <f>IFERROR(INDEX(TableRBVORP[VORP],MATCH(TableOverallMaster[[#This Row],[RK]],TableRBVORP[RK],0)),"")</f>
        <v>0.32542905468908967</v>
      </c>
      <c r="AO72">
        <v>71</v>
      </c>
      <c r="AP72" s="118" t="str">
        <f>IFERROR(INDEX(TableOverallMaster[OVERALL PLAYER],MATCH(TableOverallRank[[#This Row],[RK]],TableOverallMaster[OVR RK],0)),"")</f>
        <v>Anthony Richardson</v>
      </c>
      <c r="AQ72" s="119" t="str">
        <f>IFERROR(INDEX(TableOverallMaster[POS RK],MATCH(TableOverallRank[[#This Row],[OVERALL PLAYER]],TableOverallMaster[OVERALL PLAYER],0)),"")</f>
        <v>QB5</v>
      </c>
      <c r="AR72" s="120">
        <f>IFERROR(INDEX(TableOverallMaster[BYE],MATCH(TableOverallRank[[#This Row],[OVERALL PLAYER]],TableOverallMaster[OVERALL PLAYER],0)),"")</f>
        <v>14</v>
      </c>
      <c r="AS72" s="119">
        <f>IFERROR(INDEX(TableOverallMaster[Custom],MATCH(TableOverallRank[[#This Row],[OVERALL PLAYER]],TableOverallMaster[OVERALL PLAYER],0)),"")</f>
        <v>343.30216825920456</v>
      </c>
      <c r="AT72" s="121">
        <f>IFERROR(INDEX(TableOverallMaster[VORP],MATCH(TableOverallRank[[#This Row],[OVERALL PLAYER]],TableOverallMaster[OVERALL PLAYER],0)),"")</f>
        <v>0.28753761962787988</v>
      </c>
      <c r="AV72">
        <v>71</v>
      </c>
      <c r="AW72" s="122" t="str">
        <f>IFERROR(INDEX(TableWRTECalcPts[PLAYER],MATCH(TableWRTERank[[#This Row],[RK]],TableWRTECalcPts[RK],0)),"")</f>
        <v>David Njoku</v>
      </c>
      <c r="AX72" s="122" t="str">
        <f>IFERROR(INDEX(TableWRTECalcPts[POS RK],MATCH(TableWRTERank[[#This Row],[WR and TE COMBINED]],TableWRTECalcPts[PLAYER],0)),"")</f>
        <v>TE11</v>
      </c>
      <c r="AY72" s="122">
        <f>IFERROR(INDEX(TableWRTECalcPts[BYE],MATCH(TableWRTERank[[#This Row],[RK]],TableWRTECalcPts[RK],0)),"")</f>
        <v>10</v>
      </c>
      <c r="AZ72" s="123">
        <f>IFERROR(INDEX(TableWRTECalcPts[Custom],MATCH(TableWRTERank[[#This Row],[RK]],TableWRTECalcPts[RK],0)),"")</f>
        <v>138.11830343849996</v>
      </c>
      <c r="BA72" s="174">
        <f>IFERROR((TableWRTERank[[#This Row],[FPS]]-INDEX(TableWRTERank[FPS],MATCH(WRTEVORPCalc,TableWRTERank[RK],0)))/INDEX(TableWRTERank[FPS],MATCH(WRTEVORPCalc,TableWRTERank[RK],0)),"")</f>
        <v>-0.11983446460058404</v>
      </c>
      <c r="BC72" t="s">
        <v>208</v>
      </c>
      <c r="BD72">
        <v>71</v>
      </c>
      <c r="BE72" s="83">
        <f>RANK(TableWRTEMaster[[#This Row],[VORP]],TableWRTEMaster[VORP])+COUNTIF($BJ$2:BJ72,BJ72)-1</f>
        <v>88</v>
      </c>
      <c r="BF72" s="115" t="str">
        <f>IFERROR(INDEX(TableWRVORP[WIDE RECEIVER],MATCH(TableWRTEMaster[[#This Row],[RK]],TableWRVORP[RK],0)),"")</f>
        <v>Josh Reynolds</v>
      </c>
      <c r="BG72" s="115" t="str">
        <f>_xlfn.CONCAT(TableWRTEMaster[[#This Row],[POS]],TableWRTEMaster[[#This Row],[RK]])</f>
        <v>WR71</v>
      </c>
      <c r="BH72" s="115">
        <f>IFERROR(INDEX(TableWRVORP[BYE],MATCH(TableWRTEMaster[[#This Row],[RK]],TableWRVORP[RK],0)),"")</f>
        <v>14</v>
      </c>
      <c r="BI72" s="116">
        <f>IFERROR(INDEX(TableWRVORP[FPS],MATCH(TableWRTEMaster[[#This Row],[RK]],TableWRVORP[RK],0)),"")</f>
        <v>115.87277082752136</v>
      </c>
      <c r="BJ72" s="117">
        <f>IFERROR(INDEX(TableWRVORP[VORP],MATCH(TableWRTEMaster[[#This Row],[RK]],TableWRVORP[RK],0)),"")</f>
        <v>-0.25550764942954657</v>
      </c>
    </row>
    <row r="73" spans="1:62" x14ac:dyDescent="0.2">
      <c r="A73">
        <v>72</v>
      </c>
      <c r="B73" s="112" t="str">
        <f>IFERROR(INDEX(TableQBCalcPts[PLAYER],MATCH(TableQBVORP[[#This Row],[RK]],TableQBCalcPts[RK],0)),"")</f>
        <v/>
      </c>
      <c r="C73" s="112" t="str">
        <f>IFERROR(INDEX(TableQBCalcPts[TM],MATCH(TableQBVORP[[#This Row],[RK]],TableQBCalcPts[RK],0)),"")</f>
        <v/>
      </c>
      <c r="D73" s="112" t="str">
        <f>IFERROR(INDEX(TableQBCalcPts[BYE],MATCH(TableQBVORP[[#This Row],[RK]],TableQBCalcPts[RK],0)),"")</f>
        <v/>
      </c>
      <c r="E73" s="113" t="str">
        <f>IFERROR(INDEX(TableQBCalcPts[Custom],MATCH(TableQBVORP[[#This Row],[RK]],TableQBCalcPts[RK],0)),"")</f>
        <v/>
      </c>
      <c r="F73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73">
        <v>72</v>
      </c>
      <c r="I73" s="112" t="str">
        <f>IFERROR(INDEX(TableRBCalcPts[PLAYER],MATCH(TableRBVORP[[#This Row],[RK]],TableRBCalcPts[RK],0)),"")</f>
        <v>Sean Tucker</v>
      </c>
      <c r="J73" s="112" t="str">
        <f>IFERROR(INDEX(TableRBCalcPts[TM],MATCH(TableRBVORP[[#This Row],[RK]],TableRBCalcPts[RK],0)),"")</f>
        <v>TB</v>
      </c>
      <c r="K73" s="112">
        <f>IFERROR(INDEX(TableRBCalcPts[BYE],MATCH(TableRBVORP[[#This Row],[RK]],TableRBCalcPts[RK],0)),"")</f>
        <v>11</v>
      </c>
      <c r="L73" s="113">
        <f>IFERROR(INDEX(TableRBCalcPts[Custom],MATCH(TableRBVORP[[#This Row],[RK]],TableRBCalcPts[RK],0)),"")</f>
        <v>43.954561520048074</v>
      </c>
      <c r="M73" s="114">
        <f>(IFERROR((TableRBVORP[[#This Row],[FPS]]-INDEX(TableRBVORP[FPS],MATCH(RBVORPCalc,TableRBVORP[RK],0)))/INDEX(TableRBVORP[FPS],MATCH(RBVORPCalc,TableRBVORP[RK],0)),""))*0.8</f>
        <v>-0.50675668622260861</v>
      </c>
      <c r="O73">
        <v>72</v>
      </c>
      <c r="P73" s="112" t="str">
        <f>IFERROR(INDEX(TableWRCalcPts[PLAYER],MATCH(TableWRVORP[[#This Row],[RK]],TableWRCalcPts[RK],0)),"")</f>
        <v>Greg Dortch</v>
      </c>
      <c r="Q73" s="112" t="str">
        <f>IFERROR(INDEX(TableWRCalcPts[TM],MATCH(TableWRVORP[[#This Row],[RK]],TableWRCalcPts[RK],0)),"")</f>
        <v>ARI</v>
      </c>
      <c r="R73" s="112">
        <f>IFERROR(INDEX(TableWRCalcPts[BYE],MATCH(TableWRVORP[[#This Row],[RK]],TableWRCalcPts[RK],0)),"")</f>
        <v>11</v>
      </c>
      <c r="S73" s="113">
        <f>IFERROR(INDEX(TableWRCalcPts[Custom],MATCH(TableWRVORP[[#This Row],[RK]],TableWRCalcPts[RK],0)),"")</f>
        <v>114.91314586095427</v>
      </c>
      <c r="T73" s="114">
        <f>(IFERROR((TableWRVORP[[#This Row],[FPS]]-INDEX(TableWRVORP[FPS],MATCH(WRVORPCalc,TableWRVORP[RK],0)))/INDEX(TableWRVORP[FPS],MATCH(WRVORPCalc,TableWRVORP[RK],0)),""))*1.2</f>
        <v>-0.263329663470172</v>
      </c>
      <c r="V73">
        <v>72</v>
      </c>
      <c r="W73" s="112" t="str">
        <f>IFERROR(INDEX(TableTECalcPts[PLAYER],MATCH(TableTEVORP[[#This Row],[RK]],TableTECalcPts[RK],0)),"")</f>
        <v>Brevin Jordan</v>
      </c>
      <c r="X73" s="112" t="str">
        <f>IFERROR(INDEX(TableTECalcPts[TM],MATCH(TableTEVORP[[#This Row],[RK]],TableTECalcPts[RK],0)),"")</f>
        <v>HOU</v>
      </c>
      <c r="Y73" s="112">
        <f>IFERROR(INDEX(TableTECalcPts[BYE],MATCH(TableTEVORP[[#This Row],[RK]],TableTECalcPts[RK],0)),"")</f>
        <v>14</v>
      </c>
      <c r="Z73" s="113">
        <f>IFERROR(INDEX(TableTECalcPts[Custom],MATCH(TableTEVORP[[#This Row],[RK]],TableTECalcPts[RK],0)),"")</f>
        <v>8.445582617471997</v>
      </c>
      <c r="AA73" s="114">
        <f>IFERROR((TableTEVORP[[#This Row],[FPS]]-INDEX(TableTEVORP[FPS],MATCH(TEVORPCalc,TableTEVORP[RK],0)))/INDEX(TableTEVORP[FPS],MATCH(TEVORPCalc,TableTEVORP[RK],0)),"")</f>
        <v>-0.93584286764296909</v>
      </c>
      <c r="AF73" t="s">
        <v>207</v>
      </c>
      <c r="AG73">
        <v>32</v>
      </c>
      <c r="AH73" s="83">
        <f>RANK(TableOverallMaster[[#This Row],[VORP]],TableOverallMaster[VORP])+COUNTIF($AM$2:AM73,AM73)-1</f>
        <v>75</v>
      </c>
      <c r="AI73" s="115" t="str">
        <f>IFERROR(INDEX(TableRBVORP[RUNNING BACK],MATCH(TableOverallMaster[[#This Row],[RK]],TableRBVORP[RK],0)),"")</f>
        <v>Gus Edwards</v>
      </c>
      <c r="AJ73" s="115" t="str">
        <f t="shared" si="1"/>
        <v>RB32</v>
      </c>
      <c r="AK73" s="115">
        <f>IFERROR(INDEX(TableRBVORP[BYE],MATCH(TableOverallMaster[[#This Row],[RK]],TableRBVORP[RK],0)),"")</f>
        <v>5</v>
      </c>
      <c r="AL73" s="116">
        <f>IFERROR(INDEX(TableRBVORP[FPS],MATCH(TableOverallMaster[[#This Row],[RK]],TableRBVORP[RK],0)),"")</f>
        <v>159.16946682775205</v>
      </c>
      <c r="AM73" s="117">
        <f>IFERROR(INDEX(TableRBVORP[VORP],MATCH(TableOverallMaster[[#This Row],[RK]],TableRBVORP[RK],0)),"")</f>
        <v>0.26190075138075319</v>
      </c>
      <c r="AO73">
        <v>72</v>
      </c>
      <c r="AP73" s="118" t="str">
        <f>IFERROR(INDEX(TableOverallMaster[OVERALL PLAYER],MATCH(TableOverallRank[[#This Row],[RK]],TableOverallMaster[OVR RK],0)),"")</f>
        <v>Tank Dell</v>
      </c>
      <c r="AQ73" s="119" t="str">
        <f>IFERROR(INDEX(TableOverallMaster[POS RK],MATCH(TableOverallRank[[#This Row],[OVERALL PLAYER]],TableOverallMaster[OVERALL PLAYER],0)),"")</f>
        <v>WR31</v>
      </c>
      <c r="AR73" s="120">
        <f>IFERROR(INDEX(TableOverallMaster[BYE],MATCH(TableOverallRank[[#This Row],[OVERALL PLAYER]],TableOverallMaster[OVERALL PLAYER],0)),"")</f>
        <v>14</v>
      </c>
      <c r="AS73" s="119">
        <f>IFERROR(INDEX(TableOverallMaster[Custom],MATCH(TableOverallRank[[#This Row],[OVERALL PLAYER]],TableOverallMaster[OVERALL PLAYER],0)),"")</f>
        <v>181.86577234960347</v>
      </c>
      <c r="AT73" s="121">
        <f>IFERROR(INDEX(TableOverallMaster[VORP],MATCH(TableOverallRank[[#This Row],[OVERALL PLAYER]],TableOverallMaster[OVERALL PLAYER],0)),"")</f>
        <v>0.28240893514552984</v>
      </c>
      <c r="AV73">
        <v>72</v>
      </c>
      <c r="AW73" s="122" t="str">
        <f>IFERROR(INDEX(TableWRTECalcPts[PLAYER],MATCH(TableWRTERank[[#This Row],[RK]],TableWRTECalcPts[RK],0)),"")</f>
        <v>Adam Thielen</v>
      </c>
      <c r="AX73" s="122" t="str">
        <f>IFERROR(INDEX(TableWRTECalcPts[POS RK],MATCH(TableWRTERank[[#This Row],[WR and TE COMBINED]],TableWRTECalcPts[PLAYER],0)),"")</f>
        <v>WR61</v>
      </c>
      <c r="AY73" s="122">
        <f>IFERROR(INDEX(TableWRTECalcPts[BYE],MATCH(TableWRTERank[[#This Row],[RK]],TableWRTECalcPts[RK],0)),"")</f>
        <v>11</v>
      </c>
      <c r="AZ73" s="123">
        <f>IFERROR(INDEX(TableWRTECalcPts[Custom],MATCH(TableWRTERank[[#This Row],[RK]],TableWRTECalcPts[RK],0)),"")</f>
        <v>136.73499170173079</v>
      </c>
      <c r="BA73" s="174">
        <f>IFERROR((TableWRTERank[[#This Row],[FPS]]-INDEX(TableWRTERank[FPS],MATCH(WRTEVORPCalc,TableWRTERank[RK],0)))/INDEX(TableWRTERank[FPS],MATCH(WRTEVORPCalc,TableWRTERank[RK],0)),"")</f>
        <v>-0.12864968521296197</v>
      </c>
      <c r="BC73" t="s">
        <v>208</v>
      </c>
      <c r="BD73">
        <v>72</v>
      </c>
      <c r="BE73" s="83">
        <f>RANK(TableWRTEMaster[[#This Row],[VORP]],TableWRTEMaster[VORP])+COUNTIF($BJ$2:BJ73,BJ73)-1</f>
        <v>89</v>
      </c>
      <c r="BF73" s="115" t="str">
        <f>IFERROR(INDEX(TableWRVORP[WIDE RECEIVER],MATCH(TableWRTEMaster[[#This Row],[RK]],TableWRVORP[RK],0)),"")</f>
        <v>Greg Dortch</v>
      </c>
      <c r="BG73" s="115" t="str">
        <f>_xlfn.CONCAT(TableWRTEMaster[[#This Row],[POS]],TableWRTEMaster[[#This Row],[RK]])</f>
        <v>WR72</v>
      </c>
      <c r="BH73" s="115">
        <f>IFERROR(INDEX(TableWRVORP[BYE],MATCH(TableWRTEMaster[[#This Row],[RK]],TableWRVORP[RK],0)),"")</f>
        <v>11</v>
      </c>
      <c r="BI73" s="116">
        <f>IFERROR(INDEX(TableWRVORP[FPS],MATCH(TableWRTEMaster[[#This Row],[RK]],TableWRVORP[RK],0)),"")</f>
        <v>114.91314586095427</v>
      </c>
      <c r="BJ73" s="117">
        <f>IFERROR(INDEX(TableWRVORP[VORP],MATCH(TableWRTEMaster[[#This Row],[RK]],TableWRVORP[RK],0)),"")</f>
        <v>-0.263329663470172</v>
      </c>
    </row>
    <row r="74" spans="1:62" x14ac:dyDescent="0.2">
      <c r="A74">
        <v>73</v>
      </c>
      <c r="B74" s="112" t="str">
        <f>IFERROR(INDEX(TableQBCalcPts[PLAYER],MATCH(TableQBVORP[[#This Row],[RK]],TableQBCalcPts[RK],0)),"")</f>
        <v/>
      </c>
      <c r="C74" s="112" t="str">
        <f>IFERROR(INDEX(TableQBCalcPts[TM],MATCH(TableQBVORP[[#This Row],[RK]],TableQBCalcPts[RK],0)),"")</f>
        <v/>
      </c>
      <c r="D74" s="112" t="str">
        <f>IFERROR(INDEX(TableQBCalcPts[BYE],MATCH(TableQBVORP[[#This Row],[RK]],TableQBCalcPts[RK],0)),"")</f>
        <v/>
      </c>
      <c r="E74" s="113" t="str">
        <f>IFERROR(INDEX(TableQBCalcPts[Custom],MATCH(TableQBVORP[[#This Row],[RK]],TableQBCalcPts[RK],0)),"")</f>
        <v/>
      </c>
      <c r="F74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74">
        <v>73</v>
      </c>
      <c r="I74" s="112" t="str">
        <f>IFERROR(INDEX(TableRBCalcPts[PLAYER],MATCH(TableRBVORP[[#This Row],[RK]],TableRBCalcPts[RK],0)),"")</f>
        <v>Dameon Pierce</v>
      </c>
      <c r="J74" s="112" t="str">
        <f>IFERROR(INDEX(TableRBCalcPts[TM],MATCH(TableRBVORP[[#This Row],[RK]],TableRBCalcPts[RK],0)),"")</f>
        <v>HOU</v>
      </c>
      <c r="K74" s="112">
        <f>IFERROR(INDEX(TableRBCalcPts[BYE],MATCH(TableRBVORP[[#This Row],[RK]],TableRBCalcPts[RK],0)),"")</f>
        <v>14</v>
      </c>
      <c r="L74" s="113">
        <f>IFERROR(INDEX(TableRBCalcPts[Custom],MATCH(TableRBVORP[[#This Row],[RK]],TableRBCalcPts[RK],0)),"")</f>
        <v>43.444613605393208</v>
      </c>
      <c r="M74" s="114">
        <f>(IFERROR((TableRBVORP[[#This Row],[FPS]]-INDEX(TableRBVORP[FPS],MATCH(RBVORPCalc,TableRBVORP[RK],0)))/INDEX(TableRBVORP[FPS],MATCH(RBVORPCalc,TableRBVORP[RK],0)),""))*0.8</f>
        <v>-0.51015880903252575</v>
      </c>
      <c r="O74">
        <v>73</v>
      </c>
      <c r="P74" s="112" t="str">
        <f>IFERROR(INDEX(TableWRCalcPts[PLAYER],MATCH(TableWRVORP[[#This Row],[RK]],TableWRCalcPts[RK],0)),"")</f>
        <v>Marvin Mims</v>
      </c>
      <c r="Q74" s="112" t="str">
        <f>IFERROR(INDEX(TableWRCalcPts[TM],MATCH(TableWRVORP[[#This Row],[RK]],TableWRCalcPts[RK],0)),"")</f>
        <v>DEN</v>
      </c>
      <c r="R74" s="112">
        <f>IFERROR(INDEX(TableWRCalcPts[BYE],MATCH(TableWRVORP[[#This Row],[RK]],TableWRCalcPts[RK],0)),"")</f>
        <v>14</v>
      </c>
      <c r="S74" s="113">
        <f>IFERROR(INDEX(TableWRCalcPts[Custom],MATCH(TableWRVORP[[#This Row],[RK]],TableWRCalcPts[RK],0)),"")</f>
        <v>113.95181857055516</v>
      </c>
      <c r="T74" s="114">
        <f>(IFERROR((TableWRVORP[[#This Row],[FPS]]-INDEX(TableWRVORP[FPS],MATCH(WRVORPCalc,TableWRVORP[RK],0)))/INDEX(TableWRVORP[FPS],MATCH(WRVORPCalc,TableWRVORP[RK],0)),""))*1.2</f>
        <v>-0.27116555334915055</v>
      </c>
      <c r="V74">
        <v>73</v>
      </c>
      <c r="W74" s="112" t="str">
        <f>IFERROR(INDEX(TableTECalcPts[PLAYER],MATCH(TableTEVORP[[#This Row],[RK]],TableTECalcPts[RK],0)),"")</f>
        <v>Tanner Hudson</v>
      </c>
      <c r="X74" s="112" t="str">
        <f>IFERROR(INDEX(TableTECalcPts[TM],MATCH(TableTEVORP[[#This Row],[RK]],TableTECalcPts[RK],0)),"")</f>
        <v>CIN</v>
      </c>
      <c r="Y74" s="112">
        <f>IFERROR(INDEX(TableTECalcPts[BYE],MATCH(TableTEVORP[[#This Row],[RK]],TableTECalcPts[RK],0)),"")</f>
        <v>12</v>
      </c>
      <c r="Z74" s="113">
        <f>IFERROR(INDEX(TableTECalcPts[Custom],MATCH(TableTEVORP[[#This Row],[RK]],TableTECalcPts[RK],0)),"")</f>
        <v>8.400592059036688</v>
      </c>
      <c r="AA74" s="114">
        <f>IFERROR((TableTEVORP[[#This Row],[FPS]]-INDEX(TableTEVORP[FPS],MATCH(TEVORPCalc,TableTEVORP[RK],0)))/INDEX(TableTEVORP[FPS],MATCH(TEVORPCalc,TableTEVORP[RK],0)),"")</f>
        <v>-0.93618463982649847</v>
      </c>
      <c r="AF74" t="s">
        <v>207</v>
      </c>
      <c r="AG74">
        <v>33</v>
      </c>
      <c r="AH74" s="83">
        <f>RANK(TableOverallMaster[[#This Row],[VORP]],TableOverallMaster[VORP])+COUNTIF($AM$2:AM74,AM74)-1</f>
        <v>76</v>
      </c>
      <c r="AI74" s="115" t="str">
        <f>IFERROR(INDEX(TableRBVORP[RUNNING BACK],MATCH(TableOverallMaster[[#This Row],[RK]],TableRBVORP[RK],0)),"")</f>
        <v>Najee Harris</v>
      </c>
      <c r="AJ74" s="115" t="str">
        <f t="shared" si="1"/>
        <v>RB33</v>
      </c>
      <c r="AK74" s="115">
        <f>IFERROR(INDEX(TableRBVORP[BYE],MATCH(TableOverallMaster[[#This Row],[RK]],TableRBVORP[RK],0)),"")</f>
        <v>9</v>
      </c>
      <c r="AL74" s="116">
        <f>IFERROR(INDEX(TableRBVORP[FPS],MATCH(TableOverallMaster[[#This Row],[RK]],TableRBVORP[RK],0)),"")</f>
        <v>158.00700681706502</v>
      </c>
      <c r="AM74" s="117">
        <f>IFERROR(INDEX(TableRBVORP[VORP],MATCH(TableOverallMaster[[#This Row],[RK]],TableRBVORP[RK],0)),"")</f>
        <v>0.25414538734391517</v>
      </c>
      <c r="AO74">
        <v>73</v>
      </c>
      <c r="AP74" s="118" t="str">
        <f>IFERROR(INDEX(TableOverallMaster[OVERALL PLAYER],MATCH(TableOverallRank[[#This Row],[RK]],TableOverallMaster[OVR RK],0)),"")</f>
        <v>Brian Thomas</v>
      </c>
      <c r="AQ74" s="119" t="str">
        <f>IFERROR(INDEX(TableOverallMaster[POS RK],MATCH(TableOverallRank[[#This Row],[OVERALL PLAYER]],TableOverallMaster[OVERALL PLAYER],0)),"")</f>
        <v>WR32</v>
      </c>
      <c r="AR74" s="120">
        <f>IFERROR(INDEX(TableOverallMaster[BYE],MATCH(TableOverallRank[[#This Row],[OVERALL PLAYER]],TableOverallMaster[OVERALL PLAYER],0)),"")</f>
        <v>12</v>
      </c>
      <c r="AS74" s="119">
        <f>IFERROR(INDEX(TableOverallMaster[Custom],MATCH(TableOverallRank[[#This Row],[OVERALL PLAYER]],TableOverallMaster[OVERALL PLAYER],0)),"")</f>
        <v>181.1515057352</v>
      </c>
      <c r="AT74" s="121">
        <f>IFERROR(INDEX(TableOverallMaster[VORP],MATCH(TableOverallRank[[#This Row],[OVERALL PLAYER]],TableOverallMaster[OVERALL PLAYER],0)),"")</f>
        <v>0.27658686539821953</v>
      </c>
      <c r="AV74">
        <v>73</v>
      </c>
      <c r="AW74" s="122" t="str">
        <f>IFERROR(INDEX(TableWRTECalcPts[PLAYER],MATCH(TableWRTERank[[#This Row],[RK]],TableWRTECalcPts[RK],0)),"")</f>
        <v>Gabe Davis</v>
      </c>
      <c r="AX74" s="122" t="str">
        <f>IFERROR(INDEX(TableWRTECalcPts[POS RK],MATCH(TableWRTERank[[#This Row],[WR and TE COMBINED]],TableWRTECalcPts[PLAYER],0)),"")</f>
        <v>WR62</v>
      </c>
      <c r="AY74" s="122">
        <f>IFERROR(INDEX(TableWRTECalcPts[BYE],MATCH(TableWRTERank[[#This Row],[RK]],TableWRTECalcPts[RK],0)),"")</f>
        <v>12</v>
      </c>
      <c r="AZ74" s="123">
        <f>IFERROR(INDEX(TableWRTECalcPts[Custom],MATCH(TableWRTERank[[#This Row],[RK]],TableWRTECalcPts[RK],0)),"")</f>
        <v>132.40466047325438</v>
      </c>
      <c r="BA74" s="174">
        <f>IFERROR((TableWRTERank[[#This Row],[FPS]]-INDEX(TableWRTERank[FPS],MATCH(WRTEVORPCalc,TableWRTERank[RK],0)))/INDEX(TableWRTERank[FPS],MATCH(WRTEVORPCalc,TableWRTERank[RK],0)),"")</f>
        <v>-0.15624492935716666</v>
      </c>
      <c r="BC74" t="s">
        <v>208</v>
      </c>
      <c r="BD74">
        <v>73</v>
      </c>
      <c r="BE74" s="83">
        <f>RANK(TableWRTEMaster[[#This Row],[VORP]],TableWRTEMaster[VORP])+COUNTIF($BJ$2:BJ74,BJ74)-1</f>
        <v>91</v>
      </c>
      <c r="BF74" s="115" t="str">
        <f>IFERROR(INDEX(TableWRVORP[WIDE RECEIVER],MATCH(TableWRTEMaster[[#This Row],[RK]],TableWRVORP[RK],0)),"")</f>
        <v>Marvin Mims</v>
      </c>
      <c r="BG74" s="115" t="str">
        <f>_xlfn.CONCAT(TableWRTEMaster[[#This Row],[POS]],TableWRTEMaster[[#This Row],[RK]])</f>
        <v>WR73</v>
      </c>
      <c r="BH74" s="115">
        <f>IFERROR(INDEX(TableWRVORP[BYE],MATCH(TableWRTEMaster[[#This Row],[RK]],TableWRVORP[RK],0)),"")</f>
        <v>14</v>
      </c>
      <c r="BI74" s="116">
        <f>IFERROR(INDEX(TableWRVORP[FPS],MATCH(TableWRTEMaster[[#This Row],[RK]],TableWRVORP[RK],0)),"")</f>
        <v>113.95181857055516</v>
      </c>
      <c r="BJ74" s="117">
        <f>IFERROR(INDEX(TableWRVORP[VORP],MATCH(TableWRTEMaster[[#This Row],[RK]],TableWRVORP[RK],0)),"")</f>
        <v>-0.27116555334915055</v>
      </c>
    </row>
    <row r="75" spans="1:62" x14ac:dyDescent="0.2">
      <c r="A75">
        <v>74</v>
      </c>
      <c r="B75" s="112" t="str">
        <f>IFERROR(INDEX(TableQBCalcPts[PLAYER],MATCH(TableQBVORP[[#This Row],[RK]],TableQBCalcPts[RK],0)),"")</f>
        <v/>
      </c>
      <c r="C75" s="112" t="str">
        <f>IFERROR(INDEX(TableQBCalcPts[TM],MATCH(TableQBVORP[[#This Row],[RK]],TableQBCalcPts[RK],0)),"")</f>
        <v/>
      </c>
      <c r="D75" s="112" t="str">
        <f>IFERROR(INDEX(TableQBCalcPts[BYE],MATCH(TableQBVORP[[#This Row],[RK]],TableQBCalcPts[RK],0)),"")</f>
        <v/>
      </c>
      <c r="E75" s="113" t="str">
        <f>IFERROR(INDEX(TableQBCalcPts[Custom],MATCH(TableQBVORP[[#This Row],[RK]],TableQBCalcPts[RK],0)),"")</f>
        <v/>
      </c>
      <c r="F75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75">
        <v>74</v>
      </c>
      <c r="I75" s="112" t="str">
        <f>IFERROR(INDEX(TableRBCalcPts[PLAYER],MATCH(TableRBVORP[[#This Row],[RK]],TableRBCalcPts[RK],0)),"")</f>
        <v>Rasheen Ali</v>
      </c>
      <c r="J75" s="112" t="str">
        <f>IFERROR(INDEX(TableRBCalcPts[TM],MATCH(TableRBVORP[[#This Row],[RK]],TableRBCalcPts[RK],0)),"")</f>
        <v>BAL</v>
      </c>
      <c r="K75" s="112">
        <f>IFERROR(INDEX(TableRBCalcPts[BYE],MATCH(TableRBVORP[[#This Row],[RK]],TableRBCalcPts[RK],0)),"")</f>
        <v>14</v>
      </c>
      <c r="L75" s="113">
        <f>IFERROR(INDEX(TableRBCalcPts[Custom],MATCH(TableRBVORP[[#This Row],[RK]],TableRBCalcPts[RK],0)),"")</f>
        <v>42.6438278951981</v>
      </c>
      <c r="M75" s="114">
        <f>(IFERROR((TableRBVORP[[#This Row],[FPS]]-INDEX(TableRBVORP[FPS],MATCH(RBVORPCalc,TableRBVORP[RK],0)))/INDEX(TableRBVORP[FPS],MATCH(RBVORPCalc,TableRBVORP[RK],0)),""))*0.8</f>
        <v>-0.51550125921658896</v>
      </c>
      <c r="O75">
        <v>74</v>
      </c>
      <c r="P75" s="112" t="str">
        <f>IFERROR(INDEX(TableWRCalcPts[PLAYER],MATCH(TableWRVORP[[#This Row],[RK]],TableWRCalcPts[RK],0)),"")</f>
        <v>Michael Wilson</v>
      </c>
      <c r="Q75" s="112" t="str">
        <f>IFERROR(INDEX(TableWRCalcPts[TM],MATCH(TableWRVORP[[#This Row],[RK]],TableWRCalcPts[RK],0)),"")</f>
        <v>ARI</v>
      </c>
      <c r="R75" s="112">
        <f>IFERROR(INDEX(TableWRCalcPts[BYE],MATCH(TableWRVORP[[#This Row],[RK]],TableWRCalcPts[RK],0)),"")</f>
        <v>11</v>
      </c>
      <c r="S75" s="113">
        <f>IFERROR(INDEX(TableWRCalcPts[Custom],MATCH(TableWRVORP[[#This Row],[RK]],TableWRCalcPts[RK],0)),"")</f>
        <v>109.27077006195002</v>
      </c>
      <c r="T75" s="114">
        <f>(IFERROR((TableWRVORP[[#This Row],[FPS]]-INDEX(TableWRVORP[FPS],MATCH(WRVORPCalc,TableWRVORP[RK],0)))/INDEX(TableWRVORP[FPS],MATCH(WRVORPCalc,TableWRVORP[RK],0)),""))*1.2</f>
        <v>-0.30932132089878345</v>
      </c>
      <c r="V75">
        <v>74</v>
      </c>
      <c r="W75" s="112" t="str">
        <f>IFERROR(INDEX(TableTECalcPts[PLAYER],MATCH(TableTEVORP[[#This Row],[RK]],TableTECalcPts[RK],0)),"")</f>
        <v>Foster Moreau</v>
      </c>
      <c r="X75" s="112" t="str">
        <f>IFERROR(INDEX(TableTECalcPts[TM],MATCH(TableTEVORP[[#This Row],[RK]],TableTECalcPts[RK],0)),"")</f>
        <v>NO</v>
      </c>
      <c r="Y75" s="112">
        <f>IFERROR(INDEX(TableTECalcPts[BYE],MATCH(TableTEVORP[[#This Row],[RK]],TableTECalcPts[RK],0)),"")</f>
        <v>12</v>
      </c>
      <c r="Z75" s="113">
        <f>IFERROR(INDEX(TableTECalcPts[Custom],MATCH(TableTEVORP[[#This Row],[RK]],TableTECalcPts[RK],0)),"")</f>
        <v>8.164501865644608</v>
      </c>
      <c r="AA75" s="114">
        <f>IFERROR((TableTEVORP[[#This Row],[FPS]]-INDEX(TableTEVORP[FPS],MATCH(TEVORPCalc,TableTEVORP[RK],0)))/INDEX(TableTEVORP[FPS],MATCH(TEVORPCalc,TableTEVORP[RK],0)),"")</f>
        <v>-0.93797810636062684</v>
      </c>
      <c r="AF75" t="s">
        <v>207</v>
      </c>
      <c r="AG75">
        <v>34</v>
      </c>
      <c r="AH75" s="83">
        <f>RANK(TableOverallMaster[[#This Row],[VORP]],TableOverallMaster[VORP])+COUNTIF($AM$2:AM75,AM75)-1</f>
        <v>85</v>
      </c>
      <c r="AI75" s="115" t="str">
        <f>IFERROR(INDEX(TableRBVORP[RUNNING BACK],MATCH(TableOverallMaster[[#This Row],[RK]],TableRBVORP[RK],0)),"")</f>
        <v>Austin Ekeler</v>
      </c>
      <c r="AJ75" s="115" t="str">
        <f t="shared" si="1"/>
        <v>RB34</v>
      </c>
      <c r="AK75" s="115">
        <f>IFERROR(INDEX(TableRBVORP[BYE],MATCH(TableOverallMaster[[#This Row],[RK]],TableRBVORP[RK],0)),"")</f>
        <v>14</v>
      </c>
      <c r="AL75" s="116">
        <f>IFERROR(INDEX(TableRBVORP[FPS],MATCH(TableOverallMaster[[#This Row],[RK]],TableRBVORP[RK],0)),"")</f>
        <v>150.92304762595202</v>
      </c>
      <c r="AM75" s="117">
        <f>IFERROR(INDEX(TableRBVORP[VORP],MATCH(TableOverallMaster[[#This Row],[RK]],TableRBVORP[RK],0)),"")</f>
        <v>0.20688468001281601</v>
      </c>
      <c r="AO75">
        <v>74</v>
      </c>
      <c r="AP75" s="118" t="str">
        <f>IFERROR(INDEX(TableOverallMaster[OVERALL PLAYER],MATCH(TableOverallRank[[#This Row],[RK]],TableOverallMaster[OVR RK],0)),"")</f>
        <v>Jayden Daniels</v>
      </c>
      <c r="AQ75" s="119" t="str">
        <f>IFERROR(INDEX(TableOverallMaster[POS RK],MATCH(TableOverallRank[[#This Row],[OVERALL PLAYER]],TableOverallMaster[OVERALL PLAYER],0)),"")</f>
        <v>QB6</v>
      </c>
      <c r="AR75" s="120">
        <f>IFERROR(INDEX(TableOverallMaster[BYE],MATCH(TableOverallRank[[#This Row],[OVERALL PLAYER]],TableOverallMaster[OVERALL PLAYER],0)),"")</f>
        <v>14</v>
      </c>
      <c r="AS75" s="119">
        <f>IFERROR(INDEX(TableOverallMaster[Custom],MATCH(TableOverallRank[[#This Row],[OVERALL PLAYER]],TableOverallMaster[OVERALL PLAYER],0)),"")</f>
        <v>340.69552503608452</v>
      </c>
      <c r="AT75" s="121">
        <f>IFERROR(INDEX(TableOverallMaster[VORP],MATCH(TableOverallRank[[#This Row],[OVERALL PLAYER]],TableOverallMaster[OVERALL PLAYER],0)),"")</f>
        <v>0.26200415021245677</v>
      </c>
      <c r="AV75">
        <v>74</v>
      </c>
      <c r="AW75" s="122" t="str">
        <f>IFERROR(INDEX(TableWRTECalcPts[PLAYER],MATCH(TableWRTERank[[#This Row],[RK]],TableWRTECalcPts[RK],0)),"")</f>
        <v>T.J. Hockenson</v>
      </c>
      <c r="AX75" s="122" t="str">
        <f>IFERROR(INDEX(TableWRTECalcPts[POS RK],MATCH(TableWRTERank[[#This Row],[WR and TE COMBINED]],TableWRTECalcPts[PLAYER],0)),"")</f>
        <v>TE12</v>
      </c>
      <c r="AY75" s="122">
        <f>IFERROR(INDEX(TableWRTECalcPts[BYE],MATCH(TableWRTERank[[#This Row],[RK]],TableWRTECalcPts[RK],0)),"")</f>
        <v>6</v>
      </c>
      <c r="AZ75" s="123">
        <f>IFERROR(INDEX(TableWRTECalcPts[Custom],MATCH(TableWRTERank[[#This Row],[RK]],TableWRTECalcPts[RK],0)),"")</f>
        <v>131.63902916472006</v>
      </c>
      <c r="BA75" s="174">
        <f>IFERROR((TableWRTERank[[#This Row],[FPS]]-INDEX(TableWRTERank[FPS],MATCH(WRTEVORPCalc,TableWRTERank[RK],0)))/INDEX(TableWRTERank[FPS],MATCH(WRTEVORPCalc,TableWRTERank[RK],0)),"")</f>
        <v>-0.16112395171566768</v>
      </c>
      <c r="BC75" t="s">
        <v>208</v>
      </c>
      <c r="BD75">
        <v>74</v>
      </c>
      <c r="BE75" s="83">
        <f>RANK(TableWRTEMaster[[#This Row],[VORP]],TableWRTEMaster[VORP])+COUNTIF($BJ$2:BJ75,BJ75)-1</f>
        <v>96</v>
      </c>
      <c r="BF75" s="115" t="str">
        <f>IFERROR(INDEX(TableWRVORP[WIDE RECEIVER],MATCH(TableWRTEMaster[[#This Row],[RK]],TableWRVORP[RK],0)),"")</f>
        <v>Michael Wilson</v>
      </c>
      <c r="BG75" s="115" t="str">
        <f>_xlfn.CONCAT(TableWRTEMaster[[#This Row],[POS]],TableWRTEMaster[[#This Row],[RK]])</f>
        <v>WR74</v>
      </c>
      <c r="BH75" s="115">
        <f>IFERROR(INDEX(TableWRVORP[BYE],MATCH(TableWRTEMaster[[#This Row],[RK]],TableWRVORP[RK],0)),"")</f>
        <v>11</v>
      </c>
      <c r="BI75" s="116">
        <f>IFERROR(INDEX(TableWRVORP[FPS],MATCH(TableWRTEMaster[[#This Row],[RK]],TableWRVORP[RK],0)),"")</f>
        <v>109.27077006195002</v>
      </c>
      <c r="BJ75" s="117">
        <f>IFERROR(INDEX(TableWRVORP[VORP],MATCH(TableWRTEMaster[[#This Row],[RK]],TableWRVORP[RK],0)),"")</f>
        <v>-0.30932132089878345</v>
      </c>
    </row>
    <row r="76" spans="1:62" x14ac:dyDescent="0.2">
      <c r="A76">
        <v>75</v>
      </c>
      <c r="B76" s="112" t="str">
        <f>IFERROR(INDEX(TableQBCalcPts[PLAYER],MATCH(TableQBVORP[[#This Row],[RK]],TableQBCalcPts[RK],0)),"")</f>
        <v/>
      </c>
      <c r="C76" s="112" t="str">
        <f>IFERROR(INDEX(TableQBCalcPts[TM],MATCH(TableQBVORP[[#This Row],[RK]],TableQBCalcPts[RK],0)),"")</f>
        <v/>
      </c>
      <c r="D76" s="112" t="str">
        <f>IFERROR(INDEX(TableQBCalcPts[BYE],MATCH(TableQBVORP[[#This Row],[RK]],TableQBCalcPts[RK],0)),"")</f>
        <v/>
      </c>
      <c r="E76" s="113" t="str">
        <f>IFERROR(INDEX(TableQBCalcPts[Custom],MATCH(TableQBVORP[[#This Row],[RK]],TableQBCalcPts[RK],0)),"")</f>
        <v/>
      </c>
      <c r="F76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76">
        <v>75</v>
      </c>
      <c r="I76" s="112" t="str">
        <f>IFERROR(INDEX(TableRBCalcPts[PLAYER],MATCH(TableRBVORP[[#This Row],[RK]],TableRBCalcPts[RK],0)),"")</f>
        <v>Trey Sermon</v>
      </c>
      <c r="J76" s="112" t="str">
        <f>IFERROR(INDEX(TableRBCalcPts[TM],MATCH(TableRBVORP[[#This Row],[RK]],TableRBCalcPts[RK],0)),"")</f>
        <v>IND</v>
      </c>
      <c r="K76" s="112">
        <f>IFERROR(INDEX(TableRBCalcPts[BYE],MATCH(TableRBVORP[[#This Row],[RK]],TableRBCalcPts[RK],0)),"")</f>
        <v>14</v>
      </c>
      <c r="L76" s="113">
        <f>IFERROR(INDEX(TableRBCalcPts[Custom],MATCH(TableRBVORP[[#This Row],[RK]],TableRBCalcPts[RK],0)),"")</f>
        <v>41.264535512141364</v>
      </c>
      <c r="M76" s="114">
        <f>(IFERROR((TableRBVORP[[#This Row],[FPS]]-INDEX(TableRBVORP[FPS],MATCH(RBVORPCalc,TableRBVORP[RK],0)))/INDEX(TableRBVORP[FPS],MATCH(RBVORPCalc,TableRBVORP[RK],0)),""))*0.8</f>
        <v>-0.52470322267812841</v>
      </c>
      <c r="O76">
        <v>75</v>
      </c>
      <c r="P76" s="112" t="str">
        <f>IFERROR(INDEX(TableWRCalcPts[PLAYER],MATCH(TableWRVORP[[#This Row],[RK]],TableWRCalcPts[RK],0)),"")</f>
        <v>Jalen McMillan</v>
      </c>
      <c r="Q76" s="112" t="str">
        <f>IFERROR(INDEX(TableWRCalcPts[TM],MATCH(TableWRVORP[[#This Row],[RK]],TableWRCalcPts[RK],0)),"")</f>
        <v>TB</v>
      </c>
      <c r="R76" s="112">
        <f>IFERROR(INDEX(TableWRCalcPts[BYE],MATCH(TableWRVORP[[#This Row],[RK]],TableWRCalcPts[RK],0)),"")</f>
        <v>11</v>
      </c>
      <c r="S76" s="113">
        <f>IFERROR(INDEX(TableWRCalcPts[Custom],MATCH(TableWRVORP[[#This Row],[RK]],TableWRCalcPts[RK],0)),"")</f>
        <v>109.11603627591739</v>
      </c>
      <c r="T76" s="114">
        <f>(IFERROR((TableWRVORP[[#This Row],[FPS]]-INDEX(TableWRVORP[FPS],MATCH(WRVORPCalc,TableWRVORP[RK],0)))/INDEX(TableWRVORP[FPS],MATCH(WRVORPCalc,TableWRVORP[RK],0)),""))*1.2</f>
        <v>-0.3105825738768464</v>
      </c>
      <c r="V76">
        <v>75</v>
      </c>
      <c r="W76" s="112" t="str">
        <f>IFERROR(INDEX(TableTECalcPts[PLAYER],MATCH(TableTEVORP[[#This Row],[RK]],TableTECalcPts[RK],0)),"")</f>
        <v>Drew Ogletree</v>
      </c>
      <c r="X76" s="112" t="str">
        <f>IFERROR(INDEX(TableTECalcPts[TM],MATCH(TableTEVORP[[#This Row],[RK]],TableTECalcPts[RK],0)),"")</f>
        <v>IND</v>
      </c>
      <c r="Y76" s="112">
        <f>IFERROR(INDEX(TableTECalcPts[BYE],MATCH(TableTEVORP[[#This Row],[RK]],TableTECalcPts[RK],0)),"")</f>
        <v>14</v>
      </c>
      <c r="Z76" s="113">
        <f>IFERROR(INDEX(TableTECalcPts[Custom],MATCH(TableTEVORP[[#This Row],[RK]],TableTECalcPts[RK],0)),"")</f>
        <v>8.1134607937152001</v>
      </c>
      <c r="AA76" s="114">
        <f>IFERROR((TableTEVORP[[#This Row],[FPS]]-INDEX(TableTEVORP[FPS],MATCH(TEVORPCalc,TableTEVORP[RK],0)))/INDEX(TableTEVORP[FPS],MATCH(TEVORPCalc,TableTEVORP[RK],0)),"")</f>
        <v>-0.93836584145904922</v>
      </c>
      <c r="AF76" t="s">
        <v>207</v>
      </c>
      <c r="AG76">
        <v>35</v>
      </c>
      <c r="AH76" s="83">
        <f>RANK(TableOverallMaster[[#This Row],[VORP]],TableOverallMaster[VORP])+COUNTIF($AM$2:AM76,AM76)-1</f>
        <v>88</v>
      </c>
      <c r="AI76" s="115" t="str">
        <f>IFERROR(INDEX(TableRBVORP[RUNNING BACK],MATCH(TableOverallMaster[[#This Row],[RK]],TableRBVORP[RK],0)),"")</f>
        <v>Nick Chubb</v>
      </c>
      <c r="AJ76" s="115" t="str">
        <f t="shared" si="1"/>
        <v>RB35</v>
      </c>
      <c r="AK76" s="115">
        <f>IFERROR(INDEX(TableRBVORP[BYE],MATCH(TableOverallMaster[[#This Row],[RK]],TableRBVORP[RK],0)),"")</f>
        <v>10</v>
      </c>
      <c r="AL76" s="116">
        <f>IFERROR(INDEX(TableRBVORP[FPS],MATCH(TableOverallMaster[[#This Row],[RK]],TableRBVORP[RK],0)),"")</f>
        <v>149.18106401459886</v>
      </c>
      <c r="AM76" s="117">
        <f>IFERROR(INDEX(TableRBVORP[VORP],MATCH(TableOverallMaster[[#This Row],[RK]],TableRBVORP[RK],0)),"")</f>
        <v>0.19526301825409009</v>
      </c>
      <c r="AO76">
        <v>75</v>
      </c>
      <c r="AP76" s="118" t="str">
        <f>IFERROR(INDEX(TableOverallMaster[OVERALL PLAYER],MATCH(TableOverallRank[[#This Row],[RK]],TableOverallMaster[OVR RK],0)),"")</f>
        <v>Gus Edwards</v>
      </c>
      <c r="AQ76" s="119" t="str">
        <f>IFERROR(INDEX(TableOverallMaster[POS RK],MATCH(TableOverallRank[[#This Row],[OVERALL PLAYER]],TableOverallMaster[OVERALL PLAYER],0)),"")</f>
        <v>RB32</v>
      </c>
      <c r="AR76" s="120">
        <f>IFERROR(INDEX(TableOverallMaster[BYE],MATCH(TableOverallRank[[#This Row],[OVERALL PLAYER]],TableOverallMaster[OVERALL PLAYER],0)),"")</f>
        <v>5</v>
      </c>
      <c r="AS76" s="119">
        <f>IFERROR(INDEX(TableOverallMaster[Custom],MATCH(TableOverallRank[[#This Row],[OVERALL PLAYER]],TableOverallMaster[OVERALL PLAYER],0)),"")</f>
        <v>159.16946682775205</v>
      </c>
      <c r="AT76" s="121">
        <f>IFERROR(INDEX(TableOverallMaster[VORP],MATCH(TableOverallRank[[#This Row],[OVERALL PLAYER]],TableOverallMaster[OVERALL PLAYER],0)),"")</f>
        <v>0.26190075138075319</v>
      </c>
      <c r="AV76">
        <v>75</v>
      </c>
      <c r="AW76" s="122" t="str">
        <f>IFERROR(INDEX(TableWRTECalcPts[PLAYER],MATCH(TableWRTERank[[#This Row],[RK]],TableWRTECalcPts[RK],0)),"")</f>
        <v>Demarcus Robinson</v>
      </c>
      <c r="AX76" s="122" t="str">
        <f>IFERROR(INDEX(TableWRTECalcPts[POS RK],MATCH(TableWRTERank[[#This Row],[WR and TE COMBINED]],TableWRTECalcPts[PLAYER],0)),"")</f>
        <v>WR63</v>
      </c>
      <c r="AY76" s="122">
        <f>IFERROR(INDEX(TableWRTECalcPts[BYE],MATCH(TableWRTERank[[#This Row],[RK]],TableWRTECalcPts[RK],0)),"")</f>
        <v>6</v>
      </c>
      <c r="AZ76" s="123">
        <f>IFERROR(INDEX(TableWRTECalcPts[Custom],MATCH(TableWRTERank[[#This Row],[RK]],TableWRTECalcPts[RK],0)),"")</f>
        <v>130.31560834928999</v>
      </c>
      <c r="BA76" s="174">
        <f>IFERROR((TableWRTERank[[#This Row],[FPS]]-INDEX(TableWRTERank[FPS],MATCH(WRTEVORPCalc,TableWRTERank[RK],0)))/INDEX(TableWRTERank[FPS],MATCH(WRTEVORPCalc,TableWRTERank[RK],0)),"")</f>
        <v>-0.16955751454965079</v>
      </c>
      <c r="BC76" t="s">
        <v>208</v>
      </c>
      <c r="BD76">
        <v>75</v>
      </c>
      <c r="BE76" s="83">
        <f>RANK(TableWRTEMaster[[#This Row],[VORP]],TableWRTEMaster[VORP])+COUNTIF($BJ$2:BJ76,BJ76)-1</f>
        <v>97</v>
      </c>
      <c r="BF76" s="115" t="str">
        <f>IFERROR(INDEX(TableWRVORP[WIDE RECEIVER],MATCH(TableWRTEMaster[[#This Row],[RK]],TableWRVORP[RK],0)),"")</f>
        <v>Jalen McMillan</v>
      </c>
      <c r="BG76" s="115" t="str">
        <f>_xlfn.CONCAT(TableWRTEMaster[[#This Row],[POS]],TableWRTEMaster[[#This Row],[RK]])</f>
        <v>WR75</v>
      </c>
      <c r="BH76" s="115">
        <f>IFERROR(INDEX(TableWRVORP[BYE],MATCH(TableWRTEMaster[[#This Row],[RK]],TableWRVORP[RK],0)),"")</f>
        <v>11</v>
      </c>
      <c r="BI76" s="116">
        <f>IFERROR(INDEX(TableWRVORP[FPS],MATCH(TableWRTEMaster[[#This Row],[RK]],TableWRVORP[RK],0)),"")</f>
        <v>109.11603627591739</v>
      </c>
      <c r="BJ76" s="117">
        <f>IFERROR(INDEX(TableWRVORP[VORP],MATCH(TableWRTEMaster[[#This Row],[RK]],TableWRVORP[RK],0)),"")</f>
        <v>-0.3105825738768464</v>
      </c>
    </row>
    <row r="77" spans="1:62" x14ac:dyDescent="0.2">
      <c r="A77">
        <v>76</v>
      </c>
      <c r="B77" s="112" t="str">
        <f>IFERROR(INDEX(TableQBCalcPts[PLAYER],MATCH(TableQBVORP[[#This Row],[RK]],TableQBCalcPts[RK],0)),"")</f>
        <v/>
      </c>
      <c r="C77" s="112" t="str">
        <f>IFERROR(INDEX(TableQBCalcPts[TM],MATCH(TableQBVORP[[#This Row],[RK]],TableQBCalcPts[RK],0)),"")</f>
        <v/>
      </c>
      <c r="D77" s="112" t="str">
        <f>IFERROR(INDEX(TableQBCalcPts[BYE],MATCH(TableQBVORP[[#This Row],[RK]],TableQBCalcPts[RK],0)),"")</f>
        <v/>
      </c>
      <c r="E77" s="113" t="str">
        <f>IFERROR(INDEX(TableQBCalcPts[Custom],MATCH(TableQBVORP[[#This Row],[RK]],TableQBCalcPts[RK],0)),"")</f>
        <v/>
      </c>
      <c r="F77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77">
        <v>76</v>
      </c>
      <c r="I77" s="112" t="str">
        <f>IFERROR(INDEX(TableRBCalcPts[PLAYER],MATCH(TableRBVORP[[#This Row],[RK]],TableRBCalcPts[RK],0)),"")</f>
        <v>Keaton Mitchell</v>
      </c>
      <c r="J77" s="112" t="str">
        <f>IFERROR(INDEX(TableRBCalcPts[TM],MATCH(TableRBVORP[[#This Row],[RK]],TableRBCalcPts[RK],0)),"")</f>
        <v>BAL</v>
      </c>
      <c r="K77" s="112">
        <f>IFERROR(INDEX(TableRBCalcPts[BYE],MATCH(TableRBVORP[[#This Row],[RK]],TableRBCalcPts[RK],0)),"")</f>
        <v>14</v>
      </c>
      <c r="L77" s="113">
        <f>IFERROR(INDEX(TableRBCalcPts[Custom],MATCH(TableRBVORP[[#This Row],[RK]],TableRBCalcPts[RK],0)),"")</f>
        <v>40.286818812425665</v>
      </c>
      <c r="M77" s="114">
        <f>(IFERROR((TableRBVORP[[#This Row],[FPS]]-INDEX(TableRBVORP[FPS],MATCH(RBVORPCalc,TableRBVORP[RK],0)))/INDEX(TableRBVORP[FPS],MATCH(RBVORPCalc,TableRBVORP[RK],0)),""))*0.8</f>
        <v>-0.53122606979672282</v>
      </c>
      <c r="O77">
        <v>76</v>
      </c>
      <c r="P77" s="112" t="str">
        <f>IFERROR(INDEX(TableWRCalcPts[PLAYER],MATCH(TableWRVORP[[#This Row],[RK]],TableWRCalcPts[RK],0)),"")</f>
        <v>Rashod Bateman</v>
      </c>
      <c r="Q77" s="112" t="str">
        <f>IFERROR(INDEX(TableWRCalcPts[TM],MATCH(TableWRVORP[[#This Row],[RK]],TableWRCalcPts[RK],0)),"")</f>
        <v>BAL</v>
      </c>
      <c r="R77" s="112">
        <f>IFERROR(INDEX(TableWRCalcPts[BYE],MATCH(TableWRVORP[[#This Row],[RK]],TableWRCalcPts[RK],0)),"")</f>
        <v>14</v>
      </c>
      <c r="S77" s="113">
        <f>IFERROR(INDEX(TableWRCalcPts[Custom],MATCH(TableWRVORP[[#This Row],[RK]],TableWRCalcPts[RK],0)),"")</f>
        <v>104.43680487103371</v>
      </c>
      <c r="T77" s="114">
        <f>(IFERROR((TableWRVORP[[#This Row],[FPS]]-INDEX(TableWRVORP[FPS],MATCH(WRVORPCalc,TableWRVORP[RK],0)))/INDEX(TableWRVORP[FPS],MATCH(WRVORPCalc,TableWRVORP[RK],0)),""))*1.2</f>
        <v>-0.3487235300039781</v>
      </c>
      <c r="V77">
        <v>76</v>
      </c>
      <c r="W77" s="112" t="str">
        <f>IFERROR(INDEX(TableTECalcPts[PLAYER],MATCH(TableTEVORP[[#This Row],[RK]],TableTECalcPts[RK],0)),"")</f>
        <v>Quintin Morris</v>
      </c>
      <c r="X77" s="112" t="str">
        <f>IFERROR(INDEX(TableTECalcPts[TM],MATCH(TableTEVORP[[#This Row],[RK]],TableTECalcPts[RK],0)),"")</f>
        <v>BUF</v>
      </c>
      <c r="Y77" s="112">
        <f>IFERROR(INDEX(TableTECalcPts[BYE],MATCH(TableTEVORP[[#This Row],[RK]],TableTECalcPts[RK],0)),"")</f>
        <v>12</v>
      </c>
      <c r="Z77" s="113">
        <f>IFERROR(INDEX(TableTECalcPts[Custom],MATCH(TableTEVORP[[#This Row],[RK]],TableTECalcPts[RK],0)),"")</f>
        <v>7.6552101834066537</v>
      </c>
      <c r="AA77" s="114">
        <f>IFERROR((TableTEVORP[[#This Row],[FPS]]-INDEX(TableTEVORP[FPS],MATCH(TEVORPCalc,TableTEVORP[RK],0)))/INDEX(TableTEVORP[FPS],MATCH(TEVORPCalc,TableTEVORP[RK],0)),"")</f>
        <v>-0.94184695654487338</v>
      </c>
      <c r="AF77" t="s">
        <v>207</v>
      </c>
      <c r="AG77">
        <v>36</v>
      </c>
      <c r="AH77" s="83">
        <f>RANK(TableOverallMaster[[#This Row],[VORP]],TableOverallMaster[VORP])+COUNTIF($AM$2:AM77,AM77)-1</f>
        <v>92</v>
      </c>
      <c r="AI77" s="115" t="str">
        <f>IFERROR(INDEX(TableRBVORP[RUNNING BACK],MATCH(TableOverallMaster[[#This Row],[RK]],TableRBVORP[RK],0)),"")</f>
        <v>Chuba Hubbard</v>
      </c>
      <c r="AJ77" s="115" t="str">
        <f t="shared" si="1"/>
        <v>RB36</v>
      </c>
      <c r="AK77" s="115">
        <f>IFERROR(INDEX(TableRBVORP[BYE],MATCH(TableOverallMaster[[#This Row],[RK]],TableRBVORP[RK],0)),"")</f>
        <v>11</v>
      </c>
      <c r="AL77" s="116">
        <f>IFERROR(INDEX(TableRBVORP[FPS],MATCH(TableOverallMaster[[#This Row],[RK]],TableRBVORP[RK],0)),"")</f>
        <v>146.53885508250966</v>
      </c>
      <c r="AM77" s="117">
        <f>IFERROR(INDEX(TableRBVORP[VORP],MATCH(TableOverallMaster[[#This Row],[RK]],TableRBVORP[RK],0)),"")</f>
        <v>0.17763549391660663</v>
      </c>
      <c r="AO77">
        <v>76</v>
      </c>
      <c r="AP77" s="118" t="str">
        <f>IFERROR(INDEX(TableOverallMaster[OVERALL PLAYER],MATCH(TableOverallRank[[#This Row],[RK]],TableOverallMaster[OVR RK],0)),"")</f>
        <v>Najee Harris</v>
      </c>
      <c r="AQ77" s="119" t="str">
        <f>IFERROR(INDEX(TableOverallMaster[POS RK],MATCH(TableOverallRank[[#This Row],[OVERALL PLAYER]],TableOverallMaster[OVERALL PLAYER],0)),"")</f>
        <v>RB33</v>
      </c>
      <c r="AR77" s="120">
        <f>IFERROR(INDEX(TableOverallMaster[BYE],MATCH(TableOverallRank[[#This Row],[OVERALL PLAYER]],TableOverallMaster[OVERALL PLAYER],0)),"")</f>
        <v>9</v>
      </c>
      <c r="AS77" s="119">
        <f>IFERROR(INDEX(TableOverallMaster[Custom],MATCH(TableOverallRank[[#This Row],[OVERALL PLAYER]],TableOverallMaster[OVERALL PLAYER],0)),"")</f>
        <v>158.00700681706502</v>
      </c>
      <c r="AT77" s="121">
        <f>IFERROR(INDEX(TableOverallMaster[VORP],MATCH(TableOverallRank[[#This Row],[OVERALL PLAYER]],TableOverallMaster[OVERALL PLAYER],0)),"")</f>
        <v>0.25414538734391517</v>
      </c>
      <c r="AV77">
        <v>76</v>
      </c>
      <c r="AW77" s="122" t="str">
        <f>IFERROR(INDEX(TableWRTECalcPts[PLAYER],MATCH(TableWRTERank[[#This Row],[RK]],TableWRTECalcPts[RK],0)),"")</f>
        <v>Demario Douglas</v>
      </c>
      <c r="AX77" s="122" t="str">
        <f>IFERROR(INDEX(TableWRTECalcPts[POS RK],MATCH(TableWRTERank[[#This Row],[WR and TE COMBINED]],TableWRTECalcPts[PLAYER],0)),"")</f>
        <v>WR64</v>
      </c>
      <c r="AY77" s="122">
        <f>IFERROR(INDEX(TableWRTECalcPts[BYE],MATCH(TableWRTERank[[#This Row],[RK]],TableWRTECalcPts[RK],0)),"")</f>
        <v>14</v>
      </c>
      <c r="AZ77" s="123">
        <f>IFERROR(INDEX(TableWRTECalcPts[Custom],MATCH(TableWRTERank[[#This Row],[RK]],TableWRTECalcPts[RK],0)),"")</f>
        <v>127.43642317391996</v>
      </c>
      <c r="BA77" s="174">
        <f>IFERROR((TableWRTERank[[#This Row],[FPS]]-INDEX(TableWRTERank[FPS],MATCH(WRTEVORPCalc,TableWRTERank[RK],0)))/INDEX(TableWRTERank[FPS],MATCH(WRTEVORPCalc,TableWRTERank[RK],0)),"")</f>
        <v>-0.18790526063619326</v>
      </c>
      <c r="BC77" t="s">
        <v>208</v>
      </c>
      <c r="BD77">
        <v>76</v>
      </c>
      <c r="BE77" s="83">
        <f>RANK(TableWRTEMaster[[#This Row],[VORP]],TableWRTEMaster[VORP])+COUNTIF($BJ$2:BJ77,BJ77)-1</f>
        <v>98</v>
      </c>
      <c r="BF77" s="115" t="str">
        <f>IFERROR(INDEX(TableWRVORP[WIDE RECEIVER],MATCH(TableWRTEMaster[[#This Row],[RK]],TableWRVORP[RK],0)),"")</f>
        <v>Rashod Bateman</v>
      </c>
      <c r="BG77" s="115" t="str">
        <f>_xlfn.CONCAT(TableWRTEMaster[[#This Row],[POS]],TableWRTEMaster[[#This Row],[RK]])</f>
        <v>WR76</v>
      </c>
      <c r="BH77" s="115">
        <f>IFERROR(INDEX(TableWRVORP[BYE],MATCH(TableWRTEMaster[[#This Row],[RK]],TableWRVORP[RK],0)),"")</f>
        <v>14</v>
      </c>
      <c r="BI77" s="116">
        <f>IFERROR(INDEX(TableWRVORP[FPS],MATCH(TableWRTEMaster[[#This Row],[RK]],TableWRVORP[RK],0)),"")</f>
        <v>104.43680487103371</v>
      </c>
      <c r="BJ77" s="117">
        <f>IFERROR(INDEX(TableWRVORP[VORP],MATCH(TableWRTEMaster[[#This Row],[RK]],TableWRVORP[RK],0)),"")</f>
        <v>-0.3487235300039781</v>
      </c>
    </row>
    <row r="78" spans="1:62" x14ac:dyDescent="0.2">
      <c r="A78">
        <v>77</v>
      </c>
      <c r="B78" s="112" t="str">
        <f>IFERROR(INDEX(TableQBCalcPts[PLAYER],MATCH(TableQBVORP[[#This Row],[RK]],TableQBCalcPts[RK],0)),"")</f>
        <v/>
      </c>
      <c r="C78" s="112" t="str">
        <f>IFERROR(INDEX(TableQBCalcPts[TM],MATCH(TableQBVORP[[#This Row],[RK]],TableQBCalcPts[RK],0)),"")</f>
        <v/>
      </c>
      <c r="D78" s="112" t="str">
        <f>IFERROR(INDEX(TableQBCalcPts[BYE],MATCH(TableQBVORP[[#This Row],[RK]],TableQBCalcPts[RK],0)),"")</f>
        <v/>
      </c>
      <c r="E78" s="113" t="str">
        <f>IFERROR(INDEX(TableQBCalcPts[Custom],MATCH(TableQBVORP[[#This Row],[RK]],TableQBCalcPts[RK],0)),"")</f>
        <v/>
      </c>
      <c r="F78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78">
        <v>77</v>
      </c>
      <c r="I78" s="112" t="str">
        <f>IFERROR(INDEX(TableRBCalcPts[PLAYER],MATCH(TableRBVORP[[#This Row],[RK]],TableRBCalcPts[RK],0)),"")</f>
        <v>Will Shipley</v>
      </c>
      <c r="J78" s="112" t="str">
        <f>IFERROR(INDEX(TableRBCalcPts[TM],MATCH(TableRBVORP[[#This Row],[RK]],TableRBCalcPts[RK],0)),"")</f>
        <v>PHI</v>
      </c>
      <c r="K78" s="112">
        <f>IFERROR(INDEX(TableRBCalcPts[BYE],MATCH(TableRBVORP[[#This Row],[RK]],TableRBCalcPts[RK],0)),"")</f>
        <v>5</v>
      </c>
      <c r="L78" s="113">
        <f>IFERROR(INDEX(TableRBCalcPts[Custom],MATCH(TableRBVORP[[#This Row],[RK]],TableRBCalcPts[RK],0)),"")</f>
        <v>36.098389367547966</v>
      </c>
      <c r="M78" s="114">
        <f>(IFERROR((TableRBVORP[[#This Row],[FPS]]-INDEX(TableRBVORP[FPS],MATCH(RBVORPCalc,TableRBVORP[RK],0)))/INDEX(TableRBVORP[FPS],MATCH(RBVORPCalc,TableRBVORP[RK],0)),""))*0.8</f>
        <v>-0.55916922034728689</v>
      </c>
      <c r="O78">
        <v>77</v>
      </c>
      <c r="P78" s="112" t="str">
        <f>IFERROR(INDEX(TableWRCalcPts[PLAYER],MATCH(TableWRVORP[[#This Row],[RK]],TableWRCalcPts[RK],0)),"")</f>
        <v>Malachi Corley</v>
      </c>
      <c r="Q78" s="112" t="str">
        <f>IFERROR(INDEX(TableWRCalcPts[TM],MATCH(TableWRVORP[[#This Row],[RK]],TableWRCalcPts[RK],0)),"")</f>
        <v>NYJ</v>
      </c>
      <c r="R78" s="112">
        <f>IFERROR(INDEX(TableWRCalcPts[BYE],MATCH(TableWRVORP[[#This Row],[RK]],TableWRCalcPts[RK],0)),"")</f>
        <v>12</v>
      </c>
      <c r="S78" s="113">
        <f>IFERROR(INDEX(TableWRCalcPts[Custom],MATCH(TableWRVORP[[#This Row],[RK]],TableWRCalcPts[RK],0)),"")</f>
        <v>103.06146196052893</v>
      </c>
      <c r="T78" s="114">
        <f>(IFERROR((TableWRVORP[[#This Row],[FPS]]-INDEX(TableWRVORP[FPS],MATCH(WRVORPCalc,TableWRVORP[RK],0)))/INDEX(TableWRVORP[FPS],MATCH(WRVORPCalc,TableWRVORP[RK],0)),""))*1.2</f>
        <v>-0.35993410906501272</v>
      </c>
      <c r="V78">
        <v>77</v>
      </c>
      <c r="W78" s="112" t="str">
        <f>IFERROR(INDEX(TableTECalcPts[PLAYER],MATCH(TableTEVORP[[#This Row],[RK]],TableTECalcPts[RK],0)),"")</f>
        <v>AJ Barner</v>
      </c>
      <c r="X78" s="112" t="str">
        <f>IFERROR(INDEX(TableTECalcPts[TM],MATCH(TableTEVORP[[#This Row],[RK]],TableTECalcPts[RK],0)),"")</f>
        <v>SEA</v>
      </c>
      <c r="Y78" s="112">
        <f>IFERROR(INDEX(TableTECalcPts[BYE],MATCH(TableTEVORP[[#This Row],[RK]],TableTECalcPts[RK],0)),"")</f>
        <v>10</v>
      </c>
      <c r="Z78" s="113">
        <f>IFERROR(INDEX(TableTECalcPts[Custom],MATCH(TableTEVORP[[#This Row],[RK]],TableTECalcPts[RK],0)),"")</f>
        <v>7.5622302815145783</v>
      </c>
      <c r="AA78" s="114">
        <f>IFERROR((TableTEVORP[[#This Row],[FPS]]-INDEX(TableTEVORP[FPS],MATCH(TEVORPCalc,TableTEVORP[RK],0)))/INDEX(TableTEVORP[FPS],MATCH(TEVORPCalc,TableTEVORP[RK],0)),"")</f>
        <v>-0.94255328127608762</v>
      </c>
      <c r="AF78" t="s">
        <v>207</v>
      </c>
      <c r="AG78">
        <v>37</v>
      </c>
      <c r="AH78" s="83">
        <f>RANK(TableOverallMaster[[#This Row],[VORP]],TableOverallMaster[VORP])+COUNTIF($AM$2:AM78,AM78)-1</f>
        <v>99</v>
      </c>
      <c r="AI78" s="115" t="str">
        <f>IFERROR(INDEX(TableRBVORP[RUNNING BACK],MATCH(TableOverallMaster[[#This Row],[RK]],TableRBVORP[RK],0)),"")</f>
        <v>J.K. Dobbins</v>
      </c>
      <c r="AJ78" s="115" t="str">
        <f t="shared" si="1"/>
        <v>RB37</v>
      </c>
      <c r="AK78" s="115">
        <f>IFERROR(INDEX(TableRBVORP[BYE],MATCH(TableOverallMaster[[#This Row],[RK]],TableRBVORP[RK],0)),"")</f>
        <v>5</v>
      </c>
      <c r="AL78" s="116">
        <f>IFERROR(INDEX(TableRBVORP[FPS],MATCH(TableOverallMaster[[#This Row],[RK]],TableRBVORP[RK],0)),"")</f>
        <v>141.01839423318069</v>
      </c>
      <c r="AM78" s="117">
        <f>IFERROR(INDEX(TableRBVORP[VORP],MATCH(TableOverallMaster[[#This Row],[RK]],TableRBVORP[RK],0)),"")</f>
        <v>0.14080568201421254</v>
      </c>
      <c r="AO78">
        <v>77</v>
      </c>
      <c r="AP78" s="118" t="str">
        <f>IFERROR(INDEX(TableOverallMaster[OVERALL PLAYER],MATCH(TableOverallRank[[#This Row],[RK]],TableOverallMaster[OVR RK],0)),"")</f>
        <v>Khalil Shakir</v>
      </c>
      <c r="AQ78" s="119" t="str">
        <f>IFERROR(INDEX(TableOverallMaster[POS RK],MATCH(TableOverallRank[[#This Row],[OVERALL PLAYER]],TableOverallMaster[OVERALL PLAYER],0)),"")</f>
        <v>WR33</v>
      </c>
      <c r="AR78" s="120">
        <f>IFERROR(INDEX(TableOverallMaster[BYE],MATCH(TableOverallRank[[#This Row],[OVERALL PLAYER]],TableOverallMaster[OVERALL PLAYER],0)),"")</f>
        <v>12</v>
      </c>
      <c r="AS78" s="119">
        <f>IFERROR(INDEX(TableOverallMaster[Custom],MATCH(TableOverallRank[[#This Row],[OVERALL PLAYER]],TableOverallMaster[OVERALL PLAYER],0)),"")</f>
        <v>177.32419603379708</v>
      </c>
      <c r="AT78" s="121">
        <f>IFERROR(INDEX(TableOverallMaster[VORP],MATCH(TableOverallRank[[#This Row],[OVERALL PLAYER]],TableOverallMaster[OVERALL PLAYER],0)),"")</f>
        <v>0.24539002156318312</v>
      </c>
      <c r="AV78">
        <v>77</v>
      </c>
      <c r="AW78" s="122" t="str">
        <f>IFERROR(INDEX(TableWRTECalcPts[PLAYER],MATCH(TableWRTERank[[#This Row],[RK]],TableWRTECalcPts[RK],0)),"")</f>
        <v>Xavier Legette</v>
      </c>
      <c r="AX78" s="122" t="str">
        <f>IFERROR(INDEX(TableWRTECalcPts[POS RK],MATCH(TableWRTERank[[#This Row],[WR and TE COMBINED]],TableWRTECalcPts[PLAYER],0)),"")</f>
        <v>WR65</v>
      </c>
      <c r="AY78" s="122">
        <f>IFERROR(INDEX(TableWRTECalcPts[BYE],MATCH(TableWRTERank[[#This Row],[RK]],TableWRTECalcPts[RK],0)),"")</f>
        <v>11</v>
      </c>
      <c r="AZ78" s="123">
        <f>IFERROR(INDEX(TableWRTECalcPts[Custom],MATCH(TableWRTERank[[#This Row],[RK]],TableWRTECalcPts[RK],0)),"")</f>
        <v>126.21441605736145</v>
      </c>
      <c r="BA78" s="174">
        <f>IFERROR((TableWRTERank[[#This Row],[FPS]]-INDEX(TableWRTERank[FPS],MATCH(WRTEVORPCalc,TableWRTERank[RK],0)))/INDEX(TableWRTERank[FPS],MATCH(WRTEVORPCalc,TableWRTERank[RK],0)),"")</f>
        <v>-0.19569255979373423</v>
      </c>
      <c r="BC78" t="s">
        <v>208</v>
      </c>
      <c r="BD78">
        <v>77</v>
      </c>
      <c r="BE78" s="83">
        <f>RANK(TableWRTEMaster[[#This Row],[VORP]],TableWRTEMaster[VORP])+COUNTIF($BJ$2:BJ78,BJ78)-1</f>
        <v>100</v>
      </c>
      <c r="BF78" s="115" t="str">
        <f>IFERROR(INDEX(TableWRVORP[WIDE RECEIVER],MATCH(TableWRTEMaster[[#This Row],[RK]],TableWRVORP[RK],0)),"")</f>
        <v>Malachi Corley</v>
      </c>
      <c r="BG78" s="115" t="str">
        <f>_xlfn.CONCAT(TableWRTEMaster[[#This Row],[POS]],TableWRTEMaster[[#This Row],[RK]])</f>
        <v>WR77</v>
      </c>
      <c r="BH78" s="115">
        <f>IFERROR(INDEX(TableWRVORP[BYE],MATCH(TableWRTEMaster[[#This Row],[RK]],TableWRVORP[RK],0)),"")</f>
        <v>12</v>
      </c>
      <c r="BI78" s="116">
        <f>IFERROR(INDEX(TableWRVORP[FPS],MATCH(TableWRTEMaster[[#This Row],[RK]],TableWRVORP[RK],0)),"")</f>
        <v>103.06146196052893</v>
      </c>
      <c r="BJ78" s="117">
        <f>IFERROR(INDEX(TableWRVORP[VORP],MATCH(TableWRTEMaster[[#This Row],[RK]],TableWRVORP[RK],0)),"")</f>
        <v>-0.35993410906501272</v>
      </c>
    </row>
    <row r="79" spans="1:62" x14ac:dyDescent="0.2">
      <c r="A79">
        <v>78</v>
      </c>
      <c r="B79" s="112" t="str">
        <f>IFERROR(INDEX(TableQBCalcPts[PLAYER],MATCH(TableQBVORP[[#This Row],[RK]],TableQBCalcPts[RK],0)),"")</f>
        <v/>
      </c>
      <c r="C79" s="112" t="str">
        <f>IFERROR(INDEX(TableQBCalcPts[TM],MATCH(TableQBVORP[[#This Row],[RK]],TableQBCalcPts[RK],0)),"")</f>
        <v/>
      </c>
      <c r="D79" s="112" t="str">
        <f>IFERROR(INDEX(TableQBCalcPts[BYE],MATCH(TableQBVORP[[#This Row],[RK]],TableQBCalcPts[RK],0)),"")</f>
        <v/>
      </c>
      <c r="E79" s="113" t="str">
        <f>IFERROR(INDEX(TableQBCalcPts[Custom],MATCH(TableQBVORP[[#This Row],[RK]],TableQBCalcPts[RK],0)),"")</f>
        <v/>
      </c>
      <c r="F79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79">
        <v>78</v>
      </c>
      <c r="I79" s="112" t="str">
        <f>IFERROR(INDEX(TableRBCalcPts[PLAYER],MATCH(TableRBVORP[[#This Row],[RK]],TableRBCalcPts[RK],0)),"")</f>
        <v>Justice Hill</v>
      </c>
      <c r="J79" s="112" t="str">
        <f>IFERROR(INDEX(TableRBCalcPts[TM],MATCH(TableRBVORP[[#This Row],[RK]],TableRBCalcPts[RK],0)),"")</f>
        <v>BAL</v>
      </c>
      <c r="K79" s="112">
        <f>IFERROR(INDEX(TableRBCalcPts[BYE],MATCH(TableRBVORP[[#This Row],[RK]],TableRBCalcPts[RK],0)),"")</f>
        <v>14</v>
      </c>
      <c r="L79" s="113">
        <f>IFERROR(INDEX(TableRBCalcPts[Custom],MATCH(TableRBVORP[[#This Row],[RK]],TableRBCalcPts[RK],0)),"")</f>
        <v>30.430215348149698</v>
      </c>
      <c r="M79" s="114">
        <f>(IFERROR((TableRBVORP[[#This Row],[FPS]]-INDEX(TableRBVORP[FPS],MATCH(RBVORPCalc,TableRBVORP[RK],0)))/INDEX(TableRBVORP[FPS],MATCH(RBVORPCalc,TableRBVORP[RK],0)),""))*0.8</f>
        <v>-0.59698450219823063</v>
      </c>
      <c r="O79">
        <v>78</v>
      </c>
      <c r="P79" s="112" t="str">
        <f>IFERROR(INDEX(TableWRCalcPts[PLAYER],MATCH(TableWRVORP[[#This Row],[RK]],TableWRCalcPts[RK],0)),"")</f>
        <v>Elijah Moore</v>
      </c>
      <c r="Q79" s="112" t="str">
        <f>IFERROR(INDEX(TableWRCalcPts[TM],MATCH(TableWRVORP[[#This Row],[RK]],TableWRCalcPts[RK],0)),"")</f>
        <v>CLE</v>
      </c>
      <c r="R79" s="112">
        <f>IFERROR(INDEX(TableWRCalcPts[BYE],MATCH(TableWRVORP[[#This Row],[RK]],TableWRCalcPts[RK],0)),"")</f>
        <v>10</v>
      </c>
      <c r="S79" s="113">
        <f>IFERROR(INDEX(TableWRCalcPts[Custom],MATCH(TableWRVORP[[#This Row],[RK]],TableWRCalcPts[RK],0)),"")</f>
        <v>102.86910659024997</v>
      </c>
      <c r="T79" s="114">
        <f>(IFERROR((TableWRVORP[[#This Row],[FPS]]-INDEX(TableWRVORP[FPS],MATCH(WRVORPCalc,TableWRVORP[RK],0)))/INDEX(TableWRVORP[FPS],MATCH(WRVORPCalc,TableWRVORP[RK],0)),""))*1.2</f>
        <v>-0.36150201992553793</v>
      </c>
      <c r="V79">
        <v>78</v>
      </c>
      <c r="W79" s="112" t="str">
        <f>IFERROR(INDEX(TableTECalcPts[PLAYER],MATCH(TableTEVORP[[#This Row],[RK]],TableTECalcPts[RK],0)),"")</f>
        <v>Charlie Kolar</v>
      </c>
      <c r="X79" s="112" t="str">
        <f>IFERROR(INDEX(TableTECalcPts[TM],MATCH(TableTEVORP[[#This Row],[RK]],TableTECalcPts[RK],0)),"")</f>
        <v>BAL</v>
      </c>
      <c r="Y79" s="112">
        <f>IFERROR(INDEX(TableTECalcPts[BYE],MATCH(TableTEVORP[[#This Row],[RK]],TableTECalcPts[RK],0)),"")</f>
        <v>14</v>
      </c>
      <c r="Z79" s="113">
        <f>IFERROR(INDEX(TableTECalcPts[Custom],MATCH(TableTEVORP[[#This Row],[RK]],TableTECalcPts[RK],0)),"")</f>
        <v>7.5544888352407575</v>
      </c>
      <c r="AA79" s="114">
        <f>IFERROR((TableTEVORP[[#This Row],[FPS]]-INDEX(TableTEVORP[FPS],MATCH(TEVORPCalc,TableTEVORP[RK],0)))/INDEX(TableTEVORP[FPS],MATCH(TEVORPCalc,TableTEVORP[RK],0)),"")</f>
        <v>-0.94261208941469921</v>
      </c>
      <c r="AF79" t="s">
        <v>207</v>
      </c>
      <c r="AG79">
        <v>38</v>
      </c>
      <c r="AH79" s="83">
        <f>RANK(TableOverallMaster[[#This Row],[VORP]],TableOverallMaster[VORP])+COUNTIF($AM$2:AM79,AM79)-1</f>
        <v>100</v>
      </c>
      <c r="AI79" s="115" t="str">
        <f>IFERROR(INDEX(TableRBVORP[RUNNING BACK],MATCH(TableOverallMaster[[#This Row],[RK]],TableRBVORP[RK],0)),"")</f>
        <v>Zach Charbonnet</v>
      </c>
      <c r="AJ79" s="115" t="str">
        <f t="shared" si="1"/>
        <v>RB38</v>
      </c>
      <c r="AK79" s="115">
        <f>IFERROR(INDEX(TableRBVORP[BYE],MATCH(TableOverallMaster[[#This Row],[RK]],TableRBVORP[RK],0)),"")</f>
        <v>10</v>
      </c>
      <c r="AL79" s="116">
        <f>IFERROR(INDEX(TableRBVORP[FPS],MATCH(TableOverallMaster[[#This Row],[RK]],TableRBVORP[RK],0)),"")</f>
        <v>140.95837720488342</v>
      </c>
      <c r="AM79" s="117">
        <f>IFERROR(INDEX(TableRBVORP[VORP],MATCH(TableOverallMaster[[#This Row],[RK]],TableRBVORP[RK],0)),"")</f>
        <v>0.14040527778647535</v>
      </c>
      <c r="AO79">
        <v>78</v>
      </c>
      <c r="AP79" s="118" t="str">
        <f>IFERROR(INDEX(TableOverallMaster[OVERALL PLAYER],MATCH(TableOverallRank[[#This Row],[RK]],TableOverallMaster[OVR RK],0)),"")</f>
        <v>Jake Ferguson</v>
      </c>
      <c r="AQ79" s="119" t="str">
        <f>IFERROR(INDEX(TableOverallMaster[POS RK],MATCH(TableOverallRank[[#This Row],[OVERALL PLAYER]],TableOverallMaster[OVERALL PLAYER],0)),"")</f>
        <v>TE6</v>
      </c>
      <c r="AR79" s="120">
        <f>IFERROR(INDEX(TableOverallMaster[BYE],MATCH(TableOverallRank[[#This Row],[OVERALL PLAYER]],TableOverallMaster[OVERALL PLAYER],0)),"")</f>
        <v>7</v>
      </c>
      <c r="AS79" s="119">
        <f>IFERROR(INDEX(TableOverallMaster[Custom],MATCH(TableOverallRank[[#This Row],[OVERALL PLAYER]],TableOverallMaster[OVERALL PLAYER],0)),"")</f>
        <v>163.6950494543639</v>
      </c>
      <c r="AT79" s="121">
        <f>IFERROR(INDEX(TableOverallMaster[VORP],MATCH(TableOverallRank[[#This Row],[OVERALL PLAYER]],TableOverallMaster[OVERALL PLAYER],0)),"")</f>
        <v>0.24351456018056855</v>
      </c>
      <c r="AV79">
        <v>78</v>
      </c>
      <c r="AW79" s="122" t="str">
        <f>IFERROR(INDEX(TableWRTECalcPts[PLAYER],MATCH(TableWRTERank[[#This Row],[RK]],TableWRTECalcPts[RK],0)),"")</f>
        <v>Wan'Dale Robinson</v>
      </c>
      <c r="AX79" s="122" t="str">
        <f>IFERROR(INDEX(TableWRTECalcPts[POS RK],MATCH(TableWRTERank[[#This Row],[WR and TE COMBINED]],TableWRTECalcPts[PLAYER],0)),"")</f>
        <v>WR66</v>
      </c>
      <c r="AY79" s="122">
        <f>IFERROR(INDEX(TableWRTECalcPts[BYE],MATCH(TableWRTERank[[#This Row],[RK]],TableWRTECalcPts[RK],0)),"")</f>
        <v>11</v>
      </c>
      <c r="AZ79" s="123">
        <f>IFERROR(INDEX(TableWRTECalcPts[Custom],MATCH(TableWRTERank[[#This Row],[RK]],TableWRTECalcPts[RK],0)),"")</f>
        <v>125.38100715896201</v>
      </c>
      <c r="BA79" s="174">
        <f>IFERROR((TableWRTERank[[#This Row],[FPS]]-INDEX(TableWRTERank[FPS],MATCH(WRTEVORPCalc,TableWRTERank[RK],0)))/INDEX(TableWRTERank[FPS],MATCH(WRTEVORPCalc,TableWRTERank[RK],0)),"")</f>
        <v>-0.20100349810534623</v>
      </c>
      <c r="BC79" t="s">
        <v>208</v>
      </c>
      <c r="BD79">
        <v>78</v>
      </c>
      <c r="BE79" s="83">
        <f>RANK(TableWRTEMaster[[#This Row],[VORP]],TableWRTEMaster[VORP])+COUNTIF($BJ$2:BJ79,BJ79)-1</f>
        <v>102</v>
      </c>
      <c r="BF79" s="115" t="str">
        <f>IFERROR(INDEX(TableWRVORP[WIDE RECEIVER],MATCH(TableWRTEMaster[[#This Row],[RK]],TableWRVORP[RK],0)),"")</f>
        <v>Elijah Moore</v>
      </c>
      <c r="BG79" s="115" t="str">
        <f>_xlfn.CONCAT(TableWRTEMaster[[#This Row],[POS]],TableWRTEMaster[[#This Row],[RK]])</f>
        <v>WR78</v>
      </c>
      <c r="BH79" s="115">
        <f>IFERROR(INDEX(TableWRVORP[BYE],MATCH(TableWRTEMaster[[#This Row],[RK]],TableWRVORP[RK],0)),"")</f>
        <v>10</v>
      </c>
      <c r="BI79" s="116">
        <f>IFERROR(INDEX(TableWRVORP[FPS],MATCH(TableWRTEMaster[[#This Row],[RK]],TableWRVORP[RK],0)),"")</f>
        <v>102.86910659024997</v>
      </c>
      <c r="BJ79" s="117">
        <f>IFERROR(INDEX(TableWRVORP[VORP],MATCH(TableWRTEMaster[[#This Row],[RK]],TableWRVORP[RK],0)),"")</f>
        <v>-0.36150201992553793</v>
      </c>
    </row>
    <row r="80" spans="1:62" x14ac:dyDescent="0.2">
      <c r="A80">
        <v>79</v>
      </c>
      <c r="B80" s="112" t="str">
        <f>IFERROR(INDEX(TableQBCalcPts[PLAYER],MATCH(TableQBVORP[[#This Row],[RK]],TableQBCalcPts[RK],0)),"")</f>
        <v/>
      </c>
      <c r="C80" s="112" t="str">
        <f>IFERROR(INDEX(TableQBCalcPts[TM],MATCH(TableQBVORP[[#This Row],[RK]],TableQBCalcPts[RK],0)),"")</f>
        <v/>
      </c>
      <c r="D80" s="112" t="str">
        <f>IFERROR(INDEX(TableQBCalcPts[BYE],MATCH(TableQBVORP[[#This Row],[RK]],TableQBCalcPts[RK],0)),"")</f>
        <v/>
      </c>
      <c r="E80" s="113" t="str">
        <f>IFERROR(INDEX(TableQBCalcPts[Custom],MATCH(TableQBVORP[[#This Row],[RK]],TableQBCalcPts[RK],0)),"")</f>
        <v/>
      </c>
      <c r="F80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80">
        <v>79</v>
      </c>
      <c r="I80" s="112" t="str">
        <f>IFERROR(INDEX(TableRBCalcPts[PLAYER],MATCH(TableRBVORP[[#This Row],[RK]],TableRBCalcPts[RK],0)),"")</f>
        <v>Jaret Patterson</v>
      </c>
      <c r="J80" s="112" t="str">
        <f>IFERROR(INDEX(TableRBCalcPts[TM],MATCH(TableRBVORP[[#This Row],[RK]],TableRBCalcPts[RK],0)),"")</f>
        <v>LAC</v>
      </c>
      <c r="K80" s="112">
        <f>IFERROR(INDEX(TableRBCalcPts[BYE],MATCH(TableRBVORP[[#This Row],[RK]],TableRBCalcPts[RK],0)),"")</f>
        <v>5</v>
      </c>
      <c r="L80" s="113">
        <f>IFERROR(INDEX(TableRBCalcPts[Custom],MATCH(TableRBVORP[[#This Row],[RK]],TableRBCalcPts[RK],0)),"")</f>
        <v>29.588984625290436</v>
      </c>
      <c r="M80" s="114">
        <f>(IFERROR((TableRBVORP[[#This Row],[FPS]]-INDEX(TableRBVORP[FPS],MATCH(RBVORPCalc,TableRBVORP[RK],0)))/INDEX(TableRBVORP[FPS],MATCH(RBVORPCalc,TableRBVORP[RK],0)),""))*0.8</f>
        <v>-0.60259678170442221</v>
      </c>
      <c r="O80">
        <v>79</v>
      </c>
      <c r="P80" s="112" t="str">
        <f>IFERROR(INDEX(TableWRCalcPts[PLAYER],MATCH(TableWRVORP[[#This Row],[RK]],TableWRCalcPts[RK],0)),"")</f>
        <v>Roman Wilson</v>
      </c>
      <c r="Q80" s="112" t="str">
        <f>IFERROR(INDEX(TableWRCalcPts[TM],MATCH(TableWRVORP[[#This Row],[RK]],TableWRCalcPts[RK],0)),"")</f>
        <v>PIT</v>
      </c>
      <c r="R80" s="112">
        <f>IFERROR(INDEX(TableWRCalcPts[BYE],MATCH(TableWRVORP[[#This Row],[RK]],TableWRCalcPts[RK],0)),"")</f>
        <v>9</v>
      </c>
      <c r="S80" s="113">
        <f>IFERROR(INDEX(TableWRCalcPts[Custom],MATCH(TableWRVORP[[#This Row],[RK]],TableWRCalcPts[RK],0)),"")</f>
        <v>100.98603118800001</v>
      </c>
      <c r="T80" s="114">
        <f>(IFERROR((TableWRVORP[[#This Row],[FPS]]-INDEX(TableWRVORP[FPS],MATCH(WRVORPCalc,TableWRVORP[RK],0)))/INDEX(TableWRVORP[FPS],MATCH(WRVORPCalc,TableWRVORP[RK],0)),""))*1.2</f>
        <v>-0.37685118522356875</v>
      </c>
      <c r="V80">
        <v>79</v>
      </c>
      <c r="W80" s="112" t="str">
        <f>IFERROR(INDEX(TableTECalcPts[PLAYER],MATCH(TableTEVORP[[#This Row],[RK]],TableTECalcPts[RK],0)),"")</f>
        <v>Tip Reiman</v>
      </c>
      <c r="X80" s="112" t="str">
        <f>IFERROR(INDEX(TableTECalcPts[TM],MATCH(TableTEVORP[[#This Row],[RK]],TableTECalcPts[RK],0)),"")</f>
        <v>ARI</v>
      </c>
      <c r="Y80" s="112">
        <f>IFERROR(INDEX(TableTECalcPts[BYE],MATCH(TableTEVORP[[#This Row],[RK]],TableTECalcPts[RK],0)),"")</f>
        <v>11</v>
      </c>
      <c r="Z80" s="113">
        <f>IFERROR(INDEX(TableTECalcPts[Custom],MATCH(TableTEVORP[[#This Row],[RK]],TableTECalcPts[RK],0)),"")</f>
        <v>7.3577361734200606</v>
      </c>
      <c r="AA80" s="114">
        <f>IFERROR((TableTEVORP[[#This Row],[FPS]]-INDEX(TableTEVORP[FPS],MATCH(TEVORPCalc,TableTEVORP[RK],0)))/INDEX(TableTEVORP[FPS],MATCH(TEVORPCalc,TableTEVORP[RK],0)),"")</f>
        <v>-0.94410672716057997</v>
      </c>
      <c r="AF80" t="s">
        <v>207</v>
      </c>
      <c r="AG80">
        <v>39</v>
      </c>
      <c r="AH80" s="83">
        <f>RANK(TableOverallMaster[[#This Row],[VORP]],TableOverallMaster[VORP])+COUNTIF($AM$2:AM80,AM80)-1</f>
        <v>101</v>
      </c>
      <c r="AI80" s="115" t="str">
        <f>IFERROR(INDEX(TableRBVORP[RUNNING BACK],MATCH(TableOverallMaster[[#This Row],[RK]],TableRBVORP[RK],0)),"")</f>
        <v>Jonathon Brooks</v>
      </c>
      <c r="AJ80" s="115" t="str">
        <f t="shared" si="1"/>
        <v>RB39</v>
      </c>
      <c r="AK80" s="115">
        <f>IFERROR(INDEX(TableRBVORP[BYE],MATCH(TableOverallMaster[[#This Row],[RK]],TableRBVORP[RK],0)),"")</f>
        <v>11</v>
      </c>
      <c r="AL80" s="116">
        <f>IFERROR(INDEX(TableRBVORP[FPS],MATCH(TableOverallMaster[[#This Row],[RK]],TableRBVORP[RK],0)),"")</f>
        <v>140.79732862710091</v>
      </c>
      <c r="AM80" s="117">
        <f>IFERROR(INDEX(TableRBVORP[VORP],MATCH(TableOverallMaster[[#This Row],[RK]],TableRBVORP[RK],0)),"")</f>
        <v>0.13933084052683986</v>
      </c>
      <c r="AO80">
        <v>79</v>
      </c>
      <c r="AP80" s="118" t="str">
        <f>IFERROR(INDEX(TableOverallMaster[OVERALL PLAYER],MATCH(TableOverallRank[[#This Row],[RK]],TableOverallMaster[OVR RK],0)),"")</f>
        <v>Zay Flowers</v>
      </c>
      <c r="AQ80" s="119" t="str">
        <f>IFERROR(INDEX(TableOverallMaster[POS RK],MATCH(TableOverallRank[[#This Row],[OVERALL PLAYER]],TableOverallMaster[OVERALL PLAYER],0)),"")</f>
        <v>WR34</v>
      </c>
      <c r="AR80" s="120">
        <f>IFERROR(INDEX(TableOverallMaster[BYE],MATCH(TableOverallRank[[#This Row],[OVERALL PLAYER]],TableOverallMaster[OVERALL PLAYER],0)),"")</f>
        <v>14</v>
      </c>
      <c r="AS80" s="119">
        <f>IFERROR(INDEX(TableOverallMaster[Custom],MATCH(TableOverallRank[[#This Row],[OVERALL PLAYER]],TableOverallMaster[OVERALL PLAYER],0)),"")</f>
        <v>176.12076560183124</v>
      </c>
      <c r="AT80" s="121">
        <f>IFERROR(INDEX(TableOverallMaster[VORP],MATCH(TableOverallRank[[#This Row],[OVERALL PLAYER]],TableOverallMaster[OVERALL PLAYER],0)),"")</f>
        <v>0.23558072098878563</v>
      </c>
      <c r="AV80">
        <v>79</v>
      </c>
      <c r="AW80" s="122" t="str">
        <f>IFERROR(INDEX(TableWRTECalcPts[PLAYER],MATCH(TableWRTERank[[#This Row],[RK]],TableWRTECalcPts[RK],0)),"")</f>
        <v>Dallas Goedert</v>
      </c>
      <c r="AX80" s="122" t="str">
        <f>IFERROR(INDEX(TableWRTECalcPts[POS RK],MATCH(TableWRTERank[[#This Row],[WR and TE COMBINED]],TableWRTECalcPts[PLAYER],0)),"")</f>
        <v>TE13</v>
      </c>
      <c r="AY80" s="122">
        <f>IFERROR(INDEX(TableWRTECalcPts[BYE],MATCH(TableWRTERank[[#This Row],[RK]],TableWRTECalcPts[RK],0)),"")</f>
        <v>5</v>
      </c>
      <c r="AZ80" s="123">
        <f>IFERROR(INDEX(TableWRTECalcPts[Custom],MATCH(TableWRTERank[[#This Row],[RK]],TableWRTECalcPts[RK],0)),"")</f>
        <v>123.25352037647167</v>
      </c>
      <c r="BA80" s="174">
        <f>IFERROR((TableWRTERank[[#This Row],[FPS]]-INDEX(TableWRTERank[FPS],MATCH(WRTEVORPCalc,TableWRTERank[RK],0)))/INDEX(TableWRTERank[FPS],MATCH(WRTEVORPCalc,TableWRTERank[RK],0)),"")</f>
        <v>-0.21456101000889766</v>
      </c>
      <c r="BC80" t="s">
        <v>208</v>
      </c>
      <c r="BD80">
        <v>79</v>
      </c>
      <c r="BE80" s="83">
        <f>RANK(TableWRTEMaster[[#This Row],[VORP]],TableWRTEMaster[VORP])+COUNTIF($BJ$2:BJ80,BJ80)-1</f>
        <v>103</v>
      </c>
      <c r="BF80" s="115" t="str">
        <f>IFERROR(INDEX(TableWRVORP[WIDE RECEIVER],MATCH(TableWRTEMaster[[#This Row],[RK]],TableWRVORP[RK],0)),"")</f>
        <v>Roman Wilson</v>
      </c>
      <c r="BG80" s="115" t="str">
        <f>_xlfn.CONCAT(TableWRTEMaster[[#This Row],[POS]],TableWRTEMaster[[#This Row],[RK]])</f>
        <v>WR79</v>
      </c>
      <c r="BH80" s="115">
        <f>IFERROR(INDEX(TableWRVORP[BYE],MATCH(TableWRTEMaster[[#This Row],[RK]],TableWRVORP[RK],0)),"")</f>
        <v>9</v>
      </c>
      <c r="BI80" s="116">
        <f>IFERROR(INDEX(TableWRVORP[FPS],MATCH(TableWRTEMaster[[#This Row],[RK]],TableWRVORP[RK],0)),"")</f>
        <v>100.98603118800001</v>
      </c>
      <c r="BJ80" s="117">
        <f>IFERROR(INDEX(TableWRVORP[VORP],MATCH(TableWRTEMaster[[#This Row],[RK]],TableWRVORP[RK],0)),"")</f>
        <v>-0.37685118522356875</v>
      </c>
    </row>
    <row r="81" spans="1:62" x14ac:dyDescent="0.2">
      <c r="A81">
        <v>80</v>
      </c>
      <c r="B81" s="112" t="str">
        <f>IFERROR(INDEX(TableQBCalcPts[PLAYER],MATCH(TableQBVORP[[#This Row],[RK]],TableQBCalcPts[RK],0)),"")</f>
        <v/>
      </c>
      <c r="C81" s="112" t="str">
        <f>IFERROR(INDEX(TableQBCalcPts[TM],MATCH(TableQBVORP[[#This Row],[RK]],TableQBCalcPts[RK],0)),"")</f>
        <v/>
      </c>
      <c r="D81" s="112" t="str">
        <f>IFERROR(INDEX(TableQBCalcPts[BYE],MATCH(TableQBVORP[[#This Row],[RK]],TableQBCalcPts[RK],0)),"")</f>
        <v/>
      </c>
      <c r="E81" s="113" t="str">
        <f>IFERROR(INDEX(TableQBCalcPts[Custom],MATCH(TableQBVORP[[#This Row],[RK]],TableQBCalcPts[RK],0)),"")</f>
        <v/>
      </c>
      <c r="F81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81">
        <v>80</v>
      </c>
      <c r="I81" s="112" t="str">
        <f>IFERROR(INDEX(TableRBCalcPts[PLAYER],MATCH(TableRBVORP[[#This Row],[RK]],TableRBCalcPts[RK],0)),"")</f>
        <v>Isaac Guerendo</v>
      </c>
      <c r="J81" s="112" t="str">
        <f>IFERROR(INDEX(TableRBCalcPts[TM],MATCH(TableRBVORP[[#This Row],[RK]],TableRBCalcPts[RK],0)),"")</f>
        <v>SF</v>
      </c>
      <c r="K81" s="112">
        <f>IFERROR(INDEX(TableRBCalcPts[BYE],MATCH(TableRBVORP[[#This Row],[RK]],TableRBCalcPts[RK],0)),"")</f>
        <v>9</v>
      </c>
      <c r="L81" s="113">
        <f>IFERROR(INDEX(TableRBCalcPts[Custom],MATCH(TableRBVORP[[#This Row],[RK]],TableRBCalcPts[RK],0)),"")</f>
        <v>28.83727157398889</v>
      </c>
      <c r="M81" s="114">
        <f>(IFERROR((TableRBVORP[[#This Row],[FPS]]-INDEX(TableRBVORP[FPS],MATCH(RBVORPCalc,TableRBVORP[RK],0)))/INDEX(TableRBVORP[FPS],MATCH(RBVORPCalc,TableRBVORP[RK],0)),""))*0.8</f>
        <v>-0.60761184313491423</v>
      </c>
      <c r="O81">
        <v>80</v>
      </c>
      <c r="P81" s="112" t="str">
        <f>IFERROR(INDEX(TableWRCalcPts[PLAYER],MATCH(TableWRVORP[[#This Row],[RK]],TableWRCalcPts[RK],0)),"")</f>
        <v>Van Jefferson</v>
      </c>
      <c r="Q81" s="112" t="str">
        <f>IFERROR(INDEX(TableWRCalcPts[TM],MATCH(TableWRVORP[[#This Row],[RK]],TableWRCalcPts[RK],0)),"")</f>
        <v>PIT</v>
      </c>
      <c r="R81" s="112">
        <f>IFERROR(INDEX(TableWRCalcPts[BYE],MATCH(TableWRVORP[[#This Row],[RK]],TableWRCalcPts[RK],0)),"")</f>
        <v>9</v>
      </c>
      <c r="S81" s="113">
        <f>IFERROR(INDEX(TableWRCalcPts[Custom],MATCH(TableWRVORP[[#This Row],[RK]],TableWRCalcPts[RK],0)),"")</f>
        <v>100.70653692455998</v>
      </c>
      <c r="T81" s="114">
        <f>(IFERROR((TableWRVORP[[#This Row],[FPS]]-INDEX(TableWRVORP[FPS],MATCH(WRVORPCalc,TableWRVORP[RK],0)))/INDEX(TableWRVORP[FPS],MATCH(WRVORPCalc,TableWRVORP[RK],0)),""))*1.2</f>
        <v>-0.37912937527600449</v>
      </c>
      <c r="V81">
        <v>80</v>
      </c>
      <c r="W81" s="112" t="str">
        <f>IFERROR(INDEX(TableTECalcPts[PLAYER],MATCH(TableTEVORP[[#This Row],[RK]],TableTECalcPts[RK],0)),"")</f>
        <v>Payne Durham</v>
      </c>
      <c r="X81" s="112" t="str">
        <f>IFERROR(INDEX(TableTECalcPts[TM],MATCH(TableTEVORP[[#This Row],[RK]],TableTECalcPts[RK],0)),"")</f>
        <v>TB</v>
      </c>
      <c r="Y81" s="112">
        <f>IFERROR(INDEX(TableTECalcPts[BYE],MATCH(TableTEVORP[[#This Row],[RK]],TableTECalcPts[RK],0)),"")</f>
        <v>11</v>
      </c>
      <c r="Z81" s="113">
        <f>IFERROR(INDEX(TableTECalcPts[Custom],MATCH(TableTEVORP[[#This Row],[RK]],TableTECalcPts[RK],0)),"")</f>
        <v>7.1511440444958074</v>
      </c>
      <c r="AA81" s="114">
        <f>IFERROR((TableTEVORP[[#This Row],[FPS]]-INDEX(TableTEVORP[FPS],MATCH(TEVORPCalc,TableTEVORP[RK],0)))/INDEX(TableTEVORP[FPS],MATCH(TEVORPCalc,TableTEVORP[RK],0)),"")</f>
        <v>-0.94567611072588831</v>
      </c>
      <c r="AF81" t="s">
        <v>207</v>
      </c>
      <c r="AG81">
        <v>40</v>
      </c>
      <c r="AH81" s="83">
        <f>RANK(TableOverallMaster[[#This Row],[VORP]],TableOverallMaster[VORP])+COUNTIF($AM$2:AM81,AM81)-1</f>
        <v>102</v>
      </c>
      <c r="AI81" s="115" t="str">
        <f>IFERROR(INDEX(TableRBVORP[RUNNING BACK],MATCH(TableOverallMaster[[#This Row],[RK]],TableRBVORP[RK],0)),"")</f>
        <v>Ezekiel Elliott</v>
      </c>
      <c r="AJ81" s="115" t="str">
        <f t="shared" si="1"/>
        <v>RB40</v>
      </c>
      <c r="AK81" s="115">
        <f>IFERROR(INDEX(TableRBVORP[BYE],MATCH(TableOverallMaster[[#This Row],[RK]],TableRBVORP[RK],0)),"")</f>
        <v>7</v>
      </c>
      <c r="AL81" s="116">
        <f>IFERROR(INDEX(TableRBVORP[FPS],MATCH(TableOverallMaster[[#This Row],[RK]],TableRBVORP[RK],0)),"")</f>
        <v>140.64021599356784</v>
      </c>
      <c r="AM81" s="117">
        <f>IFERROR(INDEX(TableRBVORP[VORP],MATCH(TableOverallMaster[[#This Row],[RK]],TableRBVORP[RK],0)),"")</f>
        <v>0.13828266196015079</v>
      </c>
      <c r="AO81">
        <v>80</v>
      </c>
      <c r="AP81" s="118" t="str">
        <f>IFERROR(INDEX(TableOverallMaster[OVERALL PLAYER],MATCH(TableOverallRank[[#This Row],[RK]],TableOverallMaster[OVR RK],0)),"")</f>
        <v>Evan Engram</v>
      </c>
      <c r="AQ81" s="119" t="str">
        <f>IFERROR(INDEX(TableOverallMaster[POS RK],MATCH(TableOverallRank[[#This Row],[OVERALL PLAYER]],TableOverallMaster[OVERALL PLAYER],0)),"")</f>
        <v>TE7</v>
      </c>
      <c r="AR81" s="120">
        <f>IFERROR(INDEX(TableOverallMaster[BYE],MATCH(TableOverallRank[[#This Row],[OVERALL PLAYER]],TableOverallMaster[OVERALL PLAYER],0)),"")</f>
        <v>12</v>
      </c>
      <c r="AS81" s="119">
        <f>IFERROR(INDEX(TableOverallMaster[Custom],MATCH(TableOverallRank[[#This Row],[OVERALL PLAYER]],TableOverallMaster[OVERALL PLAYER],0)),"")</f>
        <v>162.13728753207036</v>
      </c>
      <c r="AT81" s="121">
        <f>IFERROR(INDEX(TableOverallMaster[VORP],MATCH(TableOverallRank[[#This Row],[OVERALL PLAYER]],TableOverallMaster[OVERALL PLAYER],0)),"")</f>
        <v>0.23168097304324389</v>
      </c>
      <c r="AV81">
        <v>80</v>
      </c>
      <c r="AW81" s="122" t="str">
        <f>IFERROR(INDEX(TableWRTECalcPts[PLAYER],MATCH(TableWRTERank[[#This Row],[RK]],TableWRTECalcPts[RK],0)),"")</f>
        <v>Jalen Tolbert</v>
      </c>
      <c r="AX81" s="122" t="str">
        <f>IFERROR(INDEX(TableWRTECalcPts[POS RK],MATCH(TableWRTERank[[#This Row],[WR and TE COMBINED]],TableWRTECalcPts[PLAYER],0)),"")</f>
        <v>WR67</v>
      </c>
      <c r="AY81" s="122">
        <f>IFERROR(INDEX(TableWRTECalcPts[BYE],MATCH(TableWRTERank[[#This Row],[RK]],TableWRTECalcPts[RK],0)),"")</f>
        <v>7</v>
      </c>
      <c r="AZ81" s="123">
        <f>IFERROR(INDEX(TableWRTECalcPts[Custom],MATCH(TableWRTERank[[#This Row],[RK]],TableWRTECalcPts[RK],0)),"")</f>
        <v>123.19600289357085</v>
      </c>
      <c r="BA81" s="174">
        <f>IFERROR((TableWRTERank[[#This Row],[FPS]]-INDEX(TableWRTERank[FPS],MATCH(WRTEVORPCalc,TableWRTERank[RK],0)))/INDEX(TableWRTERank[FPS],MATCH(WRTEVORPCalc,TableWRTERank[RK],0)),"")</f>
        <v>-0.2149275429366263</v>
      </c>
      <c r="BC81" t="s">
        <v>208</v>
      </c>
      <c r="BD81">
        <v>80</v>
      </c>
      <c r="BE81" s="83">
        <f>RANK(TableWRTEMaster[[#This Row],[VORP]],TableWRTEMaster[VORP])+COUNTIF($BJ$2:BJ81,BJ81)-1</f>
        <v>104</v>
      </c>
      <c r="BF81" s="115" t="str">
        <f>IFERROR(INDEX(TableWRVORP[WIDE RECEIVER],MATCH(TableWRTEMaster[[#This Row],[RK]],TableWRVORP[RK],0)),"")</f>
        <v>Van Jefferson</v>
      </c>
      <c r="BG81" s="115" t="str">
        <f>_xlfn.CONCAT(TableWRTEMaster[[#This Row],[POS]],TableWRTEMaster[[#This Row],[RK]])</f>
        <v>WR80</v>
      </c>
      <c r="BH81" s="115">
        <f>IFERROR(INDEX(TableWRVORP[BYE],MATCH(TableWRTEMaster[[#This Row],[RK]],TableWRVORP[RK],0)),"")</f>
        <v>9</v>
      </c>
      <c r="BI81" s="116">
        <f>IFERROR(INDEX(TableWRVORP[FPS],MATCH(TableWRTEMaster[[#This Row],[RK]],TableWRVORP[RK],0)),"")</f>
        <v>100.70653692455998</v>
      </c>
      <c r="BJ81" s="117">
        <f>IFERROR(INDEX(TableWRVORP[VORP],MATCH(TableWRTEMaster[[#This Row],[RK]],TableWRVORP[RK],0)),"")</f>
        <v>-0.37912937527600449</v>
      </c>
    </row>
    <row r="82" spans="1:62" x14ac:dyDescent="0.2">
      <c r="A82">
        <v>81</v>
      </c>
      <c r="B82" s="112" t="str">
        <f>IFERROR(INDEX(TableQBCalcPts[PLAYER],MATCH(TableQBVORP[[#This Row],[RK]],TableQBCalcPts[RK],0)),"")</f>
        <v/>
      </c>
      <c r="C82" s="112" t="str">
        <f>IFERROR(INDEX(TableQBCalcPts[TM],MATCH(TableQBVORP[[#This Row],[RK]],TableQBCalcPts[RK],0)),"")</f>
        <v/>
      </c>
      <c r="D82" s="112" t="str">
        <f>IFERROR(INDEX(TableQBCalcPts[BYE],MATCH(TableQBVORP[[#This Row],[RK]],TableQBCalcPts[RK],0)),"")</f>
        <v/>
      </c>
      <c r="E82" s="113" t="str">
        <f>IFERROR(INDEX(TableQBCalcPts[Custom],MATCH(TableQBVORP[[#This Row],[RK]],TableQBCalcPts[RK],0)),"")</f>
        <v/>
      </c>
      <c r="F82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82">
        <v>81</v>
      </c>
      <c r="I82" s="112" t="str">
        <f>IFERROR(INDEX(TableRBCalcPts[PLAYER],MATCH(TableRBVORP[[#This Row],[RK]],TableRBCalcPts[RK],0)),"")</f>
        <v>Kenny McIntosh</v>
      </c>
      <c r="J82" s="112" t="str">
        <f>IFERROR(INDEX(TableRBCalcPts[TM],MATCH(TableRBVORP[[#This Row],[RK]],TableRBCalcPts[RK],0)),"")</f>
        <v>SEA</v>
      </c>
      <c r="K82" s="112">
        <f>IFERROR(INDEX(TableRBCalcPts[BYE],MATCH(TableRBVORP[[#This Row],[RK]],TableRBCalcPts[RK],0)),"")</f>
        <v>10</v>
      </c>
      <c r="L82" s="113">
        <f>IFERROR(INDEX(TableRBCalcPts[Custom],MATCH(TableRBVORP[[#This Row],[RK]],TableRBCalcPts[RK],0)),"")</f>
        <v>28.385205661229314</v>
      </c>
      <c r="M82" s="114">
        <f>(IFERROR((TableRBVORP[[#This Row],[FPS]]-INDEX(TableRBVORP[FPS],MATCH(RBVORPCalc,TableRBVORP[RK],0)))/INDEX(TableRBVORP[FPS],MATCH(RBVORPCalc,TableRBVORP[RK],0)),""))*0.8</f>
        <v>-0.61062780556791341</v>
      </c>
      <c r="O82">
        <v>81</v>
      </c>
      <c r="P82" s="112" t="str">
        <f>IFERROR(INDEX(TableWRCalcPts[PLAYER],MATCH(TableWRVORP[[#This Row],[RK]],TableWRCalcPts[RK],0)),"")</f>
        <v>Andrei Iosivas</v>
      </c>
      <c r="Q82" s="112" t="str">
        <f>IFERROR(INDEX(TableWRCalcPts[TM],MATCH(TableWRVORP[[#This Row],[RK]],TableWRCalcPts[RK],0)),"")</f>
        <v>CIN</v>
      </c>
      <c r="R82" s="112">
        <f>IFERROR(INDEX(TableWRCalcPts[BYE],MATCH(TableWRVORP[[#This Row],[RK]],TableWRCalcPts[RK],0)),"")</f>
        <v>12</v>
      </c>
      <c r="S82" s="113">
        <f>IFERROR(INDEX(TableWRCalcPts[Custom],MATCH(TableWRVORP[[#This Row],[RK]],TableWRCalcPts[RK],0)),"")</f>
        <v>100.65472719338064</v>
      </c>
      <c r="T82" s="114">
        <f>(IFERROR((TableWRVORP[[#This Row],[FPS]]-INDEX(TableWRVORP[FPS],MATCH(WRVORPCalc,TableWRVORP[RK],0)))/INDEX(TableWRVORP[FPS],MATCH(WRVORPCalc,TableWRVORP[RK],0)),""))*1.2</f>
        <v>-0.37955168238434872</v>
      </c>
      <c r="V82">
        <v>81</v>
      </c>
      <c r="W82" s="112" t="str">
        <f>IFERROR(INDEX(TableTECalcPts[PLAYER],MATCH(TableTEVORP[[#This Row],[RK]],TableTECalcPts[RK],0)),"")</f>
        <v>Albert Okwuegbunam</v>
      </c>
      <c r="X82" s="112" t="str">
        <f>IFERROR(INDEX(TableTECalcPts[TM],MATCH(TableTEVORP[[#This Row],[RK]],TableTECalcPts[RK],0)),"")</f>
        <v>PHI</v>
      </c>
      <c r="Y82" s="112">
        <f>IFERROR(INDEX(TableTECalcPts[BYE],MATCH(TableTEVORP[[#This Row],[RK]],TableTECalcPts[RK],0)),"")</f>
        <v>5</v>
      </c>
      <c r="Z82" s="113">
        <f>IFERROR(INDEX(TableTECalcPts[Custom],MATCH(TableTEVORP[[#This Row],[RK]],TableTECalcPts[RK],0)),"")</f>
        <v>7.0925050169705255</v>
      </c>
      <c r="AA82" s="114">
        <f>IFERROR((TableTEVORP[[#This Row],[FPS]]-INDEX(TableTEVORP[FPS],MATCH(TEVORPCalc,TableTEVORP[RK],0)))/INDEX(TableTEVORP[FPS],MATCH(TEVORPCalc,TableTEVORP[RK],0)),"")</f>
        <v>-0.94612156393150193</v>
      </c>
      <c r="AF82" t="s">
        <v>207</v>
      </c>
      <c r="AG82">
        <v>41</v>
      </c>
      <c r="AH82" s="83">
        <f>RANK(TableOverallMaster[[#This Row],[VORP]],TableOverallMaster[VORP])+COUNTIF($AM$2:AM82,AM82)-1</f>
        <v>109</v>
      </c>
      <c r="AI82" s="115" t="str">
        <f>IFERROR(INDEX(TableRBVORP[RUNNING BACK],MATCH(TableOverallMaster[[#This Row],[RK]],TableRBVORP[RK],0)),"")</f>
        <v>Jaylen Warren</v>
      </c>
      <c r="AJ82" s="115" t="str">
        <f t="shared" si="1"/>
        <v>RB41</v>
      </c>
      <c r="AK82" s="115">
        <f>IFERROR(INDEX(TableRBVORP[BYE],MATCH(TableOverallMaster[[#This Row],[RK]],TableRBVORP[RK],0)),"")</f>
        <v>9</v>
      </c>
      <c r="AL82" s="116">
        <f>IFERROR(INDEX(TableRBVORP[FPS],MATCH(TableOverallMaster[[#This Row],[RK]],TableRBVORP[RK],0)),"")</f>
        <v>136.92310756992001</v>
      </c>
      <c r="AM82" s="117">
        <f>IFERROR(INDEX(TableRBVORP[VORP],MATCH(TableOverallMaster[[#This Row],[RK]],TableRBVORP[RK],0)),"")</f>
        <v>0.11348393449876595</v>
      </c>
      <c r="AO82">
        <v>81</v>
      </c>
      <c r="AP82" s="118" t="str">
        <f>IFERROR(INDEX(TableOverallMaster[OVERALL PLAYER],MATCH(TableOverallRank[[#This Row],[RK]],TableOverallMaster[OVR RK],0)),"")</f>
        <v>George Kittle</v>
      </c>
      <c r="AQ82" s="119" t="str">
        <f>IFERROR(INDEX(TableOverallMaster[POS RK],MATCH(TableOverallRank[[#This Row],[OVERALL PLAYER]],TableOverallMaster[OVERALL PLAYER],0)),"")</f>
        <v>TE8</v>
      </c>
      <c r="AR82" s="120">
        <f>IFERROR(INDEX(TableOverallMaster[BYE],MATCH(TableOverallRank[[#This Row],[OVERALL PLAYER]],TableOverallMaster[OVERALL PLAYER],0)),"")</f>
        <v>9</v>
      </c>
      <c r="AS82" s="119">
        <f>IFERROR(INDEX(TableOverallMaster[Custom],MATCH(TableOverallRank[[#This Row],[OVERALL PLAYER]],TableOverallMaster[OVERALL PLAYER],0)),"")</f>
        <v>161.66168890481731</v>
      </c>
      <c r="AT82" s="121">
        <f>IFERROR(INDEX(TableOverallMaster[VORP],MATCH(TableOverallRank[[#This Row],[OVERALL PLAYER]],TableOverallMaster[OVERALL PLAYER],0)),"")</f>
        <v>0.22806807320441316</v>
      </c>
      <c r="AV82">
        <v>81</v>
      </c>
      <c r="AW82" s="122" t="str">
        <f>IFERROR(INDEX(TableWRTECalcPts[PLAYER],MATCH(TableWRTERank[[#This Row],[RK]],TableWRTECalcPts[RK],0)),"")</f>
        <v>Jerry Jeudy</v>
      </c>
      <c r="AX82" s="122" t="str">
        <f>IFERROR(INDEX(TableWRTECalcPts[POS RK],MATCH(TableWRTERank[[#This Row],[WR and TE COMBINED]],TableWRTECalcPts[PLAYER],0)),"")</f>
        <v>WR68</v>
      </c>
      <c r="AY82" s="122">
        <f>IFERROR(INDEX(TableWRTECalcPts[BYE],MATCH(TableWRTERank[[#This Row],[RK]],TableWRTECalcPts[RK],0)),"")</f>
        <v>10</v>
      </c>
      <c r="AZ82" s="123">
        <f>IFERROR(INDEX(TableWRTECalcPts[Custom],MATCH(TableWRTERank[[#This Row],[RK]],TableWRTECalcPts[RK],0)),"")</f>
        <v>119.45643086477995</v>
      </c>
      <c r="BA82" s="174">
        <f>IFERROR((TableWRTERank[[#This Row],[FPS]]-INDEX(TableWRTERank[FPS],MATCH(WRTEVORPCalc,TableWRTERank[RK],0)))/INDEX(TableWRTERank[FPS],MATCH(WRTEVORPCalc,TableWRTERank[RK],0)),"")</f>
        <v>-0.23875814565142875</v>
      </c>
      <c r="BC82" t="s">
        <v>208</v>
      </c>
      <c r="BD82">
        <v>81</v>
      </c>
      <c r="BE82" s="83">
        <f>RANK(TableWRTEMaster[[#This Row],[VORP]],TableWRTEMaster[VORP])+COUNTIF($BJ$2:BJ82,BJ82)-1</f>
        <v>105</v>
      </c>
      <c r="BF82" s="115" t="str">
        <f>IFERROR(INDEX(TableWRVORP[WIDE RECEIVER],MATCH(TableWRTEMaster[[#This Row],[RK]],TableWRVORP[RK],0)),"")</f>
        <v>Andrei Iosivas</v>
      </c>
      <c r="BG82" s="115" t="str">
        <f>_xlfn.CONCAT(TableWRTEMaster[[#This Row],[POS]],TableWRTEMaster[[#This Row],[RK]])</f>
        <v>WR81</v>
      </c>
      <c r="BH82" s="115">
        <f>IFERROR(INDEX(TableWRVORP[BYE],MATCH(TableWRTEMaster[[#This Row],[RK]],TableWRVORP[RK],0)),"")</f>
        <v>12</v>
      </c>
      <c r="BI82" s="116">
        <f>IFERROR(INDEX(TableWRVORP[FPS],MATCH(TableWRTEMaster[[#This Row],[RK]],TableWRVORP[RK],0)),"")</f>
        <v>100.65472719338064</v>
      </c>
      <c r="BJ82" s="117">
        <f>IFERROR(INDEX(TableWRVORP[VORP],MATCH(TableWRTEMaster[[#This Row],[RK]],TableWRVORP[RK],0)),"")</f>
        <v>-0.37955168238434872</v>
      </c>
    </row>
    <row r="83" spans="1:62" x14ac:dyDescent="0.2">
      <c r="A83">
        <v>82</v>
      </c>
      <c r="B83" s="112" t="str">
        <f>IFERROR(INDEX(TableQBCalcPts[PLAYER],MATCH(TableQBVORP[[#This Row],[RK]],TableQBCalcPts[RK],0)),"")</f>
        <v/>
      </c>
      <c r="C83" s="112" t="str">
        <f>IFERROR(INDEX(TableQBCalcPts[TM],MATCH(TableQBVORP[[#This Row],[RK]],TableQBCalcPts[RK],0)),"")</f>
        <v/>
      </c>
      <c r="D83" s="112" t="str">
        <f>IFERROR(INDEX(TableQBCalcPts[BYE],MATCH(TableQBVORP[[#This Row],[RK]],TableQBCalcPts[RK],0)),"")</f>
        <v/>
      </c>
      <c r="E83" s="113" t="str">
        <f>IFERROR(INDEX(TableQBCalcPts[Custom],MATCH(TableQBVORP[[#This Row],[RK]],TableQBCalcPts[RK],0)),"")</f>
        <v/>
      </c>
      <c r="F83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83">
        <v>82</v>
      </c>
      <c r="I83" s="112" t="str">
        <f>IFERROR(INDEX(TableRBCalcPts[PLAYER],MATCH(TableRBVORP[[#This Row],[RK]],TableRBCalcPts[RK],0)),"")</f>
        <v>Jase McClellan</v>
      </c>
      <c r="J83" s="112" t="str">
        <f>IFERROR(INDEX(TableRBCalcPts[TM],MATCH(TableRBVORP[[#This Row],[RK]],TableRBCalcPts[RK],0)),"")</f>
        <v>ATL</v>
      </c>
      <c r="K83" s="112">
        <f>IFERROR(INDEX(TableRBCalcPts[BYE],MATCH(TableRBVORP[[#This Row],[RK]],TableRBCalcPts[RK],0)),"")</f>
        <v>12</v>
      </c>
      <c r="L83" s="113">
        <f>IFERROR(INDEX(TableRBCalcPts[Custom],MATCH(TableRBVORP[[#This Row],[RK]],TableRBCalcPts[RK],0)),"")</f>
        <v>25.914417596898272</v>
      </c>
      <c r="M83" s="114">
        <f>(IFERROR((TableRBVORP[[#This Row],[FPS]]-INDEX(TableRBVORP[FPS],MATCH(RBVORPCalc,TableRBVORP[RK],0)))/INDEX(TableRBVORP[FPS],MATCH(RBVORPCalc,TableRBVORP[RK],0)),""))*0.8</f>
        <v>-0.62711169380544229</v>
      </c>
      <c r="O83">
        <v>82</v>
      </c>
      <c r="P83" s="112" t="str">
        <f>IFERROR(INDEX(TableWRCalcPts[PLAYER],MATCH(TableWRVORP[[#This Row],[RK]],TableWRCalcPts[RK],0)),"")</f>
        <v>Jermaine Burton</v>
      </c>
      <c r="Q83" s="112" t="str">
        <f>IFERROR(INDEX(TableWRCalcPts[TM],MATCH(TableWRVORP[[#This Row],[RK]],TableWRCalcPts[RK],0)),"")</f>
        <v>CIN</v>
      </c>
      <c r="R83" s="112">
        <f>IFERROR(INDEX(TableWRCalcPts[BYE],MATCH(TableWRVORP[[#This Row],[RK]],TableWRCalcPts[RK],0)),"")</f>
        <v>12</v>
      </c>
      <c r="S83" s="113">
        <f>IFERROR(INDEX(TableWRCalcPts[Custom],MATCH(TableWRVORP[[#This Row],[RK]],TableWRCalcPts[RK],0)),"")</f>
        <v>100.29711087656065</v>
      </c>
      <c r="T83" s="114">
        <f>(IFERROR((TableWRVORP[[#This Row],[FPS]]-INDEX(TableWRVORP[FPS],MATCH(WRVORPCalc,TableWRVORP[RK],0)))/INDEX(TableWRVORP[FPS],MATCH(WRVORPCalc,TableWRVORP[RK],0)),""))*1.2</f>
        <v>-0.38246665432524091</v>
      </c>
      <c r="V83">
        <v>82</v>
      </c>
      <c r="W83" s="112" t="str">
        <f>IFERROR(INDEX(TableTECalcPts[PLAYER],MATCH(TableTEVORP[[#This Row],[RK]],TableTECalcPts[RK],0)),"")</f>
        <v/>
      </c>
      <c r="X83" s="112" t="str">
        <f>IFERROR(INDEX(TableTECalcPts[TM],MATCH(TableTEVORP[[#This Row],[RK]],TableTECalcPts[RK],0)),"")</f>
        <v/>
      </c>
      <c r="Y83" s="112" t="str">
        <f>IFERROR(INDEX(TableTECalcPts[BYE],MATCH(TableTEVORP[[#This Row],[RK]],TableTECalcPts[RK],0)),"")</f>
        <v/>
      </c>
      <c r="Z83" s="113" t="str">
        <f>IFERROR(INDEX(TableTECalcPts[Custom],MATCH(TableTEVORP[[#This Row],[RK]],TableTECalcPts[RK],0)),"")</f>
        <v/>
      </c>
      <c r="AA83" s="114" t="str">
        <f>IFERROR((TableTEVORP[[#This Row],[FPS]]-INDEX(TableTEVORP[FPS],MATCH(TEVORPCalc,TableTEVORP[RK],0)))/INDEX(TableTEVORP[FPS],MATCH(TEVORPCalc,TableTEVORP[RK],0)),"")</f>
        <v/>
      </c>
      <c r="AF83" t="s">
        <v>207</v>
      </c>
      <c r="AG83">
        <v>42</v>
      </c>
      <c r="AH83" s="83">
        <f>RANK(TableOverallMaster[[#This Row],[VORP]],TableOverallMaster[VORP])+COUNTIF($AM$2:AM83,AM83)-1</f>
        <v>120</v>
      </c>
      <c r="AI83" s="115" t="str">
        <f>IFERROR(INDEX(TableRBVORP[RUNNING BACK],MATCH(TableOverallMaster[[#This Row],[RK]],TableRBVORP[RK],0)),"")</f>
        <v>Antonio Gibson</v>
      </c>
      <c r="AJ83" s="115" t="str">
        <f t="shared" si="1"/>
        <v>RB42</v>
      </c>
      <c r="AK83" s="115">
        <f>IFERROR(INDEX(TableRBVORP[BYE],MATCH(TableOverallMaster[[#This Row],[RK]],TableRBVORP[RK],0)),"")</f>
        <v>14</v>
      </c>
      <c r="AL83" s="116">
        <f>IFERROR(INDEX(TableRBVORP[FPS],MATCH(TableOverallMaster[[#This Row],[RK]],TableRBVORP[RK],0)),"")</f>
        <v>126.71956996098638</v>
      </c>
      <c r="AM83" s="117">
        <f>IFERROR(INDEX(TableRBVORP[VORP],MATCH(TableOverallMaster[[#This Row],[RK]],TableRBVORP[RK],0)),"")</f>
        <v>4.541092734725094E-2</v>
      </c>
      <c r="AO83">
        <v>82</v>
      </c>
      <c r="AP83" s="118" t="str">
        <f>IFERROR(INDEX(TableOverallMaster[OVERALL PLAYER],MATCH(TableOverallRank[[#This Row],[RK]],TableOverallMaster[OVR RK],0)),"")</f>
        <v>Jordan Addison</v>
      </c>
      <c r="AQ83" s="119" t="str">
        <f>IFERROR(INDEX(TableOverallMaster[POS RK],MATCH(TableOverallRank[[#This Row],[OVERALL PLAYER]],TableOverallMaster[OVERALL PLAYER],0)),"")</f>
        <v>WR35</v>
      </c>
      <c r="AR83" s="120">
        <f>IFERROR(INDEX(TableOverallMaster[BYE],MATCH(TableOverallRank[[#This Row],[OVERALL PLAYER]],TableOverallMaster[OVERALL PLAYER],0)),"")</f>
        <v>6</v>
      </c>
      <c r="AS83" s="119">
        <f>IFERROR(INDEX(TableOverallMaster[Custom],MATCH(TableOverallRank[[#This Row],[OVERALL PLAYER]],TableOverallMaster[OVERALL PLAYER],0)),"")</f>
        <v>173.55431512473601</v>
      </c>
      <c r="AT83" s="121">
        <f>IFERROR(INDEX(TableOverallMaster[VORP],MATCH(TableOverallRank[[#This Row],[OVERALL PLAYER]],TableOverallMaster[OVERALL PLAYER],0)),"")</f>
        <v>0.21466128645362212</v>
      </c>
      <c r="AV83">
        <v>82</v>
      </c>
      <c r="AW83" s="122" t="str">
        <f>IFERROR(INDEX(TableWRTECalcPts[PLAYER],MATCH(TableWRTERank[[#This Row],[RK]],TableWRTECalcPts[RK],0)),"")</f>
        <v>Josh Downs</v>
      </c>
      <c r="AX83" s="122" t="str">
        <f>IFERROR(INDEX(TableWRTECalcPts[POS RK],MATCH(TableWRTERank[[#This Row],[WR and TE COMBINED]],TableWRTECalcPts[PLAYER],0)),"")</f>
        <v>WR69</v>
      </c>
      <c r="AY83" s="122">
        <f>IFERROR(INDEX(TableWRTECalcPts[BYE],MATCH(TableWRTERank[[#This Row],[RK]],TableWRTECalcPts[RK],0)),"")</f>
        <v>14</v>
      </c>
      <c r="AZ83" s="123">
        <f>IFERROR(INDEX(TableWRTECalcPts[Custom],MATCH(TableWRTERank[[#This Row],[RK]],TableWRTECalcPts[RK],0)),"")</f>
        <v>118.20034773366744</v>
      </c>
      <c r="BA83" s="174">
        <f>IFERROR((TableWRTERank[[#This Row],[FPS]]-INDEX(TableWRTERank[FPS],MATCH(WRTEVORPCalc,TableWRTERank[RK],0)))/INDEX(TableWRTERank[FPS],MATCH(WRTEVORPCalc,TableWRTERank[RK],0)),"")</f>
        <v>-0.24676259585157245</v>
      </c>
      <c r="BC83" t="s">
        <v>208</v>
      </c>
      <c r="BD83">
        <v>82</v>
      </c>
      <c r="BE83" s="83">
        <f>RANK(TableWRTEMaster[[#This Row],[VORP]],TableWRTEMaster[VORP])+COUNTIF($BJ$2:BJ83,BJ83)-1</f>
        <v>106</v>
      </c>
      <c r="BF83" s="115" t="str">
        <f>IFERROR(INDEX(TableWRVORP[WIDE RECEIVER],MATCH(TableWRTEMaster[[#This Row],[RK]],TableWRVORP[RK],0)),"")</f>
        <v>Jermaine Burton</v>
      </c>
      <c r="BG83" s="115" t="str">
        <f>_xlfn.CONCAT(TableWRTEMaster[[#This Row],[POS]],TableWRTEMaster[[#This Row],[RK]])</f>
        <v>WR82</v>
      </c>
      <c r="BH83" s="115">
        <f>IFERROR(INDEX(TableWRVORP[BYE],MATCH(TableWRTEMaster[[#This Row],[RK]],TableWRVORP[RK],0)),"")</f>
        <v>12</v>
      </c>
      <c r="BI83" s="116">
        <f>IFERROR(INDEX(TableWRVORP[FPS],MATCH(TableWRTEMaster[[#This Row],[RK]],TableWRVORP[RK],0)),"")</f>
        <v>100.29711087656065</v>
      </c>
      <c r="BJ83" s="117">
        <f>IFERROR(INDEX(TableWRVORP[VORP],MATCH(TableWRTEMaster[[#This Row],[RK]],TableWRVORP[RK],0)),"")</f>
        <v>-0.38246665432524091</v>
      </c>
    </row>
    <row r="84" spans="1:62" x14ac:dyDescent="0.2">
      <c r="A84">
        <v>83</v>
      </c>
      <c r="B84" s="112" t="str">
        <f>IFERROR(INDEX(TableQBCalcPts[PLAYER],MATCH(TableQBVORP[[#This Row],[RK]],TableQBCalcPts[RK],0)),"")</f>
        <v/>
      </c>
      <c r="C84" s="112" t="str">
        <f>IFERROR(INDEX(TableQBCalcPts[TM],MATCH(TableQBVORP[[#This Row],[RK]],TableQBCalcPts[RK],0)),"")</f>
        <v/>
      </c>
      <c r="D84" s="112" t="str">
        <f>IFERROR(INDEX(TableQBCalcPts[BYE],MATCH(TableQBVORP[[#This Row],[RK]],TableQBCalcPts[RK],0)),"")</f>
        <v/>
      </c>
      <c r="E84" s="113" t="str">
        <f>IFERROR(INDEX(TableQBCalcPts[Custom],MATCH(TableQBVORP[[#This Row],[RK]],TableQBCalcPts[RK],0)),"")</f>
        <v/>
      </c>
      <c r="F84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84">
        <v>83</v>
      </c>
      <c r="I84" s="112" t="str">
        <f>IFERROR(INDEX(TableRBCalcPts[PLAYER],MATCH(TableRBVORP[[#This Row],[RK]],TableRBCalcPts[RK],0)),"")</f>
        <v>D'Ernest Johnson</v>
      </c>
      <c r="J84" s="112" t="str">
        <f>IFERROR(INDEX(TableRBCalcPts[TM],MATCH(TableRBVORP[[#This Row],[RK]],TableRBCalcPts[RK],0)),"")</f>
        <v>JAX</v>
      </c>
      <c r="K84" s="112">
        <f>IFERROR(INDEX(TableRBCalcPts[BYE],MATCH(TableRBVORP[[#This Row],[RK]],TableRBCalcPts[RK],0)),"")</f>
        <v>12</v>
      </c>
      <c r="L84" s="113">
        <f>IFERROR(INDEX(TableRBCalcPts[Custom],MATCH(TableRBVORP[[#This Row],[RK]],TableRBCalcPts[RK],0)),"")</f>
        <v>25.442433227514666</v>
      </c>
      <c r="M84" s="114">
        <f>(IFERROR((TableRBVORP[[#This Row],[FPS]]-INDEX(TableRBVORP[FPS],MATCH(RBVORPCalc,TableRBVORP[RK],0)))/INDEX(TableRBVORP[FPS],MATCH(RBVORPCalc,TableRBVORP[RK],0)),""))*0.8</f>
        <v>-0.63026054242872009</v>
      </c>
      <c r="O84">
        <v>83</v>
      </c>
      <c r="P84" s="112" t="str">
        <f>IFERROR(INDEX(TableWRCalcPts[PLAYER],MATCH(TableWRVORP[[#This Row],[RK]],TableWRCalcPts[RK],0)),"")</f>
        <v>Darius Slayton</v>
      </c>
      <c r="Q84" s="112" t="str">
        <f>IFERROR(INDEX(TableWRCalcPts[TM],MATCH(TableWRVORP[[#This Row],[RK]],TableWRCalcPts[RK],0)),"")</f>
        <v>NYG</v>
      </c>
      <c r="R84" s="112">
        <f>IFERROR(INDEX(TableWRCalcPts[BYE],MATCH(TableWRVORP[[#This Row],[RK]],TableWRCalcPts[RK],0)),"")</f>
        <v>11</v>
      </c>
      <c r="S84" s="113">
        <f>IFERROR(INDEX(TableWRCalcPts[Custom],MATCH(TableWRVORP[[#This Row],[RK]],TableWRCalcPts[RK],0)),"")</f>
        <v>99.733947802944002</v>
      </c>
      <c r="T84" s="114">
        <f>(IFERROR((TableWRVORP[[#This Row],[FPS]]-INDEX(TableWRVORP[FPS],MATCH(WRVORPCalc,TableWRVORP[RK],0)))/INDEX(TableWRVORP[FPS],MATCH(WRVORPCalc,TableWRVORP[RK],0)),""))*1.2</f>
        <v>-0.38705706164316395</v>
      </c>
      <c r="V84">
        <v>83</v>
      </c>
      <c r="W84" s="112" t="str">
        <f>IFERROR(INDEX(TableTECalcPts[PLAYER],MATCH(TableTEVORP[[#This Row],[RK]],TableTECalcPts[RK],0)),"")</f>
        <v/>
      </c>
      <c r="X84" s="112" t="str">
        <f>IFERROR(INDEX(TableTECalcPts[TM],MATCH(TableTEVORP[[#This Row],[RK]],TableTECalcPts[RK],0)),"")</f>
        <v/>
      </c>
      <c r="Y84" s="112" t="str">
        <f>IFERROR(INDEX(TableTECalcPts[BYE],MATCH(TableTEVORP[[#This Row],[RK]],TableTECalcPts[RK],0)),"")</f>
        <v/>
      </c>
      <c r="Z84" s="113" t="str">
        <f>IFERROR(INDEX(TableTECalcPts[Custom],MATCH(TableTEVORP[[#This Row],[RK]],TableTECalcPts[RK],0)),"")</f>
        <v/>
      </c>
      <c r="AA84" s="114" t="str">
        <f>IFERROR((TableTEVORP[[#This Row],[FPS]]-INDEX(TableTEVORP[FPS],MATCH(TEVORPCalc,TableTEVORP[RK],0)))/INDEX(TableTEVORP[FPS],MATCH(TEVORPCalc,TableTEVORP[RK],0)),"")</f>
        <v/>
      </c>
      <c r="AF84" t="s">
        <v>207</v>
      </c>
      <c r="AG84">
        <v>43</v>
      </c>
      <c r="AH84" s="83">
        <f>RANK(TableOverallMaster[[#This Row],[VORP]],TableOverallMaster[VORP])+COUNTIF($AM$2:AM84,AM84)-1</f>
        <v>128</v>
      </c>
      <c r="AI84" s="115" t="str">
        <f>IFERROR(INDEX(TableRBVORP[RUNNING BACK],MATCH(TableOverallMaster[[#This Row],[RK]],TableRBVORP[RK],0)),"")</f>
        <v>Blake Corum</v>
      </c>
      <c r="AJ84" s="115" t="str">
        <f t="shared" si="1"/>
        <v>RB43</v>
      </c>
      <c r="AK84" s="115">
        <f>IFERROR(INDEX(TableRBVORP[BYE],MATCH(TableOverallMaster[[#This Row],[RK]],TableRBVORP[RK],0)),"")</f>
        <v>6</v>
      </c>
      <c r="AL84" s="116">
        <f>IFERROR(INDEX(TableRBVORP[FPS],MATCH(TableOverallMaster[[#This Row],[RK]],TableRBVORP[RK],0)),"")</f>
        <v>120.1999000133012</v>
      </c>
      <c r="AM84" s="117">
        <f>IFERROR(INDEX(TableRBVORP[VORP],MATCH(TableOverallMaster[[#This Row],[RK]],TableRBVORP[RK],0)),"")</f>
        <v>1.9148815654710296E-3</v>
      </c>
      <c r="AO84">
        <v>83</v>
      </c>
      <c r="AP84" s="118" t="str">
        <f>IFERROR(INDEX(TableOverallMaster[OVERALL PLAYER],MATCH(TableOverallRank[[#This Row],[RK]],TableOverallMaster[OVR RK],0)),"")</f>
        <v>Michael Pittman</v>
      </c>
      <c r="AQ84" s="119" t="str">
        <f>IFERROR(INDEX(TableOverallMaster[POS RK],MATCH(TableOverallRank[[#This Row],[OVERALL PLAYER]],TableOverallMaster[OVERALL PLAYER],0)),"")</f>
        <v>WR36</v>
      </c>
      <c r="AR84" s="120">
        <f>IFERROR(INDEX(TableOverallMaster[BYE],MATCH(TableOverallRank[[#This Row],[OVERALL PLAYER]],TableOverallMaster[OVERALL PLAYER],0)),"")</f>
        <v>14</v>
      </c>
      <c r="AS84" s="119">
        <f>IFERROR(INDEX(TableOverallMaster[Custom],MATCH(TableOverallRank[[#This Row],[OVERALL PLAYER]],TableOverallMaster[OVERALL PLAYER],0)),"")</f>
        <v>173.37018571044479</v>
      </c>
      <c r="AT84" s="121">
        <f>IFERROR(INDEX(TableOverallMaster[VORP],MATCH(TableOverallRank[[#This Row],[OVERALL PLAYER]],TableOverallMaster[OVERALL PLAYER],0)),"")</f>
        <v>0.21316042631132051</v>
      </c>
      <c r="AV84">
        <v>83</v>
      </c>
      <c r="AW84" s="122" t="str">
        <f>IFERROR(INDEX(TableWRTECalcPts[PLAYER],MATCH(TableWRTERank[[#This Row],[RK]],TableWRTECalcPts[RK],0)),"")</f>
        <v>Dontayvion Wicks</v>
      </c>
      <c r="AX84" s="122" t="str">
        <f>IFERROR(INDEX(TableWRTECalcPts[POS RK],MATCH(TableWRTERank[[#This Row],[WR and TE COMBINED]],TableWRTECalcPts[PLAYER],0)),"")</f>
        <v>WR70</v>
      </c>
      <c r="AY84" s="122">
        <f>IFERROR(INDEX(TableWRTECalcPts[BYE],MATCH(TableWRTERank[[#This Row],[RK]],TableWRTECalcPts[RK],0)),"")</f>
        <v>10</v>
      </c>
      <c r="AZ84" s="123">
        <f>IFERROR(INDEX(TableWRTECalcPts[Custom],MATCH(TableWRTERank[[#This Row],[RK]],TableWRTECalcPts[RK],0)),"")</f>
        <v>116.82642108095868</v>
      </c>
      <c r="BA84" s="174">
        <f>IFERROR((TableWRTERank[[#This Row],[FPS]]-INDEX(TableWRTERank[FPS],MATCH(WRTEVORPCalc,TableWRTERank[RK],0)))/INDEX(TableWRTERank[FPS],MATCH(WRTEVORPCalc,TableWRTERank[RK],0)),"")</f>
        <v>-0.25551800956413223</v>
      </c>
      <c r="BC84" t="s">
        <v>208</v>
      </c>
      <c r="BD84">
        <v>83</v>
      </c>
      <c r="BE84" s="83">
        <f>RANK(TableWRTEMaster[[#This Row],[VORP]],TableWRTEMaster[VORP])+COUNTIF($BJ$2:BJ84,BJ84)-1</f>
        <v>108</v>
      </c>
      <c r="BF84" s="115" t="str">
        <f>IFERROR(INDEX(TableWRVORP[WIDE RECEIVER],MATCH(TableWRTEMaster[[#This Row],[RK]],TableWRVORP[RK],0)),"")</f>
        <v>Darius Slayton</v>
      </c>
      <c r="BG84" s="115" t="str">
        <f>_xlfn.CONCAT(TableWRTEMaster[[#This Row],[POS]],TableWRTEMaster[[#This Row],[RK]])</f>
        <v>WR83</v>
      </c>
      <c r="BH84" s="115">
        <f>IFERROR(INDEX(TableWRVORP[BYE],MATCH(TableWRTEMaster[[#This Row],[RK]],TableWRVORP[RK],0)),"")</f>
        <v>11</v>
      </c>
      <c r="BI84" s="116">
        <f>IFERROR(INDEX(TableWRVORP[FPS],MATCH(TableWRTEMaster[[#This Row],[RK]],TableWRVORP[RK],0)),"")</f>
        <v>99.733947802944002</v>
      </c>
      <c r="BJ84" s="117">
        <f>IFERROR(INDEX(TableWRVORP[VORP],MATCH(TableWRTEMaster[[#This Row],[RK]],TableWRVORP[RK],0)),"")</f>
        <v>-0.38705706164316395</v>
      </c>
    </row>
    <row r="85" spans="1:62" x14ac:dyDescent="0.2">
      <c r="A85">
        <v>84</v>
      </c>
      <c r="B85" s="112" t="str">
        <f>IFERROR(INDEX(TableQBCalcPts[PLAYER],MATCH(TableQBVORP[[#This Row],[RK]],TableQBCalcPts[RK],0)),"")</f>
        <v/>
      </c>
      <c r="C85" s="112" t="str">
        <f>IFERROR(INDEX(TableQBCalcPts[TM],MATCH(TableQBVORP[[#This Row],[RK]],TableQBCalcPts[RK],0)),"")</f>
        <v/>
      </c>
      <c r="D85" s="112" t="str">
        <f>IFERROR(INDEX(TableQBCalcPts[BYE],MATCH(TableQBVORP[[#This Row],[RK]],TableQBCalcPts[RK],0)),"")</f>
        <v/>
      </c>
      <c r="E85" s="113" t="str">
        <f>IFERROR(INDEX(TableQBCalcPts[Custom],MATCH(TableQBVORP[[#This Row],[RK]],TableQBCalcPts[RK],0)),"")</f>
        <v/>
      </c>
      <c r="F85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85">
        <v>84</v>
      </c>
      <c r="I85" s="112" t="str">
        <f>IFERROR(INDEX(TableRBCalcPts[PLAYER],MATCH(TableRBVORP[[#This Row],[RK]],TableRBCalcPts[RK],0)),"")</f>
        <v>Kimani Vidal</v>
      </c>
      <c r="J85" s="112" t="str">
        <f>IFERROR(INDEX(TableRBCalcPts[TM],MATCH(TableRBVORP[[#This Row],[RK]],TableRBCalcPts[RK],0)),"")</f>
        <v>LAC</v>
      </c>
      <c r="K85" s="112">
        <f>IFERROR(INDEX(TableRBCalcPts[BYE],MATCH(TableRBVORP[[#This Row],[RK]],TableRBCalcPts[RK],0)),"")</f>
        <v>5</v>
      </c>
      <c r="L85" s="113">
        <f>IFERROR(INDEX(TableRBCalcPts[Custom],MATCH(TableRBVORP[[#This Row],[RK]],TableRBCalcPts[RK],0)),"")</f>
        <v>22.870970628816636</v>
      </c>
      <c r="M85" s="114">
        <f>(IFERROR((TableRBVORP[[#This Row],[FPS]]-INDEX(TableRBVORP[FPS],MATCH(RBVORPCalc,TableRBVORP[RK],0)))/INDEX(TableRBVORP[FPS],MATCH(RBVORPCalc,TableRBVORP[RK],0)),""))*0.8</f>
        <v>-0.6474160818680772</v>
      </c>
      <c r="O85">
        <v>84</v>
      </c>
      <c r="P85" s="112" t="str">
        <f>IFERROR(INDEX(TableWRCalcPts[PLAYER],MATCH(TableWRVORP[[#This Row],[RK]],TableWRCalcPts[RK],0)),"")</f>
        <v>Dyami Brown</v>
      </c>
      <c r="Q85" s="112" t="str">
        <f>IFERROR(INDEX(TableWRCalcPts[TM],MATCH(TableWRVORP[[#This Row],[RK]],TableWRCalcPts[RK],0)),"")</f>
        <v>WSH</v>
      </c>
      <c r="R85" s="112">
        <f>IFERROR(INDEX(TableWRCalcPts[BYE],MATCH(TableWRVORP[[#This Row],[RK]],TableWRCalcPts[RK],0)),"")</f>
        <v>14</v>
      </c>
      <c r="S85" s="113">
        <f>IFERROR(INDEX(TableWRCalcPts[Custom],MATCH(TableWRVORP[[#This Row],[RK]],TableWRCalcPts[RK],0)),"")</f>
        <v>99.25364432662559</v>
      </c>
      <c r="T85" s="114">
        <f>(IFERROR((TableWRVORP[[#This Row],[FPS]]-INDEX(TableWRVORP[FPS],MATCH(WRVORPCalc,TableWRVORP[RK],0)))/INDEX(TableWRVORP[FPS],MATCH(WRVORPCalc,TableWRVORP[RK],0)),""))*1.2</f>
        <v>-0.39097207080446544</v>
      </c>
      <c r="V85">
        <v>84</v>
      </c>
      <c r="W85" s="112" t="str">
        <f>IFERROR(INDEX(TableTECalcPts[PLAYER],MATCH(TableTEVORP[[#This Row],[RK]],TableTECalcPts[RK],0)),"")</f>
        <v/>
      </c>
      <c r="X85" s="112" t="str">
        <f>IFERROR(INDEX(TableTECalcPts[TM],MATCH(TableTEVORP[[#This Row],[RK]],TableTECalcPts[RK],0)),"")</f>
        <v/>
      </c>
      <c r="Y85" s="112" t="str">
        <f>IFERROR(INDEX(TableTECalcPts[BYE],MATCH(TableTEVORP[[#This Row],[RK]],TableTECalcPts[RK],0)),"")</f>
        <v/>
      </c>
      <c r="Z85" s="113" t="str">
        <f>IFERROR(INDEX(TableTECalcPts[Custom],MATCH(TableTEVORP[[#This Row],[RK]],TableTECalcPts[RK],0)),"")</f>
        <v/>
      </c>
      <c r="AA85" s="114" t="str">
        <f>IFERROR((TableTEVORP[[#This Row],[FPS]]-INDEX(TableTEVORP[FPS],MATCH(TEVORPCalc,TableTEVORP[RK],0)))/INDEX(TableTEVORP[FPS],MATCH(TEVORPCalc,TableTEVORP[RK],0)),"")</f>
        <v/>
      </c>
      <c r="AF85" t="s">
        <v>207</v>
      </c>
      <c r="AG85">
        <v>44</v>
      </c>
      <c r="AH85" s="83">
        <f>RANK(TableOverallMaster[[#This Row],[VORP]],TableOverallMaster[VORP])+COUNTIF($AM$2:AM85,AM85)-1</f>
        <v>130</v>
      </c>
      <c r="AI85" s="115" t="str">
        <f>IFERROR(INDEX(TableRBVORP[RUNNING BACK],MATCH(TableOverallMaster[[#This Row],[RK]],TableRBVORP[RK],0)),"")</f>
        <v>Trey Benson</v>
      </c>
      <c r="AJ85" s="115" t="str">
        <f t="shared" si="1"/>
        <v>RB44</v>
      </c>
      <c r="AK85" s="115">
        <f>IFERROR(INDEX(TableRBVORP[BYE],MATCH(TableOverallMaster[[#This Row],[RK]],TableRBVORP[RK],0)),"")</f>
        <v>11</v>
      </c>
      <c r="AL85" s="116">
        <f>IFERROR(INDEX(TableRBVORP[FPS],MATCH(TableOverallMaster[[#This Row],[RK]],TableRBVORP[RK],0)),"")</f>
        <v>119.91287631789652</v>
      </c>
      <c r="AM85" s="117">
        <f>IFERROR(INDEX(TableRBVORP[VORP],MATCH(TableOverallMaster[[#This Row],[RK]],TableRBVORP[RK],0)),"")</f>
        <v>0</v>
      </c>
      <c r="AO85">
        <v>84</v>
      </c>
      <c r="AP85" s="118" t="str">
        <f>IFERROR(INDEX(TableOverallMaster[OVERALL PLAYER],MATCH(TableOverallRank[[#This Row],[RK]],TableOverallMaster[OVR RK],0)),"")</f>
        <v>Joshua Palmer</v>
      </c>
      <c r="AQ85" s="119" t="str">
        <f>IFERROR(INDEX(TableOverallMaster[POS RK],MATCH(TableOverallRank[[#This Row],[OVERALL PLAYER]],TableOverallMaster[OVERALL PLAYER],0)),"")</f>
        <v>WR37</v>
      </c>
      <c r="AR85" s="120">
        <f>IFERROR(INDEX(TableOverallMaster[BYE],MATCH(TableOverallRank[[#This Row],[OVERALL PLAYER]],TableOverallMaster[OVERALL PLAYER],0)),"")</f>
        <v>5</v>
      </c>
      <c r="AS85" s="119">
        <f>IFERROR(INDEX(TableOverallMaster[Custom],MATCH(TableOverallRank[[#This Row],[OVERALL PLAYER]],TableOverallMaster[OVERALL PLAYER],0)),"")</f>
        <v>172.74939155380375</v>
      </c>
      <c r="AT85" s="121">
        <f>IFERROR(INDEX(TableOverallMaster[VORP],MATCH(TableOverallRank[[#This Row],[OVERALL PLAYER]],TableOverallMaster[OVERALL PLAYER],0)),"")</f>
        <v>0.20810026137318272</v>
      </c>
      <c r="AV85">
        <v>84</v>
      </c>
      <c r="AW85" s="122" t="str">
        <f>IFERROR(INDEX(TableWRTECalcPts[PLAYER],MATCH(TableWRTERank[[#This Row],[RK]],TableWRTECalcPts[RK],0)),"")</f>
        <v>Josh Reynolds</v>
      </c>
      <c r="AX85" s="122" t="str">
        <f>IFERROR(INDEX(TableWRTECalcPts[POS RK],MATCH(TableWRTERank[[#This Row],[WR and TE COMBINED]],TableWRTECalcPts[PLAYER],0)),"")</f>
        <v>WR71</v>
      </c>
      <c r="AY85" s="122">
        <f>IFERROR(INDEX(TableWRTECalcPts[BYE],MATCH(TableWRTERank[[#This Row],[RK]],TableWRTECalcPts[RK],0)),"")</f>
        <v>14</v>
      </c>
      <c r="AZ85" s="123">
        <f>IFERROR(INDEX(TableWRTECalcPts[Custom],MATCH(TableWRTERank[[#This Row],[RK]],TableWRTECalcPts[RK],0)),"")</f>
        <v>115.87277082752136</v>
      </c>
      <c r="BA85" s="174">
        <f>IFERROR((TableWRTERank[[#This Row],[FPS]]-INDEX(TableWRTERank[FPS],MATCH(WRTEVORPCalc,TableWRTERank[RK],0)))/INDEX(TableWRTERank[FPS],MATCH(WRTEVORPCalc,TableWRTERank[RK],0)),"")</f>
        <v>-0.26159519169715917</v>
      </c>
      <c r="BC85" t="s">
        <v>208</v>
      </c>
      <c r="BD85">
        <v>84</v>
      </c>
      <c r="BE85" s="83">
        <f>RANK(TableWRTEMaster[[#This Row],[VORP]],TableWRTEMaster[VORP])+COUNTIF($BJ$2:BJ85,BJ85)-1</f>
        <v>110</v>
      </c>
      <c r="BF85" s="115" t="str">
        <f>IFERROR(INDEX(TableWRVORP[WIDE RECEIVER],MATCH(TableWRTEMaster[[#This Row],[RK]],TableWRVORP[RK],0)),"")</f>
        <v>Dyami Brown</v>
      </c>
      <c r="BG85" s="115" t="str">
        <f>_xlfn.CONCAT(TableWRTEMaster[[#This Row],[POS]],TableWRTEMaster[[#This Row],[RK]])</f>
        <v>WR84</v>
      </c>
      <c r="BH85" s="115">
        <f>IFERROR(INDEX(TableWRVORP[BYE],MATCH(TableWRTEMaster[[#This Row],[RK]],TableWRVORP[RK],0)),"")</f>
        <v>14</v>
      </c>
      <c r="BI85" s="116">
        <f>IFERROR(INDEX(TableWRVORP[FPS],MATCH(TableWRTEMaster[[#This Row],[RK]],TableWRVORP[RK],0)),"")</f>
        <v>99.25364432662559</v>
      </c>
      <c r="BJ85" s="117">
        <f>IFERROR(INDEX(TableWRVORP[VORP],MATCH(TableWRTEMaster[[#This Row],[RK]],TableWRVORP[RK],0)),"")</f>
        <v>-0.39097207080446544</v>
      </c>
    </row>
    <row r="86" spans="1:62" x14ac:dyDescent="0.2">
      <c r="A86">
        <v>85</v>
      </c>
      <c r="B86" s="112" t="str">
        <f>IFERROR(INDEX(TableQBCalcPts[PLAYER],MATCH(TableQBVORP[[#This Row],[RK]],TableQBCalcPts[RK],0)),"")</f>
        <v/>
      </c>
      <c r="C86" s="112" t="str">
        <f>IFERROR(INDEX(TableQBCalcPts[TM],MATCH(TableQBVORP[[#This Row],[RK]],TableQBCalcPts[RK],0)),"")</f>
        <v/>
      </c>
      <c r="D86" s="112" t="str">
        <f>IFERROR(INDEX(TableQBCalcPts[BYE],MATCH(TableQBVORP[[#This Row],[RK]],TableQBCalcPts[RK],0)),"")</f>
        <v/>
      </c>
      <c r="E86" s="113" t="str">
        <f>IFERROR(INDEX(TableQBCalcPts[Custom],MATCH(TableQBVORP[[#This Row],[RK]],TableQBCalcPts[RK],0)),"")</f>
        <v/>
      </c>
      <c r="F86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86">
        <v>85</v>
      </c>
      <c r="I86" s="112" t="str">
        <f>IFERROR(INDEX(TableRBCalcPts[PLAYER],MATCH(TableRBVORP[[#This Row],[RK]],TableRBCalcPts[RK],0)),"")</f>
        <v>Miles Sanders</v>
      </c>
      <c r="J86" s="112" t="str">
        <f>IFERROR(INDEX(TableRBCalcPts[TM],MATCH(TableRBVORP[[#This Row],[RK]],TableRBCalcPts[RK],0)),"")</f>
        <v>CAR</v>
      </c>
      <c r="K86" s="112">
        <f>IFERROR(INDEX(TableRBCalcPts[BYE],MATCH(TableRBVORP[[#This Row],[RK]],TableRBCalcPts[RK],0)),"")</f>
        <v>11</v>
      </c>
      <c r="L86" s="113">
        <f>IFERROR(INDEX(TableRBCalcPts[Custom],MATCH(TableRBVORP[[#This Row],[RK]],TableRBCalcPts[RK],0)),"")</f>
        <v>22.254131037480178</v>
      </c>
      <c r="M86" s="114">
        <f>(IFERROR((TableRBVORP[[#This Row],[FPS]]-INDEX(TableRBVORP[FPS],MATCH(RBVORPCalc,TableRBVORP[RK],0)))/INDEX(TableRBVORP[FPS],MATCH(RBVORPCalc,TableRBVORP[RK],0)),""))*0.8</f>
        <v>-0.65153133360935767</v>
      </c>
      <c r="O86">
        <v>85</v>
      </c>
      <c r="P86" s="112" t="str">
        <f>IFERROR(INDEX(TableWRCalcPts[PLAYER],MATCH(TableWRVORP[[#This Row],[RK]],TableWRCalcPts[RK],0)),"")</f>
        <v>K.J. Osborn</v>
      </c>
      <c r="Q86" s="112" t="str">
        <f>IFERROR(INDEX(TableWRCalcPts[TM],MATCH(TableWRVORP[[#This Row],[RK]],TableWRCalcPts[RK],0)),"")</f>
        <v>NE</v>
      </c>
      <c r="R86" s="112">
        <f>IFERROR(INDEX(TableWRCalcPts[BYE],MATCH(TableWRVORP[[#This Row],[RK]],TableWRCalcPts[RK],0)),"")</f>
        <v>14</v>
      </c>
      <c r="S86" s="113">
        <f>IFERROR(INDEX(TableWRCalcPts[Custom],MATCH(TableWRVORP[[#This Row],[RK]],TableWRCalcPts[RK],0)),"")</f>
        <v>93.985026112107334</v>
      </c>
      <c r="T86" s="114">
        <f>(IFERROR((TableWRVORP[[#This Row],[FPS]]-INDEX(TableWRVORP[FPS],MATCH(WRVORPCalc,TableWRVORP[RK],0)))/INDEX(TableWRVORP[FPS],MATCH(WRVORPCalc,TableWRVORP[RK],0)),""))*1.2</f>
        <v>-0.43391718695341613</v>
      </c>
      <c r="V86">
        <v>85</v>
      </c>
      <c r="W86" s="112" t="str">
        <f>IFERROR(INDEX(TableTECalcPts[PLAYER],MATCH(TableTEVORP[[#This Row],[RK]],TableTECalcPts[RK],0)),"")</f>
        <v/>
      </c>
      <c r="X86" s="112" t="str">
        <f>IFERROR(INDEX(TableTECalcPts[TM],MATCH(TableTEVORP[[#This Row],[RK]],TableTECalcPts[RK],0)),"")</f>
        <v/>
      </c>
      <c r="Y86" s="112" t="str">
        <f>IFERROR(INDEX(TableTECalcPts[BYE],MATCH(TableTEVORP[[#This Row],[RK]],TableTECalcPts[RK],0)),"")</f>
        <v/>
      </c>
      <c r="Z86" s="113" t="str">
        <f>IFERROR(INDEX(TableTECalcPts[Custom],MATCH(TableTEVORP[[#This Row],[RK]],TableTECalcPts[RK],0)),"")</f>
        <v/>
      </c>
      <c r="AA86" s="114" t="str">
        <f>IFERROR((TableTEVORP[[#This Row],[FPS]]-INDEX(TableTEVORP[FPS],MATCH(TEVORPCalc,TableTEVORP[RK],0)))/INDEX(TableTEVORP[FPS],MATCH(TEVORPCalc,TableTEVORP[RK],0)),"")</f>
        <v/>
      </c>
      <c r="AF86" t="s">
        <v>207</v>
      </c>
      <c r="AG86">
        <v>45</v>
      </c>
      <c r="AH86" s="83">
        <f>RANK(TableOverallMaster[[#This Row],[VORP]],TableOverallMaster[VORP])+COUNTIF($AM$2:AM86,AM86)-1</f>
        <v>134</v>
      </c>
      <c r="AI86" s="115" t="str">
        <f>IFERROR(INDEX(TableRBVORP[RUNNING BACK],MATCH(TableOverallMaster[[#This Row],[RK]],TableRBVORP[RK],0)),"")</f>
        <v>Ty Chandler</v>
      </c>
      <c r="AJ86" s="115" t="str">
        <f t="shared" si="1"/>
        <v>RB45</v>
      </c>
      <c r="AK86" s="115">
        <f>IFERROR(INDEX(TableRBVORP[BYE],MATCH(TableOverallMaster[[#This Row],[RK]],TableRBVORP[RK],0)),"")</f>
        <v>6</v>
      </c>
      <c r="AL86" s="116">
        <f>IFERROR(INDEX(TableRBVORP[FPS],MATCH(TableOverallMaster[[#This Row],[RK]],TableRBVORP[RK],0)),"")</f>
        <v>118.79597178821116</v>
      </c>
      <c r="AM86" s="117">
        <f>IFERROR(INDEX(TableRBVORP[VORP],MATCH(TableOverallMaster[[#This Row],[RK]],TableRBVORP[RK],0)),"")</f>
        <v>-7.4514401721087788E-3</v>
      </c>
      <c r="AO86">
        <v>85</v>
      </c>
      <c r="AP86" s="118" t="str">
        <f>IFERROR(INDEX(TableOverallMaster[OVERALL PLAYER],MATCH(TableOverallRank[[#This Row],[RK]],TableOverallMaster[OVR RK],0)),"")</f>
        <v>Austin Ekeler</v>
      </c>
      <c r="AQ86" s="119" t="str">
        <f>IFERROR(INDEX(TableOverallMaster[POS RK],MATCH(TableOverallRank[[#This Row],[OVERALL PLAYER]],TableOverallMaster[OVERALL PLAYER],0)),"")</f>
        <v>RB34</v>
      </c>
      <c r="AR86" s="120">
        <f>IFERROR(INDEX(TableOverallMaster[BYE],MATCH(TableOverallRank[[#This Row],[OVERALL PLAYER]],TableOverallMaster[OVERALL PLAYER],0)),"")</f>
        <v>14</v>
      </c>
      <c r="AS86" s="119">
        <f>IFERROR(INDEX(TableOverallMaster[Custom],MATCH(TableOverallRank[[#This Row],[OVERALL PLAYER]],TableOverallMaster[OVERALL PLAYER],0)),"")</f>
        <v>150.92304762595202</v>
      </c>
      <c r="AT86" s="121">
        <f>IFERROR(INDEX(TableOverallMaster[VORP],MATCH(TableOverallRank[[#This Row],[OVERALL PLAYER]],TableOverallMaster[OVERALL PLAYER],0)),"")</f>
        <v>0.20688468001281601</v>
      </c>
      <c r="AV86">
        <v>85</v>
      </c>
      <c r="AW86" s="122" t="str">
        <f>IFERROR(INDEX(TableWRTECalcPts[PLAYER],MATCH(TableWRTERank[[#This Row],[RK]],TableWRTECalcPts[RK],0)),"")</f>
        <v>Greg Dortch</v>
      </c>
      <c r="AX86" s="122" t="str">
        <f>IFERROR(INDEX(TableWRTECalcPts[POS RK],MATCH(TableWRTERank[[#This Row],[WR and TE COMBINED]],TableWRTECalcPts[PLAYER],0)),"")</f>
        <v>WR72</v>
      </c>
      <c r="AY86" s="122">
        <f>IFERROR(INDEX(TableWRTECalcPts[BYE],MATCH(TableWRTERank[[#This Row],[RK]],TableWRTECalcPts[RK],0)),"")</f>
        <v>11</v>
      </c>
      <c r="AZ86" s="123">
        <f>IFERROR(INDEX(TableWRTECalcPts[Custom],MATCH(TableWRTERank[[#This Row],[RK]],TableWRTECalcPts[RK],0)),"")</f>
        <v>114.91314586095427</v>
      </c>
      <c r="BA86" s="174">
        <f>IFERROR((TableWRTERank[[#This Row],[FPS]]-INDEX(TableWRTERank[FPS],MATCH(WRTEVORPCalc,TableWRTERank[RK],0)))/INDEX(TableWRTERank[FPS],MATCH(WRTEVORPCalc,TableWRTERank[RK],0)),"")</f>
        <v>-0.26771044797712978</v>
      </c>
      <c r="BC86" t="s">
        <v>208</v>
      </c>
      <c r="BD86">
        <v>85</v>
      </c>
      <c r="BE86" s="83">
        <f>RANK(TableWRTEMaster[[#This Row],[VORP]],TableWRTEMaster[VORP])+COUNTIF($BJ$2:BJ86,BJ86)-1</f>
        <v>114</v>
      </c>
      <c r="BF86" s="115" t="str">
        <f>IFERROR(INDEX(TableWRVORP[WIDE RECEIVER],MATCH(TableWRTEMaster[[#This Row],[RK]],TableWRVORP[RK],0)),"")</f>
        <v>K.J. Osborn</v>
      </c>
      <c r="BG86" s="115" t="str">
        <f>_xlfn.CONCAT(TableWRTEMaster[[#This Row],[POS]],TableWRTEMaster[[#This Row],[RK]])</f>
        <v>WR85</v>
      </c>
      <c r="BH86" s="115">
        <f>IFERROR(INDEX(TableWRVORP[BYE],MATCH(TableWRTEMaster[[#This Row],[RK]],TableWRVORP[RK],0)),"")</f>
        <v>14</v>
      </c>
      <c r="BI86" s="116">
        <f>IFERROR(INDEX(TableWRVORP[FPS],MATCH(TableWRTEMaster[[#This Row],[RK]],TableWRVORP[RK],0)),"")</f>
        <v>93.985026112107334</v>
      </c>
      <c r="BJ86" s="117">
        <f>IFERROR(INDEX(TableWRVORP[VORP],MATCH(TableWRTEMaster[[#This Row],[RK]],TableWRVORP[RK],0)),"")</f>
        <v>-0.43391718695341613</v>
      </c>
    </row>
    <row r="87" spans="1:62" x14ac:dyDescent="0.2">
      <c r="A87">
        <v>86</v>
      </c>
      <c r="B87" s="112" t="str">
        <f>IFERROR(INDEX(TableQBCalcPts[PLAYER],MATCH(TableQBVORP[[#This Row],[RK]],TableQBCalcPts[RK],0)),"")</f>
        <v/>
      </c>
      <c r="C87" s="112" t="str">
        <f>IFERROR(INDEX(TableQBCalcPts[TM],MATCH(TableQBVORP[[#This Row],[RK]],TableQBCalcPts[RK],0)),"")</f>
        <v/>
      </c>
      <c r="D87" s="112" t="str">
        <f>IFERROR(INDEX(TableQBCalcPts[BYE],MATCH(TableQBVORP[[#This Row],[RK]],TableQBCalcPts[RK],0)),"")</f>
        <v/>
      </c>
      <c r="E87" s="113" t="str">
        <f>IFERROR(INDEX(TableQBCalcPts[Custom],MATCH(TableQBVORP[[#This Row],[RK]],TableQBCalcPts[RK],0)),"")</f>
        <v/>
      </c>
      <c r="F87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87">
        <v>86</v>
      </c>
      <c r="I87" s="112" t="str">
        <f>IFERROR(INDEX(TableRBCalcPts[PLAYER],MATCH(TableRBVORP[[#This Row],[RK]],TableRBCalcPts[RK],0)),"")</f>
        <v>Tyler Goodson</v>
      </c>
      <c r="J87" s="112" t="str">
        <f>IFERROR(INDEX(TableRBCalcPts[TM],MATCH(TableRBVORP[[#This Row],[RK]],TableRBCalcPts[RK],0)),"")</f>
        <v>IND</v>
      </c>
      <c r="K87" s="112">
        <f>IFERROR(INDEX(TableRBCalcPts[BYE],MATCH(TableRBVORP[[#This Row],[RK]],TableRBCalcPts[RK],0)),"")</f>
        <v>14</v>
      </c>
      <c r="L87" s="113">
        <f>IFERROR(INDEX(TableRBCalcPts[Custom],MATCH(TableRBVORP[[#This Row],[RK]],TableRBCalcPts[RK],0)),"")</f>
        <v>21.431914367906273</v>
      </c>
      <c r="M87" s="114">
        <f>(IFERROR((TableRBVORP[[#This Row],[FPS]]-INDEX(TableRBVORP[FPS],MATCH(RBVORPCalc,TableRBVORP[RK],0)))/INDEX(TableRBVORP[FPS],MATCH(RBVORPCalc,TableRBVORP[RK],0)),""))*0.8</f>
        <v>-0.65701676066153947</v>
      </c>
      <c r="O87">
        <v>86</v>
      </c>
      <c r="P87" s="112" t="str">
        <f>IFERROR(INDEX(TableWRCalcPts[PLAYER],MATCH(TableWRVORP[[#This Row],[RK]],TableWRCalcPts[RK],0)),"")</f>
        <v>Ja'Lynn Polk</v>
      </c>
      <c r="Q87" s="112" t="str">
        <f>IFERROR(INDEX(TableWRCalcPts[TM],MATCH(TableWRVORP[[#This Row],[RK]],TableWRCalcPts[RK],0)),"")</f>
        <v>NE</v>
      </c>
      <c r="R87" s="112">
        <f>IFERROR(INDEX(TableWRCalcPts[BYE],MATCH(TableWRVORP[[#This Row],[RK]],TableWRCalcPts[RK],0)),"")</f>
        <v>14</v>
      </c>
      <c r="S87" s="113">
        <f>IFERROR(INDEX(TableWRCalcPts[Custom],MATCH(TableWRVORP[[#This Row],[RK]],TableWRCalcPts[RK],0)),"")</f>
        <v>92.520147055073906</v>
      </c>
      <c r="T87" s="114">
        <f>(IFERROR((TableWRVORP[[#This Row],[FPS]]-INDEX(TableWRVORP[FPS],MATCH(WRVORPCalc,TableWRVORP[RK],0)))/INDEX(TableWRVORP[FPS],MATCH(WRVORPCalc,TableWRVORP[RK],0)),""))*1.2</f>
        <v>-0.4458575854956966</v>
      </c>
      <c r="V87">
        <v>86</v>
      </c>
      <c r="W87" s="112" t="str">
        <f>IFERROR(INDEX(TableTECalcPts[PLAYER],MATCH(TableTEVORP[[#This Row],[RK]],TableTECalcPts[RK],0)),"")</f>
        <v/>
      </c>
      <c r="X87" s="112" t="str">
        <f>IFERROR(INDEX(TableTECalcPts[TM],MATCH(TableTEVORP[[#This Row],[RK]],TableTECalcPts[RK],0)),"")</f>
        <v/>
      </c>
      <c r="Y87" s="112" t="str">
        <f>IFERROR(INDEX(TableTECalcPts[BYE],MATCH(TableTEVORP[[#This Row],[RK]],TableTECalcPts[RK],0)),"")</f>
        <v/>
      </c>
      <c r="Z87" s="113" t="str">
        <f>IFERROR(INDEX(TableTECalcPts[Custom],MATCH(TableTEVORP[[#This Row],[RK]],TableTECalcPts[RK],0)),"")</f>
        <v/>
      </c>
      <c r="AA87" s="114" t="str">
        <f>IFERROR((TableTEVORP[[#This Row],[FPS]]-INDEX(TableTEVORP[FPS],MATCH(TEVORPCalc,TableTEVORP[RK],0)))/INDEX(TableTEVORP[FPS],MATCH(TEVORPCalc,TableTEVORP[RK],0)),"")</f>
        <v/>
      </c>
      <c r="AF87" t="s">
        <v>207</v>
      </c>
      <c r="AG87">
        <v>46</v>
      </c>
      <c r="AH87" s="83">
        <f>RANK(TableOverallMaster[[#This Row],[VORP]],TableOverallMaster[VORP])+COUNTIF($AM$2:AM87,AM87)-1</f>
        <v>137</v>
      </c>
      <c r="AI87" s="115" t="str">
        <f>IFERROR(INDEX(TableRBVORP[RUNNING BACK],MATCH(TableOverallMaster[[#This Row],[RK]],TableRBVORP[RK],0)),"")</f>
        <v>Tyler Allgeier</v>
      </c>
      <c r="AJ87" s="115" t="str">
        <f t="shared" si="1"/>
        <v>RB46</v>
      </c>
      <c r="AK87" s="115">
        <f>IFERROR(INDEX(TableRBVORP[BYE],MATCH(TableOverallMaster[[#This Row],[RK]],TableRBVORP[RK],0)),"")</f>
        <v>12</v>
      </c>
      <c r="AL87" s="116">
        <f>IFERROR(INDEX(TableRBVORP[FPS],MATCH(TableOverallMaster[[#This Row],[RK]],TableRBVORP[RK],0)),"")</f>
        <v>116.02229455155656</v>
      </c>
      <c r="AM87" s="117">
        <f>IFERROR(INDEX(TableRBVORP[VORP],MATCH(TableOverallMaster[[#This Row],[RK]],TableRBVORP[RK],0)),"")</f>
        <v>-2.5956056669182305E-2</v>
      </c>
      <c r="AO87">
        <v>86</v>
      </c>
      <c r="AP87" s="118" t="str">
        <f>IFERROR(INDEX(TableOverallMaster[OVERALL PLAYER],MATCH(TableOverallRank[[#This Row],[RK]],TableOverallMaster[OVR RK],0)),"")</f>
        <v>Diontae Johnson</v>
      </c>
      <c r="AQ87" s="119" t="str">
        <f>IFERROR(INDEX(TableOverallMaster[POS RK],MATCH(TableOverallRank[[#This Row],[OVERALL PLAYER]],TableOverallMaster[OVERALL PLAYER],0)),"")</f>
        <v>WR38</v>
      </c>
      <c r="AR87" s="120">
        <f>IFERROR(INDEX(TableOverallMaster[BYE],MATCH(TableOverallRank[[#This Row],[OVERALL PLAYER]],TableOverallMaster[OVERALL PLAYER],0)),"")</f>
        <v>11</v>
      </c>
      <c r="AS87" s="119">
        <f>IFERROR(INDEX(TableOverallMaster[Custom],MATCH(TableOverallRank[[#This Row],[OVERALL PLAYER]],TableOverallMaster[OVERALL PLAYER],0)),"")</f>
        <v>171.49062820982402</v>
      </c>
      <c r="AT87" s="121">
        <f>IFERROR(INDEX(TableOverallMaster[VORP],MATCH(TableOverallRank[[#This Row],[OVERALL PLAYER]],TableOverallMaster[OVERALL PLAYER],0)),"")</f>
        <v>0.19783993583615886</v>
      </c>
      <c r="AV87">
        <v>86</v>
      </c>
      <c r="AW87" s="122" t="str">
        <f>IFERROR(INDEX(TableWRTECalcPts[PLAYER],MATCH(TableWRTERank[[#This Row],[RK]],TableWRTECalcPts[RK],0)),"")</f>
        <v>Marvin Mims</v>
      </c>
      <c r="AX87" s="122" t="str">
        <f>IFERROR(INDEX(TableWRTECalcPts[POS RK],MATCH(TableWRTERank[[#This Row],[WR and TE COMBINED]],TableWRTECalcPts[PLAYER],0)),"")</f>
        <v>WR73</v>
      </c>
      <c r="AY87" s="122">
        <f>IFERROR(INDEX(TableWRTECalcPts[BYE],MATCH(TableWRTERank[[#This Row],[RK]],TableWRTECalcPts[RK],0)),"")</f>
        <v>14</v>
      </c>
      <c r="AZ87" s="123">
        <f>IFERROR(INDEX(TableWRTECalcPts[Custom],MATCH(TableWRTERank[[#This Row],[RK]],TableWRTECalcPts[RK],0)),"")</f>
        <v>113.95181857055516</v>
      </c>
      <c r="BA87" s="174">
        <f>IFERROR((TableWRTERank[[#This Row],[FPS]]-INDEX(TableWRTERank[FPS],MATCH(WRTEVORPCalc,TableWRTERank[RK],0)))/INDEX(TableWRTERank[FPS],MATCH(WRTEVORPCalc,TableWRTERank[RK],0)),"")</f>
        <v>-0.27383655239764171</v>
      </c>
      <c r="BC87" t="s">
        <v>208</v>
      </c>
      <c r="BD87">
        <v>86</v>
      </c>
      <c r="BE87" s="83">
        <f>RANK(TableWRTEMaster[[#This Row],[VORP]],TableWRTEMaster[VORP])+COUNTIF($BJ$2:BJ87,BJ87)-1</f>
        <v>116</v>
      </c>
      <c r="BF87" s="115" t="str">
        <f>IFERROR(INDEX(TableWRVORP[WIDE RECEIVER],MATCH(TableWRTEMaster[[#This Row],[RK]],TableWRVORP[RK],0)),"")</f>
        <v>Ja'Lynn Polk</v>
      </c>
      <c r="BG87" s="115" t="str">
        <f>_xlfn.CONCAT(TableWRTEMaster[[#This Row],[POS]],TableWRTEMaster[[#This Row],[RK]])</f>
        <v>WR86</v>
      </c>
      <c r="BH87" s="115">
        <f>IFERROR(INDEX(TableWRVORP[BYE],MATCH(TableWRTEMaster[[#This Row],[RK]],TableWRVORP[RK],0)),"")</f>
        <v>14</v>
      </c>
      <c r="BI87" s="116">
        <f>IFERROR(INDEX(TableWRVORP[FPS],MATCH(TableWRTEMaster[[#This Row],[RK]],TableWRVORP[RK],0)),"")</f>
        <v>92.520147055073906</v>
      </c>
      <c r="BJ87" s="117">
        <f>IFERROR(INDEX(TableWRVORP[VORP],MATCH(TableWRTEMaster[[#This Row],[RK]],TableWRVORP[RK],0)),"")</f>
        <v>-0.4458575854956966</v>
      </c>
    </row>
    <row r="88" spans="1:62" x14ac:dyDescent="0.2">
      <c r="A88">
        <v>87</v>
      </c>
      <c r="B88" s="112" t="str">
        <f>IFERROR(INDEX(TableQBCalcPts[PLAYER],MATCH(TableQBVORP[[#This Row],[RK]],TableQBCalcPts[RK],0)),"")</f>
        <v/>
      </c>
      <c r="C88" s="112" t="str">
        <f>IFERROR(INDEX(TableQBCalcPts[TM],MATCH(TableQBVORP[[#This Row],[RK]],TableQBCalcPts[RK],0)),"")</f>
        <v/>
      </c>
      <c r="D88" s="112" t="str">
        <f>IFERROR(INDEX(TableQBCalcPts[BYE],MATCH(TableQBVORP[[#This Row],[RK]],TableQBCalcPts[RK],0)),"")</f>
        <v/>
      </c>
      <c r="E88" s="113" t="str">
        <f>IFERROR(INDEX(TableQBCalcPts[Custom],MATCH(TableQBVORP[[#This Row],[RK]],TableQBCalcPts[RK],0)),"")</f>
        <v/>
      </c>
      <c r="F88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88">
        <v>87</v>
      </c>
      <c r="I88" s="112" t="str">
        <f>IFERROR(INDEX(TableRBCalcPts[PLAYER],MATCH(TableRBVORP[[#This Row],[RK]],TableRBCalcPts[RK],0)),"")</f>
        <v>Clyde Edwards-Helaire</v>
      </c>
      <c r="J88" s="112" t="str">
        <f>IFERROR(INDEX(TableRBCalcPts[TM],MATCH(TableRBVORP[[#This Row],[RK]],TableRBCalcPts[RK],0)),"")</f>
        <v>KC</v>
      </c>
      <c r="K88" s="112">
        <f>IFERROR(INDEX(TableRBCalcPts[BYE],MATCH(TableRBVORP[[#This Row],[RK]],TableRBCalcPts[RK],0)),"")</f>
        <v>6</v>
      </c>
      <c r="L88" s="113">
        <f>IFERROR(INDEX(TableRBCalcPts[Custom],MATCH(TableRBVORP[[#This Row],[RK]],TableRBCalcPts[RK],0)),"")</f>
        <v>19.953388884589188</v>
      </c>
      <c r="M88" s="114">
        <f>(IFERROR((TableRBVORP[[#This Row],[FPS]]-INDEX(TableRBVORP[FPS],MATCH(RBVORPCalc,TableRBVORP[RK],0)))/INDEX(TableRBVORP[FPS],MATCH(RBVORPCalc,TableRBVORP[RK],0)),""))*0.8</f>
        <v>-0.66688075878229114</v>
      </c>
      <c r="O88">
        <v>87</v>
      </c>
      <c r="P88" s="112" t="str">
        <f>IFERROR(INDEX(TableWRCalcPts[PLAYER],MATCH(TableWRVORP[[#This Row],[RK]],TableWRCalcPts[RK],0)),"")</f>
        <v>Nelson Agholor</v>
      </c>
      <c r="Q88" s="112" t="str">
        <f>IFERROR(INDEX(TableWRCalcPts[TM],MATCH(TableWRVORP[[#This Row],[RK]],TableWRCalcPts[RK],0)),"")</f>
        <v>BAL</v>
      </c>
      <c r="R88" s="112">
        <f>IFERROR(INDEX(TableWRCalcPts[BYE],MATCH(TableWRVORP[[#This Row],[RK]],TableWRCalcPts[RK],0)),"")</f>
        <v>14</v>
      </c>
      <c r="S88" s="113">
        <f>IFERROR(INDEX(TableWRCalcPts[Custom],MATCH(TableWRVORP[[#This Row],[RK]],TableWRCalcPts[RK],0)),"")</f>
        <v>88.344267554403842</v>
      </c>
      <c r="T88" s="114">
        <f>(IFERROR((TableWRVORP[[#This Row],[FPS]]-INDEX(TableWRVORP[FPS],MATCH(WRVORPCalc,TableWRVORP[RK],0)))/INDEX(TableWRVORP[FPS],MATCH(WRVORPCalc,TableWRVORP[RK],0)),""))*1.2</f>
        <v>-0.47989566206122275</v>
      </c>
      <c r="V88">
        <v>87</v>
      </c>
      <c r="W88" s="112" t="str">
        <f>IFERROR(INDEX(TableTECalcPts[PLAYER],MATCH(TableTEVORP[[#This Row],[RK]],TableTECalcPts[RK],0)),"")</f>
        <v/>
      </c>
      <c r="X88" s="112" t="str">
        <f>IFERROR(INDEX(TableTECalcPts[TM],MATCH(TableTEVORP[[#This Row],[RK]],TableTECalcPts[RK],0)),"")</f>
        <v/>
      </c>
      <c r="Y88" s="112" t="str">
        <f>IFERROR(INDEX(TableTECalcPts[BYE],MATCH(TableTEVORP[[#This Row],[RK]],TableTECalcPts[RK],0)),"")</f>
        <v/>
      </c>
      <c r="Z88" s="113" t="str">
        <f>IFERROR(INDEX(TableTECalcPts[Custom],MATCH(TableTEVORP[[#This Row],[RK]],TableTECalcPts[RK],0)),"")</f>
        <v/>
      </c>
      <c r="AA88" s="114" t="str">
        <f>IFERROR((TableTEVORP[[#This Row],[FPS]]-INDEX(TableTEVORP[FPS],MATCH(TEVORPCalc,TableTEVORP[RK],0)))/INDEX(TableTEVORP[FPS],MATCH(TEVORPCalc,TableTEVORP[RK],0)),"")</f>
        <v/>
      </c>
      <c r="AF88" t="s">
        <v>207</v>
      </c>
      <c r="AG88">
        <v>47</v>
      </c>
      <c r="AH88" s="83">
        <f>RANK(TableOverallMaster[[#This Row],[VORP]],TableOverallMaster[VORP])+COUNTIF($AM$2:AM88,AM88)-1</f>
        <v>140</v>
      </c>
      <c r="AI88" s="115" t="str">
        <f>IFERROR(INDEX(TableRBVORP[RUNNING BACK],MATCH(TableOverallMaster[[#This Row],[RK]],TableRBVORP[RK],0)),"")</f>
        <v>Rico Dowdle</v>
      </c>
      <c r="AJ88" s="115" t="str">
        <f t="shared" si="1"/>
        <v>RB47</v>
      </c>
      <c r="AK88" s="115">
        <f>IFERROR(INDEX(TableRBVORP[BYE],MATCH(TableOverallMaster[[#This Row],[RK]],TableRBVORP[RK],0)),"")</f>
        <v>7</v>
      </c>
      <c r="AL88" s="116">
        <f>IFERROR(INDEX(TableRBVORP[FPS],MATCH(TableOverallMaster[[#This Row],[RK]],TableRBVORP[RK],0)),"")</f>
        <v>111.11104496242798</v>
      </c>
      <c r="AM88" s="117">
        <f>IFERROR(INDEX(TableRBVORP[VORP],MATCH(TableOverallMaster[[#This Row],[RK]],TableRBVORP[RK],0)),"")</f>
        <v>-5.8721509320712698E-2</v>
      </c>
      <c r="AO88">
        <v>87</v>
      </c>
      <c r="AP88" s="118" t="str">
        <f>IFERROR(INDEX(TableOverallMaster[OVERALL PLAYER],MATCH(TableOverallRank[[#This Row],[RK]],TableOverallMaster[OVR RK],0)),"")</f>
        <v>Dalton Kincaid</v>
      </c>
      <c r="AQ88" s="119" t="str">
        <f>IFERROR(INDEX(TableOverallMaster[POS RK],MATCH(TableOverallRank[[#This Row],[OVERALL PLAYER]],TableOverallMaster[OVERALL PLAYER],0)),"")</f>
        <v>TE9</v>
      </c>
      <c r="AR88" s="120">
        <f>IFERROR(INDEX(TableOverallMaster[BYE],MATCH(TableOverallRank[[#This Row],[OVERALL PLAYER]],TableOverallMaster[OVERALL PLAYER],0)),"")</f>
        <v>12</v>
      </c>
      <c r="AS88" s="119">
        <f>IFERROR(INDEX(TableOverallMaster[Custom],MATCH(TableOverallRank[[#This Row],[OVERALL PLAYER]],TableOverallMaster[OVERALL PLAYER],0)),"")</f>
        <v>157.46104686653487</v>
      </c>
      <c r="AT88" s="121">
        <f>IFERROR(INDEX(TableOverallMaster[VORP],MATCH(TableOverallRank[[#This Row],[OVERALL PLAYER]],TableOverallMaster[OVERALL PLAYER],0)),"")</f>
        <v>0.19615776465126994</v>
      </c>
      <c r="AV88">
        <v>87</v>
      </c>
      <c r="AW88" s="122" t="str">
        <f>IFERROR(INDEX(TableWRTECalcPts[PLAYER],MATCH(TableWRTERank[[#This Row],[RK]],TableWRTECalcPts[RK],0)),"")</f>
        <v>Chigoziem Okonkwo</v>
      </c>
      <c r="AX88" s="122" t="str">
        <f>IFERROR(INDEX(TableWRTECalcPts[POS RK],MATCH(TableWRTERank[[#This Row],[WR and TE COMBINED]],TableWRTECalcPts[PLAYER],0)),"")</f>
        <v>TE14</v>
      </c>
      <c r="AY88" s="122">
        <f>IFERROR(INDEX(TableWRTECalcPts[BYE],MATCH(TableWRTERank[[#This Row],[RK]],TableWRTECalcPts[RK],0)),"")</f>
        <v>5</v>
      </c>
      <c r="AZ88" s="123">
        <f>IFERROR(INDEX(TableWRTECalcPts[Custom],MATCH(TableWRTERank[[#This Row],[RK]],TableWRTECalcPts[RK],0)),"")</f>
        <v>110.39226567248875</v>
      </c>
      <c r="BA88" s="174">
        <f>IFERROR((TableWRTERank[[#This Row],[FPS]]-INDEX(TableWRTERank[FPS],MATCH(WRTEVORPCalc,TableWRTERank[RK],0)))/INDEX(TableWRTERank[FPS],MATCH(WRTEVORPCalc,TableWRTERank[RK],0)),"")</f>
        <v>-0.2965199745387499</v>
      </c>
      <c r="BC88" t="s">
        <v>208</v>
      </c>
      <c r="BD88">
        <v>87</v>
      </c>
      <c r="BE88" s="83">
        <f>RANK(TableWRTEMaster[[#This Row],[VORP]],TableWRTEMaster[VORP])+COUNTIF($BJ$2:BJ88,BJ88)-1</f>
        <v>118</v>
      </c>
      <c r="BF88" s="115" t="str">
        <f>IFERROR(INDEX(TableWRVORP[WIDE RECEIVER],MATCH(TableWRTEMaster[[#This Row],[RK]],TableWRVORP[RK],0)),"")</f>
        <v>Nelson Agholor</v>
      </c>
      <c r="BG88" s="115" t="str">
        <f>_xlfn.CONCAT(TableWRTEMaster[[#This Row],[POS]],TableWRTEMaster[[#This Row],[RK]])</f>
        <v>WR87</v>
      </c>
      <c r="BH88" s="115">
        <f>IFERROR(INDEX(TableWRVORP[BYE],MATCH(TableWRTEMaster[[#This Row],[RK]],TableWRVORP[RK],0)),"")</f>
        <v>14</v>
      </c>
      <c r="BI88" s="116">
        <f>IFERROR(INDEX(TableWRVORP[FPS],MATCH(TableWRTEMaster[[#This Row],[RK]],TableWRVORP[RK],0)),"")</f>
        <v>88.344267554403842</v>
      </c>
      <c r="BJ88" s="117">
        <f>IFERROR(INDEX(TableWRVORP[VORP],MATCH(TableWRTEMaster[[#This Row],[RK]],TableWRVORP[RK],0)),"")</f>
        <v>-0.47989566206122275</v>
      </c>
    </row>
    <row r="89" spans="1:62" x14ac:dyDescent="0.2">
      <c r="A89">
        <v>88</v>
      </c>
      <c r="B89" s="112" t="str">
        <f>IFERROR(INDEX(TableQBCalcPts[PLAYER],MATCH(TableQBVORP[[#This Row],[RK]],TableQBCalcPts[RK],0)),"")</f>
        <v/>
      </c>
      <c r="C89" s="112" t="str">
        <f>IFERROR(INDEX(TableQBCalcPts[TM],MATCH(TableQBVORP[[#This Row],[RK]],TableQBCalcPts[RK],0)),"")</f>
        <v/>
      </c>
      <c r="D89" s="112" t="str">
        <f>IFERROR(INDEX(TableQBCalcPts[BYE],MATCH(TableQBVORP[[#This Row],[RK]],TableQBCalcPts[RK],0)),"")</f>
        <v/>
      </c>
      <c r="E89" s="113" t="str">
        <f>IFERROR(INDEX(TableQBCalcPts[Custom],MATCH(TableQBVORP[[#This Row],[RK]],TableQBCalcPts[RK],0)),"")</f>
        <v/>
      </c>
      <c r="F89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89">
        <v>88</v>
      </c>
      <c r="I89" s="112" t="str">
        <f>IFERROR(INDEX(TableRBCalcPts[PLAYER],MATCH(TableRBVORP[[#This Row],[RK]],TableRBCalcPts[RK],0)),"")</f>
        <v>Craig Reynolds</v>
      </c>
      <c r="J89" s="112" t="str">
        <f>IFERROR(INDEX(TableRBCalcPts[TM],MATCH(TableRBVORP[[#This Row],[RK]],TableRBCalcPts[RK],0)),"")</f>
        <v>DET</v>
      </c>
      <c r="K89" s="112">
        <f>IFERROR(INDEX(TableRBCalcPts[BYE],MATCH(TableRBVORP[[#This Row],[RK]],TableRBCalcPts[RK],0)),"")</f>
        <v>5</v>
      </c>
      <c r="L89" s="113">
        <f>IFERROR(INDEX(TableRBCalcPts[Custom],MATCH(TableRBVORP[[#This Row],[RK]],TableRBCalcPts[RK],0)),"")</f>
        <v>19.745636094954225</v>
      </c>
      <c r="M89" s="114">
        <f>(IFERROR((TableRBVORP[[#This Row],[FPS]]-INDEX(TableRBVORP[FPS],MATCH(RBVORPCalc,TableRBVORP[RK],0)))/INDEX(TableRBVORP[FPS],MATCH(RBVORPCalc,TableRBVORP[RK],0)),""))*0.8</f>
        <v>-0.66826678367645986</v>
      </c>
      <c r="O89">
        <v>88</v>
      </c>
      <c r="P89" s="112" t="str">
        <f>IFERROR(INDEX(TableWRCalcPts[PLAYER],MATCH(TableWRVORP[[#This Row],[RK]],TableWRCalcPts[RK],0)),"")</f>
        <v>Ray-Ray McCloud</v>
      </c>
      <c r="Q89" s="112" t="str">
        <f>IFERROR(INDEX(TableWRCalcPts[TM],MATCH(TableWRVORP[[#This Row],[RK]],TableWRCalcPts[RK],0)),"")</f>
        <v>ATL</v>
      </c>
      <c r="R89" s="112">
        <f>IFERROR(INDEX(TableWRCalcPts[BYE],MATCH(TableWRVORP[[#This Row],[RK]],TableWRCalcPts[RK],0)),"")</f>
        <v>12</v>
      </c>
      <c r="S89" s="113">
        <f>IFERROR(INDEX(TableWRCalcPts[Custom],MATCH(TableWRVORP[[#This Row],[RK]],TableWRCalcPts[RK],0)),"")</f>
        <v>84.228861685020107</v>
      </c>
      <c r="T89" s="114">
        <f>(IFERROR((TableWRVORP[[#This Row],[FPS]]-INDEX(TableWRVORP[FPS],MATCH(WRVORPCalc,TableWRVORP[RK],0)))/INDEX(TableWRVORP[FPS],MATCH(WRVORPCalc,TableWRVORP[RK],0)),""))*1.2</f>
        <v>-0.51344081106703632</v>
      </c>
      <c r="V89">
        <v>88</v>
      </c>
      <c r="W89" s="112" t="str">
        <f>IFERROR(INDEX(TableTECalcPts[PLAYER],MATCH(TableTEVORP[[#This Row],[RK]],TableTECalcPts[RK],0)),"")</f>
        <v/>
      </c>
      <c r="X89" s="112" t="str">
        <f>IFERROR(INDEX(TableTECalcPts[TM],MATCH(TableTEVORP[[#This Row],[RK]],TableTECalcPts[RK],0)),"")</f>
        <v/>
      </c>
      <c r="Y89" s="112" t="str">
        <f>IFERROR(INDEX(TableTECalcPts[BYE],MATCH(TableTEVORP[[#This Row],[RK]],TableTECalcPts[RK],0)),"")</f>
        <v/>
      </c>
      <c r="Z89" s="113" t="str">
        <f>IFERROR(INDEX(TableTECalcPts[Custom],MATCH(TableTEVORP[[#This Row],[RK]],TableTECalcPts[RK],0)),"")</f>
        <v/>
      </c>
      <c r="AA89" s="114" t="str">
        <f>IFERROR((TableTEVORP[[#This Row],[FPS]]-INDEX(TableTEVORP[FPS],MATCH(TEVORPCalc,TableTEVORP[RK],0)))/INDEX(TableTEVORP[FPS],MATCH(TEVORPCalc,TableTEVORP[RK],0)),"")</f>
        <v/>
      </c>
      <c r="AF89" t="s">
        <v>207</v>
      </c>
      <c r="AG89">
        <v>48</v>
      </c>
      <c r="AH89" s="83">
        <f>RANK(TableOverallMaster[[#This Row],[VORP]],TableOverallMaster[VORP])+COUNTIF($AM$2:AM89,AM89)-1</f>
        <v>142</v>
      </c>
      <c r="AI89" s="115" t="str">
        <f>IFERROR(INDEX(TableRBVORP[RUNNING BACK],MATCH(TableOverallMaster[[#This Row],[RK]],TableRBVORP[RK],0)),"")</f>
        <v>Chase Brown</v>
      </c>
      <c r="AJ89" s="115" t="str">
        <f t="shared" si="1"/>
        <v>RB48</v>
      </c>
      <c r="AK89" s="115">
        <f>IFERROR(INDEX(TableRBVORP[BYE],MATCH(TableOverallMaster[[#This Row],[RK]],TableRBVORP[RK],0)),"")</f>
        <v>12</v>
      </c>
      <c r="AL89" s="116">
        <f>IFERROR(INDEX(TableRBVORP[FPS],MATCH(TableOverallMaster[[#This Row],[RK]],TableRBVORP[RK],0)),"")</f>
        <v>109.75380832983265</v>
      </c>
      <c r="AM89" s="117">
        <f>IFERROR(INDEX(TableRBVORP[VORP],MATCH(TableOverallMaster[[#This Row],[RK]],TableRBVORP[RK],0)),"")</f>
        <v>-6.7776327613935594E-2</v>
      </c>
      <c r="AO89">
        <v>88</v>
      </c>
      <c r="AP89" s="118" t="str">
        <f>IFERROR(INDEX(TableOverallMaster[OVERALL PLAYER],MATCH(TableOverallRank[[#This Row],[RK]],TableOverallMaster[OVR RK],0)),"")</f>
        <v>Nick Chubb</v>
      </c>
      <c r="AQ89" s="119" t="str">
        <f>IFERROR(INDEX(TableOverallMaster[POS RK],MATCH(TableOverallRank[[#This Row],[OVERALL PLAYER]],TableOverallMaster[OVERALL PLAYER],0)),"")</f>
        <v>RB35</v>
      </c>
      <c r="AR89" s="120">
        <f>IFERROR(INDEX(TableOverallMaster[BYE],MATCH(TableOverallRank[[#This Row],[OVERALL PLAYER]],TableOverallMaster[OVERALL PLAYER],0)),"")</f>
        <v>10</v>
      </c>
      <c r="AS89" s="119">
        <f>IFERROR(INDEX(TableOverallMaster[Custom],MATCH(TableOverallRank[[#This Row],[OVERALL PLAYER]],TableOverallMaster[OVERALL PLAYER],0)),"")</f>
        <v>149.18106401459886</v>
      </c>
      <c r="AT89" s="121">
        <f>IFERROR(INDEX(TableOverallMaster[VORP],MATCH(TableOverallRank[[#This Row],[OVERALL PLAYER]],TableOverallMaster[OVERALL PLAYER],0)),"")</f>
        <v>0.19526301825409009</v>
      </c>
      <c r="AV89">
        <v>88</v>
      </c>
      <c r="AW89" s="122" t="str">
        <f>IFERROR(INDEX(TableWRTECalcPts[PLAYER],MATCH(TableWRTERank[[#This Row],[RK]],TableWRTECalcPts[RK],0)),"")</f>
        <v>Michael Wilson</v>
      </c>
      <c r="AX89" s="122" t="str">
        <f>IFERROR(INDEX(TableWRTECalcPts[POS RK],MATCH(TableWRTERank[[#This Row],[WR and TE COMBINED]],TableWRTECalcPts[PLAYER],0)),"")</f>
        <v>WR74</v>
      </c>
      <c r="AY89" s="122">
        <f>IFERROR(INDEX(TableWRTECalcPts[BYE],MATCH(TableWRTERank[[#This Row],[RK]],TableWRTECalcPts[RK],0)),"")</f>
        <v>11</v>
      </c>
      <c r="AZ89" s="123">
        <f>IFERROR(INDEX(TableWRTECalcPts[Custom],MATCH(TableWRTERank[[#This Row],[RK]],TableWRTECalcPts[RK],0)),"")</f>
        <v>109.27077006195002</v>
      </c>
      <c r="BA89" s="174">
        <f>IFERROR((TableWRTERank[[#This Row],[FPS]]-INDEX(TableWRTERank[FPS],MATCH(WRTEVORPCalc,TableWRTERank[RK],0)))/INDEX(TableWRTERank[FPS],MATCH(WRTEVORPCalc,TableWRTERank[RK],0)),"")</f>
        <v>-0.30366675928721332</v>
      </c>
      <c r="BC89" t="s">
        <v>208</v>
      </c>
      <c r="BD89">
        <v>88</v>
      </c>
      <c r="BE89" s="83">
        <f>RANK(TableWRTEMaster[[#This Row],[VORP]],TableWRTEMaster[VORP])+COUNTIF($BJ$2:BJ89,BJ89)-1</f>
        <v>120</v>
      </c>
      <c r="BF89" s="115" t="str">
        <f>IFERROR(INDEX(TableWRVORP[WIDE RECEIVER],MATCH(TableWRTEMaster[[#This Row],[RK]],TableWRVORP[RK],0)),"")</f>
        <v>Ray-Ray McCloud</v>
      </c>
      <c r="BG89" s="115" t="str">
        <f>_xlfn.CONCAT(TableWRTEMaster[[#This Row],[POS]],TableWRTEMaster[[#This Row],[RK]])</f>
        <v>WR88</v>
      </c>
      <c r="BH89" s="115">
        <f>IFERROR(INDEX(TableWRVORP[BYE],MATCH(TableWRTEMaster[[#This Row],[RK]],TableWRVORP[RK],0)),"")</f>
        <v>12</v>
      </c>
      <c r="BI89" s="116">
        <f>IFERROR(INDEX(TableWRVORP[FPS],MATCH(TableWRTEMaster[[#This Row],[RK]],TableWRVORP[RK],0)),"")</f>
        <v>84.228861685020107</v>
      </c>
      <c r="BJ89" s="117">
        <f>IFERROR(INDEX(TableWRVORP[VORP],MATCH(TableWRTEMaster[[#This Row],[RK]],TableWRVORP[RK],0)),"")</f>
        <v>-0.51344081106703632</v>
      </c>
    </row>
    <row r="90" spans="1:62" x14ac:dyDescent="0.2">
      <c r="A90">
        <v>89</v>
      </c>
      <c r="B90" s="112" t="str">
        <f>IFERROR(INDEX(TableQBCalcPts[PLAYER],MATCH(TableQBVORP[[#This Row],[RK]],TableQBCalcPts[RK],0)),"")</f>
        <v/>
      </c>
      <c r="C90" s="112" t="str">
        <f>IFERROR(INDEX(TableQBCalcPts[TM],MATCH(TableQBVORP[[#This Row],[RK]],TableQBCalcPts[RK],0)),"")</f>
        <v/>
      </c>
      <c r="D90" s="112" t="str">
        <f>IFERROR(INDEX(TableQBCalcPts[BYE],MATCH(TableQBVORP[[#This Row],[RK]],TableQBCalcPts[RK],0)),"")</f>
        <v/>
      </c>
      <c r="E90" s="113" t="str">
        <f>IFERROR(INDEX(TableQBCalcPts[Custom],MATCH(TableQBVORP[[#This Row],[RK]],TableQBCalcPts[RK],0)),"")</f>
        <v/>
      </c>
      <c r="F90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90">
        <v>89</v>
      </c>
      <c r="I90" s="112" t="str">
        <f>IFERROR(INDEX(TableRBCalcPts[PLAYER],MATCH(TableRBVORP[[#This Row],[RK]],TableRBCalcPts[RK],0)),"")</f>
        <v>JaMycal Hasty</v>
      </c>
      <c r="J90" s="112" t="str">
        <f>IFERROR(INDEX(TableRBCalcPts[TM],MATCH(TableRBVORP[[#This Row],[RK]],TableRBCalcPts[RK],0)),"")</f>
        <v>NE</v>
      </c>
      <c r="K90" s="112">
        <f>IFERROR(INDEX(TableRBCalcPts[BYE],MATCH(TableRBVORP[[#This Row],[RK]],TableRBCalcPts[RK],0)),"")</f>
        <v>14</v>
      </c>
      <c r="L90" s="113">
        <f>IFERROR(INDEX(TableRBCalcPts[Custom],MATCH(TableRBVORP[[#This Row],[RK]],TableRBCalcPts[RK],0)),"")</f>
        <v>19.737978312410934</v>
      </c>
      <c r="M90" s="114">
        <f>(IFERROR((TableRBVORP[[#This Row],[FPS]]-INDEX(TableRBVORP[FPS],MATCH(RBVORPCalc,TableRBVORP[RK],0)))/INDEX(TableRBVORP[FPS],MATCH(RBVORPCalc,TableRBVORP[RK],0)),""))*0.8</f>
        <v>-0.66831787265224585</v>
      </c>
      <c r="O90">
        <v>89</v>
      </c>
      <c r="P90" s="112" t="str">
        <f>IFERROR(INDEX(TableWRCalcPts[PLAYER],MATCH(TableWRVORP[[#This Row],[RK]],TableWRCalcPts[RK],0)),"")</f>
        <v>Tyler Boyd</v>
      </c>
      <c r="Q90" s="112" t="str">
        <f>IFERROR(INDEX(TableWRCalcPts[TM],MATCH(TableWRVORP[[#This Row],[RK]],TableWRCalcPts[RK],0)),"")</f>
        <v>TEN</v>
      </c>
      <c r="R90" s="112">
        <f>IFERROR(INDEX(TableWRCalcPts[BYE],MATCH(TableWRVORP[[#This Row],[RK]],TableWRCalcPts[RK],0)),"")</f>
        <v>5</v>
      </c>
      <c r="S90" s="113">
        <f>IFERROR(INDEX(TableWRCalcPts[Custom],MATCH(TableWRVORP[[#This Row],[RK]],TableWRCalcPts[RK],0)),"")</f>
        <v>81.555692015345855</v>
      </c>
      <c r="T90" s="114">
        <f>(IFERROR((TableWRVORP[[#This Row],[FPS]]-INDEX(TableWRVORP[FPS],MATCH(WRVORPCalc,TableWRVORP[RK],0)))/INDEX(TableWRVORP[FPS],MATCH(WRVORPCalc,TableWRVORP[RK],0)),""))*1.2</f>
        <v>-0.5352301260782607</v>
      </c>
      <c r="V90">
        <v>89</v>
      </c>
      <c r="W90" s="112" t="str">
        <f>IFERROR(INDEX(TableTECalcPts[PLAYER],MATCH(TableTEVORP[[#This Row],[RK]],TableTECalcPts[RK],0)),"")</f>
        <v/>
      </c>
      <c r="X90" s="112" t="str">
        <f>IFERROR(INDEX(TableTECalcPts[TM],MATCH(TableTEVORP[[#This Row],[RK]],TableTECalcPts[RK],0)),"")</f>
        <v/>
      </c>
      <c r="Y90" s="112" t="str">
        <f>IFERROR(INDEX(TableTECalcPts[BYE],MATCH(TableTEVORP[[#This Row],[RK]],TableTECalcPts[RK],0)),"")</f>
        <v/>
      </c>
      <c r="Z90" s="113" t="str">
        <f>IFERROR(INDEX(TableTECalcPts[Custom],MATCH(TableTEVORP[[#This Row],[RK]],TableTECalcPts[RK],0)),"")</f>
        <v/>
      </c>
      <c r="AA90" s="114" t="str">
        <f>IFERROR((TableTEVORP[[#This Row],[FPS]]-INDEX(TableTEVORP[FPS],MATCH(TEVORPCalc,TableTEVORP[RK],0)))/INDEX(TableTEVORP[FPS],MATCH(TEVORPCalc,TableTEVORP[RK],0)),"")</f>
        <v/>
      </c>
      <c r="AF90" t="s">
        <v>207</v>
      </c>
      <c r="AG90">
        <v>49</v>
      </c>
      <c r="AH90" s="83">
        <f>RANK(TableOverallMaster[[#This Row],[VORP]],TableOverallMaster[VORP])+COUNTIF($AM$2:AM90,AM90)-1</f>
        <v>144</v>
      </c>
      <c r="AI90" s="115" t="str">
        <f>IFERROR(INDEX(TableRBVORP[RUNNING BACK],MATCH(TableOverallMaster[[#This Row],[RK]],TableRBVORP[RK],0)),"")</f>
        <v>Bucky Irving</v>
      </c>
      <c r="AJ90" s="115" t="str">
        <f t="shared" si="1"/>
        <v>RB49</v>
      </c>
      <c r="AK90" s="115">
        <f>IFERROR(INDEX(TableRBVORP[BYE],MATCH(TableOverallMaster[[#This Row],[RK]],TableRBVORP[RK],0)),"")</f>
        <v>11</v>
      </c>
      <c r="AL90" s="116">
        <f>IFERROR(INDEX(TableRBVORP[FPS],MATCH(TableOverallMaster[[#This Row],[RK]],TableRBVORP[RK],0)),"")</f>
        <v>108.09268065474014</v>
      </c>
      <c r="AM90" s="117">
        <f>IFERROR(INDEX(TableRBVORP[VORP],MATCH(TableOverallMaster[[#This Row],[RK]],TableRBVORP[RK],0)),"")</f>
        <v>-7.8858558153973773E-2</v>
      </c>
      <c r="AO90">
        <v>89</v>
      </c>
      <c r="AP90" s="118" t="str">
        <f>IFERROR(INDEX(TableOverallMaster[OVERALL PLAYER],MATCH(TableOverallRank[[#This Row],[RK]],TableOverallMaster[OVR RK],0)),"")</f>
        <v>Dak Prescott</v>
      </c>
      <c r="AQ90" s="119" t="str">
        <f>IFERROR(INDEX(TableOverallMaster[POS RK],MATCH(TableOverallRank[[#This Row],[OVERALL PLAYER]],TableOverallMaster[OVERALL PLAYER],0)),"")</f>
        <v>QB7</v>
      </c>
      <c r="AR90" s="120">
        <f>IFERROR(INDEX(TableOverallMaster[BYE],MATCH(TableOverallRank[[#This Row],[OVERALL PLAYER]],TableOverallMaster[OVERALL PLAYER],0)),"")</f>
        <v>7</v>
      </c>
      <c r="AS90" s="119">
        <f>IFERROR(INDEX(TableOverallMaster[Custom],MATCH(TableOverallRank[[#This Row],[OVERALL PLAYER]],TableOverallMaster[OVERALL PLAYER],0)),"")</f>
        <v>330.82918430232354</v>
      </c>
      <c r="AT90" s="121">
        <f>IFERROR(INDEX(TableOverallMaster[VORP],MATCH(TableOverallRank[[#This Row],[OVERALL PLAYER]],TableOverallMaster[OVERALL PLAYER],0)),"")</f>
        <v>0.19353602830080585</v>
      </c>
      <c r="AV90">
        <v>89</v>
      </c>
      <c r="AW90" s="122" t="str">
        <f>IFERROR(INDEX(TableWRTECalcPts[PLAYER],MATCH(TableWRTERank[[#This Row],[RK]],TableWRTECalcPts[RK],0)),"")</f>
        <v>Jalen McMillan</v>
      </c>
      <c r="AX90" s="122" t="str">
        <f>IFERROR(INDEX(TableWRTECalcPts[POS RK],MATCH(TableWRTERank[[#This Row],[WR and TE COMBINED]],TableWRTECalcPts[PLAYER],0)),"")</f>
        <v>WR75</v>
      </c>
      <c r="AY90" s="122">
        <f>IFERROR(INDEX(TableWRTECalcPts[BYE],MATCH(TableWRTERank[[#This Row],[RK]],TableWRTECalcPts[RK],0)),"")</f>
        <v>11</v>
      </c>
      <c r="AZ90" s="123">
        <f>IFERROR(INDEX(TableWRTECalcPts[Custom],MATCH(TableWRTERank[[#This Row],[RK]],TableWRTECalcPts[RK],0)),"")</f>
        <v>109.11603627591739</v>
      </c>
      <c r="BA90" s="174">
        <f>IFERROR((TableWRTERank[[#This Row],[FPS]]-INDEX(TableWRTERank[FPS],MATCH(WRTEVORPCalc,TableWRTERank[RK],0)))/INDEX(TableWRTERank[FPS],MATCH(WRTEVORPCalc,TableWRTERank[RK],0)),"")</f>
        <v>-0.30465280778503911</v>
      </c>
      <c r="BC90" t="s">
        <v>208</v>
      </c>
      <c r="BD90">
        <v>89</v>
      </c>
      <c r="BE90" s="83">
        <f>RANK(TableWRTEMaster[[#This Row],[VORP]],TableWRTEMaster[VORP])+COUNTIF($BJ$2:BJ90,BJ90)-1</f>
        <v>122</v>
      </c>
      <c r="BF90" s="115" t="str">
        <f>IFERROR(INDEX(TableWRVORP[WIDE RECEIVER],MATCH(TableWRTEMaster[[#This Row],[RK]],TableWRVORP[RK],0)),"")</f>
        <v>Tyler Boyd</v>
      </c>
      <c r="BG90" s="115" t="str">
        <f>_xlfn.CONCAT(TableWRTEMaster[[#This Row],[POS]],TableWRTEMaster[[#This Row],[RK]])</f>
        <v>WR89</v>
      </c>
      <c r="BH90" s="115">
        <f>IFERROR(INDEX(TableWRVORP[BYE],MATCH(TableWRTEMaster[[#This Row],[RK]],TableWRVORP[RK],0)),"")</f>
        <v>5</v>
      </c>
      <c r="BI90" s="116">
        <f>IFERROR(INDEX(TableWRVORP[FPS],MATCH(TableWRTEMaster[[#This Row],[RK]],TableWRVORP[RK],0)),"")</f>
        <v>81.555692015345855</v>
      </c>
      <c r="BJ90" s="117">
        <f>IFERROR(INDEX(TableWRVORP[VORP],MATCH(TableWRTEMaster[[#This Row],[RK]],TableWRVORP[RK],0)),"")</f>
        <v>-0.5352301260782607</v>
      </c>
    </row>
    <row r="91" spans="1:62" x14ac:dyDescent="0.2">
      <c r="A91">
        <v>90</v>
      </c>
      <c r="B91" s="112" t="str">
        <f>IFERROR(INDEX(TableQBCalcPts[PLAYER],MATCH(TableQBVORP[[#This Row],[RK]],TableQBCalcPts[RK],0)),"")</f>
        <v/>
      </c>
      <c r="C91" s="112" t="str">
        <f>IFERROR(INDEX(TableQBCalcPts[TM],MATCH(TableQBVORP[[#This Row],[RK]],TableQBCalcPts[RK],0)),"")</f>
        <v/>
      </c>
      <c r="D91" s="112" t="str">
        <f>IFERROR(INDEX(TableQBCalcPts[BYE],MATCH(TableQBVORP[[#This Row],[RK]],TableQBCalcPts[RK],0)),"")</f>
        <v/>
      </c>
      <c r="E91" s="113" t="str">
        <f>IFERROR(INDEX(TableQBCalcPts[Custom],MATCH(TableQBVORP[[#This Row],[RK]],TableQBCalcPts[RK],0)),"")</f>
        <v/>
      </c>
      <c r="F91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91">
        <v>90</v>
      </c>
      <c r="I91" s="112" t="str">
        <f>IFERROR(INDEX(TableRBCalcPts[PLAYER],MATCH(TableRBVORP[[#This Row],[RK]],TableRBCalcPts[RK],0)),"")</f>
        <v>Pierre Strong</v>
      </c>
      <c r="J91" s="112" t="str">
        <f>IFERROR(INDEX(TableRBCalcPts[TM],MATCH(TableRBVORP[[#This Row],[RK]],TableRBCalcPts[RK],0)),"")</f>
        <v>CLE</v>
      </c>
      <c r="K91" s="112">
        <f>IFERROR(INDEX(TableRBCalcPts[BYE],MATCH(TableRBVORP[[#This Row],[RK]],TableRBCalcPts[RK],0)),"")</f>
        <v>10</v>
      </c>
      <c r="L91" s="113">
        <f>IFERROR(INDEX(TableRBCalcPts[Custom],MATCH(TableRBVORP[[#This Row],[RK]],TableRBCalcPts[RK],0)),"")</f>
        <v>18.346231257200003</v>
      </c>
      <c r="M91" s="114">
        <f>(IFERROR((TableRBVORP[[#This Row],[FPS]]-INDEX(TableRBVORP[FPS],MATCH(RBVORPCalc,TableRBVORP[RK],0)))/INDEX(TableRBVORP[FPS],MATCH(RBVORPCalc,TableRBVORP[RK],0)),""))*0.8</f>
        <v>-0.6776029275884401</v>
      </c>
      <c r="O91">
        <v>90</v>
      </c>
      <c r="P91" s="112" t="str">
        <f>IFERROR(INDEX(TableWRCalcPts[PLAYER],MATCH(TableWRVORP[[#This Row],[RK]],TableWRCalcPts[RK],0)),"")</f>
        <v>Jalin Hyatt</v>
      </c>
      <c r="Q91" s="112" t="str">
        <f>IFERROR(INDEX(TableWRCalcPts[TM],MATCH(TableWRVORP[[#This Row],[RK]],TableWRCalcPts[RK],0)),"")</f>
        <v>NYG</v>
      </c>
      <c r="R91" s="112">
        <f>IFERROR(INDEX(TableWRCalcPts[BYE],MATCH(TableWRVORP[[#This Row],[RK]],TableWRCalcPts[RK],0)),"")</f>
        <v>11</v>
      </c>
      <c r="S91" s="113">
        <f>IFERROR(INDEX(TableWRCalcPts[Custom],MATCH(TableWRVORP[[#This Row],[RK]],TableWRCalcPts[RK],0)),"")</f>
        <v>78.840212767144308</v>
      </c>
      <c r="T91" s="114">
        <f>(IFERROR((TableWRVORP[[#This Row],[FPS]]-INDEX(TableWRVORP[FPS],MATCH(WRVORPCalc,TableWRVORP[RK],0)))/INDEX(TableWRVORP[FPS],MATCH(WRVORPCalc,TableWRVORP[RK],0)),""))*1.2</f>
        <v>-0.55736431135529041</v>
      </c>
      <c r="V91">
        <v>90</v>
      </c>
      <c r="W91" s="112" t="str">
        <f>IFERROR(INDEX(TableTECalcPts[PLAYER],MATCH(TableTEVORP[[#This Row],[RK]],TableTECalcPts[RK],0)),"")</f>
        <v/>
      </c>
      <c r="X91" s="112" t="str">
        <f>IFERROR(INDEX(TableTECalcPts[TM],MATCH(TableTEVORP[[#This Row],[RK]],TableTECalcPts[RK],0)),"")</f>
        <v/>
      </c>
      <c r="Y91" s="112" t="str">
        <f>IFERROR(INDEX(TableTECalcPts[BYE],MATCH(TableTEVORP[[#This Row],[RK]],TableTECalcPts[RK],0)),"")</f>
        <v/>
      </c>
      <c r="Z91" s="113" t="str">
        <f>IFERROR(INDEX(TableTECalcPts[Custom],MATCH(TableTEVORP[[#This Row],[RK]],TableTECalcPts[RK],0)),"")</f>
        <v/>
      </c>
      <c r="AA91" s="114" t="str">
        <f>IFERROR((TableTEVORP[[#This Row],[FPS]]-INDEX(TableTEVORP[FPS],MATCH(TEVORPCalc,TableTEVORP[RK],0)))/INDEX(TableTEVORP[FPS],MATCH(TEVORPCalc,TableTEVORP[RK],0)),"")</f>
        <v/>
      </c>
      <c r="AF91" t="s">
        <v>207</v>
      </c>
      <c r="AG91">
        <v>50</v>
      </c>
      <c r="AH91" s="83">
        <f>RANK(TableOverallMaster[[#This Row],[VORP]],TableOverallMaster[VORP])+COUNTIF($AM$2:AM91,AM91)-1</f>
        <v>150</v>
      </c>
      <c r="AI91" s="115" t="str">
        <f>IFERROR(INDEX(TableRBVORP[RUNNING BACK],MATCH(TableOverallMaster[[#This Row],[RK]],TableRBVORP[RK],0)),"")</f>
        <v>Jaleel McLaughlin</v>
      </c>
      <c r="AJ91" s="115" t="str">
        <f t="shared" si="1"/>
        <v>RB50</v>
      </c>
      <c r="AK91" s="115">
        <f>IFERROR(INDEX(TableRBVORP[BYE],MATCH(TableOverallMaster[[#This Row],[RK]],TableRBVORP[RK],0)),"")</f>
        <v>14</v>
      </c>
      <c r="AL91" s="116">
        <f>IFERROR(INDEX(TableRBVORP[FPS],MATCH(TableOverallMaster[[#This Row],[RK]],TableRBVORP[RK],0)),"")</f>
        <v>101.96850811551907</v>
      </c>
      <c r="AM91" s="117">
        <f>IFERROR(INDEX(TableRBVORP[VORP],MATCH(TableOverallMaster[[#This Row],[RK]],TableRBVORP[RK],0)),"")</f>
        <v>-0.11971603886679064</v>
      </c>
      <c r="AO91">
        <v>90</v>
      </c>
      <c r="AP91" s="118" t="str">
        <f>IFERROR(INDEX(TableOverallMaster[OVERALL PLAYER],MATCH(TableOverallRank[[#This Row],[RK]],TableOverallMaster[OVR RK],0)),"")</f>
        <v>DeAndre Hopkins</v>
      </c>
      <c r="AQ91" s="119" t="str">
        <f>IFERROR(INDEX(TableOverallMaster[POS RK],MATCH(TableOverallRank[[#This Row],[OVERALL PLAYER]],TableOverallMaster[OVERALL PLAYER],0)),"")</f>
        <v>WR39</v>
      </c>
      <c r="AR91" s="120">
        <f>IFERROR(INDEX(TableOverallMaster[BYE],MATCH(TableOverallRank[[#This Row],[OVERALL PLAYER]],TableOverallMaster[OVERALL PLAYER],0)),"")</f>
        <v>5</v>
      </c>
      <c r="AS91" s="119">
        <f>IFERROR(INDEX(TableOverallMaster[Custom],MATCH(TableOverallRank[[#This Row],[OVERALL PLAYER]],TableOverallMaster[OVERALL PLAYER],0)),"")</f>
        <v>170.19671371216654</v>
      </c>
      <c r="AT91" s="121">
        <f>IFERROR(INDEX(TableOverallMaster[VORP],MATCH(TableOverallRank[[#This Row],[OVERALL PLAYER]],TableOverallMaster[OVERALL PLAYER],0)),"")</f>
        <v>0.18729308918183304</v>
      </c>
      <c r="AV91">
        <v>90</v>
      </c>
      <c r="AW91" s="122" t="str">
        <f>IFERROR(INDEX(TableWRTECalcPts[PLAYER],MATCH(TableWRTERank[[#This Row],[RK]],TableWRTECalcPts[RK],0)),"")</f>
        <v>Rashod Bateman</v>
      </c>
      <c r="AX91" s="122" t="str">
        <f>IFERROR(INDEX(TableWRTECalcPts[POS RK],MATCH(TableWRTERank[[#This Row],[WR and TE COMBINED]],TableWRTECalcPts[PLAYER],0)),"")</f>
        <v>WR76</v>
      </c>
      <c r="AY91" s="122">
        <f>IFERROR(INDEX(TableWRTECalcPts[BYE],MATCH(TableWRTERank[[#This Row],[RK]],TableWRTECalcPts[RK],0)),"")</f>
        <v>14</v>
      </c>
      <c r="AZ91" s="123">
        <f>IFERROR(INDEX(TableWRTECalcPts[Custom],MATCH(TableWRTERank[[#This Row],[RK]],TableWRTECalcPts[RK],0)),"")</f>
        <v>104.43680487103371</v>
      </c>
      <c r="BA91" s="174">
        <f>IFERROR((TableWRTERank[[#This Row],[FPS]]-INDEX(TableWRTERank[FPS],MATCH(WRTEVORPCalc,TableWRTERank[RK],0)))/INDEX(TableWRTERank[FPS],MATCH(WRTEVORPCalc,TableWRTERank[RK],0)),"")</f>
        <v>-0.33447143509370031</v>
      </c>
      <c r="BC91" t="s">
        <v>208</v>
      </c>
      <c r="BD91">
        <v>90</v>
      </c>
      <c r="BE91" s="83">
        <f>RANK(TableWRTEMaster[[#This Row],[VORP]],TableWRTEMaster[VORP])+COUNTIF($BJ$2:BJ91,BJ91)-1</f>
        <v>125</v>
      </c>
      <c r="BF91" s="115" t="str">
        <f>IFERROR(INDEX(TableWRVORP[WIDE RECEIVER],MATCH(TableWRTEMaster[[#This Row],[RK]],TableWRVORP[RK],0)),"")</f>
        <v>Jalin Hyatt</v>
      </c>
      <c r="BG91" s="115" t="str">
        <f>_xlfn.CONCAT(TableWRTEMaster[[#This Row],[POS]],TableWRTEMaster[[#This Row],[RK]])</f>
        <v>WR90</v>
      </c>
      <c r="BH91" s="115">
        <f>IFERROR(INDEX(TableWRVORP[BYE],MATCH(TableWRTEMaster[[#This Row],[RK]],TableWRVORP[RK],0)),"")</f>
        <v>11</v>
      </c>
      <c r="BI91" s="116">
        <f>IFERROR(INDEX(TableWRVORP[FPS],MATCH(TableWRTEMaster[[#This Row],[RK]],TableWRVORP[RK],0)),"")</f>
        <v>78.840212767144308</v>
      </c>
      <c r="BJ91" s="117">
        <f>IFERROR(INDEX(TableWRVORP[VORP],MATCH(TableWRTEMaster[[#This Row],[RK]],TableWRVORP[RK],0)),"")</f>
        <v>-0.55736431135529041</v>
      </c>
    </row>
    <row r="92" spans="1:62" x14ac:dyDescent="0.2">
      <c r="A92">
        <v>91</v>
      </c>
      <c r="B92" s="112" t="str">
        <f>IFERROR(INDEX(TableQBCalcPts[PLAYER],MATCH(TableQBVORP[[#This Row],[RK]],TableQBCalcPts[RK],0)),"")</f>
        <v/>
      </c>
      <c r="C92" s="112" t="str">
        <f>IFERROR(INDEX(TableQBCalcPts[TM],MATCH(TableQBVORP[[#This Row],[RK]],TableQBCalcPts[RK],0)),"")</f>
        <v/>
      </c>
      <c r="D92" s="112" t="str">
        <f>IFERROR(INDEX(TableQBCalcPts[BYE],MATCH(TableQBVORP[[#This Row],[RK]],TableQBCalcPts[RK],0)),"")</f>
        <v/>
      </c>
      <c r="E92" s="113" t="str">
        <f>IFERROR(INDEX(TableQBCalcPts[Custom],MATCH(TableQBVORP[[#This Row],[RK]],TableQBCalcPts[RK],0)),"")</f>
        <v/>
      </c>
      <c r="F92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92">
        <v>91</v>
      </c>
      <c r="I92" s="112" t="str">
        <f>IFERROR(INDEX(TableRBCalcPts[PLAYER],MATCH(TableRBVORP[[#This Row],[RK]],TableRBCalcPts[RK],0)),"")</f>
        <v>Israel Abanikanda</v>
      </c>
      <c r="J92" s="112" t="str">
        <f>IFERROR(INDEX(TableRBCalcPts[TM],MATCH(TableRBVORP[[#This Row],[RK]],TableRBCalcPts[RK],0)),"")</f>
        <v>NYJ</v>
      </c>
      <c r="K92" s="112">
        <f>IFERROR(INDEX(TableRBCalcPts[BYE],MATCH(TableRBVORP[[#This Row],[RK]],TableRBCalcPts[RK],0)),"")</f>
        <v>12</v>
      </c>
      <c r="L92" s="113">
        <f>IFERROR(INDEX(TableRBCalcPts[Custom],MATCH(TableRBVORP[[#This Row],[RK]],TableRBCalcPts[RK],0)),"")</f>
        <v>17.414630244290926</v>
      </c>
      <c r="M92" s="114">
        <f>(IFERROR((TableRBVORP[[#This Row],[FPS]]-INDEX(TableRBVORP[FPS],MATCH(RBVORPCalc,TableRBVORP[RK],0)))/INDEX(TableRBVORP[FPS],MATCH(RBVORPCalc,TableRBVORP[RK],0)),""))*0.8</f>
        <v>-0.68381811342345822</v>
      </c>
      <c r="O92">
        <v>91</v>
      </c>
      <c r="P92" s="112" t="str">
        <f>IFERROR(INDEX(TableWRCalcPts[PLAYER],MATCH(TableWRVORP[[#This Row],[RK]],TableWRCalcPts[RK],0)),"")</f>
        <v>Troy Franklin</v>
      </c>
      <c r="Q92" s="112" t="str">
        <f>IFERROR(INDEX(TableWRCalcPts[TM],MATCH(TableWRVORP[[#This Row],[RK]],TableWRCalcPts[RK],0)),"")</f>
        <v>DEN</v>
      </c>
      <c r="R92" s="112">
        <f>IFERROR(INDEX(TableWRCalcPts[BYE],MATCH(TableWRVORP[[#This Row],[RK]],TableWRCalcPts[RK],0)),"")</f>
        <v>14</v>
      </c>
      <c r="S92" s="113">
        <f>IFERROR(INDEX(TableWRCalcPts[Custom],MATCH(TableWRVORP[[#This Row],[RK]],TableWRCalcPts[RK],0)),"")</f>
        <v>77.840978498808838</v>
      </c>
      <c r="T92" s="114">
        <f>(IFERROR((TableWRVORP[[#This Row],[FPS]]-INDEX(TableWRVORP[FPS],MATCH(WRVORPCalc,TableWRVORP[RK],0)))/INDEX(TableWRVORP[FPS],MATCH(WRVORPCalc,TableWRVORP[RK],0)),""))*1.2</f>
        <v>-0.56550918539369188</v>
      </c>
      <c r="V92">
        <v>91</v>
      </c>
      <c r="W92" s="112" t="str">
        <f>IFERROR(INDEX(TableTECalcPts[PLAYER],MATCH(TableTEVORP[[#This Row],[RK]],TableTECalcPts[RK],0)),"")</f>
        <v/>
      </c>
      <c r="X92" s="112" t="str">
        <f>IFERROR(INDEX(TableTECalcPts[TM],MATCH(TableTEVORP[[#This Row],[RK]],TableTECalcPts[RK],0)),"")</f>
        <v/>
      </c>
      <c r="Y92" s="112" t="str">
        <f>IFERROR(INDEX(TableTECalcPts[BYE],MATCH(TableTEVORP[[#This Row],[RK]],TableTECalcPts[RK],0)),"")</f>
        <v/>
      </c>
      <c r="Z92" s="113" t="str">
        <f>IFERROR(INDEX(TableTECalcPts[Custom],MATCH(TableTEVORP[[#This Row],[RK]],TableTECalcPts[RK],0)),"")</f>
        <v/>
      </c>
      <c r="AA92" s="114" t="str">
        <f>IFERROR((TableTEVORP[[#This Row],[FPS]]-INDEX(TableTEVORP[FPS],MATCH(TEVORPCalc,TableTEVORP[RK],0)))/INDEX(TableTEVORP[FPS],MATCH(TEVORPCalc,TableTEVORP[RK],0)),"")</f>
        <v/>
      </c>
      <c r="AF92" t="s">
        <v>207</v>
      </c>
      <c r="AG92">
        <v>51</v>
      </c>
      <c r="AH92" s="83">
        <f>RANK(TableOverallMaster[[#This Row],[VORP]],TableOverallMaster[VORP])+COUNTIF($AM$2:AM92,AM92)-1</f>
        <v>154</v>
      </c>
      <c r="AI92" s="115" t="str">
        <f>IFERROR(INDEX(TableRBVORP[RUNNING BACK],MATCH(TableOverallMaster[[#This Row],[RK]],TableRBVORP[RK],0)),"")</f>
        <v>Jordan Mason</v>
      </c>
      <c r="AJ92" s="115" t="str">
        <f t="shared" si="1"/>
        <v>RB51</v>
      </c>
      <c r="AK92" s="115">
        <f>IFERROR(INDEX(TableRBVORP[BYE],MATCH(TableOverallMaster[[#This Row],[RK]],TableRBVORP[RK],0)),"")</f>
        <v>9</v>
      </c>
      <c r="AL92" s="116">
        <f>IFERROR(INDEX(TableRBVORP[FPS],MATCH(TableOverallMaster[[#This Row],[RK]],TableRBVORP[RK],0)),"")</f>
        <v>98.495229171198076</v>
      </c>
      <c r="AM92" s="117">
        <f>IFERROR(INDEX(TableRBVORP[VORP],MATCH(TableOverallMaster[[#This Row],[RK]],TableRBVORP[RK],0)),"")</f>
        <v>-0.14288805542396582</v>
      </c>
      <c r="AO92">
        <v>91</v>
      </c>
      <c r="AP92" s="118" t="str">
        <f>IFERROR(INDEX(TableOverallMaster[OVERALL PLAYER],MATCH(TableOverallRank[[#This Row],[RK]],TableOverallMaster[OVR RK],0)),"")</f>
        <v>Marquise Brown</v>
      </c>
      <c r="AQ92" s="119" t="str">
        <f>IFERROR(INDEX(TableOverallMaster[POS RK],MATCH(TableOverallRank[[#This Row],[OVERALL PLAYER]],TableOverallMaster[OVERALL PLAYER],0)),"")</f>
        <v>WR40</v>
      </c>
      <c r="AR92" s="120">
        <f>IFERROR(INDEX(TableOverallMaster[BYE],MATCH(TableOverallRank[[#This Row],[OVERALL PLAYER]],TableOverallMaster[OVERALL PLAYER],0)),"")</f>
        <v>6</v>
      </c>
      <c r="AS92" s="119">
        <f>IFERROR(INDEX(TableOverallMaster[Custom],MATCH(TableOverallRank[[#This Row],[OVERALL PLAYER]],TableOverallMaster[OVERALL PLAYER],0)),"")</f>
        <v>169.58278297902092</v>
      </c>
      <c r="AT92" s="121">
        <f>IFERROR(INDEX(TableOverallMaster[VORP],MATCH(TableOverallRank[[#This Row],[OVERALL PLAYER]],TableOverallMaster[OVERALL PLAYER],0)),"")</f>
        <v>0.18228886880205744</v>
      </c>
      <c r="AV92">
        <v>91</v>
      </c>
      <c r="AW92" s="122" t="str">
        <f>IFERROR(INDEX(TableWRTECalcPts[PLAYER],MATCH(TableWRTERank[[#This Row],[RK]],TableWRTECalcPts[RK],0)),"")</f>
        <v>Malachi Corley</v>
      </c>
      <c r="AX92" s="122" t="str">
        <f>IFERROR(INDEX(TableWRTECalcPts[POS RK],MATCH(TableWRTERank[[#This Row],[WR and TE COMBINED]],TableWRTECalcPts[PLAYER],0)),"")</f>
        <v>WR77</v>
      </c>
      <c r="AY92" s="122">
        <f>IFERROR(INDEX(TableWRTECalcPts[BYE],MATCH(TableWRTERank[[#This Row],[RK]],TableWRTECalcPts[RK],0)),"")</f>
        <v>12</v>
      </c>
      <c r="AZ92" s="123">
        <f>IFERROR(INDEX(TableWRTECalcPts[Custom],MATCH(TableWRTERank[[#This Row],[RK]],TableWRTECalcPts[RK],0)),"")</f>
        <v>103.06146196052893</v>
      </c>
      <c r="BA92" s="174">
        <f>IFERROR((TableWRTERank[[#This Row],[FPS]]-INDEX(TableWRTERank[FPS],MATCH(WRTEVORPCalc,TableWRTERank[RK],0)))/INDEX(TableWRTERank[FPS],MATCH(WRTEVORPCalc,TableWRTERank[RK],0)),"")</f>
        <v>-0.3432358739772205</v>
      </c>
      <c r="BC92" t="s">
        <v>208</v>
      </c>
      <c r="BD92">
        <v>91</v>
      </c>
      <c r="BE92" s="83">
        <f>RANK(TableWRTEMaster[[#This Row],[VORP]],TableWRTEMaster[VORP])+COUNTIF($BJ$2:BJ92,BJ92)-1</f>
        <v>127</v>
      </c>
      <c r="BF92" s="115" t="str">
        <f>IFERROR(INDEX(TableWRVORP[WIDE RECEIVER],MATCH(TableWRTEMaster[[#This Row],[RK]],TableWRVORP[RK],0)),"")</f>
        <v>Troy Franklin</v>
      </c>
      <c r="BG92" s="115" t="str">
        <f>_xlfn.CONCAT(TableWRTEMaster[[#This Row],[POS]],TableWRTEMaster[[#This Row],[RK]])</f>
        <v>WR91</v>
      </c>
      <c r="BH92" s="115">
        <f>IFERROR(INDEX(TableWRVORP[BYE],MATCH(TableWRTEMaster[[#This Row],[RK]],TableWRVORP[RK],0)),"")</f>
        <v>14</v>
      </c>
      <c r="BI92" s="116">
        <f>IFERROR(INDEX(TableWRVORP[FPS],MATCH(TableWRTEMaster[[#This Row],[RK]],TableWRVORP[RK],0)),"")</f>
        <v>77.840978498808838</v>
      </c>
      <c r="BJ92" s="117">
        <f>IFERROR(INDEX(TableWRVORP[VORP],MATCH(TableWRTEMaster[[#This Row],[RK]],TableWRVORP[RK],0)),"")</f>
        <v>-0.56550918539369188</v>
      </c>
    </row>
    <row r="93" spans="1:62" x14ac:dyDescent="0.2">
      <c r="A93">
        <v>92</v>
      </c>
      <c r="B93" s="112" t="str">
        <f>IFERROR(INDEX(TableQBCalcPts[PLAYER],MATCH(TableQBVORP[[#This Row],[RK]],TableQBCalcPts[RK],0)),"")</f>
        <v/>
      </c>
      <c r="C93" s="112" t="str">
        <f>IFERROR(INDEX(TableQBCalcPts[TM],MATCH(TableQBVORP[[#This Row],[RK]],TableQBCalcPts[RK],0)),"")</f>
        <v/>
      </c>
      <c r="D93" s="112" t="str">
        <f>IFERROR(INDEX(TableQBCalcPts[BYE],MATCH(TableQBVORP[[#This Row],[RK]],TableQBCalcPts[RK],0)),"")</f>
        <v/>
      </c>
      <c r="E93" s="113" t="str">
        <f>IFERROR(INDEX(TableQBCalcPts[Custom],MATCH(TableQBVORP[[#This Row],[RK]],TableQBCalcPts[RK],0)),"")</f>
        <v/>
      </c>
      <c r="F93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93">
        <v>92</v>
      </c>
      <c r="I93" s="112" t="str">
        <f>IFERROR(INDEX(TableRBCalcPts[PLAYER],MATCH(TableRBVORP[[#This Row],[RK]],TableRBCalcPts[RK],0)),"")</f>
        <v>Keillan Robinson</v>
      </c>
      <c r="J93" s="112" t="str">
        <f>IFERROR(INDEX(TableRBCalcPts[TM],MATCH(TableRBVORP[[#This Row],[RK]],TableRBCalcPts[RK],0)),"")</f>
        <v>JAX</v>
      </c>
      <c r="K93" s="112">
        <f>IFERROR(INDEX(TableRBCalcPts[BYE],MATCH(TableRBVORP[[#This Row],[RK]],TableRBCalcPts[RK],0)),"")</f>
        <v>12</v>
      </c>
      <c r="L93" s="113">
        <f>IFERROR(INDEX(TableRBCalcPts[Custom],MATCH(TableRBVORP[[#This Row],[RK]],TableRBCalcPts[RK],0)),"")</f>
        <v>16.817457293879201</v>
      </c>
      <c r="M93" s="114">
        <f>(IFERROR((TableRBVORP[[#This Row],[FPS]]-INDEX(TableRBVORP[FPS],MATCH(RBVORPCalc,TableRBVORP[RK],0)))/INDEX(TableRBVORP[FPS],MATCH(RBVORPCalc,TableRBVORP[RK],0)),""))*0.8</f>
        <v>-0.68780215896551378</v>
      </c>
      <c r="O93">
        <v>92</v>
      </c>
      <c r="P93" s="112" t="str">
        <f>IFERROR(INDEX(TableWRCalcPts[PLAYER],MATCH(TableWRVORP[[#This Row],[RK]],TableWRCalcPts[RK],0)),"")</f>
        <v>Kalif Raymond</v>
      </c>
      <c r="Q93" s="112" t="str">
        <f>IFERROR(INDEX(TableWRCalcPts[TM],MATCH(TableWRVORP[[#This Row],[RK]],TableWRCalcPts[RK],0)),"")</f>
        <v>DET</v>
      </c>
      <c r="R93" s="112">
        <f>IFERROR(INDEX(TableWRCalcPts[BYE],MATCH(TableWRVORP[[#This Row],[RK]],TableWRCalcPts[RK],0)),"")</f>
        <v>5</v>
      </c>
      <c r="S93" s="113">
        <f>IFERROR(INDEX(TableWRCalcPts[Custom],MATCH(TableWRVORP[[#This Row],[RK]],TableWRCalcPts[RK],0)),"")</f>
        <v>75.815283346782593</v>
      </c>
      <c r="T93" s="114">
        <f>(IFERROR((TableWRVORP[[#This Row],[FPS]]-INDEX(TableWRVORP[FPS],MATCH(WRVORPCalc,TableWRVORP[RK],0)))/INDEX(TableWRVORP[FPS],MATCH(WRVORPCalc,TableWRVORP[RK],0)),""))*1.2</f>
        <v>-0.5820208607598083</v>
      </c>
      <c r="V93">
        <v>92</v>
      </c>
      <c r="W93" s="112" t="str">
        <f>IFERROR(INDEX(TableTECalcPts[PLAYER],MATCH(TableTEVORP[[#This Row],[RK]],TableTECalcPts[RK],0)),"")</f>
        <v/>
      </c>
      <c r="X93" s="112" t="str">
        <f>IFERROR(INDEX(TableTECalcPts[TM],MATCH(TableTEVORP[[#This Row],[RK]],TableTECalcPts[RK],0)),"")</f>
        <v/>
      </c>
      <c r="Y93" s="112" t="str">
        <f>IFERROR(INDEX(TableTECalcPts[BYE],MATCH(TableTEVORP[[#This Row],[RK]],TableTECalcPts[RK],0)),"")</f>
        <v/>
      </c>
      <c r="Z93" s="113" t="str">
        <f>IFERROR(INDEX(TableTECalcPts[Custom],MATCH(TableTEVORP[[#This Row],[RK]],TableTECalcPts[RK],0)),"")</f>
        <v/>
      </c>
      <c r="AA93" s="114" t="str">
        <f>IFERROR((TableTEVORP[[#This Row],[FPS]]-INDEX(TableTEVORP[FPS],MATCH(TEVORPCalc,TableTEVORP[RK],0)))/INDEX(TableTEVORP[FPS],MATCH(TEVORPCalc,TableTEVORP[RK],0)),"")</f>
        <v/>
      </c>
      <c r="AF93" t="s">
        <v>207</v>
      </c>
      <c r="AG93">
        <v>52</v>
      </c>
      <c r="AH93" s="83">
        <f>RANK(TableOverallMaster[[#This Row],[VORP]],TableOverallMaster[VORP])+COUNTIF($AM$2:AM93,AM93)-1</f>
        <v>156</v>
      </c>
      <c r="AI93" s="115" t="str">
        <f>IFERROR(INDEX(TableRBVORP[RUNNING BACK],MATCH(TableOverallMaster[[#This Row],[RK]],TableRBVORP[RK],0)),"")</f>
        <v>MarShawn Lloyd</v>
      </c>
      <c r="AJ93" s="115" t="str">
        <f t="shared" si="1"/>
        <v>RB52</v>
      </c>
      <c r="AK93" s="115">
        <f>IFERROR(INDEX(TableRBVORP[BYE],MATCH(TableOverallMaster[[#This Row],[RK]],TableRBVORP[RK],0)),"")</f>
        <v>10</v>
      </c>
      <c r="AL93" s="116">
        <f>IFERROR(INDEX(TableRBVORP[FPS],MATCH(TableOverallMaster[[#This Row],[RK]],TableRBVORP[RK],0)),"")</f>
        <v>96.388395498843764</v>
      </c>
      <c r="AM93" s="117">
        <f>IFERROR(INDEX(TableRBVORP[VORP],MATCH(TableOverallMaster[[#This Row],[RK]],TableRBVORP[RK],0)),"")</f>
        <v>-0.15694381815469349</v>
      </c>
      <c r="AO93">
        <v>92</v>
      </c>
      <c r="AP93" s="118" t="str">
        <f>IFERROR(INDEX(TableOverallMaster[OVERALL PLAYER],MATCH(TableOverallRank[[#This Row],[RK]],TableOverallMaster[OVR RK],0)),"")</f>
        <v>Chuba Hubbard</v>
      </c>
      <c r="AQ93" s="119" t="str">
        <f>IFERROR(INDEX(TableOverallMaster[POS RK],MATCH(TableOverallRank[[#This Row],[OVERALL PLAYER]],TableOverallMaster[OVERALL PLAYER],0)),"")</f>
        <v>RB36</v>
      </c>
      <c r="AR93" s="120">
        <f>IFERROR(INDEX(TableOverallMaster[BYE],MATCH(TableOverallRank[[#This Row],[OVERALL PLAYER]],TableOverallMaster[OVERALL PLAYER],0)),"")</f>
        <v>11</v>
      </c>
      <c r="AS93" s="119">
        <f>IFERROR(INDEX(TableOverallMaster[Custom],MATCH(TableOverallRank[[#This Row],[OVERALL PLAYER]],TableOverallMaster[OVERALL PLAYER],0)),"")</f>
        <v>146.53885508250966</v>
      </c>
      <c r="AT93" s="121">
        <f>IFERROR(INDEX(TableOverallMaster[VORP],MATCH(TableOverallRank[[#This Row],[OVERALL PLAYER]],TableOverallMaster[OVERALL PLAYER],0)),"")</f>
        <v>0.17763549391660663</v>
      </c>
      <c r="AV93">
        <v>92</v>
      </c>
      <c r="AW93" s="122" t="str">
        <f>IFERROR(INDEX(TableWRTECalcPts[PLAYER],MATCH(TableWRTERank[[#This Row],[RK]],TableWRTECalcPts[RK],0)),"")</f>
        <v>Elijah Moore</v>
      </c>
      <c r="AX93" s="122" t="str">
        <f>IFERROR(INDEX(TableWRTECalcPts[POS RK],MATCH(TableWRTERank[[#This Row],[WR and TE COMBINED]],TableWRTECalcPts[PLAYER],0)),"")</f>
        <v>WR78</v>
      </c>
      <c r="AY93" s="122">
        <f>IFERROR(INDEX(TableWRTECalcPts[BYE],MATCH(TableWRTERank[[#This Row],[RK]],TableWRTECalcPts[RK],0)),"")</f>
        <v>10</v>
      </c>
      <c r="AZ93" s="123">
        <f>IFERROR(INDEX(TableWRTECalcPts[Custom],MATCH(TableWRTERank[[#This Row],[RK]],TableWRTECalcPts[RK],0)),"")</f>
        <v>102.86910659024997</v>
      </c>
      <c r="BA93" s="174">
        <f>IFERROR((TableWRTERank[[#This Row],[FPS]]-INDEX(TableWRTERank[FPS],MATCH(WRTEVORPCalc,TableWRTERank[RK],0)))/INDEX(TableWRTERank[FPS],MATCH(WRTEVORPCalc,TableWRTERank[RK],0)),"")</f>
        <v>-0.3444616678311388</v>
      </c>
      <c r="BC93" t="s">
        <v>208</v>
      </c>
      <c r="BD93">
        <v>92</v>
      </c>
      <c r="BE93" s="83">
        <f>RANK(TableWRTEMaster[[#This Row],[VORP]],TableWRTEMaster[VORP])+COUNTIF($BJ$2:BJ93,BJ93)-1</f>
        <v>129</v>
      </c>
      <c r="BF93" s="115" t="str">
        <f>IFERROR(INDEX(TableWRVORP[WIDE RECEIVER],MATCH(TableWRTEMaster[[#This Row],[RK]],TableWRVORP[RK],0)),"")</f>
        <v>Kalif Raymond</v>
      </c>
      <c r="BG93" s="115" t="str">
        <f>_xlfn.CONCAT(TableWRTEMaster[[#This Row],[POS]],TableWRTEMaster[[#This Row],[RK]])</f>
        <v>WR92</v>
      </c>
      <c r="BH93" s="115">
        <f>IFERROR(INDEX(TableWRVORP[BYE],MATCH(TableWRTEMaster[[#This Row],[RK]],TableWRVORP[RK],0)),"")</f>
        <v>5</v>
      </c>
      <c r="BI93" s="116">
        <f>IFERROR(INDEX(TableWRVORP[FPS],MATCH(TableWRTEMaster[[#This Row],[RK]],TableWRVORP[RK],0)),"")</f>
        <v>75.815283346782593</v>
      </c>
      <c r="BJ93" s="117">
        <f>IFERROR(INDEX(TableWRVORP[VORP],MATCH(TableWRTEMaster[[#This Row],[RK]],TableWRVORP[RK],0)),"")</f>
        <v>-0.5820208607598083</v>
      </c>
    </row>
    <row r="94" spans="1:62" x14ac:dyDescent="0.2">
      <c r="A94">
        <v>93</v>
      </c>
      <c r="B94" s="112" t="str">
        <f>IFERROR(INDEX(TableQBCalcPts[PLAYER],MATCH(TableQBVORP[[#This Row],[RK]],TableQBCalcPts[RK],0)),"")</f>
        <v/>
      </c>
      <c r="C94" s="112" t="str">
        <f>IFERROR(INDEX(TableQBCalcPts[TM],MATCH(TableQBVORP[[#This Row],[RK]],TableQBCalcPts[RK],0)),"")</f>
        <v/>
      </c>
      <c r="D94" s="112" t="str">
        <f>IFERROR(INDEX(TableQBCalcPts[BYE],MATCH(TableQBVORP[[#This Row],[RK]],TableQBCalcPts[RK],0)),"")</f>
        <v/>
      </c>
      <c r="E94" s="113" t="str">
        <f>IFERROR(INDEX(TableQBCalcPts[Custom],MATCH(TableQBVORP[[#This Row],[RK]],TableQBCalcPts[RK],0)),"")</f>
        <v/>
      </c>
      <c r="F94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94">
        <v>93</v>
      </c>
      <c r="I94" s="112" t="str">
        <f>IFERROR(INDEX(TableRBCalcPts[PLAYER],MATCH(TableRBVORP[[#This Row],[RK]],TableRBCalcPts[RK],0)),"")</f>
        <v>Hassan Haskins</v>
      </c>
      <c r="J94" s="112" t="str">
        <f>IFERROR(INDEX(TableRBCalcPts[TM],MATCH(TableRBVORP[[#This Row],[RK]],TableRBCalcPts[RK],0)),"")</f>
        <v>TEN</v>
      </c>
      <c r="K94" s="112">
        <f>IFERROR(INDEX(TableRBCalcPts[BYE],MATCH(TableRBVORP[[#This Row],[RK]],TableRBCalcPts[RK],0)),"")</f>
        <v>5</v>
      </c>
      <c r="L94" s="113">
        <f>IFERROR(INDEX(TableRBCalcPts[Custom],MATCH(TableRBVORP[[#This Row],[RK]],TableRBCalcPts[RK],0)),"")</f>
        <v>15.651052764334191</v>
      </c>
      <c r="M94" s="114">
        <f>(IFERROR((TableRBVORP[[#This Row],[FPS]]-INDEX(TableRBVORP[FPS],MATCH(RBVORPCalc,TableRBVORP[RK],0)))/INDEX(TableRBVORP[FPS],MATCH(RBVORPCalc,TableRBVORP[RK],0)),""))*0.8</f>
        <v>-0.69558383890088826</v>
      </c>
      <c r="O94">
        <v>93</v>
      </c>
      <c r="P94" s="112" t="str">
        <f>IFERROR(INDEX(TableWRCalcPts[PLAYER],MATCH(TableWRVORP[[#This Row],[RK]],TableWRCalcPts[RK],0)),"")</f>
        <v>DJ Chark</v>
      </c>
      <c r="Q94" s="112" t="str">
        <f>IFERROR(INDEX(TableWRCalcPts[TM],MATCH(TableWRVORP[[#This Row],[RK]],TableWRCalcPts[RK],0)),"")</f>
        <v>LAC</v>
      </c>
      <c r="R94" s="112">
        <f>IFERROR(INDEX(TableWRCalcPts[BYE],MATCH(TableWRVORP[[#This Row],[RK]],TableWRCalcPts[RK],0)),"")</f>
        <v>5</v>
      </c>
      <c r="S94" s="113">
        <f>IFERROR(INDEX(TableWRCalcPts[Custom],MATCH(TableWRVORP[[#This Row],[RK]],TableWRCalcPts[RK],0)),"")</f>
        <v>74.74853649727298</v>
      </c>
      <c r="T94" s="114">
        <f>(IFERROR((TableWRVORP[[#This Row],[FPS]]-INDEX(TableWRVORP[FPS],MATCH(WRVORPCalc,TableWRVORP[RK],0)))/INDEX(TableWRVORP[FPS],MATCH(WRVORPCalc,TableWRVORP[RK],0)),""))*1.2</f>
        <v>-0.59071603765220082</v>
      </c>
      <c r="V94">
        <v>93</v>
      </c>
      <c r="W94" s="112" t="str">
        <f>IFERROR(INDEX(TableTECalcPts[PLAYER],MATCH(TableTEVORP[[#This Row],[RK]],TableTECalcPts[RK],0)),"")</f>
        <v/>
      </c>
      <c r="X94" s="112" t="str">
        <f>IFERROR(INDEX(TableTECalcPts[TM],MATCH(TableTEVORP[[#This Row],[RK]],TableTECalcPts[RK],0)),"")</f>
        <v/>
      </c>
      <c r="Y94" s="112" t="str">
        <f>IFERROR(INDEX(TableTECalcPts[BYE],MATCH(TableTEVORP[[#This Row],[RK]],TableTECalcPts[RK],0)),"")</f>
        <v/>
      </c>
      <c r="Z94" s="113" t="str">
        <f>IFERROR(INDEX(TableTECalcPts[Custom],MATCH(TableTEVORP[[#This Row],[RK]],TableTECalcPts[RK],0)),"")</f>
        <v/>
      </c>
      <c r="AA94" s="114" t="str">
        <f>IFERROR((TableTEVORP[[#This Row],[FPS]]-INDEX(TableTEVORP[FPS],MATCH(TEVORPCalc,TableTEVORP[RK],0)))/INDEX(TableTEVORP[FPS],MATCH(TEVORPCalc,TableTEVORP[RK],0)),"")</f>
        <v/>
      </c>
      <c r="AF94" t="s">
        <v>207</v>
      </c>
      <c r="AG94">
        <v>53</v>
      </c>
      <c r="AH94" s="83">
        <f>RANK(TableOverallMaster[[#This Row],[VORP]],TableOverallMaster[VORP])+COUNTIF($AM$2:AM94,AM94)-1</f>
        <v>164</v>
      </c>
      <c r="AI94" s="115" t="str">
        <f>IFERROR(INDEX(TableRBVORP[RUNNING BACK],MATCH(TableOverallMaster[[#This Row],[RK]],TableRBVORP[RK],0)),"")</f>
        <v>Dalvin Cook</v>
      </c>
      <c r="AJ94" s="115" t="str">
        <f t="shared" si="1"/>
        <v>RB53</v>
      </c>
      <c r="AK94" s="115">
        <f>IFERROR(INDEX(TableRBVORP[BYE],MATCH(TableOverallMaster[[#This Row],[RK]],TableRBVORP[RK],0)),"")</f>
        <v>7</v>
      </c>
      <c r="AL94" s="116">
        <f>IFERROR(INDEX(TableRBVORP[FPS],MATCH(TableOverallMaster[[#This Row],[RK]],TableRBVORP[RK],0)),"")</f>
        <v>85.244686888648587</v>
      </c>
      <c r="AM94" s="117">
        <f>IFERROR(INDEX(TableRBVORP[VORP],MATCH(TableOverallMaster[[#This Row],[RK]],TableRBVORP[RK],0)),"")</f>
        <v>-0.23128918590754438</v>
      </c>
      <c r="AO94">
        <v>93</v>
      </c>
      <c r="AP94" s="118" t="str">
        <f>IFERROR(INDEX(TableOverallMaster[OVERALL PLAYER],MATCH(TableOverallRank[[#This Row],[RK]],TableOverallMaster[OVR RK],0)),"")</f>
        <v>C.J. Stroud</v>
      </c>
      <c r="AQ94" s="119" t="str">
        <f>IFERROR(INDEX(TableOverallMaster[POS RK],MATCH(TableOverallRank[[#This Row],[OVERALL PLAYER]],TableOverallMaster[OVERALL PLAYER],0)),"")</f>
        <v>QB8</v>
      </c>
      <c r="AR94" s="120">
        <f>IFERROR(INDEX(TableOverallMaster[BYE],MATCH(TableOverallRank[[#This Row],[OVERALL PLAYER]],TableOverallMaster[OVERALL PLAYER],0)),"")</f>
        <v>14</v>
      </c>
      <c r="AS94" s="119">
        <f>IFERROR(INDEX(TableOverallMaster[Custom],MATCH(TableOverallRank[[#This Row],[OVERALL PLAYER]],TableOverallMaster[OVERALL PLAYER],0)),"")</f>
        <v>330.35566059243126</v>
      </c>
      <c r="AT94" s="121">
        <f>IFERROR(INDEX(TableOverallMaster[VORP],MATCH(TableOverallRank[[#This Row],[OVERALL PLAYER]],TableOverallMaster[OVERALL PLAYER],0)),"")</f>
        <v>0.17079341755383565</v>
      </c>
      <c r="AV94">
        <v>93</v>
      </c>
      <c r="AW94" s="122" t="str">
        <f>IFERROR(INDEX(TableWRTECalcPts[PLAYER],MATCH(TableWRTERank[[#This Row],[RK]],TableWRTECalcPts[RK],0)),"")</f>
        <v>Hunter Henry</v>
      </c>
      <c r="AX94" s="122" t="str">
        <f>IFERROR(INDEX(TableWRTECalcPts[POS RK],MATCH(TableWRTERank[[#This Row],[WR and TE COMBINED]],TableWRTECalcPts[PLAYER],0)),"")</f>
        <v>TE15</v>
      </c>
      <c r="AY94" s="122">
        <f>IFERROR(INDEX(TableWRTECalcPts[BYE],MATCH(TableWRTERank[[#This Row],[RK]],TableWRTECalcPts[RK],0)),"")</f>
        <v>14</v>
      </c>
      <c r="AZ94" s="123">
        <f>IFERROR(INDEX(TableWRTECalcPts[Custom],MATCH(TableWRTERank[[#This Row],[RK]],TableWRTECalcPts[RK],0)),"")</f>
        <v>101.64388453660112</v>
      </c>
      <c r="BA94" s="174">
        <f>IFERROR((TableWRTERank[[#This Row],[FPS]]-INDEX(TableWRTERank[FPS],MATCH(WRTEVORPCalc,TableWRTERank[RK],0)))/INDEX(TableWRTERank[FPS],MATCH(WRTEVORPCalc,TableWRTERank[RK],0)),"")</f>
        <v>-0.35226945433000201</v>
      </c>
      <c r="BC94" t="s">
        <v>208</v>
      </c>
      <c r="BD94">
        <v>93</v>
      </c>
      <c r="BE94" s="83">
        <f>RANK(TableWRTEMaster[[#This Row],[VORP]],TableWRTEMaster[VORP])+COUNTIF($BJ$2:BJ94,BJ94)-1</f>
        <v>130</v>
      </c>
      <c r="BF94" s="115" t="str">
        <f>IFERROR(INDEX(TableWRVORP[WIDE RECEIVER],MATCH(TableWRTEMaster[[#This Row],[RK]],TableWRVORP[RK],0)),"")</f>
        <v>DJ Chark</v>
      </c>
      <c r="BG94" s="115" t="str">
        <f>_xlfn.CONCAT(TableWRTEMaster[[#This Row],[POS]],TableWRTEMaster[[#This Row],[RK]])</f>
        <v>WR93</v>
      </c>
      <c r="BH94" s="115">
        <f>IFERROR(INDEX(TableWRVORP[BYE],MATCH(TableWRTEMaster[[#This Row],[RK]],TableWRVORP[RK],0)),"")</f>
        <v>5</v>
      </c>
      <c r="BI94" s="116">
        <f>IFERROR(INDEX(TableWRVORP[FPS],MATCH(TableWRTEMaster[[#This Row],[RK]],TableWRVORP[RK],0)),"")</f>
        <v>74.74853649727298</v>
      </c>
      <c r="BJ94" s="117">
        <f>IFERROR(INDEX(TableWRVORP[VORP],MATCH(TableWRTEMaster[[#This Row],[RK]],TableWRVORP[RK],0)),"")</f>
        <v>-0.59071603765220082</v>
      </c>
    </row>
    <row r="95" spans="1:62" x14ac:dyDescent="0.2">
      <c r="A95">
        <v>94</v>
      </c>
      <c r="B95" s="112" t="str">
        <f>IFERROR(INDEX(TableQBCalcPts[PLAYER],MATCH(TableQBVORP[[#This Row],[RK]],TableQBCalcPts[RK],0)),"")</f>
        <v/>
      </c>
      <c r="C95" s="112" t="str">
        <f>IFERROR(INDEX(TableQBCalcPts[TM],MATCH(TableQBVORP[[#This Row],[RK]],TableQBCalcPts[RK],0)),"")</f>
        <v/>
      </c>
      <c r="D95" s="112" t="str">
        <f>IFERROR(INDEX(TableQBCalcPts[BYE],MATCH(TableQBVORP[[#This Row],[RK]],TableQBCalcPts[RK],0)),"")</f>
        <v/>
      </c>
      <c r="E95" s="113" t="str">
        <f>IFERROR(INDEX(TableQBCalcPts[Custom],MATCH(TableQBVORP[[#This Row],[RK]],TableQBCalcPts[RK],0)),"")</f>
        <v/>
      </c>
      <c r="F95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95">
        <v>94</v>
      </c>
      <c r="I95" s="112" t="str">
        <f>IFERROR(INDEX(TableRBCalcPts[PLAYER],MATCH(TableRBVORP[[#This Row],[RK]],TableRBCalcPts[RK],0)),"")</f>
        <v>Emanuel Wilson</v>
      </c>
      <c r="J95" s="112" t="str">
        <f>IFERROR(INDEX(TableRBCalcPts[TM],MATCH(TableRBVORP[[#This Row],[RK]],TableRBCalcPts[RK],0)),"")</f>
        <v>GB</v>
      </c>
      <c r="K95" s="112">
        <f>IFERROR(INDEX(TableRBCalcPts[BYE],MATCH(TableRBVORP[[#This Row],[RK]],TableRBCalcPts[RK],0)),"")</f>
        <v>10</v>
      </c>
      <c r="L95" s="113">
        <f>IFERROR(INDEX(TableRBCalcPts[Custom],MATCH(TableRBVORP[[#This Row],[RK]],TableRBCalcPts[RK],0)),"")</f>
        <v>14.378845048288003</v>
      </c>
      <c r="M95" s="114">
        <f>(IFERROR((TableRBVORP[[#This Row],[FPS]]-INDEX(TableRBVORP[FPS],MATCH(RBVORPCalc,TableRBVORP[RK],0)))/INDEX(TableRBVORP[FPS],MATCH(RBVORPCalc,TableRBVORP[RK],0)),""))*0.8</f>
        <v>-0.70407138589408014</v>
      </c>
      <c r="O95">
        <v>94</v>
      </c>
      <c r="P95" s="112" t="str">
        <f>IFERROR(INDEX(TableWRCalcPts[PLAYER],MATCH(TableWRVORP[[#This Row],[RK]],TableWRCalcPts[RK],0)),"")</f>
        <v>Luke McCaffrey</v>
      </c>
      <c r="Q95" s="112" t="str">
        <f>IFERROR(INDEX(TableWRCalcPts[TM],MATCH(TableWRVORP[[#This Row],[RK]],TableWRCalcPts[RK],0)),"")</f>
        <v>WSH</v>
      </c>
      <c r="R95" s="112">
        <f>IFERROR(INDEX(TableWRCalcPts[BYE],MATCH(TableWRVORP[[#This Row],[RK]],TableWRCalcPts[RK],0)),"")</f>
        <v>14</v>
      </c>
      <c r="S95" s="113">
        <f>IFERROR(INDEX(TableWRCalcPts[Custom],MATCH(TableWRVORP[[#This Row],[RK]],TableWRCalcPts[RK],0)),"")</f>
        <v>71.775430096650027</v>
      </c>
      <c r="T95" s="114">
        <f>(IFERROR((TableWRVORP[[#This Row],[FPS]]-INDEX(TableWRVORP[FPS],MATCH(WRVORPCalc,TableWRVORP[RK],0)))/INDEX(TableWRVORP[FPS],MATCH(WRVORPCalc,TableWRVORP[RK],0)),""))*1.2</f>
        <v>-0.61495017163179033</v>
      </c>
      <c r="V95">
        <v>94</v>
      </c>
      <c r="W95" s="112" t="str">
        <f>IFERROR(INDEX(TableTECalcPts[PLAYER],MATCH(TableTEVORP[[#This Row],[RK]],TableTECalcPts[RK],0)),"")</f>
        <v/>
      </c>
      <c r="X95" s="112" t="str">
        <f>IFERROR(INDEX(TableTECalcPts[TM],MATCH(TableTEVORP[[#This Row],[RK]],TableTECalcPts[RK],0)),"")</f>
        <v/>
      </c>
      <c r="Y95" s="112" t="str">
        <f>IFERROR(INDEX(TableTECalcPts[BYE],MATCH(TableTEVORP[[#This Row],[RK]],TableTECalcPts[RK],0)),"")</f>
        <v/>
      </c>
      <c r="Z95" s="113" t="str">
        <f>IFERROR(INDEX(TableTECalcPts[Custom],MATCH(TableTEVORP[[#This Row],[RK]],TableTECalcPts[RK],0)),"")</f>
        <v/>
      </c>
      <c r="AA95" s="114" t="str">
        <f>IFERROR((TableTEVORP[[#This Row],[FPS]]-INDEX(TableTEVORP[FPS],MATCH(TEVORPCalc,TableTEVORP[RK],0)))/INDEX(TableTEVORP[FPS],MATCH(TEVORPCalc,TableTEVORP[RK],0)),"")</f>
        <v/>
      </c>
      <c r="AF95" t="s">
        <v>207</v>
      </c>
      <c r="AG95">
        <v>54</v>
      </c>
      <c r="AH95" s="83">
        <f>RANK(TableOverallMaster[[#This Row],[VORP]],TableOverallMaster[VORP])+COUNTIF($AM$2:AM95,AM95)-1</f>
        <v>166</v>
      </c>
      <c r="AI95" s="115" t="str">
        <f>IFERROR(INDEX(TableRBVORP[RUNNING BACK],MATCH(TableOverallMaster[[#This Row],[RK]],TableRBVORP[RK],0)),"")</f>
        <v>Alexander Mattison</v>
      </c>
      <c r="AJ95" s="115" t="str">
        <f t="shared" si="1"/>
        <v>RB54</v>
      </c>
      <c r="AK95" s="115">
        <f>IFERROR(INDEX(TableRBVORP[BYE],MATCH(TableOverallMaster[[#This Row],[RK]],TableRBVORP[RK],0)),"")</f>
        <v>10</v>
      </c>
      <c r="AL95" s="116">
        <f>IFERROR(INDEX(TableRBVORP[FPS],MATCH(TableOverallMaster[[#This Row],[RK]],TableRBVORP[RK],0)),"")</f>
        <v>84.163578560068146</v>
      </c>
      <c r="AM95" s="117">
        <f>IFERROR(INDEX(TableRBVORP[VORP],MATCH(TableOverallMaster[[#This Row],[RK]],TableRBVORP[RK],0)),"")</f>
        <v>-0.23850181135213375</v>
      </c>
      <c r="AO95">
        <v>94</v>
      </c>
      <c r="AP95" s="118" t="str">
        <f>IFERROR(INDEX(TableOverallMaster[OVERALL PLAYER],MATCH(TableOverallRank[[#This Row],[RK]],TableOverallMaster[OVR RK],0)),"")</f>
        <v>Chris Godwin</v>
      </c>
      <c r="AQ95" s="119" t="str">
        <f>IFERROR(INDEX(TableOverallMaster[POS RK],MATCH(TableOverallRank[[#This Row],[OVERALL PLAYER]],TableOverallMaster[OVERALL PLAYER],0)),"")</f>
        <v>WR41</v>
      </c>
      <c r="AR95" s="120">
        <f>IFERROR(INDEX(TableOverallMaster[BYE],MATCH(TableOverallRank[[#This Row],[OVERALL PLAYER]],TableOverallMaster[OVERALL PLAYER],0)),"")</f>
        <v>11</v>
      </c>
      <c r="AS95" s="119">
        <f>IFERROR(INDEX(TableOverallMaster[Custom],MATCH(TableOverallRank[[#This Row],[OVERALL PLAYER]],TableOverallMaster[OVERALL PLAYER],0)),"")</f>
        <v>167.29208694718784</v>
      </c>
      <c r="AT95" s="121">
        <f>IFERROR(INDEX(TableOverallMaster[VORP],MATCH(TableOverallRank[[#This Row],[OVERALL PLAYER]],TableOverallMaster[OVERALL PLAYER],0)),"")</f>
        <v>0.16361714062901747</v>
      </c>
      <c r="AV95">
        <v>94</v>
      </c>
      <c r="AW95" s="122" t="str">
        <f>IFERROR(INDEX(TableWRTECalcPts[PLAYER],MATCH(TableWRTERank[[#This Row],[RK]],TableWRTECalcPts[RK],0)),"")</f>
        <v>Roman Wilson</v>
      </c>
      <c r="AX95" s="122" t="str">
        <f>IFERROR(INDEX(TableWRTECalcPts[POS RK],MATCH(TableWRTERank[[#This Row],[WR and TE COMBINED]],TableWRTECalcPts[PLAYER],0)),"")</f>
        <v>WR79</v>
      </c>
      <c r="AY95" s="122">
        <f>IFERROR(INDEX(TableWRTECalcPts[BYE],MATCH(TableWRTERank[[#This Row],[RK]],TableWRTECalcPts[RK],0)),"")</f>
        <v>9</v>
      </c>
      <c r="AZ95" s="123">
        <f>IFERROR(INDEX(TableWRTECalcPts[Custom],MATCH(TableWRTERank[[#This Row],[RK]],TableWRTECalcPts[RK],0)),"")</f>
        <v>100.98603118800001</v>
      </c>
      <c r="BA95" s="174">
        <f>IFERROR((TableWRTERank[[#This Row],[FPS]]-INDEX(TableWRTERank[FPS],MATCH(WRTEVORPCalc,TableWRTERank[RK],0)))/INDEX(TableWRTERank[FPS],MATCH(WRTEVORPCalc,TableWRTERank[RK],0)),"")</f>
        <v>-0.35646165645217487</v>
      </c>
      <c r="BC95" t="s">
        <v>208</v>
      </c>
      <c r="BD95">
        <v>94</v>
      </c>
      <c r="BE95" s="83">
        <f>RANK(TableWRTEMaster[[#This Row],[VORP]],TableWRTEMaster[VORP])+COUNTIF($BJ$2:BJ95,BJ95)-1</f>
        <v>134</v>
      </c>
      <c r="BF95" s="115" t="str">
        <f>IFERROR(INDEX(TableWRVORP[WIDE RECEIVER],MATCH(TableWRTEMaster[[#This Row],[RK]],TableWRVORP[RK],0)),"")</f>
        <v>Luke McCaffrey</v>
      </c>
      <c r="BG95" s="115" t="str">
        <f>_xlfn.CONCAT(TableWRTEMaster[[#This Row],[POS]],TableWRTEMaster[[#This Row],[RK]])</f>
        <v>WR94</v>
      </c>
      <c r="BH95" s="115">
        <f>IFERROR(INDEX(TableWRVORP[BYE],MATCH(TableWRTEMaster[[#This Row],[RK]],TableWRVORP[RK],0)),"")</f>
        <v>14</v>
      </c>
      <c r="BI95" s="116">
        <f>IFERROR(INDEX(TableWRVORP[FPS],MATCH(TableWRTEMaster[[#This Row],[RK]],TableWRVORP[RK],0)),"")</f>
        <v>71.775430096650027</v>
      </c>
      <c r="BJ95" s="117">
        <f>IFERROR(INDEX(TableWRVORP[VORP],MATCH(TableWRTEMaster[[#This Row],[RK]],TableWRVORP[RK],0)),"")</f>
        <v>-0.61495017163179033</v>
      </c>
    </row>
    <row r="96" spans="1:62" x14ac:dyDescent="0.2">
      <c r="A96">
        <v>95</v>
      </c>
      <c r="B96" s="112" t="str">
        <f>IFERROR(INDEX(TableQBCalcPts[PLAYER],MATCH(TableQBVORP[[#This Row],[RK]],TableQBCalcPts[RK],0)),"")</f>
        <v/>
      </c>
      <c r="C96" s="112" t="str">
        <f>IFERROR(INDEX(TableQBCalcPts[TM],MATCH(TableQBVORP[[#This Row],[RK]],TableQBCalcPts[RK],0)),"")</f>
        <v/>
      </c>
      <c r="D96" s="112" t="str">
        <f>IFERROR(INDEX(TableQBCalcPts[BYE],MATCH(TableQBVORP[[#This Row],[RK]],TableQBCalcPts[RK],0)),"")</f>
        <v/>
      </c>
      <c r="E96" s="113" t="str">
        <f>IFERROR(INDEX(TableQBCalcPts[Custom],MATCH(TableQBVORP[[#This Row],[RK]],TableQBCalcPts[RK],0)),"")</f>
        <v/>
      </c>
      <c r="F96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96">
        <v>95</v>
      </c>
      <c r="I96" s="112" t="str">
        <f>IFERROR(INDEX(TableRBCalcPts[PLAYER],MATCH(TableRBVORP[[#This Row],[RK]],TableRBCalcPts[RK],0)),"")</f>
        <v>Ronnie Rivers</v>
      </c>
      <c r="J96" s="112" t="str">
        <f>IFERROR(INDEX(TableRBCalcPts[TM],MATCH(TableRBVORP[[#This Row],[RK]],TableRBCalcPts[RK],0)),"")</f>
        <v>LAR</v>
      </c>
      <c r="K96" s="112">
        <f>IFERROR(INDEX(TableRBCalcPts[BYE],MATCH(TableRBVORP[[#This Row],[RK]],TableRBCalcPts[RK],0)),"")</f>
        <v>6</v>
      </c>
      <c r="L96" s="113">
        <f>IFERROR(INDEX(TableRBCalcPts[Custom],MATCH(TableRBVORP[[#This Row],[RK]],TableRBCalcPts[RK],0)),"")</f>
        <v>14.014172186551225</v>
      </c>
      <c r="M96" s="114">
        <f>(IFERROR((TableRBVORP[[#This Row],[FPS]]-INDEX(TableRBVORP[FPS],MATCH(RBVORPCalc,TableRBVORP[RK],0)))/INDEX(TableRBVORP[FPS],MATCH(RBVORPCalc,TableRBVORP[RK],0)),""))*0.8</f>
        <v>-0.70650430467934888</v>
      </c>
      <c r="O96">
        <v>95</v>
      </c>
      <c r="P96" s="112" t="str">
        <f>IFERROR(INDEX(TableWRCalcPts[PLAYER],MATCH(TableWRVORP[[#This Row],[RK]],TableWRCalcPts[RK],0)),"")</f>
        <v>Kendrick Bourne</v>
      </c>
      <c r="Q96" s="112" t="str">
        <f>IFERROR(INDEX(TableWRCalcPts[TM],MATCH(TableWRVORP[[#This Row],[RK]],TableWRCalcPts[RK],0)),"")</f>
        <v>NE</v>
      </c>
      <c r="R96" s="112">
        <f>IFERROR(INDEX(TableWRCalcPts[BYE],MATCH(TableWRVORP[[#This Row],[RK]],TableWRCalcPts[RK],0)),"")</f>
        <v>14</v>
      </c>
      <c r="S96" s="113">
        <f>IFERROR(INDEX(TableWRCalcPts[Custom],MATCH(TableWRVORP[[#This Row],[RK]],TableWRCalcPts[RK],0)),"")</f>
        <v>70.699840083387201</v>
      </c>
      <c r="T96" s="114">
        <f>(IFERROR((TableWRVORP[[#This Row],[FPS]]-INDEX(TableWRVORP[FPS],MATCH(WRVORPCalc,TableWRVORP[RK],0)))/INDEX(TableWRVORP[FPS],MATCH(WRVORPCalc,TableWRVORP[RK],0)),""))*1.2</f>
        <v>-0.62371743017425574</v>
      </c>
      <c r="V96">
        <v>95</v>
      </c>
      <c r="W96" s="112" t="str">
        <f>IFERROR(INDEX(TableTECalcPts[PLAYER],MATCH(TableTEVORP[[#This Row],[RK]],TableTECalcPts[RK],0)),"")</f>
        <v/>
      </c>
      <c r="X96" s="112" t="str">
        <f>IFERROR(INDEX(TableTECalcPts[TM],MATCH(TableTEVORP[[#This Row],[RK]],TableTECalcPts[RK],0)),"")</f>
        <v/>
      </c>
      <c r="Y96" s="112" t="str">
        <f>IFERROR(INDEX(TableTECalcPts[BYE],MATCH(TableTEVORP[[#This Row],[RK]],TableTECalcPts[RK],0)),"")</f>
        <v/>
      </c>
      <c r="Z96" s="113" t="str">
        <f>IFERROR(INDEX(TableTECalcPts[Custom],MATCH(TableTEVORP[[#This Row],[RK]],TableTECalcPts[RK],0)),"")</f>
        <v/>
      </c>
      <c r="AA96" s="114" t="str">
        <f>IFERROR((TableTEVORP[[#This Row],[FPS]]-INDEX(TableTEVORP[FPS],MATCH(TEVORPCalc,TableTEVORP[RK],0)))/INDEX(TableTEVORP[FPS],MATCH(TEVORPCalc,TableTEVORP[RK],0)),"")</f>
        <v/>
      </c>
      <c r="AF96" t="s">
        <v>207</v>
      </c>
      <c r="AG96">
        <v>55</v>
      </c>
      <c r="AH96" s="83">
        <f>RANK(TableOverallMaster[[#This Row],[VORP]],TableOverallMaster[VORP])+COUNTIF($AM$2:AM96,AM96)-1</f>
        <v>169</v>
      </c>
      <c r="AI96" s="115" t="str">
        <f>IFERROR(INDEX(TableRBVORP[RUNNING BACK],MATCH(TableOverallMaster[[#This Row],[RK]],TableRBVORP[RK],0)),"")</f>
        <v>Roschon Johnson</v>
      </c>
      <c r="AJ96" s="115" t="str">
        <f t="shared" si="1"/>
        <v>RB55</v>
      </c>
      <c r="AK96" s="115">
        <f>IFERROR(INDEX(TableRBVORP[BYE],MATCH(TableOverallMaster[[#This Row],[RK]],TableRBVORP[RK],0)),"")</f>
        <v>7</v>
      </c>
      <c r="AL96" s="116">
        <f>IFERROR(INDEX(TableRBVORP[FPS],MATCH(TableOverallMaster[[#This Row],[RK]],TableRBVORP[RK],0)),"")</f>
        <v>82.993553055914475</v>
      </c>
      <c r="AM96" s="117">
        <f>IFERROR(INDEX(TableRBVORP[VORP],MATCH(TableOverallMaster[[#This Row],[RK]],TableRBVORP[RK],0)),"")</f>
        <v>-0.24630764865722421</v>
      </c>
      <c r="AO96">
        <v>95</v>
      </c>
      <c r="AP96" s="118" t="str">
        <f>IFERROR(INDEX(TableOverallMaster[OVERALL PLAYER],MATCH(TableOverallRank[[#This Row],[RK]],TableOverallMaster[OVR RK],0)),"")</f>
        <v>Joe Burrow</v>
      </c>
      <c r="AQ96" s="119" t="str">
        <f>IFERROR(INDEX(TableOverallMaster[POS RK],MATCH(TableOverallRank[[#This Row],[OVERALL PLAYER]],TableOverallMaster[OVERALL PLAYER],0)),"")</f>
        <v>QB9</v>
      </c>
      <c r="AR96" s="120">
        <f>IFERROR(INDEX(TableOverallMaster[BYE],MATCH(TableOverallRank[[#This Row],[OVERALL PLAYER]],TableOverallMaster[OVERALL PLAYER],0)),"")</f>
        <v>12</v>
      </c>
      <c r="AS96" s="119">
        <f>IFERROR(INDEX(TableOverallMaster[Custom],MATCH(TableOverallRank[[#This Row],[OVERALL PLAYER]],TableOverallMaster[OVERALL PLAYER],0)),"")</f>
        <v>327.35691518693926</v>
      </c>
      <c r="AT96" s="121">
        <f>IFERROR(INDEX(TableOverallMaster[VORP],MATCH(TableOverallRank[[#This Row],[OVERALL PLAYER]],TableOverallMaster[OVERALL PLAYER],0)),"")</f>
        <v>0.16215158821756287</v>
      </c>
      <c r="AV96">
        <v>95</v>
      </c>
      <c r="AW96" s="122" t="str">
        <f>IFERROR(INDEX(TableWRTECalcPts[PLAYER],MATCH(TableWRTERank[[#This Row],[RK]],TableWRTECalcPts[RK],0)),"")</f>
        <v>Van Jefferson</v>
      </c>
      <c r="AX96" s="122" t="str">
        <f>IFERROR(INDEX(TableWRTECalcPts[POS RK],MATCH(TableWRTERank[[#This Row],[WR and TE COMBINED]],TableWRTECalcPts[PLAYER],0)),"")</f>
        <v>WR80</v>
      </c>
      <c r="AY96" s="122">
        <f>IFERROR(INDEX(TableWRTECalcPts[BYE],MATCH(TableWRTERank[[#This Row],[RK]],TableWRTECalcPts[RK],0)),"")</f>
        <v>9</v>
      </c>
      <c r="AZ96" s="123">
        <f>IFERROR(INDEX(TableWRTECalcPts[Custom],MATCH(TableWRTERank[[#This Row],[RK]],TableWRTECalcPts[RK],0)),"")</f>
        <v>100.70653692455998</v>
      </c>
      <c r="BA96" s="174">
        <f>IFERROR((TableWRTERank[[#This Row],[FPS]]-INDEX(TableWRTERank[FPS],MATCH(WRTEVORPCalc,TableWRTERank[RK],0)))/INDEX(TableWRTERank[FPS],MATCH(WRTEVORPCalc,TableWRTERank[RK],0)),"")</f>
        <v>-0.35824274709619147</v>
      </c>
      <c r="BC96" t="s">
        <v>208</v>
      </c>
      <c r="BD96">
        <v>95</v>
      </c>
      <c r="BE96" s="83">
        <f>RANK(TableWRTEMaster[[#This Row],[VORP]],TableWRTEMaster[VORP])+COUNTIF($BJ$2:BJ96,BJ96)-1</f>
        <v>135</v>
      </c>
      <c r="BF96" s="115" t="str">
        <f>IFERROR(INDEX(TableWRVORP[WIDE RECEIVER],MATCH(TableWRTEMaster[[#This Row],[RK]],TableWRVORP[RK],0)),"")</f>
        <v>Kendrick Bourne</v>
      </c>
      <c r="BG96" s="115" t="str">
        <f>_xlfn.CONCAT(TableWRTEMaster[[#This Row],[POS]],TableWRTEMaster[[#This Row],[RK]])</f>
        <v>WR95</v>
      </c>
      <c r="BH96" s="115">
        <f>IFERROR(INDEX(TableWRVORP[BYE],MATCH(TableWRTEMaster[[#This Row],[RK]],TableWRVORP[RK],0)),"")</f>
        <v>14</v>
      </c>
      <c r="BI96" s="116">
        <f>IFERROR(INDEX(TableWRVORP[FPS],MATCH(TableWRTEMaster[[#This Row],[RK]],TableWRVORP[RK],0)),"")</f>
        <v>70.699840083387201</v>
      </c>
      <c r="BJ96" s="117">
        <f>IFERROR(INDEX(TableWRVORP[VORP],MATCH(TableWRTEMaster[[#This Row],[RK]],TableWRVORP[RK],0)),"")</f>
        <v>-0.62371743017425574</v>
      </c>
    </row>
    <row r="97" spans="1:62" x14ac:dyDescent="0.2">
      <c r="A97">
        <v>96</v>
      </c>
      <c r="B97" s="112" t="str">
        <f>IFERROR(INDEX(TableQBCalcPts[PLAYER],MATCH(TableQBVORP[[#This Row],[RK]],TableQBCalcPts[RK],0)),"")</f>
        <v/>
      </c>
      <c r="C97" s="112" t="str">
        <f>IFERROR(INDEX(TableQBCalcPts[TM],MATCH(TableQBVORP[[#This Row],[RK]],TableQBCalcPts[RK],0)),"")</f>
        <v/>
      </c>
      <c r="D97" s="112" t="str">
        <f>IFERROR(INDEX(TableQBCalcPts[BYE],MATCH(TableQBVORP[[#This Row],[RK]],TableQBCalcPts[RK],0)),"")</f>
        <v/>
      </c>
      <c r="E97" s="113" t="str">
        <f>IFERROR(INDEX(TableQBCalcPts[Custom],MATCH(TableQBVORP[[#This Row],[RK]],TableQBCalcPts[RK],0)),"")</f>
        <v/>
      </c>
      <c r="F97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97">
        <v>96</v>
      </c>
      <c r="I97" s="112" t="str">
        <f>IFERROR(INDEX(TableRBCalcPts[PLAYER],MATCH(TableRBVORP[[#This Row],[RK]],TableRBCalcPts[RK],0)),"")</f>
        <v>Trayveon Williams</v>
      </c>
      <c r="J97" s="112" t="str">
        <f>IFERROR(INDEX(TableRBCalcPts[TM],MATCH(TableRBVORP[[#This Row],[RK]],TableRBCalcPts[RK],0)),"")</f>
        <v>CIN</v>
      </c>
      <c r="K97" s="112">
        <f>IFERROR(INDEX(TableRBCalcPts[BYE],MATCH(TableRBVORP[[#This Row],[RK]],TableRBCalcPts[RK],0)),"")</f>
        <v>12</v>
      </c>
      <c r="L97" s="113">
        <f>IFERROR(INDEX(TableRBCalcPts[Custom],MATCH(TableRBVORP[[#This Row],[RK]],TableRBCalcPts[RK],0)),"")</f>
        <v>13.785328291377642</v>
      </c>
      <c r="M97" s="114">
        <f>(IFERROR((TableRBVORP[[#This Row],[FPS]]-INDEX(TableRBVORP[FPS],MATCH(RBVORPCalc,TableRBVORP[RK],0)))/INDEX(TableRBVORP[FPS],MATCH(RBVORPCalc,TableRBVORP[RK],0)),""))*0.8</f>
        <v>-0.70803103910321108</v>
      </c>
      <c r="O97">
        <v>96</v>
      </c>
      <c r="P97" s="112" t="str">
        <f>IFERROR(INDEX(TableWRCalcPts[PLAYER],MATCH(TableWRVORP[[#This Row],[RK]],TableWRCalcPts[RK],0)),"")</f>
        <v>Brenden Rice</v>
      </c>
      <c r="Q97" s="112" t="str">
        <f>IFERROR(INDEX(TableWRCalcPts[TM],MATCH(TableWRVORP[[#This Row],[RK]],TableWRCalcPts[RK],0)),"")</f>
        <v>LAC</v>
      </c>
      <c r="R97" s="112">
        <f>IFERROR(INDEX(TableWRCalcPts[BYE],MATCH(TableWRVORP[[#This Row],[RK]],TableWRCalcPts[RK],0)),"")</f>
        <v>5</v>
      </c>
      <c r="S97" s="113">
        <f>IFERROR(INDEX(TableWRCalcPts[Custom],MATCH(TableWRVORP[[#This Row],[RK]],TableWRCalcPts[RK],0)),"")</f>
        <v>65.713634104769312</v>
      </c>
      <c r="T97" s="114">
        <f>(IFERROR((TableWRVORP[[#This Row],[FPS]]-INDEX(TableWRVORP[FPS],MATCH(WRVORPCalc,TableWRVORP[RK],0)))/INDEX(TableWRVORP[FPS],MATCH(WRVORPCalc,TableWRVORP[RK],0)),""))*1.2</f>
        <v>-0.66436057153991213</v>
      </c>
      <c r="V97">
        <v>96</v>
      </c>
      <c r="W97" s="112" t="str">
        <f>IFERROR(INDEX(TableTECalcPts[PLAYER],MATCH(TableTEVORP[[#This Row],[RK]],TableTECalcPts[RK],0)),"")</f>
        <v/>
      </c>
      <c r="X97" s="112" t="str">
        <f>IFERROR(INDEX(TableTECalcPts[TM],MATCH(TableTEVORP[[#This Row],[RK]],TableTECalcPts[RK],0)),"")</f>
        <v/>
      </c>
      <c r="Y97" s="112" t="str">
        <f>IFERROR(INDEX(TableTECalcPts[BYE],MATCH(TableTEVORP[[#This Row],[RK]],TableTECalcPts[RK],0)),"")</f>
        <v/>
      </c>
      <c r="Z97" s="113" t="str">
        <f>IFERROR(INDEX(TableTECalcPts[Custom],MATCH(TableTEVORP[[#This Row],[RK]],TableTECalcPts[RK],0)),"")</f>
        <v/>
      </c>
      <c r="AA97" s="114" t="str">
        <f>IFERROR((TableTEVORP[[#This Row],[FPS]]-INDEX(TableTEVORP[FPS],MATCH(TEVORPCalc,TableTEVORP[RK],0)))/INDEX(TableTEVORP[FPS],MATCH(TEVORPCalc,TableTEVORP[RK],0)),"")</f>
        <v/>
      </c>
      <c r="AF97" t="s">
        <v>207</v>
      </c>
      <c r="AG97">
        <v>56</v>
      </c>
      <c r="AH97" s="83">
        <f>RANK(TableOverallMaster[[#This Row],[VORP]],TableOverallMaster[VORP])+COUNTIF($AM$2:AM97,AM97)-1</f>
        <v>172</v>
      </c>
      <c r="AI97" s="115" t="str">
        <f>IFERROR(INDEX(TableRBVORP[RUNNING BACK],MATCH(TableOverallMaster[[#This Row],[RK]],TableRBVORP[RK],0)),"")</f>
        <v>Jamaal Williams</v>
      </c>
      <c r="AJ97" s="115" t="str">
        <f t="shared" si="1"/>
        <v>RB56</v>
      </c>
      <c r="AK97" s="115">
        <f>IFERROR(INDEX(TableRBVORP[BYE],MATCH(TableOverallMaster[[#This Row],[RK]],TableRBVORP[RK],0)),"")</f>
        <v>12</v>
      </c>
      <c r="AL97" s="116">
        <f>IFERROR(INDEX(TableRBVORP[FPS],MATCH(TableOverallMaster[[#This Row],[RK]],TableRBVORP[RK],0)),"")</f>
        <v>81.878602195123278</v>
      </c>
      <c r="AM97" s="117">
        <f>IFERROR(INDEX(TableRBVORP[VORP],MATCH(TableOverallMaster[[#This Row],[RK]],TableRBVORP[RK],0)),"")</f>
        <v>-0.25374605490701102</v>
      </c>
      <c r="AO97">
        <v>96</v>
      </c>
      <c r="AP97" s="118" t="str">
        <f>IFERROR(INDEX(TableOverallMaster[OVERALL PLAYER],MATCH(TableOverallRank[[#This Row],[RK]],TableOverallMaster[OVR RK],0)),"")</f>
        <v>Courtland Sutton</v>
      </c>
      <c r="AQ97" s="119" t="str">
        <f>IFERROR(INDEX(TableOverallMaster[POS RK],MATCH(TableOverallRank[[#This Row],[OVERALL PLAYER]],TableOverallMaster[OVERALL PLAYER],0)),"")</f>
        <v>WR42</v>
      </c>
      <c r="AR97" s="120">
        <f>IFERROR(INDEX(TableOverallMaster[BYE],MATCH(TableOverallRank[[#This Row],[OVERALL PLAYER]],TableOverallMaster[OVERALL PLAYER],0)),"")</f>
        <v>14</v>
      </c>
      <c r="AS97" s="119">
        <f>IFERROR(INDEX(TableOverallMaster[Custom],MATCH(TableOverallRank[[#This Row],[OVERALL PLAYER]],TableOverallMaster[OVERALL PLAYER],0)),"")</f>
        <v>165.59548838461149</v>
      </c>
      <c r="AT97" s="121">
        <f>IFERROR(INDEX(TableOverallMaster[VORP],MATCH(TableOverallRank[[#This Row],[OVERALL PLAYER]],TableOverallMaster[OVERALL PLAYER],0)),"")</f>
        <v>0.14978796960895593</v>
      </c>
      <c r="AV97">
        <v>96</v>
      </c>
      <c r="AW97" s="122" t="str">
        <f>IFERROR(INDEX(TableWRTECalcPts[PLAYER],MATCH(TableWRTERank[[#This Row],[RK]],TableWRTECalcPts[RK],0)),"")</f>
        <v>Andrei Iosivas</v>
      </c>
      <c r="AX97" s="122" t="str">
        <f>IFERROR(INDEX(TableWRTECalcPts[POS RK],MATCH(TableWRTERank[[#This Row],[WR and TE COMBINED]],TableWRTECalcPts[PLAYER],0)),"")</f>
        <v>WR81</v>
      </c>
      <c r="AY97" s="122">
        <f>IFERROR(INDEX(TableWRTECalcPts[BYE],MATCH(TableWRTERank[[#This Row],[RK]],TableWRTECalcPts[RK],0)),"")</f>
        <v>12</v>
      </c>
      <c r="AZ97" s="123">
        <f>IFERROR(INDEX(TableWRTECalcPts[Custom],MATCH(TableWRTERank[[#This Row],[RK]],TableWRTECalcPts[RK],0)),"")</f>
        <v>100.65472719338064</v>
      </c>
      <c r="BA97" s="174">
        <f>IFERROR((TableWRTERank[[#This Row],[FPS]]-INDEX(TableWRTERank[FPS],MATCH(WRTEVORPCalc,TableWRTERank[RK],0)))/INDEX(TableWRTERank[FPS],MATCH(WRTEVORPCalc,TableWRTERank[RK],0)),"")</f>
        <v>-0.35857290710139794</v>
      </c>
      <c r="BC97" t="s">
        <v>208</v>
      </c>
      <c r="BD97">
        <v>96</v>
      </c>
      <c r="BE97" s="83">
        <f>RANK(TableWRTEMaster[[#This Row],[VORP]],TableWRTEMaster[VORP])+COUNTIF($BJ$2:BJ97,BJ97)-1</f>
        <v>138</v>
      </c>
      <c r="BF97" s="115" t="str">
        <f>IFERROR(INDEX(TableWRVORP[WIDE RECEIVER],MATCH(TableWRTEMaster[[#This Row],[RK]],TableWRVORP[RK],0)),"")</f>
        <v>Brenden Rice</v>
      </c>
      <c r="BG97" s="115" t="str">
        <f>_xlfn.CONCAT(TableWRTEMaster[[#This Row],[POS]],TableWRTEMaster[[#This Row],[RK]])</f>
        <v>WR96</v>
      </c>
      <c r="BH97" s="115">
        <f>IFERROR(INDEX(TableWRVORP[BYE],MATCH(TableWRTEMaster[[#This Row],[RK]],TableWRVORP[RK],0)),"")</f>
        <v>5</v>
      </c>
      <c r="BI97" s="116">
        <f>IFERROR(INDEX(TableWRVORP[FPS],MATCH(TableWRTEMaster[[#This Row],[RK]],TableWRVORP[RK],0)),"")</f>
        <v>65.713634104769312</v>
      </c>
      <c r="BJ97" s="117">
        <f>IFERROR(INDEX(TableWRVORP[VORP],MATCH(TableWRTEMaster[[#This Row],[RK]],TableWRVORP[RK],0)),"")</f>
        <v>-0.66436057153991213</v>
      </c>
    </row>
    <row r="98" spans="1:62" x14ac:dyDescent="0.2">
      <c r="A98">
        <v>97</v>
      </c>
      <c r="B98" s="112" t="str">
        <f>IFERROR(INDEX(TableQBCalcPts[PLAYER],MATCH(TableQBVORP[[#This Row],[RK]],TableQBCalcPts[RK],0)),"")</f>
        <v/>
      </c>
      <c r="C98" s="112" t="str">
        <f>IFERROR(INDEX(TableQBCalcPts[TM],MATCH(TableQBVORP[[#This Row],[RK]],TableQBCalcPts[RK],0)),"")</f>
        <v/>
      </c>
      <c r="D98" s="112" t="str">
        <f>IFERROR(INDEX(TableQBCalcPts[BYE],MATCH(TableQBVORP[[#This Row],[RK]],TableQBCalcPts[RK],0)),"")</f>
        <v/>
      </c>
      <c r="E98" s="113" t="str">
        <f>IFERROR(INDEX(TableQBCalcPts[Custom],MATCH(TableQBVORP[[#This Row],[RK]],TableQBCalcPts[RK],0)),"")</f>
        <v/>
      </c>
      <c r="F98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98">
        <v>97</v>
      </c>
      <c r="I98" s="112" t="str">
        <f>IFERROR(INDEX(TableRBCalcPts[PLAYER],MATCH(TableRBVORP[[#This Row],[RK]],TableRBCalcPts[RK],0)),"")</f>
        <v>Ty Johnson</v>
      </c>
      <c r="J98" s="112" t="str">
        <f>IFERROR(INDEX(TableRBCalcPts[TM],MATCH(TableRBVORP[[#This Row],[RK]],TableRBCalcPts[RK],0)),"")</f>
        <v>BUF</v>
      </c>
      <c r="K98" s="112">
        <f>IFERROR(INDEX(TableRBCalcPts[BYE],MATCH(TableRBVORP[[#This Row],[RK]],TableRBCalcPts[RK],0)),"")</f>
        <v>12</v>
      </c>
      <c r="L98" s="113">
        <f>IFERROR(INDEX(TableRBCalcPts[Custom],MATCH(TableRBVORP[[#This Row],[RK]],TableRBCalcPts[RK],0)),"")</f>
        <v>13.759009396897017</v>
      </c>
      <c r="M98" s="114">
        <f>(IFERROR((TableRBVORP[[#This Row],[FPS]]-INDEX(TableRBVORP[FPS],MATCH(RBVORPCalc,TableRBVORP[RK],0)))/INDEX(TableRBVORP[FPS],MATCH(RBVORPCalc,TableRBVORP[RK],0)),""))*0.8</f>
        <v>-0.70820662588113714</v>
      </c>
      <c r="O98">
        <v>97</v>
      </c>
      <c r="P98" s="112" t="str">
        <f>IFERROR(INDEX(TableWRCalcPts[PLAYER],MATCH(TableWRVORP[[#This Row],[RK]],TableWRCalcPts[RK],0)),"")</f>
        <v>Jalen Nailor</v>
      </c>
      <c r="Q98" s="112" t="str">
        <f>IFERROR(INDEX(TableWRCalcPts[TM],MATCH(TableWRVORP[[#This Row],[RK]],TableWRCalcPts[RK],0)),"")</f>
        <v>MIN</v>
      </c>
      <c r="R98" s="112">
        <f>IFERROR(INDEX(TableWRCalcPts[BYE],MATCH(TableWRVORP[[#This Row],[RK]],TableWRCalcPts[RK],0)),"")</f>
        <v>6</v>
      </c>
      <c r="S98" s="113">
        <f>IFERROR(INDEX(TableWRCalcPts[Custom],MATCH(TableWRVORP[[#This Row],[RK]],TableWRCalcPts[RK],0)),"")</f>
        <v>64.716988902047987</v>
      </c>
      <c r="T98" s="114">
        <f>(IFERROR((TableWRVORP[[#This Row],[FPS]]-INDEX(TableWRVORP[FPS],MATCH(WRVORPCalc,TableWRVORP[RK],0)))/INDEX(TableWRVORP[FPS],MATCH(WRVORPCalc,TableWRVORP[RK],0)),""))*1.2</f>
        <v>-0.67248434180518191</v>
      </c>
      <c r="V98">
        <v>97</v>
      </c>
      <c r="W98" s="112" t="str">
        <f>IFERROR(INDEX(TableTECalcPts[PLAYER],MATCH(TableTEVORP[[#This Row],[RK]],TableTECalcPts[RK],0)),"")</f>
        <v/>
      </c>
      <c r="X98" s="112" t="str">
        <f>IFERROR(INDEX(TableTECalcPts[TM],MATCH(TableTEVORP[[#This Row],[RK]],TableTECalcPts[RK],0)),"")</f>
        <v/>
      </c>
      <c r="Y98" s="112" t="str">
        <f>IFERROR(INDEX(TableTECalcPts[BYE],MATCH(TableTEVORP[[#This Row],[RK]],TableTECalcPts[RK],0)),"")</f>
        <v/>
      </c>
      <c r="Z98" s="113" t="str">
        <f>IFERROR(INDEX(TableTECalcPts[Custom],MATCH(TableTEVORP[[#This Row],[RK]],TableTECalcPts[RK],0)),"")</f>
        <v/>
      </c>
      <c r="AA98" s="114" t="str">
        <f>IFERROR((TableTEVORP[[#This Row],[FPS]]-INDEX(TableTEVORP[FPS],MATCH(TEVORPCalc,TableTEVORP[RK],0)))/INDEX(TableTEVORP[FPS],MATCH(TEVORPCalc,TableTEVORP[RK],0)),"")</f>
        <v/>
      </c>
      <c r="AF98" t="s">
        <v>207</v>
      </c>
      <c r="AG98">
        <v>57</v>
      </c>
      <c r="AH98" s="83">
        <f>RANK(TableOverallMaster[[#This Row],[VORP]],TableOverallMaster[VORP])+COUNTIF($AM$2:AM98,AM98)-1</f>
        <v>176</v>
      </c>
      <c r="AI98" s="115" t="str">
        <f>IFERROR(INDEX(TableRBVORP[RUNNING BACK],MATCH(TableOverallMaster[[#This Row],[RK]],TableRBVORP[RK],0)),"")</f>
        <v>Cordarrelle Patterson</v>
      </c>
      <c r="AJ98" s="115" t="str">
        <f t="shared" si="1"/>
        <v>RB57</v>
      </c>
      <c r="AK98" s="115">
        <f>IFERROR(INDEX(TableRBVORP[BYE],MATCH(TableOverallMaster[[#This Row],[RK]],TableRBVORP[RK],0)),"")</f>
        <v>9</v>
      </c>
      <c r="AL98" s="116">
        <f>IFERROR(INDEX(TableRBVORP[FPS],MATCH(TableOverallMaster[[#This Row],[RK]],TableRBVORP[RK],0)),"")</f>
        <v>79.44702930055405</v>
      </c>
      <c r="AM98" s="117">
        <f>IFERROR(INDEX(TableRBVORP[VORP],MATCH(TableOverallMaster[[#This Row],[RK]],TableRBVORP[RK],0)),"")</f>
        <v>-0.26996831873211002</v>
      </c>
      <c r="AO98">
        <v>97</v>
      </c>
      <c r="AP98" s="118" t="str">
        <f>IFERROR(INDEX(TableOverallMaster[OVERALL PLAYER],MATCH(TableOverallRank[[#This Row],[RK]],TableOverallMaster[OVR RK],0)),"")</f>
        <v>Jordan Love</v>
      </c>
      <c r="AQ98" s="119" t="str">
        <f>IFERROR(INDEX(TableOverallMaster[POS RK],MATCH(TableOverallRank[[#This Row],[OVERALL PLAYER]],TableOverallMaster[OVERALL PLAYER],0)),"")</f>
        <v>QB10</v>
      </c>
      <c r="AR98" s="120">
        <f>IFERROR(INDEX(TableOverallMaster[BYE],MATCH(TableOverallRank[[#This Row],[OVERALL PLAYER]],TableOverallMaster[OVERALL PLAYER],0)),"")</f>
        <v>10</v>
      </c>
      <c r="AS98" s="119">
        <f>IFERROR(INDEX(TableOverallMaster[Custom],MATCH(TableOverallRank[[#This Row],[OVERALL PLAYER]],TableOverallMaster[OVERALL PLAYER],0)),"")</f>
        <v>322.16016479533897</v>
      </c>
      <c r="AT98" s="121">
        <f>IFERROR(INDEX(TableOverallMaster[VORP],MATCH(TableOverallRank[[#This Row],[OVERALL PLAYER]],TableOverallMaster[OVERALL PLAYER],0)),"")</f>
        <v>0.1476577648854035</v>
      </c>
      <c r="AV98">
        <v>97</v>
      </c>
      <c r="AW98" s="122" t="str">
        <f>IFERROR(INDEX(TableWRTECalcPts[PLAYER],MATCH(TableWRTERank[[#This Row],[RK]],TableWRTECalcPts[RK],0)),"")</f>
        <v>Jermaine Burton</v>
      </c>
      <c r="AX98" s="122" t="str">
        <f>IFERROR(INDEX(TableWRTECalcPts[POS RK],MATCH(TableWRTERank[[#This Row],[WR and TE COMBINED]],TableWRTECalcPts[PLAYER],0)),"")</f>
        <v>WR82</v>
      </c>
      <c r="AY98" s="122">
        <f>IFERROR(INDEX(TableWRTECalcPts[BYE],MATCH(TableWRTERank[[#This Row],[RK]],TableWRTECalcPts[RK],0)),"")</f>
        <v>12</v>
      </c>
      <c r="AZ98" s="123">
        <f>IFERROR(INDEX(TableWRTECalcPts[Custom],MATCH(TableWRTERank[[#This Row],[RK]],TableWRTECalcPts[RK],0)),"")</f>
        <v>100.29711087656065</v>
      </c>
      <c r="BA98" s="174">
        <f>IFERROR((TableWRTERank[[#This Row],[FPS]]-INDEX(TableWRTERank[FPS],MATCH(WRTEVORPCalc,TableWRTERank[RK],0)))/INDEX(TableWRTERank[FPS],MATCH(WRTEVORPCalc,TableWRTERank[RK],0)),"")</f>
        <v>-0.36085183429008577</v>
      </c>
      <c r="BC98" t="s">
        <v>208</v>
      </c>
      <c r="BD98">
        <v>97</v>
      </c>
      <c r="BE98" s="83">
        <f>RANK(TableWRTEMaster[[#This Row],[VORP]],TableWRTEMaster[VORP])+COUNTIF($BJ$2:BJ98,BJ98)-1</f>
        <v>140</v>
      </c>
      <c r="BF98" s="115" t="str">
        <f>IFERROR(INDEX(TableWRVORP[WIDE RECEIVER],MATCH(TableWRTEMaster[[#This Row],[RK]],TableWRVORP[RK],0)),"")</f>
        <v>Jalen Nailor</v>
      </c>
      <c r="BG98" s="115" t="str">
        <f>_xlfn.CONCAT(TableWRTEMaster[[#This Row],[POS]],TableWRTEMaster[[#This Row],[RK]])</f>
        <v>WR97</v>
      </c>
      <c r="BH98" s="115">
        <f>IFERROR(INDEX(TableWRVORP[BYE],MATCH(TableWRTEMaster[[#This Row],[RK]],TableWRVORP[RK],0)),"")</f>
        <v>6</v>
      </c>
      <c r="BI98" s="116">
        <f>IFERROR(INDEX(TableWRVORP[FPS],MATCH(TableWRTEMaster[[#This Row],[RK]],TableWRVORP[RK],0)),"")</f>
        <v>64.716988902047987</v>
      </c>
      <c r="BJ98" s="117">
        <f>IFERROR(INDEX(TableWRVORP[VORP],MATCH(TableWRTEMaster[[#This Row],[RK]],TableWRVORP[RK],0)),"")</f>
        <v>-0.67248434180518191</v>
      </c>
    </row>
    <row r="99" spans="1:62" x14ac:dyDescent="0.2">
      <c r="A99">
        <v>98</v>
      </c>
      <c r="B99" s="112" t="str">
        <f>IFERROR(INDEX(TableQBCalcPts[PLAYER],MATCH(TableQBVORP[[#This Row],[RK]],TableQBCalcPts[RK],0)),"")</f>
        <v/>
      </c>
      <c r="C99" s="112" t="str">
        <f>IFERROR(INDEX(TableQBCalcPts[TM],MATCH(TableQBVORP[[#This Row],[RK]],TableQBCalcPts[RK],0)),"")</f>
        <v/>
      </c>
      <c r="D99" s="112" t="str">
        <f>IFERROR(INDEX(TableQBCalcPts[BYE],MATCH(TableQBVORP[[#This Row],[RK]],TableQBCalcPts[RK],0)),"")</f>
        <v/>
      </c>
      <c r="E99" s="113" t="str">
        <f>IFERROR(INDEX(TableQBCalcPts[Custom],MATCH(TableQBVORP[[#This Row],[RK]],TableQBCalcPts[RK],0)),"")</f>
        <v/>
      </c>
      <c r="F99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99">
        <v>98</v>
      </c>
      <c r="I99" s="112" t="str">
        <f>IFERROR(INDEX(TableRBCalcPts[PLAYER],MATCH(TableRBVORP[[#This Row],[RK]],TableRBCalcPts[RK],0)),"")</f>
        <v>Deuce Vaughn</v>
      </c>
      <c r="J99" s="112" t="str">
        <f>IFERROR(INDEX(TableRBCalcPts[TM],MATCH(TableRBVORP[[#This Row],[RK]],TableRBCalcPts[RK],0)),"")</f>
        <v>DAL</v>
      </c>
      <c r="K99" s="112">
        <f>IFERROR(INDEX(TableRBCalcPts[BYE],MATCH(TableRBVORP[[#This Row],[RK]],TableRBCalcPts[RK],0)),"")</f>
        <v>7</v>
      </c>
      <c r="L99" s="113">
        <f>IFERROR(INDEX(TableRBCalcPts[Custom],MATCH(TableRBVORP[[#This Row],[RK]],TableRBCalcPts[RK],0)),"")</f>
        <v>13.132523562740179</v>
      </c>
      <c r="M99" s="114">
        <f>(IFERROR((TableRBVORP[[#This Row],[FPS]]-INDEX(TableRBVORP[FPS],MATCH(RBVORPCalc,TableRBVORP[RK],0)))/INDEX(TableRBVORP[FPS],MATCH(RBVORPCalc,TableRBVORP[RK],0)),""))*0.8</f>
        <v>-0.71238623263159806</v>
      </c>
      <c r="O99">
        <v>98</v>
      </c>
      <c r="P99" s="112" t="str">
        <f>IFERROR(INDEX(TableWRCalcPts[PLAYER],MATCH(TableWRVORP[[#This Row],[RK]],TableWRCalcPts[RK],0)),"")</f>
        <v>Ricky Pearsall</v>
      </c>
      <c r="Q99" s="112" t="str">
        <f>IFERROR(INDEX(TableWRCalcPts[TM],MATCH(TableWRVORP[[#This Row],[RK]],TableWRCalcPts[RK],0)),"")</f>
        <v>SF</v>
      </c>
      <c r="R99" s="112">
        <f>IFERROR(INDEX(TableWRCalcPts[BYE],MATCH(TableWRVORP[[#This Row],[RK]],TableWRCalcPts[RK],0)),"")</f>
        <v>9</v>
      </c>
      <c r="S99" s="113">
        <f>IFERROR(INDEX(TableWRCalcPts[Custom],MATCH(TableWRVORP[[#This Row],[RK]],TableWRCalcPts[RK],0)),"")</f>
        <v>64.515491200216616</v>
      </c>
      <c r="T99" s="114">
        <f>(IFERROR((TableWRVORP[[#This Row],[FPS]]-INDEX(TableWRVORP[FPS],MATCH(WRVORPCalc,TableWRVORP[RK],0)))/INDEX(TableWRVORP[FPS],MATCH(WRVORPCalc,TableWRVORP[RK],0)),""))*1.2</f>
        <v>-0.67412677286709666</v>
      </c>
      <c r="V99">
        <v>98</v>
      </c>
      <c r="W99" s="112" t="str">
        <f>IFERROR(INDEX(TableTECalcPts[PLAYER],MATCH(TableTEVORP[[#This Row],[RK]],TableTECalcPts[RK],0)),"")</f>
        <v/>
      </c>
      <c r="X99" s="112" t="str">
        <f>IFERROR(INDEX(TableTECalcPts[TM],MATCH(TableTEVORP[[#This Row],[RK]],TableTECalcPts[RK],0)),"")</f>
        <v/>
      </c>
      <c r="Y99" s="112" t="str">
        <f>IFERROR(INDEX(TableTECalcPts[BYE],MATCH(TableTEVORP[[#This Row],[RK]],TableTECalcPts[RK],0)),"")</f>
        <v/>
      </c>
      <c r="Z99" s="113" t="str">
        <f>IFERROR(INDEX(TableTECalcPts[Custom],MATCH(TableTEVORP[[#This Row],[RK]],TableTECalcPts[RK],0)),"")</f>
        <v/>
      </c>
      <c r="AA99" s="114" t="str">
        <f>IFERROR((TableTEVORP[[#This Row],[FPS]]-INDEX(TableTEVORP[FPS],MATCH(TEVORPCalc,TableTEVORP[RK],0)))/INDEX(TableTEVORP[FPS],MATCH(TEVORPCalc,TableTEVORP[RK],0)),"")</f>
        <v/>
      </c>
      <c r="AF99" t="s">
        <v>207</v>
      </c>
      <c r="AG99">
        <v>58</v>
      </c>
      <c r="AH99" s="83">
        <f>RANK(TableOverallMaster[[#This Row],[VORP]],TableOverallMaster[VORP])+COUNTIF($AM$2:AM99,AM99)-1</f>
        <v>179</v>
      </c>
      <c r="AI99" s="115" t="str">
        <f>IFERROR(INDEX(TableRBVORP[RUNNING BACK],MATCH(TableOverallMaster[[#This Row],[RK]],TableRBVORP[RK],0)),"")</f>
        <v>Ray Davis</v>
      </c>
      <c r="AJ99" s="115" t="str">
        <f t="shared" si="1"/>
        <v>RB58</v>
      </c>
      <c r="AK99" s="115">
        <f>IFERROR(INDEX(TableRBVORP[BYE],MATCH(TableOverallMaster[[#This Row],[RK]],TableRBVORP[RK],0)),"")</f>
        <v>12</v>
      </c>
      <c r="AL99" s="116">
        <f>IFERROR(INDEX(TableRBVORP[FPS],MATCH(TableOverallMaster[[#This Row],[RK]],TableRBVORP[RK],0)),"")</f>
        <v>78.474181064928302</v>
      </c>
      <c r="AM99" s="117">
        <f>IFERROR(INDEX(TableRBVORP[VORP],MATCH(TableOverallMaster[[#This Row],[RK]],TableRBVORP[RK],0)),"")</f>
        <v>-0.2764586858419551</v>
      </c>
      <c r="AO99">
        <v>98</v>
      </c>
      <c r="AP99" s="118" t="str">
        <f>IFERROR(INDEX(TableOverallMaster[OVERALL PLAYER],MATCH(TableOverallRank[[#This Row],[RK]],TableOverallMaster[OVR RK],0)),"")</f>
        <v>Jameson Williams</v>
      </c>
      <c r="AQ99" s="119" t="str">
        <f>IFERROR(INDEX(TableOverallMaster[POS RK],MATCH(TableOverallRank[[#This Row],[OVERALL PLAYER]],TableOverallMaster[OVERALL PLAYER],0)),"")</f>
        <v>WR43</v>
      </c>
      <c r="AR99" s="120">
        <f>IFERROR(INDEX(TableOverallMaster[BYE],MATCH(TableOverallRank[[#This Row],[OVERALL PLAYER]],TableOverallMaster[OVERALL PLAYER],0)),"")</f>
        <v>5</v>
      </c>
      <c r="AS99" s="119">
        <f>IFERROR(INDEX(TableOverallMaster[Custom],MATCH(TableOverallRank[[#This Row],[OVERALL PLAYER]],TableOverallMaster[OVERALL PLAYER],0)),"")</f>
        <v>164.89881363257362</v>
      </c>
      <c r="AT99" s="121">
        <f>IFERROR(INDEX(TableOverallMaster[VORP],MATCH(TableOverallRank[[#This Row],[OVERALL PLAYER]],TableOverallMaster[OVERALL PLAYER],0)),"")</f>
        <v>0.14410929316550761</v>
      </c>
      <c r="AV99">
        <v>98</v>
      </c>
      <c r="AW99" s="122" t="str">
        <f>IFERROR(INDEX(TableWRTECalcPts[PLAYER],MATCH(TableWRTERank[[#This Row],[RK]],TableWRTECalcPts[RK],0)),"")</f>
        <v>Darius Slayton</v>
      </c>
      <c r="AX99" s="122" t="str">
        <f>IFERROR(INDEX(TableWRTECalcPts[POS RK],MATCH(TableWRTERank[[#This Row],[WR and TE COMBINED]],TableWRTECalcPts[PLAYER],0)),"")</f>
        <v>WR83</v>
      </c>
      <c r="AY99" s="122">
        <f>IFERROR(INDEX(TableWRTECalcPts[BYE],MATCH(TableWRTERank[[#This Row],[RK]],TableWRTECalcPts[RK],0)),"")</f>
        <v>11</v>
      </c>
      <c r="AZ99" s="123">
        <f>IFERROR(INDEX(TableWRTECalcPts[Custom],MATCH(TableWRTERank[[#This Row],[RK]],TableWRTECalcPts[RK],0)),"")</f>
        <v>99.733947802944002</v>
      </c>
      <c r="BA99" s="174">
        <f>IFERROR((TableWRTERank[[#This Row],[FPS]]-INDEX(TableWRTERank[FPS],MATCH(WRTEVORPCalc,TableWRTERank[RK],0)))/INDEX(TableWRTERank[FPS],MATCH(WRTEVORPCalc,TableWRTERank[RK],0)),"")</f>
        <v>-0.36444061807809175</v>
      </c>
      <c r="BC99" t="s">
        <v>208</v>
      </c>
      <c r="BD99">
        <v>98</v>
      </c>
      <c r="BE99" s="83">
        <f>RANK(TableWRTEMaster[[#This Row],[VORP]],TableWRTEMaster[VORP])+COUNTIF($BJ$2:BJ99,BJ99)-1</f>
        <v>141</v>
      </c>
      <c r="BF99" s="115" t="str">
        <f>IFERROR(INDEX(TableWRVORP[WIDE RECEIVER],MATCH(TableWRTEMaster[[#This Row],[RK]],TableWRVORP[RK],0)),"")</f>
        <v>Ricky Pearsall</v>
      </c>
      <c r="BG99" s="115" t="str">
        <f>_xlfn.CONCAT(TableWRTEMaster[[#This Row],[POS]],TableWRTEMaster[[#This Row],[RK]])</f>
        <v>WR98</v>
      </c>
      <c r="BH99" s="115">
        <f>IFERROR(INDEX(TableWRVORP[BYE],MATCH(TableWRTEMaster[[#This Row],[RK]],TableWRVORP[RK],0)),"")</f>
        <v>9</v>
      </c>
      <c r="BI99" s="116">
        <f>IFERROR(INDEX(TableWRVORP[FPS],MATCH(TableWRTEMaster[[#This Row],[RK]],TableWRVORP[RK],0)),"")</f>
        <v>64.515491200216616</v>
      </c>
      <c r="BJ99" s="117">
        <f>IFERROR(INDEX(TableWRVORP[VORP],MATCH(TableWRTEMaster[[#This Row],[RK]],TableWRVORP[RK],0)),"")</f>
        <v>-0.67412677286709666</v>
      </c>
    </row>
    <row r="100" spans="1:62" x14ac:dyDescent="0.2">
      <c r="A100">
        <v>99</v>
      </c>
      <c r="B100" s="112" t="str">
        <f>IFERROR(INDEX(TableQBCalcPts[PLAYER],MATCH(TableQBVORP[[#This Row],[RK]],TableQBCalcPts[RK],0)),"")</f>
        <v/>
      </c>
      <c r="C100" s="112" t="str">
        <f>IFERROR(INDEX(TableQBCalcPts[TM],MATCH(TableQBVORP[[#This Row],[RK]],TableQBCalcPts[RK],0)),"")</f>
        <v/>
      </c>
      <c r="D100" s="112" t="str">
        <f>IFERROR(INDEX(TableQBCalcPts[BYE],MATCH(TableQBVORP[[#This Row],[RK]],TableQBCalcPts[RK],0)),"")</f>
        <v/>
      </c>
      <c r="E100" s="113" t="str">
        <f>IFERROR(INDEX(TableQBCalcPts[Custom],MATCH(TableQBVORP[[#This Row],[RK]],TableQBCalcPts[RK],0)),"")</f>
        <v/>
      </c>
      <c r="F100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100">
        <v>99</v>
      </c>
      <c r="I100" s="112" t="str">
        <f>IFERROR(INDEX(TableRBCalcPts[PLAYER],MATCH(TableRBVORP[[#This Row],[RK]],TableRBCalcPts[RK],0)),"")</f>
        <v>Raheem Blackshear</v>
      </c>
      <c r="J100" s="112" t="str">
        <f>IFERROR(INDEX(TableRBCalcPts[TM],MATCH(TableRBVORP[[#This Row],[RK]],TableRBCalcPts[RK],0)),"")</f>
        <v>CAR</v>
      </c>
      <c r="K100" s="112">
        <f>IFERROR(INDEX(TableRBCalcPts[BYE],MATCH(TableRBVORP[[#This Row],[RK]],TableRBCalcPts[RK],0)),"")</f>
        <v>11</v>
      </c>
      <c r="L100" s="113">
        <f>IFERROR(INDEX(TableRBCalcPts[Custom],MATCH(TableRBVORP[[#This Row],[RK]],TableRBCalcPts[RK],0)),"")</f>
        <v>13.006320665241072</v>
      </c>
      <c r="M100" s="114">
        <f>(IFERROR((TableRBVORP[[#This Row],[FPS]]-INDEX(TableRBVORP[FPS],MATCH(RBVORPCalc,TableRBVORP[RK],0)))/INDEX(TableRBVORP[FPS],MATCH(RBVORPCalc,TableRBVORP[RK],0)),""))*0.8</f>
        <v>-0.71322819657324876</v>
      </c>
      <c r="O100">
        <v>99</v>
      </c>
      <c r="P100" s="112" t="str">
        <f>IFERROR(INDEX(TableWRCalcPts[PLAYER],MATCH(TableWRVORP[[#This Row],[RK]],TableWRCalcPts[RK],0)),"")</f>
        <v>Cedrick Wilson</v>
      </c>
      <c r="Q100" s="112" t="str">
        <f>IFERROR(INDEX(TableWRCalcPts[TM],MATCH(TableWRVORP[[#This Row],[RK]],TableWRCalcPts[RK],0)),"")</f>
        <v>NO</v>
      </c>
      <c r="R100" s="112">
        <f>IFERROR(INDEX(TableWRCalcPts[BYE],MATCH(TableWRVORP[[#This Row],[RK]],TableWRCalcPts[RK],0)),"")</f>
        <v>12</v>
      </c>
      <c r="S100" s="113">
        <f>IFERROR(INDEX(TableWRCalcPts[Custom],MATCH(TableWRVORP[[#This Row],[RK]],TableWRCalcPts[RK],0)),"")</f>
        <v>63.135295687497305</v>
      </c>
      <c r="T100" s="114">
        <f>(IFERROR((TableWRVORP[[#This Row],[FPS]]-INDEX(TableWRVORP[FPS],MATCH(WRVORPCalc,TableWRVORP[RK],0)))/INDEX(TableWRVORP[FPS],MATCH(WRVORPCalc,TableWRVORP[RK],0)),""))*1.2</f>
        <v>-0.68537690604977042</v>
      </c>
      <c r="V100">
        <v>99</v>
      </c>
      <c r="W100" s="112" t="str">
        <f>IFERROR(INDEX(TableTECalcPts[PLAYER],MATCH(TableTEVORP[[#This Row],[RK]],TableTECalcPts[RK],0)),"")</f>
        <v/>
      </c>
      <c r="X100" s="112" t="str">
        <f>IFERROR(INDEX(TableTECalcPts[TM],MATCH(TableTEVORP[[#This Row],[RK]],TableTECalcPts[RK],0)),"")</f>
        <v/>
      </c>
      <c r="Y100" s="112" t="str">
        <f>IFERROR(INDEX(TableTECalcPts[BYE],MATCH(TableTEVORP[[#This Row],[RK]],TableTECalcPts[RK],0)),"")</f>
        <v/>
      </c>
      <c r="Z100" s="113" t="str">
        <f>IFERROR(INDEX(TableTECalcPts[Custom],MATCH(TableTEVORP[[#This Row],[RK]],TableTECalcPts[RK],0)),"")</f>
        <v/>
      </c>
      <c r="AA100" s="114" t="str">
        <f>IFERROR((TableTEVORP[[#This Row],[FPS]]-INDEX(TableTEVORP[FPS],MATCH(TEVORPCalc,TableTEVORP[RK],0)))/INDEX(TableTEVORP[FPS],MATCH(TEVORPCalc,TableTEVORP[RK],0)),"")</f>
        <v/>
      </c>
      <c r="AF100" t="s">
        <v>207</v>
      </c>
      <c r="AG100">
        <v>59</v>
      </c>
      <c r="AH100" s="83">
        <f>RANK(TableOverallMaster[[#This Row],[VORP]],TableOverallMaster[VORP])+COUNTIF($AM$2:AM100,AM100)-1</f>
        <v>184</v>
      </c>
      <c r="AI100" s="115" t="str">
        <f>IFERROR(INDEX(TableRBVORP[RUNNING BACK],MATCH(TableOverallMaster[[#This Row],[RK]],TableRBVORP[RK],0)),"")</f>
        <v>Jaylen Wright</v>
      </c>
      <c r="AJ100" s="115" t="str">
        <f t="shared" si="1"/>
        <v>RB59</v>
      </c>
      <c r="AK100" s="115">
        <f>IFERROR(INDEX(TableRBVORP[BYE],MATCH(TableOverallMaster[[#This Row],[RK]],TableRBVORP[RK],0)),"")</f>
        <v>6</v>
      </c>
      <c r="AL100" s="116">
        <f>IFERROR(INDEX(TableRBVORP[FPS],MATCH(TableOverallMaster[[#This Row],[RK]],TableRBVORP[RK],0)),"")</f>
        <v>74.368530788872704</v>
      </c>
      <c r="AM100" s="117">
        <f>IFERROR(INDEX(TableRBVORP[VORP],MATCH(TableOverallMaster[[#This Row],[RK]],TableRBVORP[RK],0)),"")</f>
        <v>-0.30384957430781939</v>
      </c>
      <c r="AO100">
        <v>99</v>
      </c>
      <c r="AP100" s="118" t="str">
        <f>IFERROR(INDEX(TableOverallMaster[OVERALL PLAYER],MATCH(TableOverallRank[[#This Row],[RK]],TableOverallMaster[OVR RK],0)),"")</f>
        <v>J.K. Dobbins</v>
      </c>
      <c r="AQ100" s="119" t="str">
        <f>IFERROR(INDEX(TableOverallMaster[POS RK],MATCH(TableOverallRank[[#This Row],[OVERALL PLAYER]],TableOverallMaster[OVERALL PLAYER],0)),"")</f>
        <v>RB37</v>
      </c>
      <c r="AR100" s="120">
        <f>IFERROR(INDEX(TableOverallMaster[BYE],MATCH(TableOverallRank[[#This Row],[OVERALL PLAYER]],TableOverallMaster[OVERALL PLAYER],0)),"")</f>
        <v>5</v>
      </c>
      <c r="AS100" s="119">
        <f>IFERROR(INDEX(TableOverallMaster[Custom],MATCH(TableOverallRank[[#This Row],[OVERALL PLAYER]],TableOverallMaster[OVERALL PLAYER],0)),"")</f>
        <v>141.01839423318069</v>
      </c>
      <c r="AT100" s="121">
        <f>IFERROR(INDEX(TableOverallMaster[VORP],MATCH(TableOverallRank[[#This Row],[OVERALL PLAYER]],TableOverallMaster[OVERALL PLAYER],0)),"")</f>
        <v>0.14080568201421254</v>
      </c>
      <c r="AV100">
        <v>99</v>
      </c>
      <c r="AW100" s="122" t="str">
        <f>IFERROR(INDEX(TableWRTECalcPts[PLAYER],MATCH(TableWRTERank[[#This Row],[RK]],TableWRTECalcPts[RK],0)),"")</f>
        <v>Cole Kmet</v>
      </c>
      <c r="AX100" s="122" t="str">
        <f>IFERROR(INDEX(TableWRTECalcPts[POS RK],MATCH(TableWRTERank[[#This Row],[WR and TE COMBINED]],TableWRTECalcPts[PLAYER],0)),"")</f>
        <v>TE16</v>
      </c>
      <c r="AY100" s="122">
        <f>IFERROR(INDEX(TableWRTECalcPts[BYE],MATCH(TableWRTERank[[#This Row],[RK]],TableWRTECalcPts[RK],0)),"")</f>
        <v>7</v>
      </c>
      <c r="AZ100" s="123">
        <f>IFERROR(INDEX(TableWRTECalcPts[Custom],MATCH(TableWRTERank[[#This Row],[RK]],TableWRTECalcPts[RK],0)),"")</f>
        <v>99.558300157164425</v>
      </c>
      <c r="BA100" s="174">
        <f>IFERROR((TableWRTERank[[#This Row],[FPS]]-INDEX(TableWRTERank[FPS],MATCH(WRTEVORPCalc,TableWRTERank[RK],0)))/INDEX(TableWRTERank[FPS],MATCH(WRTEVORPCalc,TableWRTERank[RK],0)),"")</f>
        <v>-0.36555994115360335</v>
      </c>
      <c r="BC100" t="s">
        <v>208</v>
      </c>
      <c r="BD100">
        <v>99</v>
      </c>
      <c r="BE100" s="83">
        <f>RANK(TableWRTEMaster[[#This Row],[VORP]],TableWRTEMaster[VORP])+COUNTIF($BJ$2:BJ100,BJ100)-1</f>
        <v>142</v>
      </c>
      <c r="BF100" s="115" t="str">
        <f>IFERROR(INDEX(TableWRVORP[WIDE RECEIVER],MATCH(TableWRTEMaster[[#This Row],[RK]],TableWRVORP[RK],0)),"")</f>
        <v>Cedrick Wilson</v>
      </c>
      <c r="BG100" s="115" t="str">
        <f>_xlfn.CONCAT(TableWRTEMaster[[#This Row],[POS]],TableWRTEMaster[[#This Row],[RK]])</f>
        <v>WR99</v>
      </c>
      <c r="BH100" s="115">
        <f>IFERROR(INDEX(TableWRVORP[BYE],MATCH(TableWRTEMaster[[#This Row],[RK]],TableWRVORP[RK],0)),"")</f>
        <v>12</v>
      </c>
      <c r="BI100" s="116">
        <f>IFERROR(INDEX(TableWRVORP[FPS],MATCH(TableWRTEMaster[[#This Row],[RK]],TableWRVORP[RK],0)),"")</f>
        <v>63.135295687497305</v>
      </c>
      <c r="BJ100" s="117">
        <f>IFERROR(INDEX(TableWRVORP[VORP],MATCH(TableWRTEMaster[[#This Row],[RK]],TableWRVORP[RK],0)),"")</f>
        <v>-0.68537690604977042</v>
      </c>
    </row>
    <row r="101" spans="1:62" x14ac:dyDescent="0.2">
      <c r="A101">
        <v>100</v>
      </c>
      <c r="B101" s="112" t="str">
        <f>IFERROR(INDEX(TableQBCalcPts[PLAYER],MATCH(TableQBVORP[[#This Row],[RK]],TableQBCalcPts[RK],0)),"")</f>
        <v/>
      </c>
      <c r="C101" s="112" t="str">
        <f>IFERROR(INDEX(TableQBCalcPts[TM],MATCH(TableQBVORP[[#This Row],[RK]],TableQBCalcPts[RK],0)),"")</f>
        <v/>
      </c>
      <c r="D101" s="112" t="str">
        <f>IFERROR(INDEX(TableQBCalcPts[BYE],MATCH(TableQBVORP[[#This Row],[RK]],TableQBCalcPts[RK],0)),"")</f>
        <v/>
      </c>
      <c r="E101" s="113" t="str">
        <f>IFERROR(INDEX(TableQBCalcPts[Custom],MATCH(TableQBVORP[[#This Row],[RK]],TableQBCalcPts[RK],0)),"")</f>
        <v/>
      </c>
      <c r="F101" s="114" t="e">
        <f>(IFERROR((TableQBVORP[[#This Row],[FPS]]-INDEX(TableQBVORP[FPS],MATCH(QBVORPCalc,TableQBVORP[RK],0)))/INDEX(TableQBVORP[FPS],MATCH(QBVORPCalc,TableQBVORP[RK],0)),""))+(TableRBVORP[[#This Row],[VORP]]*0.45)</f>
        <v>#VALUE!</v>
      </c>
      <c r="H101">
        <v>100</v>
      </c>
      <c r="I101" s="112" t="str">
        <f>IFERROR(INDEX(TableRBCalcPts[PLAYER],MATCH(TableRBVORP[[#This Row],[RK]],TableRBCalcPts[RK],0)),"")</f>
        <v>Jeremy McNichols</v>
      </c>
      <c r="J101" s="112" t="str">
        <f>IFERROR(INDEX(TableRBCalcPts[TM],MATCH(TableRBVORP[[#This Row],[RK]],TableRBCalcPts[RK],0)),"")</f>
        <v>WSH</v>
      </c>
      <c r="K101" s="112">
        <f>IFERROR(INDEX(TableRBCalcPts[BYE],MATCH(TableRBVORP[[#This Row],[RK]],TableRBCalcPts[RK],0)),"")</f>
        <v>14</v>
      </c>
      <c r="L101" s="113">
        <f>IFERROR(INDEX(TableRBCalcPts[Custom],MATCH(TableRBVORP[[#This Row],[RK]],TableRBCalcPts[RK],0)),"")</f>
        <v>12.903486134583991</v>
      </c>
      <c r="M101" s="114">
        <f>(IFERROR((TableRBVORP[[#This Row],[FPS]]-INDEX(TableRBVORP[FPS],MATCH(RBVORPCalc,TableRBVORP[RK],0)))/INDEX(TableRBVORP[FPS],MATCH(RBVORPCalc,TableRBVORP[RK],0)),""))*0.8</f>
        <v>-0.71391425821276422</v>
      </c>
      <c r="O101">
        <v>100</v>
      </c>
      <c r="P101" s="112" t="str">
        <f>IFERROR(INDEX(TableWRCalcPts[PLAYER],MATCH(TableWRVORP[[#This Row],[RK]],TableWRCalcPts[RK],0)),"")</f>
        <v>Tyquan Thornton</v>
      </c>
      <c r="Q101" s="112" t="str">
        <f>IFERROR(INDEX(TableWRCalcPts[TM],MATCH(TableWRVORP[[#This Row],[RK]],TableWRCalcPts[RK],0)),"")</f>
        <v>NE</v>
      </c>
      <c r="R101" s="112">
        <f>IFERROR(INDEX(TableWRCalcPts[BYE],MATCH(TableWRVORP[[#This Row],[RK]],TableWRCalcPts[RK],0)),"")</f>
        <v>14</v>
      </c>
      <c r="S101" s="113">
        <f>IFERROR(INDEX(TableWRCalcPts[Custom],MATCH(TableWRVORP[[#This Row],[RK]],TableWRCalcPts[RK],0)),"")</f>
        <v>63.087701683529595</v>
      </c>
      <c r="T101" s="114">
        <f>(IFERROR((TableWRVORP[[#This Row],[FPS]]-INDEX(TableWRVORP[FPS],MATCH(WRVORPCalc,TableWRVORP[RK],0)))/INDEX(TableWRVORP[FPS],MATCH(WRVORPCalc,TableWRVORP[RK],0)),""))*1.2</f>
        <v>-0.68576485027825052</v>
      </c>
      <c r="V101">
        <v>100</v>
      </c>
      <c r="W101" s="112" t="str">
        <f>IFERROR(INDEX(TableTECalcPts[PLAYER],MATCH(TableTEVORP[[#This Row],[RK]],TableTECalcPts[RK],0)),"")</f>
        <v/>
      </c>
      <c r="X101" s="112" t="str">
        <f>IFERROR(INDEX(TableTECalcPts[TM],MATCH(TableTEVORP[[#This Row],[RK]],TableTECalcPts[RK],0)),"")</f>
        <v/>
      </c>
      <c r="Y101" s="112" t="str">
        <f>IFERROR(INDEX(TableTECalcPts[BYE],MATCH(TableTEVORP[[#This Row],[RK]],TableTECalcPts[RK],0)),"")</f>
        <v/>
      </c>
      <c r="Z101" s="113" t="str">
        <f>IFERROR(INDEX(TableTECalcPts[Custom],MATCH(TableTEVORP[[#This Row],[RK]],TableTECalcPts[RK],0)),"")</f>
        <v/>
      </c>
      <c r="AA101" s="114" t="str">
        <f>IFERROR((TableTEVORP[[#This Row],[FPS]]-INDEX(TableTEVORP[FPS],MATCH(TEVORPCalc,TableTEVORP[RK],0)))/INDEX(TableTEVORP[FPS],MATCH(TEVORPCalc,TableTEVORP[RK],0)),"")</f>
        <v/>
      </c>
      <c r="AF101" t="s">
        <v>207</v>
      </c>
      <c r="AG101">
        <v>60</v>
      </c>
      <c r="AH101" s="83">
        <f>RANK(TableOverallMaster[[#This Row],[VORP]],TableOverallMaster[VORP])+COUNTIF($AM$2:AM101,AM101)-1</f>
        <v>187</v>
      </c>
      <c r="AI101" s="115" t="str">
        <f>IFERROR(INDEX(TableRBVORP[RUNNING BACK],MATCH(TableOverallMaster[[#This Row],[RK]],TableRBVORP[RK],0)),"")</f>
        <v>Samaje Perine</v>
      </c>
      <c r="AJ101" s="115" t="str">
        <f t="shared" si="1"/>
        <v>RB60</v>
      </c>
      <c r="AK101" s="115">
        <f>IFERROR(INDEX(TableRBVORP[BYE],MATCH(TableOverallMaster[[#This Row],[RK]],TableRBVORP[RK],0)),"")</f>
        <v>6</v>
      </c>
      <c r="AL101" s="116">
        <f>IFERROR(INDEX(TableRBVORP[FPS],MATCH(TableOverallMaster[[#This Row],[RK]],TableRBVORP[RK],0)),"")</f>
        <v>71.651809288191984</v>
      </c>
      <c r="AM101" s="117">
        <f>IFERROR(INDEX(TableRBVORP[VORP],MATCH(TableOverallMaster[[#This Row],[RK]],TableRBVORP[RK],0)),"")</f>
        <v>-0.3219742100206916</v>
      </c>
      <c r="AO101">
        <v>100</v>
      </c>
      <c r="AP101" s="118" t="str">
        <f>IFERROR(INDEX(TableOverallMaster[OVERALL PLAYER],MATCH(TableOverallRank[[#This Row],[RK]],TableOverallMaster[OVR RK],0)),"")</f>
        <v>Zach Charbonnet</v>
      </c>
      <c r="AQ101" s="119" t="str">
        <f>IFERROR(INDEX(TableOverallMaster[POS RK],MATCH(TableOverallRank[[#This Row],[OVERALL PLAYER]],TableOverallMaster[OVERALL PLAYER],0)),"")</f>
        <v>RB38</v>
      </c>
      <c r="AR101" s="120">
        <f>IFERROR(INDEX(TableOverallMaster[BYE],MATCH(TableOverallRank[[#This Row],[OVERALL PLAYER]],TableOverallMaster[OVERALL PLAYER],0)),"")</f>
        <v>10</v>
      </c>
      <c r="AS101" s="119">
        <f>IFERROR(INDEX(TableOverallMaster[Custom],MATCH(TableOverallRank[[#This Row],[OVERALL PLAYER]],TableOverallMaster[OVERALL PLAYER],0)),"")</f>
        <v>140.95837720488342</v>
      </c>
      <c r="AT101" s="121">
        <f>IFERROR(INDEX(TableOverallMaster[VORP],MATCH(TableOverallRank[[#This Row],[OVERALL PLAYER]],TableOverallMaster[OVERALL PLAYER],0)),"")</f>
        <v>0.14040527778647535</v>
      </c>
      <c r="AV101">
        <v>100</v>
      </c>
      <c r="AW101" s="122" t="str">
        <f>IFERROR(INDEX(TableWRTECalcPts[PLAYER],MATCH(TableWRTERank[[#This Row],[RK]],TableWRTECalcPts[RK],0)),"")</f>
        <v>Dyami Brown</v>
      </c>
      <c r="AX101" s="122" t="str">
        <f>IFERROR(INDEX(TableWRTECalcPts[POS RK],MATCH(TableWRTERank[[#This Row],[WR and TE COMBINED]],TableWRTECalcPts[PLAYER],0)),"")</f>
        <v>WR84</v>
      </c>
      <c r="AY101" s="122">
        <f>IFERROR(INDEX(TableWRTECalcPts[BYE],MATCH(TableWRTERank[[#This Row],[RK]],TableWRTECalcPts[RK],0)),"")</f>
        <v>14</v>
      </c>
      <c r="AZ101" s="123">
        <f>IFERROR(INDEX(TableWRTECalcPts[Custom],MATCH(TableWRTERank[[#This Row],[RK]],TableWRTECalcPts[RK],0)),"")</f>
        <v>99.25364432662559</v>
      </c>
      <c r="BA101" s="174">
        <f>IFERROR((TableWRTERank[[#This Row],[FPS]]-INDEX(TableWRTERank[FPS],MATCH(WRTEVORPCalc,TableWRTERank[RK],0)))/INDEX(TableWRTERank[FPS],MATCH(WRTEVORPCalc,TableWRTERank[RK],0)),"")</f>
        <v>-0.36750137509482006</v>
      </c>
      <c r="BC101" t="s">
        <v>208</v>
      </c>
      <c r="BD101">
        <v>100</v>
      </c>
      <c r="BE101" s="83">
        <f>RANK(TableWRTEMaster[[#This Row],[VORP]],TableWRTEMaster[VORP])+COUNTIF($BJ$2:BJ101,BJ101)-1</f>
        <v>143</v>
      </c>
      <c r="BF101" s="115" t="str">
        <f>IFERROR(INDEX(TableWRVORP[WIDE RECEIVER],MATCH(TableWRTEMaster[[#This Row],[RK]],TableWRVORP[RK],0)),"")</f>
        <v>Tyquan Thornton</v>
      </c>
      <c r="BG101" s="115" t="str">
        <f>_xlfn.CONCAT(TableWRTEMaster[[#This Row],[POS]],TableWRTEMaster[[#This Row],[RK]])</f>
        <v>WR100</v>
      </c>
      <c r="BH101" s="115">
        <f>IFERROR(INDEX(TableWRVORP[BYE],MATCH(TableWRTEMaster[[#This Row],[RK]],TableWRVORP[RK],0)),"")</f>
        <v>14</v>
      </c>
      <c r="BI101" s="116">
        <f>IFERROR(INDEX(TableWRVORP[FPS],MATCH(TableWRTEMaster[[#This Row],[RK]],TableWRVORP[RK],0)),"")</f>
        <v>63.087701683529595</v>
      </c>
      <c r="BJ101" s="117">
        <f>IFERROR(INDEX(TableWRVORP[VORP],MATCH(TableWRTEMaster[[#This Row],[RK]],TableWRVORP[RK],0)),"")</f>
        <v>-0.68576485027825052</v>
      </c>
    </row>
    <row r="102" spans="1:62" x14ac:dyDescent="0.2">
      <c r="H102">
        <v>101</v>
      </c>
      <c r="I102" s="112" t="str">
        <f>IFERROR(INDEX(TableRBCalcPts[PLAYER],MATCH(TableRBVORP[[#This Row],[RK]],TableRBCalcPts[RK],0)),"")</f>
        <v>DeeJay Dallas</v>
      </c>
      <c r="J102" s="112" t="str">
        <f>IFERROR(INDEX(TableRBCalcPts[TM],MATCH(TableRBVORP[[#This Row],[RK]],TableRBCalcPts[RK],0)),"")</f>
        <v>ARI</v>
      </c>
      <c r="K102" s="112">
        <f>IFERROR(INDEX(TableRBCalcPts[BYE],MATCH(TableRBVORP[[#This Row],[RK]],TableRBCalcPts[RK],0)),"")</f>
        <v>11</v>
      </c>
      <c r="L102" s="113">
        <f>IFERROR(INDEX(TableRBCalcPts[Custom],MATCH(TableRBVORP[[#This Row],[RK]],TableRBCalcPts[RK],0)),"")</f>
        <v>11.824381621633211</v>
      </c>
      <c r="M102" s="114">
        <f>(IFERROR((TableRBVORP[[#This Row],[FPS]]-INDEX(TableRBVORP[FPS],MATCH(RBVORPCalc,TableRBVORP[RK],0)))/INDEX(TableRBVORP[FPS],MATCH(RBVORPCalc,TableRBVORP[RK],0)),""))*0.8</f>
        <v>-0.72111351518056477</v>
      </c>
      <c r="O102">
        <v>101</v>
      </c>
      <c r="P102" s="112" t="str">
        <f>IFERROR(INDEX(TableWRCalcPts[PLAYER],MATCH(TableWRVORP[[#This Row],[RK]],TableWRCalcPts[RK],0)),"")</f>
        <v>Jauan Jennings</v>
      </c>
      <c r="Q102" s="112" t="str">
        <f>IFERROR(INDEX(TableWRCalcPts[TM],MATCH(TableWRVORP[[#This Row],[RK]],TableWRCalcPts[RK],0)),"")</f>
        <v>SF</v>
      </c>
      <c r="R102" s="112">
        <f>IFERROR(INDEX(TableWRCalcPts[BYE],MATCH(TableWRVORP[[#This Row],[RK]],TableWRCalcPts[RK],0)),"")</f>
        <v>9</v>
      </c>
      <c r="S102" s="113">
        <f>IFERROR(INDEX(TableWRCalcPts[Custom],MATCH(TableWRVORP[[#This Row],[RK]],TableWRCalcPts[RK],0)),"")</f>
        <v>60.696683892896807</v>
      </c>
      <c r="T102" s="114">
        <f>(IFERROR((TableWRVORP[[#This Row],[FPS]]-INDEX(TableWRVORP[FPS],MATCH(WRVORPCalc,TableWRVORP[RK],0)))/INDEX(TableWRVORP[FPS],MATCH(WRVORPCalc,TableWRVORP[RK],0)),""))*1.2</f>
        <v>-0.70525431270503625</v>
      </c>
      <c r="AF102" t="s">
        <v>207</v>
      </c>
      <c r="AG102">
        <v>61</v>
      </c>
      <c r="AH102" s="83">
        <f>RANK(TableOverallMaster[[#This Row],[VORP]],TableOverallMaster[VORP])+COUNTIF($AM$2:AM102,AM102)-1</f>
        <v>189</v>
      </c>
      <c r="AI102" s="115" t="str">
        <f>IFERROR(INDEX(TableRBVORP[RUNNING BACK],MATCH(TableOverallMaster[[#This Row],[RK]],TableRBVORP[RK],0)),"")</f>
        <v>Khalil Herbert</v>
      </c>
      <c r="AJ102" s="115" t="str">
        <f t="shared" si="1"/>
        <v>RB61</v>
      </c>
      <c r="AK102" s="115">
        <f>IFERROR(INDEX(TableRBVORP[BYE],MATCH(TableOverallMaster[[#This Row],[RK]],TableRBVORP[RK],0)),"")</f>
        <v>7</v>
      </c>
      <c r="AL102" s="116">
        <f>IFERROR(INDEX(TableRBVORP[FPS],MATCH(TableOverallMaster[[#This Row],[RK]],TableRBVORP[RK],0)),"")</f>
        <v>70.334534427318147</v>
      </c>
      <c r="AM102" s="117">
        <f>IFERROR(INDEX(TableRBVORP[VORP],MATCH(TableOverallMaster[[#This Row],[RK]],TableRBVORP[RK],0)),"")</f>
        <v>-0.33076242293875491</v>
      </c>
      <c r="AO102">
        <v>101</v>
      </c>
      <c r="AP102" s="118" t="str">
        <f>IFERROR(INDEX(TableOverallMaster[OVERALL PLAYER],MATCH(TableOverallRank[[#This Row],[RK]],TableOverallMaster[OVR RK],0)),"")</f>
        <v>Jonathon Brooks</v>
      </c>
      <c r="AQ102" s="119" t="str">
        <f>IFERROR(INDEX(TableOverallMaster[POS RK],MATCH(TableOverallRank[[#This Row],[OVERALL PLAYER]],TableOverallMaster[OVERALL PLAYER],0)),"")</f>
        <v>RB39</v>
      </c>
      <c r="AR102" s="120">
        <f>IFERROR(INDEX(TableOverallMaster[BYE],MATCH(TableOverallRank[[#This Row],[OVERALL PLAYER]],TableOverallMaster[OVERALL PLAYER],0)),"")</f>
        <v>11</v>
      </c>
      <c r="AS102" s="119">
        <f>IFERROR(INDEX(TableOverallMaster[Custom],MATCH(TableOverallRank[[#This Row],[OVERALL PLAYER]],TableOverallMaster[OVERALL PLAYER],0)),"")</f>
        <v>140.79732862710091</v>
      </c>
      <c r="AT102" s="121">
        <f>IFERROR(INDEX(TableOverallMaster[VORP],MATCH(TableOverallRank[[#This Row],[OVERALL PLAYER]],TableOverallMaster[OVERALL PLAYER],0)),"")</f>
        <v>0.13933084052683986</v>
      </c>
      <c r="AV102">
        <v>101</v>
      </c>
      <c r="AW102" s="122" t="str">
        <f>IFERROR(INDEX(TableWRTECalcPts[PLAYER],MATCH(TableWRTERank[[#This Row],[RK]],TableWRTECalcPts[RK],0)),"")</f>
        <v>Dalton Schultz</v>
      </c>
      <c r="AX102" s="122" t="str">
        <f>IFERROR(INDEX(TableWRTECalcPts[POS RK],MATCH(TableWRTERank[[#This Row],[WR and TE COMBINED]],TableWRTECalcPts[PLAYER],0)),"")</f>
        <v>TE17</v>
      </c>
      <c r="AY102" s="122">
        <f>IFERROR(INDEX(TableWRTECalcPts[BYE],MATCH(TableWRTERank[[#This Row],[RK]],TableWRTECalcPts[RK],0)),"")</f>
        <v>14</v>
      </c>
      <c r="AZ102" s="123">
        <f>IFERROR(INDEX(TableWRTECalcPts[Custom],MATCH(TableWRTERank[[#This Row],[RK]],TableWRTECalcPts[RK],0)),"")</f>
        <v>98.459944410737833</v>
      </c>
      <c r="BA102" s="174">
        <f>IFERROR((TableWRTERank[[#This Row],[FPS]]-INDEX(TableWRTERank[FPS],MATCH(WRTEVORPCalc,TableWRTERank[RK],0)))/INDEX(TableWRTERank[FPS],MATCH(WRTEVORPCalc,TableWRTERank[RK],0)),"")</f>
        <v>-0.37255926600444073</v>
      </c>
      <c r="BC102" t="s">
        <v>208</v>
      </c>
      <c r="BD102">
        <v>101</v>
      </c>
      <c r="BE102" s="83">
        <f>RANK(TableWRTEMaster[[#This Row],[VORP]],TableWRTEMaster[VORP])+COUNTIF($BJ$2:BJ102,BJ102)-1</f>
        <v>147</v>
      </c>
      <c r="BF102" s="115" t="str">
        <f>IFERROR(INDEX(TableWRVORP[WIDE RECEIVER],MATCH(TableWRTEMaster[[#This Row],[RK]],TableWRVORP[RK],0)),"")</f>
        <v>Jauan Jennings</v>
      </c>
      <c r="BG102" s="115" t="str">
        <f>_xlfn.CONCAT(TableWRTEMaster[[#This Row],[POS]],TableWRTEMaster[[#This Row],[RK]])</f>
        <v>WR101</v>
      </c>
      <c r="BH102" s="115">
        <f>IFERROR(INDEX(TableWRVORP[BYE],MATCH(TableWRTEMaster[[#This Row],[RK]],TableWRVORP[RK],0)),"")</f>
        <v>9</v>
      </c>
      <c r="BI102" s="116">
        <f>IFERROR(INDEX(TableWRVORP[FPS],MATCH(TableWRTEMaster[[#This Row],[RK]],TableWRVORP[RK],0)),"")</f>
        <v>60.696683892896807</v>
      </c>
      <c r="BJ102" s="117">
        <f>IFERROR(INDEX(TableWRVORP[VORP],MATCH(TableWRTEMaster[[#This Row],[RK]],TableWRVORP[RK],0)),"")</f>
        <v>-0.70525431270503625</v>
      </c>
    </row>
    <row r="103" spans="1:62" x14ac:dyDescent="0.2">
      <c r="H103">
        <v>102</v>
      </c>
      <c r="I103" s="112" t="str">
        <f>IFERROR(INDEX(TableRBCalcPts[PLAYER],MATCH(TableRBVORP[[#This Row],[RK]],TableRBCalcPts[RK],0)),"")</f>
        <v>Jeff Wilson</v>
      </c>
      <c r="J103" s="112" t="str">
        <f>IFERROR(INDEX(TableRBCalcPts[TM],MATCH(TableRBVORP[[#This Row],[RK]],TableRBCalcPts[RK],0)),"")</f>
        <v>MIA</v>
      </c>
      <c r="K103" s="112">
        <f>IFERROR(INDEX(TableRBCalcPts[BYE],MATCH(TableRBVORP[[#This Row],[RK]],TableRBCalcPts[RK],0)),"")</f>
        <v>6</v>
      </c>
      <c r="L103" s="113">
        <f>IFERROR(INDEX(TableRBCalcPts[Custom],MATCH(TableRBVORP[[#This Row],[RK]],TableRBCalcPts[RK],0)),"")</f>
        <v>11.265283336619294</v>
      </c>
      <c r="M103" s="114">
        <f>(IFERROR((TableRBVORP[[#This Row],[FPS]]-INDEX(TableRBVORP[FPS],MATCH(RBVORPCalc,TableRBVORP[RK],0)))/INDEX(TableRBVORP[FPS],MATCH(RBVORPCalc,TableRBVORP[RK],0)),""))*0.8</f>
        <v>-0.72484354519690231</v>
      </c>
      <c r="O103">
        <v>102</v>
      </c>
      <c r="P103" s="112" t="str">
        <f>IFERROR(INDEX(TableWRCalcPts[PLAYER],MATCH(TableWRVORP[[#This Row],[RK]],TableWRCalcPts[RK],0)),"")</f>
        <v>Jonathan Mingo</v>
      </c>
      <c r="Q103" s="112" t="str">
        <f>IFERROR(INDEX(TableWRCalcPts[TM],MATCH(TableWRVORP[[#This Row],[RK]],TableWRCalcPts[RK],0)),"")</f>
        <v>CAR</v>
      </c>
      <c r="R103" s="112">
        <f>IFERROR(INDEX(TableWRCalcPts[BYE],MATCH(TableWRVORP[[#This Row],[RK]],TableWRCalcPts[RK],0)),"")</f>
        <v>11</v>
      </c>
      <c r="S103" s="113">
        <f>IFERROR(INDEX(TableWRCalcPts[Custom],MATCH(TableWRVORP[[#This Row],[RK]],TableWRCalcPts[RK],0)),"")</f>
        <v>58.748444769088849</v>
      </c>
      <c r="T103" s="114">
        <f>(IFERROR((TableWRVORP[[#This Row],[FPS]]-INDEX(TableWRVORP[FPS],MATCH(WRVORPCalc,TableWRVORP[RK],0)))/INDEX(TableWRVORP[FPS],MATCH(WRVORPCalc,TableWRVORP[RK],0)),""))*1.2</f>
        <v>-0.72113463503078534</v>
      </c>
      <c r="AF103" t="s">
        <v>207</v>
      </c>
      <c r="AG103">
        <v>62</v>
      </c>
      <c r="AH103" s="83">
        <f>RANK(TableOverallMaster[[#This Row],[VORP]],TableOverallMaster[VORP])+COUNTIF($AM$2:AM103,AM103)-1</f>
        <v>190</v>
      </c>
      <c r="AI103" s="115" t="str">
        <f>IFERROR(INDEX(TableRBVORP[RUNNING BACK],MATCH(TableOverallMaster[[#This Row],[RK]],TableRBVORP[RK],0)),"")</f>
        <v>Braelon Allen</v>
      </c>
      <c r="AJ103" s="115" t="str">
        <f t="shared" si="1"/>
        <v>RB62</v>
      </c>
      <c r="AK103" s="115">
        <f>IFERROR(INDEX(TableRBVORP[BYE],MATCH(TableOverallMaster[[#This Row],[RK]],TableRBVORP[RK],0)),"")</f>
        <v>12</v>
      </c>
      <c r="AL103" s="116">
        <f>IFERROR(INDEX(TableRBVORP[FPS],MATCH(TableOverallMaster[[#This Row],[RK]],TableRBVORP[RK],0)),"")</f>
        <v>70.252975679571662</v>
      </c>
      <c r="AM103" s="117">
        <f>IFERROR(INDEX(TableRBVORP[VORP],MATCH(TableOverallMaster[[#This Row],[RK]],TableRBVORP[RK],0)),"")</f>
        <v>-0.33130654297157119</v>
      </c>
      <c r="AO103">
        <v>102</v>
      </c>
      <c r="AP103" s="118" t="str">
        <f>IFERROR(INDEX(TableOverallMaster[OVERALL PLAYER],MATCH(TableOverallRank[[#This Row],[RK]],TableOverallMaster[OVR RK],0)),"")</f>
        <v>Ezekiel Elliott</v>
      </c>
      <c r="AQ103" s="119" t="str">
        <f>IFERROR(INDEX(TableOverallMaster[POS RK],MATCH(TableOverallRank[[#This Row],[OVERALL PLAYER]],TableOverallMaster[OVERALL PLAYER],0)),"")</f>
        <v>RB40</v>
      </c>
      <c r="AR103" s="120">
        <f>IFERROR(INDEX(TableOverallMaster[BYE],MATCH(TableOverallRank[[#This Row],[OVERALL PLAYER]],TableOverallMaster[OVERALL PLAYER],0)),"")</f>
        <v>7</v>
      </c>
      <c r="AS103" s="119">
        <f>IFERROR(INDEX(TableOverallMaster[Custom],MATCH(TableOverallRank[[#This Row],[OVERALL PLAYER]],TableOverallMaster[OVERALL PLAYER],0)),"")</f>
        <v>140.64021599356784</v>
      </c>
      <c r="AT103" s="121">
        <f>IFERROR(INDEX(TableOverallMaster[VORP],MATCH(TableOverallRank[[#This Row],[OVERALL PLAYER]],TableOverallMaster[OVERALL PLAYER],0)),"")</f>
        <v>0.13828266196015079</v>
      </c>
      <c r="AV103">
        <v>102</v>
      </c>
      <c r="AW103" s="122" t="str">
        <f>IFERROR(INDEX(TableWRTECalcPts[PLAYER],MATCH(TableWRTERank[[#This Row],[RK]],TableWRTECalcPts[RK],0)),"")</f>
        <v>Mike Gesicki</v>
      </c>
      <c r="AX103" s="122" t="str">
        <f>IFERROR(INDEX(TableWRTECalcPts[POS RK],MATCH(TableWRTERank[[#This Row],[WR and TE COMBINED]],TableWRTECalcPts[PLAYER],0)),"")</f>
        <v>TE18</v>
      </c>
      <c r="AY103" s="122">
        <f>IFERROR(INDEX(TableWRTECalcPts[BYE],MATCH(TableWRTERank[[#This Row],[RK]],TableWRTECalcPts[RK],0)),"")</f>
        <v>12</v>
      </c>
      <c r="AZ103" s="123">
        <f>IFERROR(INDEX(TableWRTECalcPts[Custom],MATCH(TableWRTERank[[#This Row],[RK]],TableWRTECalcPts[RK],0)),"")</f>
        <v>96.879813101035438</v>
      </c>
      <c r="BA103" s="174">
        <f>IFERROR((TableWRTERank[[#This Row],[FPS]]-INDEX(TableWRTERank[FPS],MATCH(WRTEVORPCalc,TableWRTERank[RK],0)))/INDEX(TableWRTERank[FPS],MATCH(WRTEVORPCalc,TableWRTERank[RK],0)),"")</f>
        <v>-0.38262872881698434</v>
      </c>
      <c r="BC103" t="s">
        <v>208</v>
      </c>
      <c r="BD103">
        <v>102</v>
      </c>
      <c r="BE103" s="83">
        <f>RANK(TableWRTEMaster[[#This Row],[VORP]],TableWRTEMaster[VORP])+COUNTIF($BJ$2:BJ103,BJ103)-1</f>
        <v>148</v>
      </c>
      <c r="BF103" s="115" t="str">
        <f>IFERROR(INDEX(TableWRVORP[WIDE RECEIVER],MATCH(TableWRTEMaster[[#This Row],[RK]],TableWRVORP[RK],0)),"")</f>
        <v>Jonathan Mingo</v>
      </c>
      <c r="BG103" s="115" t="str">
        <f>_xlfn.CONCAT(TableWRTEMaster[[#This Row],[POS]],TableWRTEMaster[[#This Row],[RK]])</f>
        <v>WR102</v>
      </c>
      <c r="BH103" s="115">
        <f>IFERROR(INDEX(TableWRVORP[BYE],MATCH(TableWRTEMaster[[#This Row],[RK]],TableWRVORP[RK],0)),"")</f>
        <v>11</v>
      </c>
      <c r="BI103" s="116">
        <f>IFERROR(INDEX(TableWRVORP[FPS],MATCH(TableWRTEMaster[[#This Row],[RK]],TableWRVORP[RK],0)),"")</f>
        <v>58.748444769088849</v>
      </c>
      <c r="BJ103" s="117">
        <f>IFERROR(INDEX(TableWRVORP[VORP],MATCH(TableWRTEMaster[[#This Row],[RK]],TableWRVORP[RK],0)),"")</f>
        <v>-0.72113463503078534</v>
      </c>
    </row>
    <row r="104" spans="1:62" x14ac:dyDescent="0.2">
      <c r="H104">
        <v>103</v>
      </c>
      <c r="I104" s="112" t="str">
        <f>IFERROR(INDEX(TableRBCalcPts[PLAYER],MATCH(TableRBVORP[[#This Row],[RK]],TableRBCalcPts[RK],0)),"")</f>
        <v>Emari Demercado</v>
      </c>
      <c r="J104" s="112" t="str">
        <f>IFERROR(INDEX(TableRBCalcPts[TM],MATCH(TableRBVORP[[#This Row],[RK]],TableRBCalcPts[RK],0)),"")</f>
        <v>ARI</v>
      </c>
      <c r="K104" s="112">
        <f>IFERROR(INDEX(TableRBCalcPts[BYE],MATCH(TableRBVORP[[#This Row],[RK]],TableRBCalcPts[RK],0)),"")</f>
        <v>11</v>
      </c>
      <c r="L104" s="113">
        <f>IFERROR(INDEX(TableRBCalcPts[Custom],MATCH(TableRBVORP[[#This Row],[RK]],TableRBCalcPts[RK],0)),"")</f>
        <v>10.454307677100001</v>
      </c>
      <c r="M104" s="114">
        <f>(IFERROR((TableRBVORP[[#This Row],[FPS]]-INDEX(TableRBVORP[FPS],MATCH(RBVORPCalc,TableRBVORP[RK],0)))/INDEX(TableRBVORP[FPS],MATCH(RBVORPCalc,TableRBVORP[RK],0)),""))*0.8</f>
        <v>-0.73025397773373413</v>
      </c>
      <c r="O104">
        <v>103</v>
      </c>
      <c r="P104" s="112" t="str">
        <f>IFERROR(INDEX(TableWRCalcPts[PLAYER],MATCH(TableWRVORP[[#This Row],[RK]],TableWRCalcPts[RK],0)),"")</f>
        <v>Calvin Austin</v>
      </c>
      <c r="Q104" s="112" t="str">
        <f>IFERROR(INDEX(TableWRCalcPts[TM],MATCH(TableWRVORP[[#This Row],[RK]],TableWRCalcPts[RK],0)),"")</f>
        <v>PIT</v>
      </c>
      <c r="R104" s="112">
        <f>IFERROR(INDEX(TableWRCalcPts[BYE],MATCH(TableWRVORP[[#This Row],[RK]],TableWRCalcPts[RK],0)),"")</f>
        <v>9</v>
      </c>
      <c r="S104" s="113">
        <f>IFERROR(INDEX(TableWRCalcPts[Custom],MATCH(TableWRVORP[[#This Row],[RK]],TableWRCalcPts[RK],0)),"")</f>
        <v>58.376500767336978</v>
      </c>
      <c r="T104" s="114">
        <f>(IFERROR((TableWRVORP[[#This Row],[FPS]]-INDEX(TableWRVORP[FPS],MATCH(WRVORPCalc,TableWRVORP[RK],0)))/INDEX(TableWRVORP[FPS],MATCH(WRVORPCalc,TableWRVORP[RK],0)),""))*1.2</f>
        <v>-0.72416639358791968</v>
      </c>
      <c r="AF104" t="s">
        <v>207</v>
      </c>
      <c r="AG104">
        <v>63</v>
      </c>
      <c r="AH104" s="83">
        <f>RANK(TableOverallMaster[[#This Row],[VORP]],TableOverallMaster[VORP])+COUNTIF($AM$2:AM104,AM104)-1</f>
        <v>191</v>
      </c>
      <c r="AI104" s="115" t="str">
        <f>IFERROR(INDEX(TableRBVORP[RUNNING BACK],MATCH(TableOverallMaster[[#This Row],[RK]],TableRBVORP[RK],0)),"")</f>
        <v>Kenneth Gainwell</v>
      </c>
      <c r="AJ104" s="115" t="str">
        <f t="shared" si="1"/>
        <v>RB63</v>
      </c>
      <c r="AK104" s="115">
        <f>IFERROR(INDEX(TableRBVORP[BYE],MATCH(TableOverallMaster[[#This Row],[RK]],TableRBVORP[RK],0)),"")</f>
        <v>5</v>
      </c>
      <c r="AL104" s="116">
        <f>IFERROR(INDEX(TableRBVORP[FPS],MATCH(TableOverallMaster[[#This Row],[RK]],TableRBVORP[RK],0)),"")</f>
        <v>69.800925458603601</v>
      </c>
      <c r="AM104" s="117">
        <f>IFERROR(INDEX(TableRBVORP[VORP],MATCH(TableOverallMaster[[#This Row],[RK]],TableRBVORP[RK],0)),"")</f>
        <v>-0.33432240071662034</v>
      </c>
      <c r="AO104">
        <v>103</v>
      </c>
      <c r="AP104" s="118" t="str">
        <f>IFERROR(INDEX(TableOverallMaster[OVERALL PLAYER],MATCH(TableOverallRank[[#This Row],[RK]],TableOverallMaster[OVR RK],0)),"")</f>
        <v>Jaxon Smith-Njigba</v>
      </c>
      <c r="AQ104" s="119" t="str">
        <f>IFERROR(INDEX(TableOverallMaster[POS RK],MATCH(TableOverallRank[[#This Row],[OVERALL PLAYER]],TableOverallMaster[OVERALL PLAYER],0)),"")</f>
        <v>WR44</v>
      </c>
      <c r="AR104" s="120">
        <f>IFERROR(INDEX(TableOverallMaster[BYE],MATCH(TableOverallRank[[#This Row],[OVERALL PLAYER]],TableOverallMaster[OVERALL PLAYER],0)),"")</f>
        <v>10</v>
      </c>
      <c r="AS104" s="119">
        <f>IFERROR(INDEX(TableOverallMaster[Custom],MATCH(TableOverallRank[[#This Row],[OVERALL PLAYER]],TableOverallMaster[OVERALL PLAYER],0)),"")</f>
        <v>163.8453388368572</v>
      </c>
      <c r="AT104" s="121">
        <f>IFERROR(INDEX(TableOverallMaster[VORP],MATCH(TableOverallRank[[#This Row],[OVERALL PLAYER]],TableOverallMaster[OVERALL PLAYER],0)),"")</f>
        <v>0.13552229831790868</v>
      </c>
      <c r="AV104">
        <v>103</v>
      </c>
      <c r="AW104" s="122" t="str">
        <f>IFERROR(INDEX(TableWRTECalcPts[PLAYER],MATCH(TableWRTERank[[#This Row],[RK]],TableWRTECalcPts[RK],0)),"")</f>
        <v>Luke Musgrave</v>
      </c>
      <c r="AX104" s="122" t="str">
        <f>IFERROR(INDEX(TableWRTECalcPts[POS RK],MATCH(TableWRTERank[[#This Row],[WR and TE COMBINED]],TableWRTECalcPts[PLAYER],0)),"")</f>
        <v>TE19</v>
      </c>
      <c r="AY104" s="122">
        <f>IFERROR(INDEX(TableWRTECalcPts[BYE],MATCH(TableWRTERank[[#This Row],[RK]],TableWRTECalcPts[RK],0)),"")</f>
        <v>10</v>
      </c>
      <c r="AZ104" s="123">
        <f>IFERROR(INDEX(TableWRTECalcPts[Custom],MATCH(TableWRTERank[[#This Row],[RK]],TableWRTECalcPts[RK],0)),"")</f>
        <v>95.806678079854066</v>
      </c>
      <c r="BA104" s="174">
        <f>IFERROR((TableWRTERank[[#This Row],[FPS]]-INDEX(TableWRTERank[FPS],MATCH(WRTEVORPCalc,TableWRTERank[RK],0)))/INDEX(TableWRTERank[FPS],MATCH(WRTEVORPCalc,TableWRTERank[RK],0)),"")</f>
        <v>-0.38946733338248668</v>
      </c>
      <c r="BC104" t="s">
        <v>208</v>
      </c>
      <c r="BD104">
        <v>103</v>
      </c>
      <c r="BE104" s="83">
        <f>RANK(TableWRTEMaster[[#This Row],[VORP]],TableWRTEMaster[VORP])+COUNTIF($BJ$2:BJ104,BJ104)-1</f>
        <v>149</v>
      </c>
      <c r="BF104" s="115" t="str">
        <f>IFERROR(INDEX(TableWRVORP[WIDE RECEIVER],MATCH(TableWRTEMaster[[#This Row],[RK]],TableWRVORP[RK],0)),"")</f>
        <v>Calvin Austin</v>
      </c>
      <c r="BG104" s="115" t="str">
        <f>_xlfn.CONCAT(TableWRTEMaster[[#This Row],[POS]],TableWRTEMaster[[#This Row],[RK]])</f>
        <v>WR103</v>
      </c>
      <c r="BH104" s="115">
        <f>IFERROR(INDEX(TableWRVORP[BYE],MATCH(TableWRTEMaster[[#This Row],[RK]],TableWRVORP[RK],0)),"")</f>
        <v>9</v>
      </c>
      <c r="BI104" s="116">
        <f>IFERROR(INDEX(TableWRVORP[FPS],MATCH(TableWRTEMaster[[#This Row],[RK]],TableWRVORP[RK],0)),"")</f>
        <v>58.376500767336978</v>
      </c>
      <c r="BJ104" s="117">
        <f>IFERROR(INDEX(TableWRVORP[VORP],MATCH(TableWRTEMaster[[#This Row],[RK]],TableWRVORP[RK],0)),"")</f>
        <v>-0.72416639358791968</v>
      </c>
    </row>
    <row r="105" spans="1:62" x14ac:dyDescent="0.2">
      <c r="H105">
        <v>104</v>
      </c>
      <c r="I105" s="112" t="str">
        <f>IFERROR(INDEX(TableRBCalcPts[PLAYER],MATCH(TableRBVORP[[#This Row],[RK]],TableRBCalcPts[RK],0)),"")</f>
        <v>Carson Steele</v>
      </c>
      <c r="J105" s="112" t="str">
        <f>IFERROR(INDEX(TableRBCalcPts[TM],MATCH(TableRBVORP[[#This Row],[RK]],TableRBCalcPts[RK],0)),"")</f>
        <v>KC</v>
      </c>
      <c r="K105" s="112">
        <f>IFERROR(INDEX(TableRBCalcPts[BYE],MATCH(TableRBVORP[[#This Row],[RK]],TableRBCalcPts[RK],0)),"")</f>
        <v>6</v>
      </c>
      <c r="L105" s="113">
        <f>IFERROR(INDEX(TableRBCalcPts[Custom],MATCH(TableRBVORP[[#This Row],[RK]],TableRBCalcPts[RK],0)),"")</f>
        <v>9.9794258962344884</v>
      </c>
      <c r="M105" s="114">
        <f>(IFERROR((TableRBVORP[[#This Row],[FPS]]-INDEX(TableRBVORP[FPS],MATCH(RBVORPCalc,TableRBVORP[RK],0)))/INDEX(TableRBVORP[FPS],MATCH(RBVORPCalc,TableRBVORP[RK],0)),""))*0.8</f>
        <v>-0.7334221564678115</v>
      </c>
      <c r="O105">
        <v>104</v>
      </c>
      <c r="P105" s="112" t="str">
        <f>IFERROR(INDEX(TableWRCalcPts[PLAYER],MATCH(TableWRVORP[[#This Row],[RK]],TableWRCalcPts[RK],0)),"")</f>
        <v>Malik Washington</v>
      </c>
      <c r="Q105" s="112" t="str">
        <f>IFERROR(INDEX(TableWRCalcPts[TM],MATCH(TableWRVORP[[#This Row],[RK]],TableWRCalcPts[RK],0)),"")</f>
        <v>MIA</v>
      </c>
      <c r="R105" s="112">
        <f>IFERROR(INDEX(TableWRCalcPts[BYE],MATCH(TableWRVORP[[#This Row],[RK]],TableWRCalcPts[RK],0)),"")</f>
        <v>6</v>
      </c>
      <c r="S105" s="113">
        <f>IFERROR(INDEX(TableWRCalcPts[Custom],MATCH(TableWRVORP[[#This Row],[RK]],TableWRCalcPts[RK],0)),"")</f>
        <v>56.740369681564793</v>
      </c>
      <c r="T105" s="114">
        <f>(IFERROR((TableWRVORP[[#This Row],[FPS]]-INDEX(TableWRVORP[FPS],MATCH(WRVORPCalc,TableWRVORP[RK],0)))/INDEX(TableWRVORP[FPS],MATCH(WRVORPCalc,TableWRVORP[RK],0)),""))*1.2</f>
        <v>-0.73750268721416412</v>
      </c>
      <c r="AF105" t="s">
        <v>207</v>
      </c>
      <c r="AG105">
        <v>64</v>
      </c>
      <c r="AH105" s="83">
        <f>RANK(TableOverallMaster[[#This Row],[VORP]],TableOverallMaster[VORP])+COUNTIF($AM$2:AM105,AM105)-1</f>
        <v>194</v>
      </c>
      <c r="AI105" s="115" t="str">
        <f>IFERROR(INDEX(TableRBVORP[RUNNING BACK],MATCH(TableOverallMaster[[#This Row],[RK]],TableRBVORP[RK],0)),"")</f>
        <v>Tyrone Tracy</v>
      </c>
      <c r="AJ105" s="115" t="str">
        <f t="shared" si="1"/>
        <v>RB64</v>
      </c>
      <c r="AK105" s="115">
        <f>IFERROR(INDEX(TableRBVORP[BYE],MATCH(TableOverallMaster[[#This Row],[RK]],TableRBVORP[RK],0)),"")</f>
        <v>11</v>
      </c>
      <c r="AL105" s="116">
        <f>IFERROR(INDEX(TableRBVORP[FPS],MATCH(TableOverallMaster[[#This Row],[RK]],TableRBVORP[RK],0)),"")</f>
        <v>66.263362703752577</v>
      </c>
      <c r="AM105" s="117">
        <f>IFERROR(INDEX(TableRBVORP[VORP],MATCH(TableOverallMaster[[#This Row],[RK]],TableRBVORP[RK],0)),"")</f>
        <v>-0.35792328738352158</v>
      </c>
      <c r="AO105">
        <v>104</v>
      </c>
      <c r="AP105" s="118" t="str">
        <f>IFERROR(INDEX(TableOverallMaster[OVERALL PLAYER],MATCH(TableOverallRank[[#This Row],[RK]],TableOverallMaster[OVR RK],0)),"")</f>
        <v>Xavier Worthy</v>
      </c>
      <c r="AQ105" s="119" t="str">
        <f>IFERROR(INDEX(TableOverallMaster[POS RK],MATCH(TableOverallRank[[#This Row],[OVERALL PLAYER]],TableOverallMaster[OVERALL PLAYER],0)),"")</f>
        <v>WR45</v>
      </c>
      <c r="AR105" s="120">
        <f>IFERROR(INDEX(TableOverallMaster[BYE],MATCH(TableOverallRank[[#This Row],[OVERALL PLAYER]],TableOverallMaster[OVERALL PLAYER],0)),"")</f>
        <v>6</v>
      </c>
      <c r="AS105" s="119">
        <f>IFERROR(INDEX(TableOverallMaster[Custom],MATCH(TableOverallRank[[#This Row],[OVERALL PLAYER]],TableOverallMaster[OVERALL PLAYER],0)),"")</f>
        <v>163.43310093245475</v>
      </c>
      <c r="AT105" s="121">
        <f>IFERROR(INDEX(TableOverallMaster[VORP],MATCH(TableOverallRank[[#This Row],[OVERALL PLAYER]],TableOverallMaster[OVERALL PLAYER],0)),"")</f>
        <v>0.13216209950206378</v>
      </c>
      <c r="AV105">
        <v>104</v>
      </c>
      <c r="AW105" s="122" t="str">
        <f>IFERROR(INDEX(TableWRTECalcPts[PLAYER],MATCH(TableWRTERank[[#This Row],[RK]],TableWRTECalcPts[RK],0)),"")</f>
        <v>K.J. Osborn</v>
      </c>
      <c r="AX105" s="122" t="str">
        <f>IFERROR(INDEX(TableWRTECalcPts[POS RK],MATCH(TableWRTERank[[#This Row],[WR and TE COMBINED]],TableWRTECalcPts[PLAYER],0)),"")</f>
        <v>WR85</v>
      </c>
      <c r="AY105" s="122">
        <f>IFERROR(INDEX(TableWRTECalcPts[BYE],MATCH(TableWRTERank[[#This Row],[RK]],TableWRTECalcPts[RK],0)),"")</f>
        <v>14</v>
      </c>
      <c r="AZ105" s="123">
        <f>IFERROR(INDEX(TableWRTECalcPts[Custom],MATCH(TableWRTERank[[#This Row],[RK]],TableWRTECalcPts[RK],0)),"")</f>
        <v>93.985026112107334</v>
      </c>
      <c r="BA105" s="174">
        <f>IFERROR((TableWRTERank[[#This Row],[FPS]]-INDEX(TableWRTERank[FPS],MATCH(WRTEVORPCalc,TableWRTERank[RK],0)))/INDEX(TableWRTERank[FPS],MATCH(WRTEVORPCalc,TableWRTERank[RK],0)),"")</f>
        <v>-0.40107589821123968</v>
      </c>
      <c r="BC105" t="s">
        <v>208</v>
      </c>
      <c r="BD105">
        <v>104</v>
      </c>
      <c r="BE105" s="83">
        <f>RANK(TableWRTEMaster[[#This Row],[VORP]],TableWRTEMaster[VORP])+COUNTIF($BJ$2:BJ105,BJ105)-1</f>
        <v>151</v>
      </c>
      <c r="BF105" s="115" t="str">
        <f>IFERROR(INDEX(TableWRVORP[WIDE RECEIVER],MATCH(TableWRTEMaster[[#This Row],[RK]],TableWRVORP[RK],0)),"")</f>
        <v>Malik Washington</v>
      </c>
      <c r="BG105" s="115" t="str">
        <f>_xlfn.CONCAT(TableWRTEMaster[[#This Row],[POS]],TableWRTEMaster[[#This Row],[RK]])</f>
        <v>WR104</v>
      </c>
      <c r="BH105" s="115">
        <f>IFERROR(INDEX(TableWRVORP[BYE],MATCH(TableWRTEMaster[[#This Row],[RK]],TableWRVORP[RK],0)),"")</f>
        <v>6</v>
      </c>
      <c r="BI105" s="116">
        <f>IFERROR(INDEX(TableWRVORP[FPS],MATCH(TableWRTEMaster[[#This Row],[RK]],TableWRVORP[RK],0)),"")</f>
        <v>56.740369681564793</v>
      </c>
      <c r="BJ105" s="117">
        <f>IFERROR(INDEX(TableWRVORP[VORP],MATCH(TableWRTEMaster[[#This Row],[RK]],TableWRVORP[RK],0)),"")</f>
        <v>-0.73750268721416412</v>
      </c>
    </row>
    <row r="106" spans="1:62" x14ac:dyDescent="0.2">
      <c r="H106">
        <v>105</v>
      </c>
      <c r="I106" s="112" t="str">
        <f>IFERROR(INDEX(TableRBCalcPts[PLAYER],MATCH(TableRBVORP[[#This Row],[RK]],TableRBCalcPts[RK],0)),"")</f>
        <v>D'Onta Foreman</v>
      </c>
      <c r="J106" s="112" t="str">
        <f>IFERROR(INDEX(TableRBCalcPts[TM],MATCH(TableRBVORP[[#This Row],[RK]],TableRBCalcPts[RK],0)),"")</f>
        <v>CLE</v>
      </c>
      <c r="K106" s="112">
        <f>IFERROR(INDEX(TableRBCalcPts[BYE],MATCH(TableRBVORP[[#This Row],[RK]],TableRBCalcPts[RK],0)),"")</f>
        <v>10</v>
      </c>
      <c r="L106" s="113">
        <f>IFERROR(INDEX(TableRBCalcPts[Custom],MATCH(TableRBVORP[[#This Row],[RK]],TableRBCalcPts[RK],0)),"")</f>
        <v>9.0113961572249988</v>
      </c>
      <c r="M106" s="114">
        <f>(IFERROR((TableRBVORP[[#This Row],[FPS]]-INDEX(TableRBVORP[FPS],MATCH(RBVORPCalc,TableRBVORP[RK],0)))/INDEX(TableRBVORP[FPS],MATCH(RBVORPCalc,TableRBVORP[RK],0)),""))*0.8</f>
        <v>-0.73988037692742714</v>
      </c>
      <c r="O106">
        <v>105</v>
      </c>
      <c r="P106" s="112" t="str">
        <f>IFERROR(INDEX(TableWRCalcPts[PLAYER],MATCH(TableWRVORP[[#This Row],[RK]],TableWRCalcPts[RK],0)),"")</f>
        <v>Jordan Whittington</v>
      </c>
      <c r="Q106" s="112" t="str">
        <f>IFERROR(INDEX(TableWRCalcPts[TM],MATCH(TableWRVORP[[#This Row],[RK]],TableWRCalcPts[RK],0)),"")</f>
        <v>LAR</v>
      </c>
      <c r="R106" s="112">
        <f>IFERROR(INDEX(TableWRCalcPts[BYE],MATCH(TableWRVORP[[#This Row],[RK]],TableWRCalcPts[RK],0)),"")</f>
        <v>6</v>
      </c>
      <c r="S106" s="113">
        <f>IFERROR(INDEX(TableWRCalcPts[Custom],MATCH(TableWRVORP[[#This Row],[RK]],TableWRCalcPts[RK],0)),"")</f>
        <v>55.873140032859624</v>
      </c>
      <c r="T106" s="114">
        <f>(IFERROR((TableWRVORP[[#This Row],[FPS]]-INDEX(TableWRVORP[FPS],MATCH(WRVORPCalc,TableWRVORP[RK],0)))/INDEX(TableWRVORP[FPS],MATCH(WRVORPCalc,TableWRVORP[RK],0)),""))*1.2</f>
        <v>-0.74457157633746962</v>
      </c>
      <c r="AF106" t="s">
        <v>207</v>
      </c>
      <c r="AG106">
        <v>65</v>
      </c>
      <c r="AH106" s="83">
        <f>RANK(TableOverallMaster[[#This Row],[VORP]],TableOverallMaster[VORP])+COUNTIF($AM$2:AM106,AM106)-1</f>
        <v>198</v>
      </c>
      <c r="AI106" s="115" t="str">
        <f>IFERROR(INDEX(TableRBVORP[RUNNING BACK],MATCH(TableOverallMaster[[#This Row],[RK]],TableRBVORP[RK],0)),"")</f>
        <v>Audric Estime</v>
      </c>
      <c r="AJ106" s="115" t="str">
        <f t="shared" si="1"/>
        <v>RB65</v>
      </c>
      <c r="AK106" s="115">
        <f>IFERROR(INDEX(TableRBVORP[BYE],MATCH(TableOverallMaster[[#This Row],[RK]],TableRBVORP[RK],0)),"")</f>
        <v>14</v>
      </c>
      <c r="AL106" s="116">
        <f>IFERROR(INDEX(TableRBVORP[FPS],MATCH(TableOverallMaster[[#This Row],[RK]],TableRBVORP[RK],0)),"")</f>
        <v>64.324957412268304</v>
      </c>
      <c r="AM106" s="117">
        <f>IFERROR(INDEX(TableRBVORP[VORP],MATCH(TableOverallMaster[[#This Row],[RK]],TableRBVORP[RK],0)),"")</f>
        <v>-0.37085537842165461</v>
      </c>
      <c r="AO106">
        <v>105</v>
      </c>
      <c r="AP106" s="118" t="str">
        <f>IFERROR(INDEX(TableOverallMaster[OVERALL PLAYER],MATCH(TableOverallRank[[#This Row],[RK]],TableOverallMaster[OVR RK],0)),"")</f>
        <v>Ladd McConkey</v>
      </c>
      <c r="AQ106" s="119" t="str">
        <f>IFERROR(INDEX(TableOverallMaster[POS RK],MATCH(TableOverallRank[[#This Row],[OVERALL PLAYER]],TableOverallMaster[OVERALL PLAYER],0)),"")</f>
        <v>WR46</v>
      </c>
      <c r="AR106" s="120">
        <f>IFERROR(INDEX(TableOverallMaster[BYE],MATCH(TableOverallRank[[#This Row],[OVERALL PLAYER]],TableOverallMaster[OVERALL PLAYER],0)),"")</f>
        <v>5</v>
      </c>
      <c r="AS106" s="119">
        <f>IFERROR(INDEX(TableOverallMaster[Custom],MATCH(TableOverallRank[[#This Row],[OVERALL PLAYER]],TableOverallMaster[OVERALL PLAYER],0)),"")</f>
        <v>163.29882840022213</v>
      </c>
      <c r="AT106" s="121">
        <f>IFERROR(INDEX(TableOverallMaster[VORP],MATCH(TableOverallRank[[#This Row],[OVERALL PLAYER]],TableOverallMaster[OVERALL PLAYER],0)),"")</f>
        <v>0.13106762856916274</v>
      </c>
      <c r="AV106">
        <v>105</v>
      </c>
      <c r="AW106" s="122" t="str">
        <f>IFERROR(INDEX(TableWRTECalcPts[PLAYER],MATCH(TableWRTERank[[#This Row],[RK]],TableWRTECalcPts[RK],0)),"")</f>
        <v>Cade Otton</v>
      </c>
      <c r="AX106" s="122" t="str">
        <f>IFERROR(INDEX(TableWRTECalcPts[POS RK],MATCH(TableWRTERank[[#This Row],[WR and TE COMBINED]],TableWRTECalcPts[PLAYER],0)),"")</f>
        <v>TE20</v>
      </c>
      <c r="AY106" s="122">
        <f>IFERROR(INDEX(TableWRTECalcPts[BYE],MATCH(TableWRTERank[[#This Row],[RK]],TableWRTECalcPts[RK],0)),"")</f>
        <v>11</v>
      </c>
      <c r="AZ106" s="123">
        <f>IFERROR(INDEX(TableWRTECalcPts[Custom],MATCH(TableWRTERank[[#This Row],[RK]],TableWRTECalcPts[RK],0)),"")</f>
        <v>93.69854319917674</v>
      </c>
      <c r="BA106" s="174">
        <f>IFERROR((TableWRTERank[[#This Row],[FPS]]-INDEX(TableWRTERank[FPS],MATCH(WRTEVORPCalc,TableWRTERank[RK],0)))/INDEX(TableWRTERank[FPS],MATCH(WRTEVORPCalc,TableWRTERank[RK],0)),"")</f>
        <v>-0.40290152436045323</v>
      </c>
      <c r="BC106" t="s">
        <v>208</v>
      </c>
      <c r="BD106">
        <v>105</v>
      </c>
      <c r="BE106" s="83">
        <f>RANK(TableWRTEMaster[[#This Row],[VORP]],TableWRTEMaster[VORP])+COUNTIF($BJ$2:BJ106,BJ106)-1</f>
        <v>152</v>
      </c>
      <c r="BF106" s="115" t="str">
        <f>IFERROR(INDEX(TableWRVORP[WIDE RECEIVER],MATCH(TableWRTEMaster[[#This Row],[RK]],TableWRVORP[RK],0)),"")</f>
        <v>Jordan Whittington</v>
      </c>
      <c r="BG106" s="115" t="str">
        <f>_xlfn.CONCAT(TableWRTEMaster[[#This Row],[POS]],TableWRTEMaster[[#This Row],[RK]])</f>
        <v>WR105</v>
      </c>
      <c r="BH106" s="115">
        <f>IFERROR(INDEX(TableWRVORP[BYE],MATCH(TableWRTEMaster[[#This Row],[RK]],TableWRVORP[RK],0)),"")</f>
        <v>6</v>
      </c>
      <c r="BI106" s="116">
        <f>IFERROR(INDEX(TableWRVORP[FPS],MATCH(TableWRTEMaster[[#This Row],[RK]],TableWRVORP[RK],0)),"")</f>
        <v>55.873140032859624</v>
      </c>
      <c r="BJ106" s="117">
        <f>IFERROR(INDEX(TableWRVORP[VORP],MATCH(TableWRTEMaster[[#This Row],[RK]],TableWRVORP[RK],0)),"")</f>
        <v>-0.74457157633746962</v>
      </c>
    </row>
    <row r="107" spans="1:62" x14ac:dyDescent="0.2">
      <c r="H107">
        <v>106</v>
      </c>
      <c r="I107" s="112" t="str">
        <f>IFERROR(INDEX(TableRBCalcPts[PLAYER],MATCH(TableRBVORP[[#This Row],[RK]],TableRBCalcPts[RK],0)),"")</f>
        <v>Jordan Mims</v>
      </c>
      <c r="J107" s="112" t="str">
        <f>IFERROR(INDEX(TableRBCalcPts[TM],MATCH(TableRBVORP[[#This Row],[RK]],TableRBCalcPts[RK],0)),"")</f>
        <v>NO</v>
      </c>
      <c r="K107" s="112">
        <f>IFERROR(INDEX(TableRBCalcPts[BYE],MATCH(TableRBVORP[[#This Row],[RK]],TableRBCalcPts[RK],0)),"")</f>
        <v>12</v>
      </c>
      <c r="L107" s="113">
        <f>IFERROR(INDEX(TableRBCalcPts[Custom],MATCH(TableRBVORP[[#This Row],[RK]],TableRBCalcPts[RK],0)),"")</f>
        <v>8.9331071860877618</v>
      </c>
      <c r="M107" s="114">
        <f>(IFERROR((TableRBVORP[[#This Row],[FPS]]-INDEX(TableRBVORP[FPS],MATCH(RBVORPCalc,TableRBVORP[RK],0)))/INDEX(TableRBVORP[FPS],MATCH(RBVORPCalc,TableRBVORP[RK],0)),""))*0.8</f>
        <v>-0.74040268261162856</v>
      </c>
      <c r="O107">
        <v>106</v>
      </c>
      <c r="P107" s="112" t="str">
        <f>IFERROR(INDEX(TableWRCalcPts[PLAYER],MATCH(TableWRVORP[[#This Row],[RK]],TableWRCalcPts[RK],0)),"")</f>
        <v>Quentin Johnston</v>
      </c>
      <c r="Q107" s="112" t="str">
        <f>IFERROR(INDEX(TableWRCalcPts[TM],MATCH(TableWRVORP[[#This Row],[RK]],TableWRCalcPts[RK],0)),"")</f>
        <v>LAC</v>
      </c>
      <c r="R107" s="112">
        <f>IFERROR(INDEX(TableWRCalcPts[BYE],MATCH(TableWRVORP[[#This Row],[RK]],TableWRCalcPts[RK],0)),"")</f>
        <v>5</v>
      </c>
      <c r="S107" s="113">
        <f>IFERROR(INDEX(TableWRCalcPts[Custom],MATCH(TableWRVORP[[#This Row],[RK]],TableWRCalcPts[RK],0)),"")</f>
        <v>55.174368621131777</v>
      </c>
      <c r="T107" s="114">
        <f>(IFERROR((TableWRVORP[[#This Row],[FPS]]-INDEX(TableWRVORP[FPS],MATCH(WRVORPCalc,TableWRVORP[RK],0)))/INDEX(TableWRVORP[FPS],MATCH(WRVORPCalc,TableWRVORP[RK],0)),""))*1.2</f>
        <v>-0.75026734289643682</v>
      </c>
      <c r="AF107" t="s">
        <v>207</v>
      </c>
      <c r="AG107">
        <v>66</v>
      </c>
      <c r="AH107" s="83">
        <f>RANK(TableOverallMaster[[#This Row],[VORP]],TableOverallMaster[VORP])+COUNTIF($AM$2:AM107,AM107)-1</f>
        <v>200</v>
      </c>
      <c r="AI107" s="115" t="str">
        <f>IFERROR(INDEX(TableRBVORP[RUNNING BACK],MATCH(TableOverallMaster[[#This Row],[RK]],TableRBVORP[RK],0)),"")</f>
        <v>Tank Bigsby</v>
      </c>
      <c r="AJ107" s="115" t="str">
        <f t="shared" si="1"/>
        <v>RB66</v>
      </c>
      <c r="AK107" s="115">
        <f>IFERROR(INDEX(TableRBVORP[BYE],MATCH(TableOverallMaster[[#This Row],[RK]],TableRBVORP[RK],0)),"")</f>
        <v>12</v>
      </c>
      <c r="AL107" s="116">
        <f>IFERROR(INDEX(TableRBVORP[FPS],MATCH(TableOverallMaster[[#This Row],[RK]],TableRBVORP[RK],0)),"")</f>
        <v>63.249476038763987</v>
      </c>
      <c r="AM107" s="117">
        <f>IFERROR(INDEX(TableRBVORP[VORP],MATCH(TableOverallMaster[[#This Row],[RK]],TableRBVORP[RK],0)),"")</f>
        <v>-0.37803046357700115</v>
      </c>
      <c r="AO107">
        <v>106</v>
      </c>
      <c r="AP107" s="118" t="str">
        <f>IFERROR(INDEX(TableOverallMaster[OVERALL PLAYER],MATCH(TableOverallRank[[#This Row],[RK]],TableOverallMaster[OVR RK],0)),"")</f>
        <v>Tyler Lockett</v>
      </c>
      <c r="AQ107" s="119" t="str">
        <f>IFERROR(INDEX(TableOverallMaster[POS RK],MATCH(TableOverallRank[[#This Row],[OVERALL PLAYER]],TableOverallMaster[OVERALL PLAYER],0)),"")</f>
        <v>WR47</v>
      </c>
      <c r="AR107" s="120">
        <f>IFERROR(INDEX(TableOverallMaster[BYE],MATCH(TableOverallRank[[#This Row],[OVERALL PLAYER]],TableOverallMaster[OVERALL PLAYER],0)),"")</f>
        <v>10</v>
      </c>
      <c r="AS107" s="119">
        <f>IFERROR(INDEX(TableOverallMaster[Custom],MATCH(TableOverallRank[[#This Row],[OVERALL PLAYER]],TableOverallMaster[OVERALL PLAYER],0)),"")</f>
        <v>162.31493454865003</v>
      </c>
      <c r="AT107" s="121">
        <f>IFERROR(INDEX(TableOverallMaster[VORP],MATCH(TableOverallRank[[#This Row],[OVERALL PLAYER]],TableOverallMaster[OVERALL PLAYER],0)),"")</f>
        <v>0.12304779604123946</v>
      </c>
      <c r="AV107">
        <v>106</v>
      </c>
      <c r="AW107" s="122" t="str">
        <f>IFERROR(INDEX(TableWRTECalcPts[PLAYER],MATCH(TableWRTERank[[#This Row],[RK]],TableWRTECalcPts[RK],0)),"")</f>
        <v>Ja'Lynn Polk</v>
      </c>
      <c r="AX107" s="122" t="str">
        <f>IFERROR(INDEX(TableWRTECalcPts[POS RK],MATCH(TableWRTERank[[#This Row],[WR and TE COMBINED]],TableWRTECalcPts[PLAYER],0)),"")</f>
        <v>WR86</v>
      </c>
      <c r="AY107" s="122">
        <f>IFERROR(INDEX(TableWRTECalcPts[BYE],MATCH(TableWRTERank[[#This Row],[RK]],TableWRTECalcPts[RK],0)),"")</f>
        <v>14</v>
      </c>
      <c r="AZ107" s="123">
        <f>IFERROR(INDEX(TableWRTECalcPts[Custom],MATCH(TableWRTERank[[#This Row],[RK]],TableWRTECalcPts[RK],0)),"")</f>
        <v>92.520147055073906</v>
      </c>
      <c r="BA107" s="174">
        <f>IFERROR((TableWRTERank[[#This Row],[FPS]]-INDEX(TableWRTERank[FPS],MATCH(WRTEVORPCalc,TableWRTERank[RK],0)))/INDEX(TableWRTERank[FPS],MATCH(WRTEVORPCalc,TableWRTERank[RK],0)),"")</f>
        <v>-0.41041091049730732</v>
      </c>
      <c r="BC107" t="s">
        <v>208</v>
      </c>
      <c r="BD107">
        <v>106</v>
      </c>
      <c r="BE107" s="83">
        <f>RANK(TableWRTEMaster[[#This Row],[VORP]],TableWRTEMaster[VORP])+COUNTIF($BJ$2:BJ107,BJ107)-1</f>
        <v>153</v>
      </c>
      <c r="BF107" s="115" t="str">
        <f>IFERROR(INDEX(TableWRVORP[WIDE RECEIVER],MATCH(TableWRTEMaster[[#This Row],[RK]],TableWRVORP[RK],0)),"")</f>
        <v>Quentin Johnston</v>
      </c>
      <c r="BG107" s="115" t="str">
        <f>_xlfn.CONCAT(TableWRTEMaster[[#This Row],[POS]],TableWRTEMaster[[#This Row],[RK]])</f>
        <v>WR106</v>
      </c>
      <c r="BH107" s="115">
        <f>IFERROR(INDEX(TableWRVORP[BYE],MATCH(TableWRTEMaster[[#This Row],[RK]],TableWRVORP[RK],0)),"")</f>
        <v>5</v>
      </c>
      <c r="BI107" s="116">
        <f>IFERROR(INDEX(TableWRVORP[FPS],MATCH(TableWRTEMaster[[#This Row],[RK]],TableWRVORP[RK],0)),"")</f>
        <v>55.174368621131777</v>
      </c>
      <c r="BJ107" s="117">
        <f>IFERROR(INDEX(TableWRVORP[VORP],MATCH(TableWRTEMaster[[#This Row],[RK]],TableWRVORP[RK],0)),"")</f>
        <v>-0.75026734289643682</v>
      </c>
    </row>
    <row r="108" spans="1:62" x14ac:dyDescent="0.2">
      <c r="H108">
        <v>107</v>
      </c>
      <c r="I108" s="112" t="str">
        <f>IFERROR(INDEX(TableRBCalcPts[PLAYER],MATCH(TableRBVORP[[#This Row],[RK]],TableRBCalcPts[RK],0)),"")</f>
        <v/>
      </c>
      <c r="J108" s="112" t="str">
        <f>IFERROR(INDEX(TableRBCalcPts[TM],MATCH(TableRBVORP[[#This Row],[RK]],TableRBCalcPts[RK],0)),"")</f>
        <v/>
      </c>
      <c r="K108" s="112" t="str">
        <f>IFERROR(INDEX(TableRBCalcPts[BYE],MATCH(TableRBVORP[[#This Row],[RK]],TableRBCalcPts[RK],0)),"")</f>
        <v/>
      </c>
      <c r="L108" s="113" t="str">
        <f>IFERROR(INDEX(TableRBCalcPts[Custom],MATCH(TableRBVORP[[#This Row],[RK]],TableRBCalcPts[RK],0)),"")</f>
        <v/>
      </c>
      <c r="M108" s="114" t="e">
        <f>(IFERROR((TableRBVORP[[#This Row],[FPS]]-INDEX(TableRBVORP[FPS],MATCH(RBVORPCalc,TableRBVORP[RK],0)))/INDEX(TableRBVORP[FPS],MATCH(RBVORPCalc,TableRBVORP[RK],0)),""))*0.8</f>
        <v>#VALUE!</v>
      </c>
      <c r="O108">
        <v>107</v>
      </c>
      <c r="P108" s="112" t="str">
        <f>IFERROR(INDEX(TableWRCalcPts[PLAYER],MATCH(TableWRVORP[[#This Row],[RK]],TableWRCalcPts[RK],0)),"")</f>
        <v>Olamide Zaccheaus</v>
      </c>
      <c r="Q108" s="112" t="str">
        <f>IFERROR(INDEX(TableWRCalcPts[TM],MATCH(TableWRVORP[[#This Row],[RK]],TableWRCalcPts[RK],0)),"")</f>
        <v>WSH</v>
      </c>
      <c r="R108" s="112">
        <f>IFERROR(INDEX(TableWRCalcPts[BYE],MATCH(TableWRVORP[[#This Row],[RK]],TableWRCalcPts[RK],0)),"")</f>
        <v>14</v>
      </c>
      <c r="S108" s="113">
        <f>IFERROR(INDEX(TableWRCalcPts[Custom],MATCH(TableWRVORP[[#This Row],[RK]],TableWRCalcPts[RK],0)),"")</f>
        <v>49.709316936787211</v>
      </c>
      <c r="T108" s="114">
        <f>(IFERROR((TableWRVORP[[#This Row],[FPS]]-INDEX(TableWRVORP[FPS],MATCH(WRVORPCalc,TableWRVORP[RK],0)))/INDEX(TableWRVORP[FPS],MATCH(WRVORPCalc,TableWRVORP[RK],0)),""))*1.2</f>
        <v>-0.79481361096677483</v>
      </c>
      <c r="AF108" t="s">
        <v>207</v>
      </c>
      <c r="AG108">
        <v>67</v>
      </c>
      <c r="AH108" s="83">
        <f>RANK(TableOverallMaster[[#This Row],[VORP]],TableOverallMaster[VORP])+COUNTIF($AM$2:AM108,AM108)-1</f>
        <v>203</v>
      </c>
      <c r="AI108" s="115" t="str">
        <f>IFERROR(INDEX(TableRBVORP[RUNNING BACK],MATCH(TableOverallMaster[[#This Row],[RK]],TableRBVORP[RK],0)),"")</f>
        <v>Isaiah Davis</v>
      </c>
      <c r="AJ108" s="115" t="str">
        <f t="shared" si="1"/>
        <v>RB67</v>
      </c>
      <c r="AK108" s="115">
        <f>IFERROR(INDEX(TableRBVORP[BYE],MATCH(TableOverallMaster[[#This Row],[RK]],TableRBVORP[RK],0)),"")</f>
        <v>12</v>
      </c>
      <c r="AL108" s="116">
        <f>IFERROR(INDEX(TableRBVORP[FPS],MATCH(TableOverallMaster[[#This Row],[RK]],TableRBVORP[RK],0)),"")</f>
        <v>62.875623136388576</v>
      </c>
      <c r="AM108" s="117">
        <f>IFERROR(INDEX(TableRBVORP[VORP],MATCH(TableOverallMaster[[#This Row],[RK]],TableRBVORP[RK],0)),"")</f>
        <v>-0.38052462709875212</v>
      </c>
      <c r="AO108">
        <v>107</v>
      </c>
      <c r="AP108" s="118" t="str">
        <f>IFERROR(INDEX(TableOverallMaster[OVERALL PLAYER],MATCH(TableOverallRank[[#This Row],[RK]],TableOverallMaster[OVR RK],0)),"")</f>
        <v>Trevor Lawrence</v>
      </c>
      <c r="AQ108" s="119" t="str">
        <f>IFERROR(INDEX(TableOverallMaster[POS RK],MATCH(TableOverallRank[[#This Row],[OVERALL PLAYER]],TableOverallMaster[OVERALL PLAYER],0)),"")</f>
        <v>QB11</v>
      </c>
      <c r="AR108" s="120">
        <f>IFERROR(INDEX(TableOverallMaster[BYE],MATCH(TableOverallRank[[#This Row],[OVERALL PLAYER]],TableOverallMaster[OVERALL PLAYER],0)),"")</f>
        <v>12</v>
      </c>
      <c r="AS108" s="119">
        <f>IFERROR(INDEX(TableOverallMaster[Custom],MATCH(TableOverallRank[[#This Row],[OVERALL PLAYER]],TableOverallMaster[OVERALL PLAYER],0)),"")</f>
        <v>315.36308158044176</v>
      </c>
      <c r="AT108" s="121">
        <f>IFERROR(INDEX(TableOverallMaster[VORP],MATCH(TableOverallRank[[#This Row],[OVERALL PLAYER]],TableOverallMaster[OVERALL PLAYER],0)),"")</f>
        <v>0.12208145169196258</v>
      </c>
      <c r="AV108">
        <v>107</v>
      </c>
      <c r="AW108" s="122" t="str">
        <f>IFERROR(INDEX(TableWRTECalcPts[PLAYER],MATCH(TableWRTERank[[#This Row],[RK]],TableWRTECalcPts[RK],0)),"")</f>
        <v>Tyler Conklin</v>
      </c>
      <c r="AX108" s="122" t="str">
        <f>IFERROR(INDEX(TableWRTECalcPts[POS RK],MATCH(TableWRTERank[[#This Row],[WR and TE COMBINED]],TableWRTECalcPts[PLAYER],0)),"")</f>
        <v>TE21</v>
      </c>
      <c r="AY108" s="122">
        <f>IFERROR(INDEX(TableWRTECalcPts[BYE],MATCH(TableWRTERank[[#This Row],[RK]],TableWRTECalcPts[RK],0)),"")</f>
        <v>12</v>
      </c>
      <c r="AZ108" s="123">
        <f>IFERROR(INDEX(TableWRTECalcPts[Custom],MATCH(TableWRTERank[[#This Row],[RK]],TableWRTECalcPts[RK],0)),"")</f>
        <v>92.077826494206874</v>
      </c>
      <c r="BA108" s="174">
        <f>IFERROR((TableWRTERank[[#This Row],[FPS]]-INDEX(TableWRTERank[FPS],MATCH(WRTEVORPCalc,TableWRTERank[RK],0)))/INDEX(TableWRTERank[FPS],MATCH(WRTEVORPCalc,TableWRTERank[RK],0)),"")</f>
        <v>-0.41322961955745047</v>
      </c>
      <c r="BC108" t="s">
        <v>208</v>
      </c>
      <c r="BD108">
        <v>107</v>
      </c>
      <c r="BE108" s="83">
        <f>RANK(TableWRTEMaster[[#This Row],[VORP]],TableWRTEMaster[VORP])+COUNTIF($BJ$2:BJ108,BJ108)-1</f>
        <v>157</v>
      </c>
      <c r="BF108" s="115" t="str">
        <f>IFERROR(INDEX(TableWRVORP[WIDE RECEIVER],MATCH(TableWRTEMaster[[#This Row],[RK]],TableWRVORP[RK],0)),"")</f>
        <v>Olamide Zaccheaus</v>
      </c>
      <c r="BG108" s="115" t="str">
        <f>_xlfn.CONCAT(TableWRTEMaster[[#This Row],[POS]],TableWRTEMaster[[#This Row],[RK]])</f>
        <v>WR107</v>
      </c>
      <c r="BH108" s="115">
        <f>IFERROR(INDEX(TableWRVORP[BYE],MATCH(TableWRTEMaster[[#This Row],[RK]],TableWRVORP[RK],0)),"")</f>
        <v>14</v>
      </c>
      <c r="BI108" s="116">
        <f>IFERROR(INDEX(TableWRVORP[FPS],MATCH(TableWRTEMaster[[#This Row],[RK]],TableWRVORP[RK],0)),"")</f>
        <v>49.709316936787211</v>
      </c>
      <c r="BJ108" s="117">
        <f>IFERROR(INDEX(TableWRVORP[VORP],MATCH(TableWRTEMaster[[#This Row],[RK]],TableWRVORP[RK],0)),"")</f>
        <v>-0.79481361096677483</v>
      </c>
    </row>
    <row r="109" spans="1:62" x14ac:dyDescent="0.2">
      <c r="H109">
        <v>108</v>
      </c>
      <c r="I109" s="112" t="str">
        <f>IFERROR(INDEX(TableRBCalcPts[PLAYER],MATCH(TableRBVORP[[#This Row],[RK]],TableRBCalcPts[RK],0)),"")</f>
        <v/>
      </c>
      <c r="J109" s="112" t="str">
        <f>IFERROR(INDEX(TableRBCalcPts[TM],MATCH(TableRBVORP[[#This Row],[RK]],TableRBCalcPts[RK],0)),"")</f>
        <v/>
      </c>
      <c r="K109" s="112" t="str">
        <f>IFERROR(INDEX(TableRBCalcPts[BYE],MATCH(TableRBVORP[[#This Row],[RK]],TableRBCalcPts[RK],0)),"")</f>
        <v/>
      </c>
      <c r="L109" s="113" t="str">
        <f>IFERROR(INDEX(TableRBCalcPts[Custom],MATCH(TableRBVORP[[#This Row],[RK]],TableRBCalcPts[RK],0)),"")</f>
        <v/>
      </c>
      <c r="M109" s="114" t="e">
        <f>(IFERROR((TableRBVORP[[#This Row],[FPS]]-INDEX(TableRBVORP[FPS],MATCH(RBVORPCalc,TableRBVORP[RK],0)))/INDEX(TableRBVORP[FPS],MATCH(RBVORPCalc,TableRBVORP[RK],0)),""))*0.8</f>
        <v>#VALUE!</v>
      </c>
      <c r="O109">
        <v>108</v>
      </c>
      <c r="P109" s="112" t="str">
        <f>IFERROR(INDEX(TableWRCalcPts[PLAYER],MATCH(TableWRVORP[[#This Row],[RK]],TableWRCalcPts[RK],0)),"")</f>
        <v>Jahan Dotson</v>
      </c>
      <c r="Q109" s="112" t="str">
        <f>IFERROR(INDEX(TableWRCalcPts[TM],MATCH(TableWRVORP[[#This Row],[RK]],TableWRCalcPts[RK],0)),"")</f>
        <v>PHI</v>
      </c>
      <c r="R109" s="112">
        <f>IFERROR(INDEX(TableWRCalcPts[BYE],MATCH(TableWRVORP[[#This Row],[RK]],TableWRCalcPts[RK],0)),"")</f>
        <v>5</v>
      </c>
      <c r="S109" s="113">
        <f>IFERROR(INDEX(TableWRCalcPts[Custom],MATCH(TableWRVORP[[#This Row],[RK]],TableWRCalcPts[RK],0)),"")</f>
        <v>48.684252861175672</v>
      </c>
      <c r="T109" s="114">
        <f>(IFERROR((TableWRVORP[[#This Row],[FPS]]-INDEX(TableWRVORP[FPS],MATCH(WRVORPCalc,TableWRVORP[RK],0)))/INDEX(TableWRVORP[FPS],MATCH(WRVORPCalc,TableWRVORP[RK],0)),""))*1.2</f>
        <v>-0.80316902675035706</v>
      </c>
      <c r="AF109" t="s">
        <v>207</v>
      </c>
      <c r="AG109">
        <v>68</v>
      </c>
      <c r="AH109" s="83">
        <f>RANK(TableOverallMaster[[#This Row],[VORP]],TableOverallMaster[VORP])+COUNTIF($AM$2:AM109,AM109)-1</f>
        <v>212</v>
      </c>
      <c r="AI109" s="115" t="str">
        <f>IFERROR(INDEX(TableRBVORP[RUNNING BACK],MATCH(TableOverallMaster[[#This Row],[RK]],TableRBVORP[RK],0)),"")</f>
        <v>Eric Gray</v>
      </c>
      <c r="AJ109" s="115" t="str">
        <f t="shared" si="1"/>
        <v>RB68</v>
      </c>
      <c r="AK109" s="115">
        <f>IFERROR(INDEX(TableRBVORP[BYE],MATCH(TableOverallMaster[[#This Row],[RK]],TableRBVORP[RK],0)),"")</f>
        <v>11</v>
      </c>
      <c r="AL109" s="116">
        <f>IFERROR(INDEX(TableRBVORP[FPS],MATCH(TableOverallMaster[[#This Row],[RK]],TableRBVORP[RK],0)),"")</f>
        <v>56.079180159279936</v>
      </c>
      <c r="AM109" s="117">
        <f>IFERROR(INDEX(TableRBVORP[VORP],MATCH(TableOverallMaster[[#This Row],[RK]],TableRBVORP[RK],0)),"")</f>
        <v>-0.42586716702142624</v>
      </c>
      <c r="AO109">
        <v>108</v>
      </c>
      <c r="AP109" s="118" t="str">
        <f>IFERROR(INDEX(TableOverallMaster[OVERALL PLAYER],MATCH(TableOverallRank[[#This Row],[RK]],TableOverallMaster[OVR RK],0)),"")</f>
        <v>Brock Purdy</v>
      </c>
      <c r="AQ109" s="119" t="str">
        <f>IFERROR(INDEX(TableOverallMaster[POS RK],MATCH(TableOverallRank[[#This Row],[OVERALL PLAYER]],TableOverallMaster[OVERALL PLAYER],0)),"")</f>
        <v>QB12</v>
      </c>
      <c r="AR109" s="120">
        <f>IFERROR(INDEX(TableOverallMaster[BYE],MATCH(TableOverallRank[[#This Row],[OVERALL PLAYER]],TableOverallMaster[OVERALL PLAYER],0)),"")</f>
        <v>9</v>
      </c>
      <c r="AS109" s="119">
        <f>IFERROR(INDEX(TableOverallMaster[Custom],MATCH(TableOverallRank[[#This Row],[OVERALL PLAYER]],TableOverallMaster[OVERALL PLAYER],0)),"")</f>
        <v>313.75022578782216</v>
      </c>
      <c r="AT109" s="121">
        <f>IFERROR(INDEX(TableOverallMaster[VORP],MATCH(TableOverallRank[[#This Row],[OVERALL PLAYER]],TableOverallMaster[OVERALL PLAYER],0)),"")</f>
        <v>0.11712177348530353</v>
      </c>
      <c r="AV109">
        <v>108</v>
      </c>
      <c r="AW109" s="122" t="str">
        <f>IFERROR(INDEX(TableWRTECalcPts[PLAYER],MATCH(TableWRTERank[[#This Row],[RK]],TableWRTECalcPts[RK],0)),"")</f>
        <v>Juwan Johnson</v>
      </c>
      <c r="AX109" s="122" t="str">
        <f>IFERROR(INDEX(TableWRTECalcPts[POS RK],MATCH(TableWRTERank[[#This Row],[WR and TE COMBINED]],TableWRTECalcPts[PLAYER],0)),"")</f>
        <v>TE22</v>
      </c>
      <c r="AY109" s="122">
        <f>IFERROR(INDEX(TableWRTECalcPts[BYE],MATCH(TableWRTERank[[#This Row],[RK]],TableWRTECalcPts[RK],0)),"")</f>
        <v>12</v>
      </c>
      <c r="AZ109" s="123">
        <f>IFERROR(INDEX(TableWRTECalcPts[Custom],MATCH(TableWRTERank[[#This Row],[RK]],TableWRTECalcPts[RK],0)),"")</f>
        <v>91.985181995682751</v>
      </c>
      <c r="BA109" s="174">
        <f>IFERROR((TableWRTERank[[#This Row],[FPS]]-INDEX(TableWRTERank[FPS],MATCH(WRTEVORPCalc,TableWRTERank[RK],0)))/INDEX(TableWRTERank[FPS],MATCH(WRTEVORPCalc,TableWRTERank[RK],0)),"")</f>
        <v>-0.41382000108267392</v>
      </c>
      <c r="BC109" t="s">
        <v>208</v>
      </c>
      <c r="BD109">
        <v>108</v>
      </c>
      <c r="BE109" s="83">
        <f>RANK(TableWRTEMaster[[#This Row],[VORP]],TableWRTEMaster[VORP])+COUNTIF($BJ$2:BJ109,BJ109)-1</f>
        <v>158</v>
      </c>
      <c r="BF109" s="115" t="str">
        <f>IFERROR(INDEX(TableWRVORP[WIDE RECEIVER],MATCH(TableWRTEMaster[[#This Row],[RK]],TableWRVORP[RK],0)),"")</f>
        <v>Jahan Dotson</v>
      </c>
      <c r="BG109" s="115" t="str">
        <f>_xlfn.CONCAT(TableWRTEMaster[[#This Row],[POS]],TableWRTEMaster[[#This Row],[RK]])</f>
        <v>WR108</v>
      </c>
      <c r="BH109" s="115">
        <f>IFERROR(INDEX(TableWRVORP[BYE],MATCH(TableWRTEMaster[[#This Row],[RK]],TableWRVORP[RK],0)),"")</f>
        <v>5</v>
      </c>
      <c r="BI109" s="116">
        <f>IFERROR(INDEX(TableWRVORP[FPS],MATCH(TableWRTEMaster[[#This Row],[RK]],TableWRVORP[RK],0)),"")</f>
        <v>48.684252861175672</v>
      </c>
      <c r="BJ109" s="117">
        <f>IFERROR(INDEX(TableWRVORP[VORP],MATCH(TableWRTEMaster[[#This Row],[RK]],TableWRVORP[RK],0)),"")</f>
        <v>-0.80316902675035706</v>
      </c>
    </row>
    <row r="110" spans="1:62" x14ac:dyDescent="0.2">
      <c r="H110">
        <v>109</v>
      </c>
      <c r="I110" s="112" t="str">
        <f>IFERROR(INDEX(TableRBCalcPts[PLAYER],MATCH(TableRBVORP[[#This Row],[RK]],TableRBCalcPts[RK],0)),"")</f>
        <v/>
      </c>
      <c r="J110" s="112" t="str">
        <f>IFERROR(INDEX(TableRBCalcPts[TM],MATCH(TableRBVORP[[#This Row],[RK]],TableRBCalcPts[RK],0)),"")</f>
        <v/>
      </c>
      <c r="K110" s="112" t="str">
        <f>IFERROR(INDEX(TableRBCalcPts[BYE],MATCH(TableRBVORP[[#This Row],[RK]],TableRBCalcPts[RK],0)),"")</f>
        <v/>
      </c>
      <c r="L110" s="113" t="str">
        <f>IFERROR(INDEX(TableRBCalcPts[Custom],MATCH(TableRBVORP[[#This Row],[RK]],TableRBCalcPts[RK],0)),"")</f>
        <v/>
      </c>
      <c r="M110" s="114" t="e">
        <f>(IFERROR((TableRBVORP[[#This Row],[FPS]]-INDEX(TableRBVORP[FPS],MATCH(RBVORPCalc,TableRBVORP[RK],0)))/INDEX(TableRBVORP[FPS],MATCH(RBVORPCalc,TableRBVORP[RK],0)),""))*0.8</f>
        <v>#VALUE!</v>
      </c>
      <c r="O110">
        <v>109</v>
      </c>
      <c r="P110" s="112" t="str">
        <f>IFERROR(INDEX(TableWRCalcPts[PLAYER],MATCH(TableWRVORP[[#This Row],[RK]],TableWRCalcPts[RK],0)),"")</f>
        <v>Trey Palmer</v>
      </c>
      <c r="Q110" s="112" t="str">
        <f>IFERROR(INDEX(TableWRCalcPts[TM],MATCH(TableWRVORP[[#This Row],[RK]],TableWRCalcPts[RK],0)),"")</f>
        <v>TB</v>
      </c>
      <c r="R110" s="112">
        <f>IFERROR(INDEX(TableWRCalcPts[BYE],MATCH(TableWRVORP[[#This Row],[RK]],TableWRCalcPts[RK],0)),"")</f>
        <v>11</v>
      </c>
      <c r="S110" s="113">
        <f>IFERROR(INDEX(TableWRCalcPts[Custom],MATCH(TableWRVORP[[#This Row],[RK]],TableWRCalcPts[RK],0)),"")</f>
        <v>48.394842908874082</v>
      </c>
      <c r="T110" s="114">
        <f>(IFERROR((TableWRVORP[[#This Row],[FPS]]-INDEX(TableWRVORP[FPS],MATCH(WRVORPCalc,TableWRVORP[RK],0)))/INDEX(TableWRVORP[FPS],MATCH(WRVORPCalc,TableWRVORP[RK],0)),""))*1.2</f>
        <v>-0.80552804072901385</v>
      </c>
      <c r="AF110" t="s">
        <v>207</v>
      </c>
      <c r="AG110">
        <v>69</v>
      </c>
      <c r="AH110" s="83">
        <f>RANK(TableOverallMaster[[#This Row],[VORP]],TableOverallMaster[VORP])+COUNTIF($AM$2:AM110,AM110)-1</f>
        <v>213</v>
      </c>
      <c r="AI110" s="115" t="str">
        <f>IFERROR(INDEX(TableRBVORP[RUNNING BACK],MATCH(TableOverallMaster[[#This Row],[RK]],TableRBVORP[RK],0)),"")</f>
        <v>Cam Akers</v>
      </c>
      <c r="AJ110" s="115" t="str">
        <f t="shared" si="1"/>
        <v>RB69</v>
      </c>
      <c r="AK110" s="115">
        <f>IFERROR(INDEX(TableRBVORP[BYE],MATCH(TableOverallMaster[[#This Row],[RK]],TableRBVORP[RK],0)),"")</f>
        <v>14</v>
      </c>
      <c r="AL110" s="116">
        <f>IFERROR(INDEX(TableRBVORP[FPS],MATCH(TableOverallMaster[[#This Row],[RK]],TableRBVORP[RK],0)),"")</f>
        <v>55.821044843199999</v>
      </c>
      <c r="AM110" s="117">
        <f>IFERROR(INDEX(TableRBVORP[VORP],MATCH(TableOverallMaster[[#This Row],[RK]],TableRBVORP[RK],0)),"")</f>
        <v>-0.42758931946414214</v>
      </c>
      <c r="AO110">
        <v>109</v>
      </c>
      <c r="AP110" s="118" t="str">
        <f>IFERROR(INDEX(TableOverallMaster[OVERALL PLAYER],MATCH(TableOverallRank[[#This Row],[RK]],TableOverallMaster[OVR RK],0)),"")</f>
        <v>Jaylen Warren</v>
      </c>
      <c r="AQ110" s="119" t="str">
        <f>IFERROR(INDEX(TableOverallMaster[POS RK],MATCH(TableOverallRank[[#This Row],[OVERALL PLAYER]],TableOverallMaster[OVERALL PLAYER],0)),"")</f>
        <v>RB41</v>
      </c>
      <c r="AR110" s="120">
        <f>IFERROR(INDEX(TableOverallMaster[BYE],MATCH(TableOverallRank[[#This Row],[OVERALL PLAYER]],TableOverallMaster[OVERALL PLAYER],0)),"")</f>
        <v>9</v>
      </c>
      <c r="AS110" s="119">
        <f>IFERROR(INDEX(TableOverallMaster[Custom],MATCH(TableOverallRank[[#This Row],[OVERALL PLAYER]],TableOverallMaster[OVERALL PLAYER],0)),"")</f>
        <v>136.92310756992001</v>
      </c>
      <c r="AT110" s="121">
        <f>IFERROR(INDEX(TableOverallMaster[VORP],MATCH(TableOverallRank[[#This Row],[OVERALL PLAYER]],TableOverallMaster[OVERALL PLAYER],0)),"")</f>
        <v>0.11348393449876595</v>
      </c>
      <c r="AV110">
        <v>109</v>
      </c>
      <c r="AW110" s="122" t="str">
        <f>IFERROR(INDEX(TableWRTECalcPts[PLAYER],MATCH(TableWRTERank[[#This Row],[RK]],TableWRTECalcPts[RK],0)),"")</f>
        <v>Nelson Agholor</v>
      </c>
      <c r="AX110" s="122" t="str">
        <f>IFERROR(INDEX(TableWRTECalcPts[POS RK],MATCH(TableWRTERank[[#This Row],[WR and TE COMBINED]],TableWRTECalcPts[PLAYER],0)),"")</f>
        <v>WR87</v>
      </c>
      <c r="AY110" s="122">
        <f>IFERROR(INDEX(TableWRTECalcPts[BYE],MATCH(TableWRTERank[[#This Row],[RK]],TableWRTECalcPts[RK],0)),"")</f>
        <v>14</v>
      </c>
      <c r="AZ110" s="123">
        <f>IFERROR(INDEX(TableWRTECalcPts[Custom],MATCH(TableWRTERank[[#This Row],[RK]],TableWRTECalcPts[RK],0)),"")</f>
        <v>88.344267554403842</v>
      </c>
      <c r="BA110" s="174">
        <f>IFERROR((TableWRTERank[[#This Row],[FPS]]-INDEX(TableWRTERank[FPS],MATCH(WRTEVORPCalc,TableWRTERank[RK],0)))/INDEX(TableWRTERank[FPS],MATCH(WRTEVORPCalc,TableWRTERank[RK],0)),"")</f>
        <v>-0.43702190357330678</v>
      </c>
      <c r="BC110" t="s">
        <v>208</v>
      </c>
      <c r="BD110">
        <v>109</v>
      </c>
      <c r="BE110" s="83">
        <f>RANK(TableWRTEMaster[[#This Row],[VORP]],TableWRTEMaster[VORP])+COUNTIF($BJ$2:BJ110,BJ110)-1</f>
        <v>160</v>
      </c>
      <c r="BF110" s="115" t="str">
        <f>IFERROR(INDEX(TableWRVORP[WIDE RECEIVER],MATCH(TableWRTEMaster[[#This Row],[RK]],TableWRVORP[RK],0)),"")</f>
        <v>Trey Palmer</v>
      </c>
      <c r="BG110" s="115" t="str">
        <f>_xlfn.CONCAT(TableWRTEMaster[[#This Row],[POS]],TableWRTEMaster[[#This Row],[RK]])</f>
        <v>WR109</v>
      </c>
      <c r="BH110" s="115">
        <f>IFERROR(INDEX(TableWRVORP[BYE],MATCH(TableWRTEMaster[[#This Row],[RK]],TableWRVORP[RK],0)),"")</f>
        <v>11</v>
      </c>
      <c r="BI110" s="116">
        <f>IFERROR(INDEX(TableWRVORP[FPS],MATCH(TableWRTEMaster[[#This Row],[RK]],TableWRVORP[RK],0)),"")</f>
        <v>48.394842908874082</v>
      </c>
      <c r="BJ110" s="117">
        <f>IFERROR(INDEX(TableWRVORP[VORP],MATCH(TableWRTEMaster[[#This Row],[RK]],TableWRVORP[RK],0)),"")</f>
        <v>-0.80552804072901385</v>
      </c>
    </row>
    <row r="111" spans="1:62" x14ac:dyDescent="0.2">
      <c r="H111">
        <v>110</v>
      </c>
      <c r="I111" s="112" t="str">
        <f>IFERROR(INDEX(TableRBCalcPts[PLAYER],MATCH(TableRBVORP[[#This Row],[RK]],TableRBCalcPts[RK],0)),"")</f>
        <v/>
      </c>
      <c r="J111" s="112" t="str">
        <f>IFERROR(INDEX(TableRBCalcPts[TM],MATCH(TableRBVORP[[#This Row],[RK]],TableRBCalcPts[RK],0)),"")</f>
        <v/>
      </c>
      <c r="K111" s="112" t="str">
        <f>IFERROR(INDEX(TableRBCalcPts[BYE],MATCH(TableRBVORP[[#This Row],[RK]],TableRBCalcPts[RK],0)),"")</f>
        <v/>
      </c>
      <c r="L111" s="113" t="str">
        <f>IFERROR(INDEX(TableRBCalcPts[Custom],MATCH(TableRBVORP[[#This Row],[RK]],TableRBCalcPts[RK],0)),"")</f>
        <v/>
      </c>
      <c r="M111" s="114" t="e">
        <f>(IFERROR((TableRBVORP[[#This Row],[FPS]]-INDEX(TableRBVORP[FPS],MATCH(RBVORPCalc,TableRBVORP[RK],0)))/INDEX(TableRBVORP[FPS],MATCH(RBVORPCalc,TableRBVORP[RK],0)),""))*0.8</f>
        <v>#VALUE!</v>
      </c>
      <c r="O111">
        <v>110</v>
      </c>
      <c r="P111" s="112" t="str">
        <f>IFERROR(INDEX(TableWRCalcPts[PLAYER],MATCH(TableWRVORP[[#This Row],[RK]],TableWRCalcPts[RK],0)),"")</f>
        <v>Tre Tucker</v>
      </c>
      <c r="Q111" s="112" t="str">
        <f>IFERROR(INDEX(TableWRCalcPts[TM],MATCH(TableWRVORP[[#This Row],[RK]],TableWRCalcPts[RK],0)),"")</f>
        <v>LV</v>
      </c>
      <c r="R111" s="112">
        <f>IFERROR(INDEX(TableWRCalcPts[BYE],MATCH(TableWRVORP[[#This Row],[RK]],TableWRCalcPts[RK],0)),"")</f>
        <v>10</v>
      </c>
      <c r="S111" s="113">
        <f>IFERROR(INDEX(TableWRCalcPts[Custom],MATCH(TableWRVORP[[#This Row],[RK]],TableWRCalcPts[RK],0)),"")</f>
        <v>46.554964034031769</v>
      </c>
      <c r="T111" s="114">
        <f>(IFERROR((TableWRVORP[[#This Row],[FPS]]-INDEX(TableWRVORP[FPS],MATCH(WRVORPCalc,TableWRVORP[RK],0)))/INDEX(TableWRVORP[FPS],MATCH(WRVORPCalc,TableWRVORP[RK],0)),""))*1.2</f>
        <v>-0.82052510613837915</v>
      </c>
      <c r="AF111" t="s">
        <v>207</v>
      </c>
      <c r="AG111">
        <v>70</v>
      </c>
      <c r="AH111" s="83">
        <f>RANK(TableOverallMaster[[#This Row],[VORP]],TableOverallMaster[VORP])+COUNTIF($AM$2:AM111,AM111)-1</f>
        <v>216</v>
      </c>
      <c r="AI111" s="115" t="str">
        <f>IFERROR(INDEX(TableRBVORP[RUNNING BACK],MATCH(TableOverallMaster[[#This Row],[RK]],TableRBVORP[RK],0)),"")</f>
        <v>Dylan Laube</v>
      </c>
      <c r="AJ111" s="115" t="str">
        <f t="shared" si="1"/>
        <v>RB70</v>
      </c>
      <c r="AK111" s="115">
        <f>IFERROR(INDEX(TableRBVORP[BYE],MATCH(TableOverallMaster[[#This Row],[RK]],TableRBVORP[RK],0)),"")</f>
        <v>10</v>
      </c>
      <c r="AL111" s="116">
        <f>IFERROR(INDEX(TableRBVORP[FPS],MATCH(TableOverallMaster[[#This Row],[RK]],TableRBVORP[RK],0)),"")</f>
        <v>53.447944614591705</v>
      </c>
      <c r="AM111" s="117">
        <f>IFERROR(INDEX(TableRBVORP[VORP],MATCH(TableOverallMaster[[#This Row],[RK]],TableRBVORP[RK],0)),"")</f>
        <v>-0.44342148229087353</v>
      </c>
      <c r="AO111">
        <v>110</v>
      </c>
      <c r="AP111" s="118" t="str">
        <f>IFERROR(INDEX(TableOverallMaster[OVERALL PLAYER],MATCH(TableOverallRank[[#This Row],[RK]],TableOverallMaster[OVR RK],0)),"")</f>
        <v>Jakobi Meyers</v>
      </c>
      <c r="AQ111" s="119" t="str">
        <f>IFERROR(INDEX(TableOverallMaster[POS RK],MATCH(TableOverallRank[[#This Row],[OVERALL PLAYER]],TableOverallMaster[OVERALL PLAYER],0)),"")</f>
        <v>WR48</v>
      </c>
      <c r="AR111" s="120">
        <f>IFERROR(INDEX(TableOverallMaster[BYE],MATCH(TableOverallRank[[#This Row],[OVERALL PLAYER]],TableOverallMaster[OVERALL PLAYER],0)),"")</f>
        <v>10</v>
      </c>
      <c r="AS111" s="119">
        <f>IFERROR(INDEX(TableOverallMaster[Custom],MATCH(TableOverallRank[[#This Row],[OVERALL PLAYER]],TableOverallMaster[OVERALL PLAYER],0)),"")</f>
        <v>159.5175566273596</v>
      </c>
      <c r="AT111" s="121">
        <f>IFERROR(INDEX(TableOverallMaster[VORP],MATCH(TableOverallRank[[#This Row],[OVERALL PLAYER]],TableOverallMaster[OVERALL PLAYER],0)),"")</f>
        <v>0.10024604521190696</v>
      </c>
      <c r="AV111">
        <v>110</v>
      </c>
      <c r="AW111" s="122" t="str">
        <f>IFERROR(INDEX(TableWRTECalcPts[PLAYER],MATCH(TableWRTERank[[#This Row],[RK]],TableWRTECalcPts[RK],0)),"")</f>
        <v>Jonnu Smith</v>
      </c>
      <c r="AX111" s="122" t="str">
        <f>IFERROR(INDEX(TableWRTECalcPts[POS RK],MATCH(TableWRTERank[[#This Row],[WR and TE COMBINED]],TableWRTECalcPts[PLAYER],0)),"")</f>
        <v>TE23</v>
      </c>
      <c r="AY111" s="122">
        <f>IFERROR(INDEX(TableWRTECalcPts[BYE],MATCH(TableWRTERank[[#This Row],[RK]],TableWRTECalcPts[RK],0)),"")</f>
        <v>6</v>
      </c>
      <c r="AZ111" s="123">
        <f>IFERROR(INDEX(TableWRTECalcPts[Custom],MATCH(TableWRTERank[[#This Row],[RK]],TableWRTECalcPts[RK],0)),"")</f>
        <v>85.626365410456145</v>
      </c>
      <c r="BA111" s="174">
        <f>IFERROR((TableWRTERank[[#This Row],[FPS]]-INDEX(TableWRTERank[FPS],MATCH(WRTEVORPCalc,TableWRTERank[RK],0)))/INDEX(TableWRTERank[FPS],MATCH(WRTEVORPCalc,TableWRTERank[RK],0)),"")</f>
        <v>-0.45434186578060481</v>
      </c>
      <c r="BC111" t="s">
        <v>208</v>
      </c>
      <c r="BD111">
        <v>110</v>
      </c>
      <c r="BE111" s="83">
        <f>RANK(TableWRTEMaster[[#This Row],[VORP]],TableWRTEMaster[VORP])+COUNTIF($BJ$2:BJ111,BJ111)-1</f>
        <v>163</v>
      </c>
      <c r="BF111" s="115" t="str">
        <f>IFERROR(INDEX(TableWRVORP[WIDE RECEIVER],MATCH(TableWRTEMaster[[#This Row],[RK]],TableWRVORP[RK],0)),"")</f>
        <v>Tre Tucker</v>
      </c>
      <c r="BG111" s="115" t="str">
        <f>_xlfn.CONCAT(TableWRTEMaster[[#This Row],[POS]],TableWRTEMaster[[#This Row],[RK]])</f>
        <v>WR110</v>
      </c>
      <c r="BH111" s="115">
        <f>IFERROR(INDEX(TableWRVORP[BYE],MATCH(TableWRTEMaster[[#This Row],[RK]],TableWRVORP[RK],0)),"")</f>
        <v>10</v>
      </c>
      <c r="BI111" s="116">
        <f>IFERROR(INDEX(TableWRVORP[FPS],MATCH(TableWRTEMaster[[#This Row],[RK]],TableWRVORP[RK],0)),"")</f>
        <v>46.554964034031769</v>
      </c>
      <c r="BJ111" s="117">
        <f>IFERROR(INDEX(TableWRVORP[VORP],MATCH(TableWRTEMaster[[#This Row],[RK]],TableWRVORP[RK],0)),"")</f>
        <v>-0.82052510613837915</v>
      </c>
    </row>
    <row r="112" spans="1:62" x14ac:dyDescent="0.2">
      <c r="H112">
        <v>111</v>
      </c>
      <c r="I112" s="112" t="str">
        <f>IFERROR(INDEX(TableRBCalcPts[PLAYER],MATCH(TableRBVORP[[#This Row],[RK]],TableRBCalcPts[RK],0)),"")</f>
        <v/>
      </c>
      <c r="J112" s="112" t="str">
        <f>IFERROR(INDEX(TableRBCalcPts[TM],MATCH(TableRBVORP[[#This Row],[RK]],TableRBCalcPts[RK],0)),"")</f>
        <v/>
      </c>
      <c r="K112" s="112" t="str">
        <f>IFERROR(INDEX(TableRBCalcPts[BYE],MATCH(TableRBVORP[[#This Row],[RK]],TableRBCalcPts[RK],0)),"")</f>
        <v/>
      </c>
      <c r="L112" s="113" t="str">
        <f>IFERROR(INDEX(TableRBCalcPts[Custom],MATCH(TableRBVORP[[#This Row],[RK]],TableRBCalcPts[RK],0)),"")</f>
        <v/>
      </c>
      <c r="M112" s="114" t="e">
        <f>(IFERROR((TableRBVORP[[#This Row],[FPS]]-INDEX(TableRBVORP[FPS],MATCH(RBVORPCalc,TableRBVORP[RK],0)))/INDEX(TableRBVORP[FPS],MATCH(RBVORPCalc,TableRBVORP[RK],0)),""))*0.8</f>
        <v>#VALUE!</v>
      </c>
      <c r="O112">
        <v>111</v>
      </c>
      <c r="P112" s="112" t="str">
        <f>IFERROR(INDEX(TableWRCalcPts[PLAYER],MATCH(TableWRVORP[[#This Row],[RK]],TableWRCalcPts[RK],0)),"")</f>
        <v>A.T. Perry</v>
      </c>
      <c r="Q112" s="112" t="str">
        <f>IFERROR(INDEX(TableWRCalcPts[TM],MATCH(TableWRVORP[[#This Row],[RK]],TableWRCalcPts[RK],0)),"")</f>
        <v>NO</v>
      </c>
      <c r="R112" s="112">
        <f>IFERROR(INDEX(TableWRCalcPts[BYE],MATCH(TableWRVORP[[#This Row],[RK]],TableWRCalcPts[RK],0)),"")</f>
        <v>12</v>
      </c>
      <c r="S112" s="113">
        <f>IFERROR(INDEX(TableWRCalcPts[Custom],MATCH(TableWRVORP[[#This Row],[RK]],TableWRCalcPts[RK],0)),"")</f>
        <v>45.789766470240522</v>
      </c>
      <c r="T112" s="114">
        <f>(IFERROR((TableWRVORP[[#This Row],[FPS]]-INDEX(TableWRVORP[FPS],MATCH(WRVORPCalc,TableWRVORP[RK],0)))/INDEX(TableWRVORP[FPS],MATCH(WRVORPCalc,TableWRVORP[RK],0)),""))*1.2</f>
        <v>-0.8267623199420584</v>
      </c>
      <c r="AF112" t="s">
        <v>207</v>
      </c>
      <c r="AG112">
        <v>71</v>
      </c>
      <c r="AH112" s="83">
        <f>RANK(TableOverallMaster[[#This Row],[VORP]],TableOverallMaster[VORP])+COUNTIF($AM$2:AM112,AM112)-1</f>
        <v>220</v>
      </c>
      <c r="AI112" s="115" t="str">
        <f>IFERROR(INDEX(TableRBVORP[RUNNING BACK],MATCH(TableOverallMaster[[#This Row],[RK]],TableRBVORP[RK],0)),"")</f>
        <v>Kendre Miller</v>
      </c>
      <c r="AJ112" s="115" t="str">
        <f t="shared" si="1"/>
        <v>RB71</v>
      </c>
      <c r="AK112" s="115">
        <f>IFERROR(INDEX(TableRBVORP[BYE],MATCH(TableOverallMaster[[#This Row],[RK]],TableRBVORP[RK],0)),"")</f>
        <v>12</v>
      </c>
      <c r="AL112" s="116">
        <f>IFERROR(INDEX(TableRBVORP[FPS],MATCH(TableOverallMaster[[#This Row],[RK]],TableRBVORP[RK],0)),"")</f>
        <v>50.418412403374404</v>
      </c>
      <c r="AM112" s="117">
        <f>IFERROR(INDEX(TableRBVORP[VORP],MATCH(TableOverallMaster[[#This Row],[RK]],TableRBVORP[RK],0)),"")</f>
        <v>-0.46363303790854254</v>
      </c>
      <c r="AO112">
        <v>111</v>
      </c>
      <c r="AP112" s="118" t="str">
        <f>IFERROR(INDEX(TableOverallMaster[OVERALL PLAYER],MATCH(TableOverallRank[[#This Row],[RK]],TableOverallMaster[OVR RK],0)),"")</f>
        <v>Romeo Doubs</v>
      </c>
      <c r="AQ112" s="119" t="str">
        <f>IFERROR(INDEX(TableOverallMaster[POS RK],MATCH(TableOverallRank[[#This Row],[OVERALL PLAYER]],TableOverallMaster[OVERALL PLAYER],0)),"")</f>
        <v>WR49</v>
      </c>
      <c r="AR112" s="120">
        <f>IFERROR(INDEX(TableOverallMaster[BYE],MATCH(TableOverallRank[[#This Row],[OVERALL PLAYER]],TableOverallMaster[OVERALL PLAYER],0)),"")</f>
        <v>10</v>
      </c>
      <c r="AS112" s="119">
        <f>IFERROR(INDEX(TableOverallMaster[Custom],MATCH(TableOverallRank[[#This Row],[OVERALL PLAYER]],TableOverallMaster[OVERALL PLAYER],0)),"")</f>
        <v>159.42435883867063</v>
      </c>
      <c r="AT112" s="121">
        <f>IFERROR(INDEX(TableOverallMaster[VORP],MATCH(TableOverallRank[[#This Row],[OVERALL PLAYER]],TableOverallMaster[OVERALL PLAYER],0)),"")</f>
        <v>9.9486379262105532E-2</v>
      </c>
      <c r="AV112">
        <v>111</v>
      </c>
      <c r="AW112" s="122" t="str">
        <f>IFERROR(INDEX(TableWRTECalcPts[PLAYER],MATCH(TableWRTERank[[#This Row],[RK]],TableWRTECalcPts[RK],0)),"")</f>
        <v>Pat Freiermuth</v>
      </c>
      <c r="AX112" s="122" t="str">
        <f>IFERROR(INDEX(TableWRTECalcPts[POS RK],MATCH(TableWRTERank[[#This Row],[WR and TE COMBINED]],TableWRTECalcPts[PLAYER],0)),"")</f>
        <v>TE24</v>
      </c>
      <c r="AY112" s="122">
        <f>IFERROR(INDEX(TableWRTECalcPts[BYE],MATCH(TableWRTERank[[#This Row],[RK]],TableWRTECalcPts[RK],0)),"")</f>
        <v>9</v>
      </c>
      <c r="AZ112" s="123">
        <f>IFERROR(INDEX(TableWRTECalcPts[Custom],MATCH(TableWRTERank[[#This Row],[RK]],TableWRTECalcPts[RK],0)),"")</f>
        <v>84.255051648368294</v>
      </c>
      <c r="BA112" s="174">
        <f>IFERROR((TableWRTERank[[#This Row],[FPS]]-INDEX(TableWRTERank[FPS],MATCH(WRTEVORPCalc,TableWRTERank[RK],0)))/INDEX(TableWRTERank[FPS],MATCH(WRTEVORPCalc,TableWRTERank[RK],0)),"")</f>
        <v>-0.46308062872194139</v>
      </c>
      <c r="BC112" t="s">
        <v>208</v>
      </c>
      <c r="BD112">
        <v>111</v>
      </c>
      <c r="BE112" s="83">
        <f>RANK(TableWRTEMaster[[#This Row],[VORP]],TableWRTEMaster[VORP])+COUNTIF($BJ$2:BJ112,BJ112)-1</f>
        <v>165</v>
      </c>
      <c r="BF112" s="115" t="str">
        <f>IFERROR(INDEX(TableWRVORP[WIDE RECEIVER],MATCH(TableWRTEMaster[[#This Row],[RK]],TableWRVORP[RK],0)),"")</f>
        <v>A.T. Perry</v>
      </c>
      <c r="BG112" s="115" t="str">
        <f>_xlfn.CONCAT(TableWRTEMaster[[#This Row],[POS]],TableWRTEMaster[[#This Row],[RK]])</f>
        <v>WR111</v>
      </c>
      <c r="BH112" s="115">
        <f>IFERROR(INDEX(TableWRVORP[BYE],MATCH(TableWRTEMaster[[#This Row],[RK]],TableWRVORP[RK],0)),"")</f>
        <v>12</v>
      </c>
      <c r="BI112" s="116">
        <f>IFERROR(INDEX(TableWRVORP[FPS],MATCH(TableWRTEMaster[[#This Row],[RK]],TableWRVORP[RK],0)),"")</f>
        <v>45.789766470240522</v>
      </c>
      <c r="BJ112" s="117">
        <f>IFERROR(INDEX(TableWRVORP[VORP],MATCH(TableWRTEMaster[[#This Row],[RK]],TableWRVORP[RK],0)),"")</f>
        <v>-0.8267623199420584</v>
      </c>
    </row>
    <row r="113" spans="8:62" x14ac:dyDescent="0.2">
      <c r="H113">
        <v>112</v>
      </c>
      <c r="I113" s="112" t="str">
        <f>IFERROR(INDEX(TableRBCalcPts[PLAYER],MATCH(TableRBVORP[[#This Row],[RK]],TableRBCalcPts[RK],0)),"")</f>
        <v/>
      </c>
      <c r="J113" s="112" t="str">
        <f>IFERROR(INDEX(TableRBCalcPts[TM],MATCH(TableRBVORP[[#This Row],[RK]],TableRBCalcPts[RK],0)),"")</f>
        <v/>
      </c>
      <c r="K113" s="112" t="str">
        <f>IFERROR(INDEX(TableRBCalcPts[BYE],MATCH(TableRBVORP[[#This Row],[RK]],TableRBCalcPts[RK],0)),"")</f>
        <v/>
      </c>
      <c r="L113" s="113" t="str">
        <f>IFERROR(INDEX(TableRBCalcPts[Custom],MATCH(TableRBVORP[[#This Row],[RK]],TableRBCalcPts[RK],0)),"")</f>
        <v/>
      </c>
      <c r="M113" s="114" t="e">
        <f>(IFERROR((TableRBVORP[[#This Row],[FPS]]-INDEX(TableRBVORP[FPS],MATCH(RBVORPCalc,TableRBVORP[RK],0)))/INDEX(TableRBVORP[FPS],MATCH(RBVORPCalc,TableRBVORP[RK],0)),""))*0.8</f>
        <v>#VALUE!</v>
      </c>
      <c r="O113">
        <v>112</v>
      </c>
      <c r="P113" s="112" t="str">
        <f>IFERROR(INDEX(TableWRCalcPts[PLAYER],MATCH(TableWRVORP[[#This Row],[RK]],TableWRCalcPts[RK],0)),"")</f>
        <v>Odell Beckham</v>
      </c>
      <c r="Q113" s="112" t="str">
        <f>IFERROR(INDEX(TableWRCalcPts[TM],MATCH(TableWRVORP[[#This Row],[RK]],TableWRCalcPts[RK],0)),"")</f>
        <v>MIA</v>
      </c>
      <c r="R113" s="112">
        <f>IFERROR(INDEX(TableWRCalcPts[BYE],MATCH(TableWRVORP[[#This Row],[RK]],TableWRCalcPts[RK],0)),"")</f>
        <v>6</v>
      </c>
      <c r="S113" s="113">
        <f>IFERROR(INDEX(TableWRCalcPts[Custom],MATCH(TableWRVORP[[#This Row],[RK]],TableWRCalcPts[RK],0)),"")</f>
        <v>43.144873904039258</v>
      </c>
      <c r="T113" s="114">
        <f>(IFERROR((TableWRVORP[[#This Row],[FPS]]-INDEX(TableWRVORP[FPS],MATCH(WRVORPCalc,TableWRVORP[RK],0)))/INDEX(TableWRVORP[FPS],MATCH(WRVORPCalc,TableWRVORP[RK],0)),""))*1.2</f>
        <v>-0.84832114501387956</v>
      </c>
      <c r="AF113" t="s">
        <v>207</v>
      </c>
      <c r="AG113">
        <v>72</v>
      </c>
      <c r="AH113" s="83">
        <f>RANK(TableOverallMaster[[#This Row],[VORP]],TableOverallMaster[VORP])+COUNTIF($AM$2:AM113,AM113)-1</f>
        <v>223</v>
      </c>
      <c r="AI113" s="115" t="str">
        <f>IFERROR(INDEX(TableRBVORP[RUNNING BACK],MATCH(TableOverallMaster[[#This Row],[RK]],TableRBVORP[RK],0)),"")</f>
        <v>Sean Tucker</v>
      </c>
      <c r="AJ113" s="115" t="str">
        <f t="shared" si="1"/>
        <v>RB72</v>
      </c>
      <c r="AK113" s="115">
        <f>IFERROR(INDEX(TableRBVORP[BYE],MATCH(TableOverallMaster[[#This Row],[RK]],TableRBVORP[RK],0)),"")</f>
        <v>11</v>
      </c>
      <c r="AL113" s="116">
        <f>IFERROR(INDEX(TableRBVORP[FPS],MATCH(TableOverallMaster[[#This Row],[RK]],TableRBVORP[RK],0)),"")</f>
        <v>43.954561520048074</v>
      </c>
      <c r="AM113" s="117">
        <f>IFERROR(INDEX(TableRBVORP[VORP],MATCH(TableOverallMaster[[#This Row],[RK]],TableRBVORP[RK],0)),"")</f>
        <v>-0.50675668622260861</v>
      </c>
      <c r="AO113">
        <v>112</v>
      </c>
      <c r="AP113" s="118" t="str">
        <f>IFERROR(INDEX(TableOverallMaster[OVERALL PLAYER],MATCH(TableOverallRank[[#This Row],[RK]],TableOverallMaster[OVR RK],0)),"")</f>
        <v>Mike Williams</v>
      </c>
      <c r="AQ113" s="119" t="str">
        <f>IFERROR(INDEX(TableOverallMaster[POS RK],MATCH(TableOverallRank[[#This Row],[OVERALL PLAYER]],TableOverallMaster[OVERALL PLAYER],0)),"")</f>
        <v>WR50</v>
      </c>
      <c r="AR113" s="120">
        <f>IFERROR(INDEX(TableOverallMaster[BYE],MATCH(TableOverallRank[[#This Row],[OVERALL PLAYER]],TableOverallMaster[OVERALL PLAYER],0)),"")</f>
        <v>12</v>
      </c>
      <c r="AS113" s="119">
        <f>IFERROR(INDEX(TableOverallMaster[Custom],MATCH(TableOverallRank[[#This Row],[OVERALL PLAYER]],TableOverallMaster[OVERALL PLAYER],0)),"")</f>
        <v>158.6684307713081</v>
      </c>
      <c r="AT113" s="121">
        <f>IFERROR(INDEX(TableOverallMaster[VORP],MATCH(TableOverallRank[[#This Row],[OVERALL PLAYER]],TableOverallMaster[OVERALL PLAYER],0)),"")</f>
        <v>9.3324722195423551E-2</v>
      </c>
      <c r="AV113">
        <v>112</v>
      </c>
      <c r="AW113" s="122" t="str">
        <f>IFERROR(INDEX(TableWRTECalcPts[PLAYER],MATCH(TableWRTERank[[#This Row],[RK]],TableWRTECalcPts[RK],0)),"")</f>
        <v>Ray-Ray McCloud</v>
      </c>
      <c r="AX113" s="122" t="str">
        <f>IFERROR(INDEX(TableWRTECalcPts[POS RK],MATCH(TableWRTERank[[#This Row],[WR and TE COMBINED]],TableWRTECalcPts[PLAYER],0)),"")</f>
        <v>WR88</v>
      </c>
      <c r="AY113" s="122">
        <f>IFERROR(INDEX(TableWRTECalcPts[BYE],MATCH(TableWRTERank[[#This Row],[RK]],TableWRTECalcPts[RK],0)),"")</f>
        <v>12</v>
      </c>
      <c r="AZ113" s="123">
        <f>IFERROR(INDEX(TableWRTECalcPts[Custom],MATCH(TableWRTERank[[#This Row],[RK]],TableWRTECalcPts[RK],0)),"")</f>
        <v>84.228861685020107</v>
      </c>
      <c r="BA113" s="174">
        <f>IFERROR((TableWRTERank[[#This Row],[FPS]]-INDEX(TableWRTERank[FPS],MATCH(WRTEVORPCalc,TableWRTERank[RK],0)))/INDEX(TableWRTERank[FPS],MATCH(WRTEVORPCalc,TableWRTERank[RK],0)),"")</f>
        <v>-0.46324752552373066</v>
      </c>
      <c r="BC113" t="s">
        <v>208</v>
      </c>
      <c r="BD113">
        <v>112</v>
      </c>
      <c r="BE113" s="83">
        <f>RANK(TableWRTEMaster[[#This Row],[VORP]],TableWRTEMaster[VORP])+COUNTIF($BJ$2:BJ113,BJ113)-1</f>
        <v>170</v>
      </c>
      <c r="BF113" s="115" t="str">
        <f>IFERROR(INDEX(TableWRVORP[WIDE RECEIVER],MATCH(TableWRTEMaster[[#This Row],[RK]],TableWRVORP[RK],0)),"")</f>
        <v>Odell Beckham</v>
      </c>
      <c r="BG113" s="115" t="str">
        <f>_xlfn.CONCAT(TableWRTEMaster[[#This Row],[POS]],TableWRTEMaster[[#This Row],[RK]])</f>
        <v>WR112</v>
      </c>
      <c r="BH113" s="115">
        <f>IFERROR(INDEX(TableWRVORP[BYE],MATCH(TableWRTEMaster[[#This Row],[RK]],TableWRVORP[RK],0)),"")</f>
        <v>6</v>
      </c>
      <c r="BI113" s="116">
        <f>IFERROR(INDEX(TableWRVORP[FPS],MATCH(TableWRTEMaster[[#This Row],[RK]],TableWRVORP[RK],0)),"")</f>
        <v>43.144873904039258</v>
      </c>
      <c r="BJ113" s="117">
        <f>IFERROR(INDEX(TableWRVORP[VORP],MATCH(TableWRTEMaster[[#This Row],[RK]],TableWRVORP[RK],0)),"")</f>
        <v>-0.84832114501387956</v>
      </c>
    </row>
    <row r="114" spans="8:62" x14ac:dyDescent="0.2">
      <c r="H114">
        <v>113</v>
      </c>
      <c r="I114" s="112" t="str">
        <f>IFERROR(INDEX(TableRBCalcPts[PLAYER],MATCH(TableRBVORP[[#This Row],[RK]],TableRBCalcPts[RK],0)),"")</f>
        <v/>
      </c>
      <c r="J114" s="112" t="str">
        <f>IFERROR(INDEX(TableRBCalcPts[TM],MATCH(TableRBVORP[[#This Row],[RK]],TableRBCalcPts[RK],0)),"")</f>
        <v/>
      </c>
      <c r="K114" s="112" t="str">
        <f>IFERROR(INDEX(TableRBCalcPts[BYE],MATCH(TableRBVORP[[#This Row],[RK]],TableRBCalcPts[RK],0)),"")</f>
        <v/>
      </c>
      <c r="L114" s="113" t="str">
        <f>IFERROR(INDEX(TableRBCalcPts[Custom],MATCH(TableRBVORP[[#This Row],[RK]],TableRBCalcPts[RK],0)),"")</f>
        <v/>
      </c>
      <c r="M114" s="114" t="e">
        <f>(IFERROR((TableRBVORP[[#This Row],[FPS]]-INDEX(TableRBVORP[FPS],MATCH(RBVORPCalc,TableRBVORP[RK],0)))/INDEX(TableRBVORP[FPS],MATCH(RBVORPCalc,TableRBVORP[RK],0)),""))*0.8</f>
        <v>#VALUE!</v>
      </c>
      <c r="O114">
        <v>113</v>
      </c>
      <c r="P114" s="112" t="str">
        <f>IFERROR(INDEX(TableWRCalcPts[PLAYER],MATCH(TableWRVORP[[#This Row],[RK]],TableWRCalcPts[RK],0)),"")</f>
        <v>Cedric Tillman</v>
      </c>
      <c r="Q114" s="112" t="str">
        <f>IFERROR(INDEX(TableWRCalcPts[TM],MATCH(TableWRVORP[[#This Row],[RK]],TableWRCalcPts[RK],0)),"")</f>
        <v>CLE</v>
      </c>
      <c r="R114" s="112">
        <f>IFERROR(INDEX(TableWRCalcPts[BYE],MATCH(TableWRVORP[[#This Row],[RK]],TableWRCalcPts[RK],0)),"")</f>
        <v>10</v>
      </c>
      <c r="S114" s="113">
        <f>IFERROR(INDEX(TableWRCalcPts[Custom],MATCH(TableWRVORP[[#This Row],[RK]],TableWRCalcPts[RK],0)),"")</f>
        <v>42.801082616668182</v>
      </c>
      <c r="T114" s="114">
        <f>(IFERROR((TableWRVORP[[#This Row],[FPS]]-INDEX(TableWRVORP[FPS],MATCH(WRVORPCalc,TableWRVORP[RK],0)))/INDEX(TableWRVORP[FPS],MATCH(WRVORPCalc,TableWRVORP[RK],0)),""))*1.2</f>
        <v>-0.85112342754148107</v>
      </c>
      <c r="AF114" t="s">
        <v>207</v>
      </c>
      <c r="AG114">
        <v>73</v>
      </c>
      <c r="AH114" s="83">
        <f>RANK(TableOverallMaster[[#This Row],[VORP]],TableOverallMaster[VORP])+COUNTIF($AM$2:AM114,AM114)-1</f>
        <v>224</v>
      </c>
      <c r="AI114" s="115" t="str">
        <f>IFERROR(INDEX(TableRBVORP[RUNNING BACK],MATCH(TableOverallMaster[[#This Row],[RK]],TableRBVORP[RK],0)),"")</f>
        <v>Dameon Pierce</v>
      </c>
      <c r="AJ114" s="115" t="str">
        <f t="shared" si="1"/>
        <v>RB73</v>
      </c>
      <c r="AK114" s="115">
        <f>IFERROR(INDEX(TableRBVORP[BYE],MATCH(TableOverallMaster[[#This Row],[RK]],TableRBVORP[RK],0)),"")</f>
        <v>14</v>
      </c>
      <c r="AL114" s="116">
        <f>IFERROR(INDEX(TableRBVORP[FPS],MATCH(TableOverallMaster[[#This Row],[RK]],TableRBVORP[RK],0)),"")</f>
        <v>43.444613605393208</v>
      </c>
      <c r="AM114" s="117">
        <f>IFERROR(INDEX(TableRBVORP[VORP],MATCH(TableOverallMaster[[#This Row],[RK]],TableRBVORP[RK],0)),"")</f>
        <v>-0.51015880903252575</v>
      </c>
      <c r="AO114">
        <v>113</v>
      </c>
      <c r="AP114" s="118" t="str">
        <f>IFERROR(INDEX(TableOverallMaster[OVERALL PLAYER],MATCH(TableOverallRank[[#This Row],[RK]],TableOverallMaster[OVR RK],0)),"")</f>
        <v>Kyler Murray</v>
      </c>
      <c r="AQ114" s="119" t="str">
        <f>IFERROR(INDEX(TableOverallMaster[POS RK],MATCH(TableOverallRank[[#This Row],[OVERALL PLAYER]],TableOverallMaster[OVERALL PLAYER],0)),"")</f>
        <v>QB13</v>
      </c>
      <c r="AR114" s="120">
        <f>IFERROR(INDEX(TableOverallMaster[BYE],MATCH(TableOverallRank[[#This Row],[OVERALL PLAYER]],TableOverallMaster[OVERALL PLAYER],0)),"")</f>
        <v>11</v>
      </c>
      <c r="AS114" s="119">
        <f>IFERROR(INDEX(TableOverallMaster[Custom],MATCH(TableOverallRank[[#This Row],[OVERALL PLAYER]],TableOverallMaster[OVERALL PLAYER],0)),"")</f>
        <v>308.03397965325968</v>
      </c>
      <c r="AT114" s="121">
        <f>IFERROR(INDEX(TableOverallMaster[VORP],MATCH(TableOverallRank[[#This Row],[OVERALL PLAYER]],TableOverallMaster[OVERALL PLAYER],0)),"")</f>
        <v>9.3026784087493347E-2</v>
      </c>
      <c r="AV114">
        <v>113</v>
      </c>
      <c r="AW114" s="122" t="str">
        <f>IFERROR(INDEX(TableWRTECalcPts[PLAYER],MATCH(TableWRTERank[[#This Row],[RK]],TableWRTECalcPts[RK],0)),"")</f>
        <v>Tyler Boyd</v>
      </c>
      <c r="AX114" s="122" t="str">
        <f>IFERROR(INDEX(TableWRTECalcPts[POS RK],MATCH(TableWRTERank[[#This Row],[WR and TE COMBINED]],TableWRTECalcPts[PLAYER],0)),"")</f>
        <v>WR89</v>
      </c>
      <c r="AY114" s="122">
        <f>IFERROR(INDEX(TableWRTECalcPts[BYE],MATCH(TableWRTERank[[#This Row],[RK]],TableWRTECalcPts[RK],0)),"")</f>
        <v>5</v>
      </c>
      <c r="AZ114" s="123">
        <f>IFERROR(INDEX(TableWRTECalcPts[Custom],MATCH(TableWRTERank[[#This Row],[RK]],TableWRTECalcPts[RK],0)),"")</f>
        <v>81.555692015345855</v>
      </c>
      <c r="BA114" s="174">
        <f>IFERROR((TableWRTERank[[#This Row],[FPS]]-INDEX(TableWRTERank[FPS],MATCH(WRTEVORPCalc,TableWRTERank[RK],0)))/INDEX(TableWRTERank[FPS],MATCH(WRTEVORPCalc,TableWRTERank[RK],0)),"")</f>
        <v>-0.48028242788603753</v>
      </c>
      <c r="BC114" t="s">
        <v>208</v>
      </c>
      <c r="BD114">
        <v>113</v>
      </c>
      <c r="BE114" s="83">
        <f>RANK(TableWRTEMaster[[#This Row],[VORP]],TableWRTEMaster[VORP])+COUNTIF($BJ$2:BJ114,BJ114)-1</f>
        <v>171</v>
      </c>
      <c r="BF114" s="115" t="str">
        <f>IFERROR(INDEX(TableWRVORP[WIDE RECEIVER],MATCH(TableWRTEMaster[[#This Row],[RK]],TableWRVORP[RK],0)),"")</f>
        <v>Cedric Tillman</v>
      </c>
      <c r="BG114" s="115" t="str">
        <f>_xlfn.CONCAT(TableWRTEMaster[[#This Row],[POS]],TableWRTEMaster[[#This Row],[RK]])</f>
        <v>WR113</v>
      </c>
      <c r="BH114" s="115">
        <f>IFERROR(INDEX(TableWRVORP[BYE],MATCH(TableWRTEMaster[[#This Row],[RK]],TableWRVORP[RK],0)),"")</f>
        <v>10</v>
      </c>
      <c r="BI114" s="116">
        <f>IFERROR(INDEX(TableWRVORP[FPS],MATCH(TableWRTEMaster[[#This Row],[RK]],TableWRVORP[RK],0)),"")</f>
        <v>42.801082616668182</v>
      </c>
      <c r="BJ114" s="117">
        <f>IFERROR(INDEX(TableWRVORP[VORP],MATCH(TableWRTEMaster[[#This Row],[RK]],TableWRVORP[RK],0)),"")</f>
        <v>-0.85112342754148107</v>
      </c>
    </row>
    <row r="115" spans="8:62" x14ac:dyDescent="0.2">
      <c r="H115">
        <v>114</v>
      </c>
      <c r="I115" s="112" t="str">
        <f>IFERROR(INDEX(TableRBCalcPts[PLAYER],MATCH(TableRBVORP[[#This Row],[RK]],TableRBCalcPts[RK],0)),"")</f>
        <v/>
      </c>
      <c r="J115" s="112" t="str">
        <f>IFERROR(INDEX(TableRBCalcPts[TM],MATCH(TableRBVORP[[#This Row],[RK]],TableRBCalcPts[RK],0)),"")</f>
        <v/>
      </c>
      <c r="K115" s="112" t="str">
        <f>IFERROR(INDEX(TableRBCalcPts[BYE],MATCH(TableRBVORP[[#This Row],[RK]],TableRBCalcPts[RK],0)),"")</f>
        <v/>
      </c>
      <c r="L115" s="113" t="str">
        <f>IFERROR(INDEX(TableRBCalcPts[Custom],MATCH(TableRBVORP[[#This Row],[RK]],TableRBCalcPts[RK],0)),"")</f>
        <v/>
      </c>
      <c r="M115" s="114" t="e">
        <f>(IFERROR((TableRBVORP[[#This Row],[FPS]]-INDEX(TableRBVORP[FPS],MATCH(RBVORPCalc,TableRBVORP[RK],0)))/INDEX(TableRBVORP[FPS],MATCH(RBVORPCalc,TableRBVORP[RK],0)),""))*0.8</f>
        <v>#VALUE!</v>
      </c>
      <c r="O115">
        <v>114</v>
      </c>
      <c r="P115" s="112" t="str">
        <f>IFERROR(INDEX(TableWRCalcPts[PLAYER],MATCH(TableWRVORP[[#This Row],[RK]],TableWRCalcPts[RK],0)),"")</f>
        <v>Allen Lazard</v>
      </c>
      <c r="Q115" s="112" t="str">
        <f>IFERROR(INDEX(TableWRCalcPts[TM],MATCH(TableWRVORP[[#This Row],[RK]],TableWRCalcPts[RK],0)),"")</f>
        <v>NYJ</v>
      </c>
      <c r="R115" s="112">
        <f>IFERROR(INDEX(TableWRCalcPts[BYE],MATCH(TableWRVORP[[#This Row],[RK]],TableWRCalcPts[RK],0)),"")</f>
        <v>12</v>
      </c>
      <c r="S115" s="113">
        <f>IFERROR(INDEX(TableWRCalcPts[Custom],MATCH(TableWRVORP[[#This Row],[RK]],TableWRCalcPts[RK],0)),"")</f>
        <v>42.460357713573167</v>
      </c>
      <c r="T115" s="114">
        <f>(IFERROR((TableWRVORP[[#This Row],[FPS]]-INDEX(TableWRVORP[FPS],MATCH(WRVORPCalc,TableWRVORP[RK],0)))/INDEX(TableWRVORP[FPS],MATCH(WRVORPCalc,TableWRVORP[RK],0)),""))*1.2</f>
        <v>-0.85390071561635705</v>
      </c>
      <c r="AF115" t="s">
        <v>207</v>
      </c>
      <c r="AG115">
        <v>74</v>
      </c>
      <c r="AH115" s="83">
        <f>RANK(TableOverallMaster[[#This Row],[VORP]],TableOverallMaster[VORP])+COUNTIF($AM$2:AM115,AM115)-1</f>
        <v>226</v>
      </c>
      <c r="AI115" s="115" t="str">
        <f>IFERROR(INDEX(TableRBVORP[RUNNING BACK],MATCH(TableOverallMaster[[#This Row],[RK]],TableRBVORP[RK],0)),"")</f>
        <v>Rasheen Ali</v>
      </c>
      <c r="AJ115" s="115" t="str">
        <f t="shared" si="1"/>
        <v>RB74</v>
      </c>
      <c r="AK115" s="115">
        <f>IFERROR(INDEX(TableRBVORP[BYE],MATCH(TableOverallMaster[[#This Row],[RK]],TableRBVORP[RK],0)),"")</f>
        <v>14</v>
      </c>
      <c r="AL115" s="116">
        <f>IFERROR(INDEX(TableRBVORP[FPS],MATCH(TableOverallMaster[[#This Row],[RK]],TableRBVORP[RK],0)),"")</f>
        <v>42.6438278951981</v>
      </c>
      <c r="AM115" s="117">
        <f>IFERROR(INDEX(TableRBVORP[VORP],MATCH(TableOverallMaster[[#This Row],[RK]],TableRBVORP[RK],0)),"")</f>
        <v>-0.51550125921658896</v>
      </c>
      <c r="AO115">
        <v>114</v>
      </c>
      <c r="AP115" s="118" t="str">
        <f>IFERROR(INDEX(TableOverallMaster[OVERALL PLAYER],MATCH(TableOverallRank[[#This Row],[RK]],TableOverallMaster[OVR RK],0)),"")</f>
        <v>Caleb Williams</v>
      </c>
      <c r="AQ115" s="119" t="str">
        <f>IFERROR(INDEX(TableOverallMaster[POS RK],MATCH(TableOverallRank[[#This Row],[OVERALL PLAYER]],TableOverallMaster[OVERALL PLAYER],0)),"")</f>
        <v>QB14</v>
      </c>
      <c r="AR115" s="120">
        <f>IFERROR(INDEX(TableOverallMaster[BYE],MATCH(TableOverallRank[[#This Row],[OVERALL PLAYER]],TableOverallMaster[OVERALL PLAYER],0)),"")</f>
        <v>7</v>
      </c>
      <c r="AS115" s="119">
        <f>IFERROR(INDEX(TableOverallMaster[Custom],MATCH(TableOverallRank[[#This Row],[OVERALL PLAYER]],TableOverallMaster[OVERALL PLAYER],0)),"")</f>
        <v>307.64374263679053</v>
      </c>
      <c r="AT115" s="121">
        <f>IFERROR(INDEX(TableOverallMaster[VORP],MATCH(TableOverallRank[[#This Row],[OVERALL PLAYER]],TableOverallMaster[OVERALL PLAYER],0)),"")</f>
        <v>8.7454484138309946E-2</v>
      </c>
      <c r="AV115">
        <v>114</v>
      </c>
      <c r="AW115" s="122" t="str">
        <f>IFERROR(INDEX(TableWRTECalcPts[PLAYER],MATCH(TableWRTERank[[#This Row],[RK]],TableWRTECalcPts[RK],0)),"")</f>
        <v>Colby Parkinson</v>
      </c>
      <c r="AX115" s="122" t="str">
        <f>IFERROR(INDEX(TableWRTECalcPts[POS RK],MATCH(TableWRTERank[[#This Row],[WR and TE COMBINED]],TableWRTECalcPts[PLAYER],0)),"")</f>
        <v>TE25</v>
      </c>
      <c r="AY115" s="122">
        <f>IFERROR(INDEX(TableWRTECalcPts[BYE],MATCH(TableWRTERank[[#This Row],[RK]],TableWRTECalcPts[RK],0)),"")</f>
        <v>6</v>
      </c>
      <c r="AZ115" s="123">
        <f>IFERROR(INDEX(TableWRTECalcPts[Custom],MATCH(TableWRTERank[[#This Row],[RK]],TableWRTECalcPts[RK],0)),"")</f>
        <v>81.17558367219813</v>
      </c>
      <c r="BA115" s="174">
        <f>IFERROR((TableWRTERank[[#This Row],[FPS]]-INDEX(TableWRTERank[FPS],MATCH(WRTEVORPCalc,TableWRTERank[RK],0)))/INDEX(TableWRTERank[FPS],MATCH(WRTEVORPCalc,TableWRTERank[RK],0)),"")</f>
        <v>-0.48270468659489413</v>
      </c>
      <c r="BC115" t="s">
        <v>208</v>
      </c>
      <c r="BD115">
        <v>114</v>
      </c>
      <c r="BE115" s="83">
        <f>RANK(TableWRTEMaster[[#This Row],[VORP]],TableWRTEMaster[VORP])+COUNTIF($BJ$2:BJ115,BJ115)-1</f>
        <v>172</v>
      </c>
      <c r="BF115" s="115" t="str">
        <f>IFERROR(INDEX(TableWRVORP[WIDE RECEIVER],MATCH(TableWRTEMaster[[#This Row],[RK]],TableWRVORP[RK],0)),"")</f>
        <v>Allen Lazard</v>
      </c>
      <c r="BG115" s="115" t="str">
        <f>_xlfn.CONCAT(TableWRTEMaster[[#This Row],[POS]],TableWRTEMaster[[#This Row],[RK]])</f>
        <v>WR114</v>
      </c>
      <c r="BH115" s="115">
        <f>IFERROR(INDEX(TableWRVORP[BYE],MATCH(TableWRTEMaster[[#This Row],[RK]],TableWRVORP[RK],0)),"")</f>
        <v>12</v>
      </c>
      <c r="BI115" s="116">
        <f>IFERROR(INDEX(TableWRVORP[FPS],MATCH(TableWRTEMaster[[#This Row],[RK]],TableWRVORP[RK],0)),"")</f>
        <v>42.460357713573167</v>
      </c>
      <c r="BJ115" s="117">
        <f>IFERROR(INDEX(TableWRVORP[VORP],MATCH(TableWRTEMaster[[#This Row],[RK]],TableWRVORP[RK],0)),"")</f>
        <v>-0.85390071561635705</v>
      </c>
    </row>
    <row r="116" spans="8:62" x14ac:dyDescent="0.2">
      <c r="H116">
        <v>115</v>
      </c>
      <c r="I116" s="112" t="str">
        <f>IFERROR(INDEX(TableRBCalcPts[PLAYER],MATCH(TableRBVORP[[#This Row],[RK]],TableRBCalcPts[RK],0)),"")</f>
        <v/>
      </c>
      <c r="J116" s="112" t="str">
        <f>IFERROR(INDEX(TableRBCalcPts[TM],MATCH(TableRBVORP[[#This Row],[RK]],TableRBCalcPts[RK],0)),"")</f>
        <v/>
      </c>
      <c r="K116" s="112" t="str">
        <f>IFERROR(INDEX(TableRBCalcPts[BYE],MATCH(TableRBVORP[[#This Row],[RK]],TableRBCalcPts[RK],0)),"")</f>
        <v/>
      </c>
      <c r="L116" s="113" t="str">
        <f>IFERROR(INDEX(TableRBCalcPts[Custom],MATCH(TableRBVORP[[#This Row],[RK]],TableRBCalcPts[RK],0)),"")</f>
        <v/>
      </c>
      <c r="M116" s="114" t="e">
        <f>(IFERROR((TableRBVORP[[#This Row],[FPS]]-INDEX(TableRBVORP[FPS],MATCH(RBVORPCalc,TableRBVORP[RK],0)))/INDEX(TableRBVORP[FPS],MATCH(RBVORPCalc,TableRBVORP[RK],0)),""))*0.8</f>
        <v>#VALUE!</v>
      </c>
      <c r="O116">
        <v>115</v>
      </c>
      <c r="P116" s="112" t="str">
        <f>IFERROR(INDEX(TableWRCalcPts[PLAYER],MATCH(TableWRVORP[[#This Row],[RK]],TableWRCalcPts[RK],0)),"")</f>
        <v>Mack Hollins</v>
      </c>
      <c r="Q116" s="112" t="str">
        <f>IFERROR(INDEX(TableWRCalcPts[TM],MATCH(TableWRVORP[[#This Row],[RK]],TableWRCalcPts[RK],0)),"")</f>
        <v>BUF</v>
      </c>
      <c r="R116" s="112">
        <f>IFERROR(INDEX(TableWRCalcPts[BYE],MATCH(TableWRVORP[[#This Row],[RK]],TableWRCalcPts[RK],0)),"")</f>
        <v>12</v>
      </c>
      <c r="S116" s="113">
        <f>IFERROR(INDEX(TableWRCalcPts[Custom],MATCH(TableWRVORP[[#This Row],[RK]],TableWRCalcPts[RK],0)),"")</f>
        <v>38.947801670303662</v>
      </c>
      <c r="T116" s="114">
        <f>(IFERROR((TableWRVORP[[#This Row],[FPS]]-INDEX(TableWRVORP[FPS],MATCH(WRVORPCalc,TableWRVORP[RK],0)))/INDEX(TableWRVORP[FPS],MATCH(WRVORPCalc,TableWRVORP[RK],0)),""))*1.2</f>
        <v>-0.88253196599662398</v>
      </c>
      <c r="AF116" t="s">
        <v>207</v>
      </c>
      <c r="AG116">
        <v>75</v>
      </c>
      <c r="AH116" s="83">
        <f>RANK(TableOverallMaster[[#This Row],[VORP]],TableOverallMaster[VORP])+COUNTIF($AM$2:AM116,AM116)-1</f>
        <v>228</v>
      </c>
      <c r="AI116" s="115" t="str">
        <f>IFERROR(INDEX(TableRBVORP[RUNNING BACK],MATCH(TableOverallMaster[[#This Row],[RK]],TableRBVORP[RK],0)),"")</f>
        <v>Trey Sermon</v>
      </c>
      <c r="AJ116" s="115" t="str">
        <f t="shared" si="1"/>
        <v>RB75</v>
      </c>
      <c r="AK116" s="115">
        <f>IFERROR(INDEX(TableRBVORP[BYE],MATCH(TableOverallMaster[[#This Row],[RK]],TableRBVORP[RK],0)),"")</f>
        <v>14</v>
      </c>
      <c r="AL116" s="116">
        <f>IFERROR(INDEX(TableRBVORP[FPS],MATCH(TableOverallMaster[[#This Row],[RK]],TableRBVORP[RK],0)),"")</f>
        <v>41.264535512141364</v>
      </c>
      <c r="AM116" s="117">
        <f>IFERROR(INDEX(TableRBVORP[VORP],MATCH(TableOverallMaster[[#This Row],[RK]],TableRBVORP[RK],0)),"")</f>
        <v>-0.52470322267812841</v>
      </c>
      <c r="AO116">
        <v>115</v>
      </c>
      <c r="AP116" s="118" t="str">
        <f>IFERROR(INDEX(TableOverallMaster[OVERALL PLAYER],MATCH(TableOverallRank[[#This Row],[RK]],TableOverallMaster[OVR RK],0)),"")</f>
        <v>Brock Bowers</v>
      </c>
      <c r="AQ116" s="119" t="str">
        <f>IFERROR(INDEX(TableOverallMaster[POS RK],MATCH(TableOverallRank[[#This Row],[OVERALL PLAYER]],TableOverallMaster[OVERALL PLAYER],0)),"")</f>
        <v>TE10</v>
      </c>
      <c r="AR116" s="120">
        <f>IFERROR(INDEX(TableOverallMaster[BYE],MATCH(TableOverallRank[[#This Row],[OVERALL PLAYER]],TableOverallMaster[OVERALL PLAYER],0)),"")</f>
        <v>10</v>
      </c>
      <c r="AS116" s="119">
        <f>IFERROR(INDEX(TableOverallMaster[Custom],MATCH(TableOverallRank[[#This Row],[OVERALL PLAYER]],TableOverallMaster[OVERALL PLAYER],0)),"")</f>
        <v>142.6223646861975</v>
      </c>
      <c r="AT116" s="121">
        <f>IFERROR(INDEX(TableOverallMaster[VORP],MATCH(TableOverallRank[[#This Row],[OVERALL PLAYER]],TableOverallMaster[OVERALL PLAYER],0)),"")</f>
        <v>8.3435251620809087E-2</v>
      </c>
      <c r="AV116">
        <v>115</v>
      </c>
      <c r="AW116" s="122" t="str">
        <f>IFERROR(INDEX(TableWRTECalcPts[PLAYER],MATCH(TableWRTERank[[#This Row],[RK]],TableWRTECalcPts[RK],0)),"")</f>
        <v>Isaiah Likely</v>
      </c>
      <c r="AX116" s="122" t="str">
        <f>IFERROR(INDEX(TableWRTECalcPts[POS RK],MATCH(TableWRTERank[[#This Row],[WR and TE COMBINED]],TableWRTECalcPts[PLAYER],0)),"")</f>
        <v>TE26</v>
      </c>
      <c r="AY116" s="122">
        <f>IFERROR(INDEX(TableWRTECalcPts[BYE],MATCH(TableWRTERank[[#This Row],[RK]],TableWRTECalcPts[RK],0)),"")</f>
        <v>14</v>
      </c>
      <c r="AZ116" s="123">
        <f>IFERROR(INDEX(TableWRTECalcPts[Custom],MATCH(TableWRTERank[[#This Row],[RK]],TableWRTECalcPts[RK],0)),"")</f>
        <v>80.196752536282389</v>
      </c>
      <c r="BA116" s="174">
        <f>IFERROR((TableWRTERank[[#This Row],[FPS]]-INDEX(TableWRTERank[FPS],MATCH(WRTEVORPCalc,TableWRTERank[RK],0)))/INDEX(TableWRTERank[FPS],MATCH(WRTEVORPCalc,TableWRTERank[RK],0)),"")</f>
        <v>-0.48894233511330726</v>
      </c>
      <c r="BC116" t="s">
        <v>208</v>
      </c>
      <c r="BD116">
        <v>115</v>
      </c>
      <c r="BE116" s="83">
        <f>RANK(TableWRTEMaster[[#This Row],[VORP]],TableWRTEMaster[VORP])+COUNTIF($BJ$2:BJ116,BJ116)-1</f>
        <v>178</v>
      </c>
      <c r="BF116" s="115" t="str">
        <f>IFERROR(INDEX(TableWRVORP[WIDE RECEIVER],MATCH(TableWRTEMaster[[#This Row],[RK]],TableWRVORP[RK],0)),"")</f>
        <v>Mack Hollins</v>
      </c>
      <c r="BG116" s="115" t="str">
        <f>_xlfn.CONCAT(TableWRTEMaster[[#This Row],[POS]],TableWRTEMaster[[#This Row],[RK]])</f>
        <v>WR115</v>
      </c>
      <c r="BH116" s="115">
        <f>IFERROR(INDEX(TableWRVORP[BYE],MATCH(TableWRTEMaster[[#This Row],[RK]],TableWRVORP[RK],0)),"")</f>
        <v>12</v>
      </c>
      <c r="BI116" s="116">
        <f>IFERROR(INDEX(TableWRVORP[FPS],MATCH(TableWRTEMaster[[#This Row],[RK]],TableWRVORP[RK],0)),"")</f>
        <v>38.947801670303662</v>
      </c>
      <c r="BJ116" s="117">
        <f>IFERROR(INDEX(TableWRVORP[VORP],MATCH(TableWRTEMaster[[#This Row],[RK]],TableWRVORP[RK],0)),"")</f>
        <v>-0.88253196599662398</v>
      </c>
    </row>
    <row r="117" spans="8:62" x14ac:dyDescent="0.2">
      <c r="H117">
        <v>116</v>
      </c>
      <c r="I117" s="112" t="str">
        <f>IFERROR(INDEX(TableRBCalcPts[PLAYER],MATCH(TableRBVORP[[#This Row],[RK]],TableRBCalcPts[RK],0)),"")</f>
        <v/>
      </c>
      <c r="J117" s="112" t="str">
        <f>IFERROR(INDEX(TableRBCalcPts[TM],MATCH(TableRBVORP[[#This Row],[RK]],TableRBCalcPts[RK],0)),"")</f>
        <v/>
      </c>
      <c r="K117" s="112" t="str">
        <f>IFERROR(INDEX(TableRBCalcPts[BYE],MATCH(TableRBVORP[[#This Row],[RK]],TableRBCalcPts[RK],0)),"")</f>
        <v/>
      </c>
      <c r="L117" s="113" t="str">
        <f>IFERROR(INDEX(TableRBCalcPts[Custom],MATCH(TableRBVORP[[#This Row],[RK]],TableRBCalcPts[RK],0)),"")</f>
        <v/>
      </c>
      <c r="M117" s="114" t="e">
        <f>(IFERROR((TableRBVORP[[#This Row],[FPS]]-INDEX(TableRBVORP[FPS],MATCH(RBVORPCalc,TableRBVORP[RK],0)))/INDEX(TableRBVORP[FPS],MATCH(RBVORPCalc,TableRBVORP[RK],0)),""))*0.8</f>
        <v>#VALUE!</v>
      </c>
      <c r="O117">
        <v>116</v>
      </c>
      <c r="P117" s="112" t="str">
        <f>IFERROR(INDEX(TableWRCalcPts[PLAYER],MATCH(TableWRVORP[[#This Row],[RK]],TableWRCalcPts[RK],0)),"")</f>
        <v>Noah Brown</v>
      </c>
      <c r="Q117" s="112" t="str">
        <f>IFERROR(INDEX(TableWRCalcPts[TM],MATCH(TableWRVORP[[#This Row],[RK]],TableWRCalcPts[RK],0)),"")</f>
        <v>WSH</v>
      </c>
      <c r="R117" s="112">
        <f>IFERROR(INDEX(TableWRCalcPts[BYE],MATCH(TableWRVORP[[#This Row],[RK]],TableWRCalcPts[RK],0)),"")</f>
        <v>14</v>
      </c>
      <c r="S117" s="113">
        <f>IFERROR(INDEX(TableWRCalcPts[Custom],MATCH(TableWRVORP[[#This Row],[RK]],TableWRCalcPts[RK],0)),"")</f>
        <v>38.679942155400006</v>
      </c>
      <c r="T117" s="114">
        <f>(IFERROR((TableWRVORP[[#This Row],[FPS]]-INDEX(TableWRVORP[FPS],MATCH(WRVORPCalc,TableWRVORP[RK],0)))/INDEX(TableWRVORP[FPS],MATCH(WRVORPCalc,TableWRVORP[RK],0)),""))*1.2</f>
        <v>-0.88471531986869634</v>
      </c>
      <c r="AF117" t="s">
        <v>207</v>
      </c>
      <c r="AG117">
        <v>76</v>
      </c>
      <c r="AH117" s="83">
        <f>RANK(TableOverallMaster[[#This Row],[VORP]],TableOverallMaster[VORP])+COUNTIF($AM$2:AM117,AM117)-1</f>
        <v>229</v>
      </c>
      <c r="AI117" s="115" t="str">
        <f>IFERROR(INDEX(TableRBVORP[RUNNING BACK],MATCH(TableOverallMaster[[#This Row],[RK]],TableRBVORP[RK],0)),"")</f>
        <v>Keaton Mitchell</v>
      </c>
      <c r="AJ117" s="115" t="str">
        <f t="shared" si="1"/>
        <v>RB76</v>
      </c>
      <c r="AK117" s="115">
        <f>IFERROR(INDEX(TableRBVORP[BYE],MATCH(TableOverallMaster[[#This Row],[RK]],TableRBVORP[RK],0)),"")</f>
        <v>14</v>
      </c>
      <c r="AL117" s="116">
        <f>IFERROR(INDEX(TableRBVORP[FPS],MATCH(TableOverallMaster[[#This Row],[RK]],TableRBVORP[RK],0)),"")</f>
        <v>40.286818812425665</v>
      </c>
      <c r="AM117" s="117">
        <f>IFERROR(INDEX(TableRBVORP[VORP],MATCH(TableOverallMaster[[#This Row],[RK]],TableRBVORP[RK],0)),"")</f>
        <v>-0.53122606979672282</v>
      </c>
      <c r="AO117">
        <v>116</v>
      </c>
      <c r="AP117" s="118" t="str">
        <f>IFERROR(INDEX(TableOverallMaster[OVERALL PLAYER],MATCH(TableOverallRank[[#This Row],[RK]],TableOverallMaster[OVR RK],0)),"")</f>
        <v>Keenan Allen</v>
      </c>
      <c r="AQ117" s="119" t="str">
        <f>IFERROR(INDEX(TableOverallMaster[POS RK],MATCH(TableOverallRank[[#This Row],[OVERALL PLAYER]],TableOverallMaster[OVERALL PLAYER],0)),"")</f>
        <v>WR51</v>
      </c>
      <c r="AR117" s="120">
        <f>IFERROR(INDEX(TableOverallMaster[BYE],MATCH(TableOverallRank[[#This Row],[OVERALL PLAYER]],TableOverallMaster[OVERALL PLAYER],0)),"")</f>
        <v>7</v>
      </c>
      <c r="AS117" s="119">
        <f>IFERROR(INDEX(TableOverallMaster[Custom],MATCH(TableOverallRank[[#This Row],[OVERALL PLAYER]],TableOverallMaster[OVERALL PLAYER],0)),"")</f>
        <v>156.9230989893536</v>
      </c>
      <c r="AT117" s="121">
        <f>IFERROR(INDEX(TableOverallMaster[VORP],MATCH(TableOverallRank[[#This Row],[OVERALL PLAYER]],TableOverallMaster[OVERALL PLAYER],0)),"")</f>
        <v>7.9098321070371791E-2</v>
      </c>
      <c r="AV117">
        <v>116</v>
      </c>
      <c r="AW117" s="122" t="str">
        <f>IFERROR(INDEX(TableWRTECalcPts[PLAYER],MATCH(TableWRTERank[[#This Row],[RK]],TableWRTECalcPts[RK],0)),"")</f>
        <v>Hayden Hurst</v>
      </c>
      <c r="AX117" s="122" t="str">
        <f>IFERROR(INDEX(TableWRTECalcPts[POS RK],MATCH(TableWRTERank[[#This Row],[WR and TE COMBINED]],TableWRTECalcPts[PLAYER],0)),"")</f>
        <v>TE27</v>
      </c>
      <c r="AY117" s="122">
        <f>IFERROR(INDEX(TableWRTECalcPts[BYE],MATCH(TableWRTERank[[#This Row],[RK]],TableWRTECalcPts[RK],0)),"")</f>
        <v>5</v>
      </c>
      <c r="AZ117" s="123">
        <f>IFERROR(INDEX(TableWRTECalcPts[Custom],MATCH(TableWRTERank[[#This Row],[RK]],TableWRTECalcPts[RK],0)),"")</f>
        <v>79.726833329761405</v>
      </c>
      <c r="BA117" s="174">
        <f>IFERROR((TableWRTERank[[#This Row],[FPS]]-INDEX(TableWRTERank[FPS],MATCH(WRTEVORPCalc,TableWRTERank[RK],0)))/INDEX(TableWRTERank[FPS],MATCH(WRTEVORPCalc,TableWRTERank[RK],0)),"")</f>
        <v>-0.49193691787102389</v>
      </c>
      <c r="BC117" t="s">
        <v>208</v>
      </c>
      <c r="BD117">
        <v>116</v>
      </c>
      <c r="BE117" s="83">
        <f>RANK(TableWRTEMaster[[#This Row],[VORP]],TableWRTEMaster[VORP])+COUNTIF($BJ$2:BJ117,BJ117)-1</f>
        <v>179</v>
      </c>
      <c r="BF117" s="115" t="str">
        <f>IFERROR(INDEX(TableWRVORP[WIDE RECEIVER],MATCH(TableWRTEMaster[[#This Row],[RK]],TableWRVORP[RK],0)),"")</f>
        <v>Noah Brown</v>
      </c>
      <c r="BG117" s="115" t="str">
        <f>_xlfn.CONCAT(TableWRTEMaster[[#This Row],[POS]],TableWRTEMaster[[#This Row],[RK]])</f>
        <v>WR116</v>
      </c>
      <c r="BH117" s="115">
        <f>IFERROR(INDEX(TableWRVORP[BYE],MATCH(TableWRTEMaster[[#This Row],[RK]],TableWRVORP[RK],0)),"")</f>
        <v>14</v>
      </c>
      <c r="BI117" s="116">
        <f>IFERROR(INDEX(TableWRVORP[FPS],MATCH(TableWRTEMaster[[#This Row],[RK]],TableWRVORP[RK],0)),"")</f>
        <v>38.679942155400006</v>
      </c>
      <c r="BJ117" s="117">
        <f>IFERROR(INDEX(TableWRVORP[VORP],MATCH(TableWRTEMaster[[#This Row],[RK]],TableWRVORP[RK],0)),"")</f>
        <v>-0.88471531986869634</v>
      </c>
    </row>
    <row r="118" spans="8:62" x14ac:dyDescent="0.2">
      <c r="H118">
        <v>117</v>
      </c>
      <c r="I118" s="112" t="str">
        <f>IFERROR(INDEX(TableRBCalcPts[PLAYER],MATCH(TableRBVORP[[#This Row],[RK]],TableRBCalcPts[RK],0)),"")</f>
        <v/>
      </c>
      <c r="J118" s="112" t="str">
        <f>IFERROR(INDEX(TableRBCalcPts[TM],MATCH(TableRBVORP[[#This Row],[RK]],TableRBCalcPts[RK],0)),"")</f>
        <v/>
      </c>
      <c r="K118" s="112" t="str">
        <f>IFERROR(INDEX(TableRBCalcPts[BYE],MATCH(TableRBVORP[[#This Row],[RK]],TableRBCalcPts[RK],0)),"")</f>
        <v/>
      </c>
      <c r="L118" s="113" t="str">
        <f>IFERROR(INDEX(TableRBCalcPts[Custom],MATCH(TableRBVORP[[#This Row],[RK]],TableRBCalcPts[RK],0)),"")</f>
        <v/>
      </c>
      <c r="M118" s="114" t="e">
        <f>(IFERROR((TableRBVORP[[#This Row],[FPS]]-INDEX(TableRBVORP[FPS],MATCH(RBVORPCalc,TableRBVORP[RK],0)))/INDEX(TableRBVORP[FPS],MATCH(RBVORPCalc,TableRBVORP[RK],0)),""))*0.8</f>
        <v>#VALUE!</v>
      </c>
      <c r="O118">
        <v>117</v>
      </c>
      <c r="P118" s="112" t="str">
        <f>IFERROR(INDEX(TableWRCalcPts[PLAYER],MATCH(TableWRVORP[[#This Row],[RK]],TableWRCalcPts[RK],0)),"")</f>
        <v>Zay Jones</v>
      </c>
      <c r="Q118" s="112" t="str">
        <f>IFERROR(INDEX(TableWRCalcPts[TM],MATCH(TableWRVORP[[#This Row],[RK]],TableWRCalcPts[RK],0)),"")</f>
        <v>ARI</v>
      </c>
      <c r="R118" s="112">
        <f>IFERROR(INDEX(TableWRCalcPts[BYE],MATCH(TableWRVORP[[#This Row],[RK]],TableWRCalcPts[RK],0)),"")</f>
        <v>11</v>
      </c>
      <c r="S118" s="113">
        <f>IFERROR(INDEX(TableWRCalcPts[Custom],MATCH(TableWRVORP[[#This Row],[RK]],TableWRCalcPts[RK],0)),"")</f>
        <v>34.491975864600278</v>
      </c>
      <c r="T118" s="114">
        <f>(IFERROR((TableWRVORP[[#This Row],[FPS]]-INDEX(TableWRVORP[FPS],MATCH(WRVORPCalc,TableWRVORP[RK],0)))/INDEX(TableWRVORP[FPS],MATCH(WRVORPCalc,TableWRVORP[RK],0)),""))*1.2</f>
        <v>-0.91885191725787152</v>
      </c>
      <c r="AF118" t="s">
        <v>207</v>
      </c>
      <c r="AG118">
        <v>77</v>
      </c>
      <c r="AH118" s="83">
        <f>RANK(TableOverallMaster[[#This Row],[VORP]],TableOverallMaster[VORP])+COUNTIF($AM$2:AM118,AM118)-1</f>
        <v>235</v>
      </c>
      <c r="AI118" s="115" t="str">
        <f>IFERROR(INDEX(TableRBVORP[RUNNING BACK],MATCH(TableOverallMaster[[#This Row],[RK]],TableRBVORP[RK],0)),"")</f>
        <v>Will Shipley</v>
      </c>
      <c r="AJ118" s="115" t="str">
        <f t="shared" si="1"/>
        <v>RB77</v>
      </c>
      <c r="AK118" s="115">
        <f>IFERROR(INDEX(TableRBVORP[BYE],MATCH(TableOverallMaster[[#This Row],[RK]],TableRBVORP[RK],0)),"")</f>
        <v>5</v>
      </c>
      <c r="AL118" s="116">
        <f>IFERROR(INDEX(TableRBVORP[FPS],MATCH(TableOverallMaster[[#This Row],[RK]],TableRBVORP[RK],0)),"")</f>
        <v>36.098389367547966</v>
      </c>
      <c r="AM118" s="117">
        <f>IFERROR(INDEX(TableRBVORP[VORP],MATCH(TableOverallMaster[[#This Row],[RK]],TableRBVORP[RK],0)),"")</f>
        <v>-0.55916922034728689</v>
      </c>
      <c r="AO118">
        <v>117</v>
      </c>
      <c r="AP118" s="118" t="str">
        <f>IFERROR(INDEX(TableOverallMaster[OVERALL PLAYER],MATCH(TableOverallRank[[#This Row],[RK]],TableOverallMaster[OVR RK],0)),"")</f>
        <v>Christian Watson</v>
      </c>
      <c r="AQ118" s="119" t="str">
        <f>IFERROR(INDEX(TableOverallMaster[POS RK],MATCH(TableOverallRank[[#This Row],[OVERALL PLAYER]],TableOverallMaster[OVERALL PLAYER],0)),"")</f>
        <v>WR52</v>
      </c>
      <c r="AR118" s="120">
        <f>IFERROR(INDEX(TableOverallMaster[BYE],MATCH(TableOverallRank[[#This Row],[OVERALL PLAYER]],TableOverallMaster[OVERALL PLAYER],0)),"")</f>
        <v>10</v>
      </c>
      <c r="AS118" s="119">
        <f>IFERROR(INDEX(TableOverallMaster[Custom],MATCH(TableOverallRank[[#This Row],[OVERALL PLAYER]],TableOverallMaster[OVERALL PLAYER],0)),"")</f>
        <v>155.86557059484923</v>
      </c>
      <c r="AT118" s="121">
        <f>IFERROR(INDEX(TableOverallMaster[VORP],MATCH(TableOverallRank[[#This Row],[OVERALL PLAYER]],TableOverallMaster[OVERALL PLAYER],0)),"")</f>
        <v>7.0478284870433103E-2</v>
      </c>
      <c r="AV118">
        <v>117</v>
      </c>
      <c r="AW118" s="122" t="str">
        <f>IFERROR(INDEX(TableWRTECalcPts[PLAYER],MATCH(TableWRTERank[[#This Row],[RK]],TableWRTECalcPts[RK],0)),"")</f>
        <v>Ben Sinnott</v>
      </c>
      <c r="AX118" s="122" t="str">
        <f>IFERROR(INDEX(TableWRTECalcPts[POS RK],MATCH(TableWRTERank[[#This Row],[WR and TE COMBINED]],TableWRTECalcPts[PLAYER],0)),"")</f>
        <v>TE28</v>
      </c>
      <c r="AY118" s="122">
        <f>IFERROR(INDEX(TableWRTECalcPts[BYE],MATCH(TableWRTERank[[#This Row],[RK]],TableWRTECalcPts[RK],0)),"")</f>
        <v>14</v>
      </c>
      <c r="AZ118" s="123">
        <f>IFERROR(INDEX(TableWRTECalcPts[Custom],MATCH(TableWRTERank[[#This Row],[RK]],TableWRTECalcPts[RK],0)),"")</f>
        <v>79.489285396192031</v>
      </c>
      <c r="BA118" s="174">
        <f>IFERROR((TableWRTERank[[#This Row],[FPS]]-INDEX(TableWRTERank[FPS],MATCH(WRTEVORPCalc,TableWRTERank[RK],0)))/INDEX(TableWRTERank[FPS],MATCH(WRTEVORPCalc,TableWRTERank[RK],0)),"")</f>
        <v>-0.49345070350933512</v>
      </c>
      <c r="BC118" t="s">
        <v>208</v>
      </c>
      <c r="BD118">
        <v>117</v>
      </c>
      <c r="BE118" s="83">
        <f>RANK(TableWRTEMaster[[#This Row],[VORP]],TableWRTEMaster[VORP])+COUNTIF($BJ$2:BJ118,BJ118)-1</f>
        <v>186</v>
      </c>
      <c r="BF118" s="115" t="str">
        <f>IFERROR(INDEX(TableWRVORP[WIDE RECEIVER],MATCH(TableWRTEMaster[[#This Row],[RK]],TableWRVORP[RK],0)),"")</f>
        <v>Zay Jones</v>
      </c>
      <c r="BG118" s="115" t="str">
        <f>_xlfn.CONCAT(TableWRTEMaster[[#This Row],[POS]],TableWRTEMaster[[#This Row],[RK]])</f>
        <v>WR117</v>
      </c>
      <c r="BH118" s="115">
        <f>IFERROR(INDEX(TableWRVORP[BYE],MATCH(TableWRTEMaster[[#This Row],[RK]],TableWRVORP[RK],0)),"")</f>
        <v>11</v>
      </c>
      <c r="BI118" s="116">
        <f>IFERROR(INDEX(TableWRVORP[FPS],MATCH(TableWRTEMaster[[#This Row],[RK]],TableWRVORP[RK],0)),"")</f>
        <v>34.491975864600278</v>
      </c>
      <c r="BJ118" s="117">
        <f>IFERROR(INDEX(TableWRVORP[VORP],MATCH(TableWRTEMaster[[#This Row],[RK]],TableWRVORP[RK],0)),"")</f>
        <v>-0.91885191725787152</v>
      </c>
    </row>
    <row r="119" spans="8:62" x14ac:dyDescent="0.2">
      <c r="H119">
        <v>118</v>
      </c>
      <c r="I119" s="112" t="str">
        <f>IFERROR(INDEX(TableRBCalcPts[PLAYER],MATCH(TableRBVORP[[#This Row],[RK]],TableRBCalcPts[RK],0)),"")</f>
        <v/>
      </c>
      <c r="J119" s="112" t="str">
        <f>IFERROR(INDEX(TableRBCalcPts[TM],MATCH(TableRBVORP[[#This Row],[RK]],TableRBCalcPts[RK],0)),"")</f>
        <v/>
      </c>
      <c r="K119" s="112" t="str">
        <f>IFERROR(INDEX(TableRBCalcPts[BYE],MATCH(TableRBVORP[[#This Row],[RK]],TableRBCalcPts[RK],0)),"")</f>
        <v/>
      </c>
      <c r="L119" s="113" t="str">
        <f>IFERROR(INDEX(TableRBCalcPts[Custom],MATCH(TableRBVORP[[#This Row],[RK]],TableRBCalcPts[RK],0)),"")</f>
        <v/>
      </c>
      <c r="M119" s="114" t="e">
        <f>(IFERROR((TableRBVORP[[#This Row],[FPS]]-INDEX(TableRBVORP[FPS],MATCH(RBVORPCalc,TableRBVORP[RK],0)))/INDEX(TableRBVORP[FPS],MATCH(RBVORPCalc,TableRBVORP[RK],0)),""))*0.8</f>
        <v>#VALUE!</v>
      </c>
      <c r="O119">
        <v>118</v>
      </c>
      <c r="P119" s="112" t="str">
        <f>IFERROR(INDEX(TableWRCalcPts[PLAYER],MATCH(TableWRVORP[[#This Row],[RK]],TableWRCalcPts[RK],0)),"")</f>
        <v>Jake Bobo</v>
      </c>
      <c r="Q119" s="112" t="str">
        <f>IFERROR(INDEX(TableWRCalcPts[TM],MATCH(TableWRVORP[[#This Row],[RK]],TableWRCalcPts[RK],0)),"")</f>
        <v>SEA</v>
      </c>
      <c r="R119" s="112">
        <f>IFERROR(INDEX(TableWRCalcPts[BYE],MATCH(TableWRVORP[[#This Row],[RK]],TableWRCalcPts[RK],0)),"")</f>
        <v>10</v>
      </c>
      <c r="S119" s="113">
        <f>IFERROR(INDEX(TableWRCalcPts[Custom],MATCH(TableWRVORP[[#This Row],[RK]],TableWRCalcPts[RK],0)),"")</f>
        <v>34.341331834367637</v>
      </c>
      <c r="T119" s="114">
        <f>(IFERROR((TableWRVORP[[#This Row],[FPS]]-INDEX(TableWRVORP[FPS],MATCH(WRVORPCalc,TableWRVORP[RK],0)))/INDEX(TableWRVORP[FPS],MATCH(WRVORPCalc,TableWRVORP[RK],0)),""))*1.2</f>
        <v>-0.92007983416360961</v>
      </c>
      <c r="AF119" t="s">
        <v>207</v>
      </c>
      <c r="AG119">
        <v>78</v>
      </c>
      <c r="AH119" s="83">
        <f>RANK(TableOverallMaster[[#This Row],[VORP]],TableOverallMaster[VORP])+COUNTIF($AM$2:AM119,AM119)-1</f>
        <v>240</v>
      </c>
      <c r="AI119" s="115" t="str">
        <f>IFERROR(INDEX(TableRBVORP[RUNNING BACK],MATCH(TableOverallMaster[[#This Row],[RK]],TableRBVORP[RK],0)),"")</f>
        <v>Justice Hill</v>
      </c>
      <c r="AJ119" s="115" t="str">
        <f t="shared" si="1"/>
        <v>RB78</v>
      </c>
      <c r="AK119" s="115">
        <f>IFERROR(INDEX(TableRBVORP[BYE],MATCH(TableOverallMaster[[#This Row],[RK]],TableRBVORP[RK],0)),"")</f>
        <v>14</v>
      </c>
      <c r="AL119" s="116">
        <f>IFERROR(INDEX(TableRBVORP[FPS],MATCH(TableOverallMaster[[#This Row],[RK]],TableRBVORP[RK],0)),"")</f>
        <v>30.430215348149698</v>
      </c>
      <c r="AM119" s="117">
        <f>IFERROR(INDEX(TableRBVORP[VORP],MATCH(TableOverallMaster[[#This Row],[RK]],TableRBVORP[RK],0)),"")</f>
        <v>-0.59698450219823063</v>
      </c>
      <c r="AO119">
        <v>118</v>
      </c>
      <c r="AP119" s="118" t="str">
        <f>IFERROR(INDEX(TableOverallMaster[OVERALL PLAYER],MATCH(TableOverallRank[[#This Row],[RK]],TableOverallMaster[OVR RK],0)),"")</f>
        <v>David Njoku</v>
      </c>
      <c r="AQ119" s="119" t="str">
        <f>IFERROR(INDEX(TableOverallMaster[POS RK],MATCH(TableOverallRank[[#This Row],[OVERALL PLAYER]],TableOverallMaster[OVERALL PLAYER],0)),"")</f>
        <v>TE11</v>
      </c>
      <c r="AR119" s="120">
        <f>IFERROR(INDEX(TableOverallMaster[BYE],MATCH(TableOverallRank[[#This Row],[OVERALL PLAYER]],TableOverallMaster[OVERALL PLAYER],0)),"")</f>
        <v>10</v>
      </c>
      <c r="AS119" s="119">
        <f>IFERROR(INDEX(TableOverallMaster[Custom],MATCH(TableOverallRank[[#This Row],[OVERALL PLAYER]],TableOverallMaster[OVERALL PLAYER],0)),"")</f>
        <v>138.11830343849996</v>
      </c>
      <c r="AT119" s="121">
        <f>IFERROR(INDEX(TableOverallMaster[VORP],MATCH(TableOverallRank[[#This Row],[OVERALL PLAYER]],TableOverallMaster[OVERALL PLAYER],0)),"")</f>
        <v>4.9220009558657442E-2</v>
      </c>
      <c r="AV119">
        <v>118</v>
      </c>
      <c r="AW119" s="122" t="str">
        <f>IFERROR(INDEX(TableWRTECalcPts[PLAYER],MATCH(TableWRTERank[[#This Row],[RK]],TableWRTECalcPts[RK],0)),"")</f>
        <v>Jalin Hyatt</v>
      </c>
      <c r="AX119" s="122" t="str">
        <f>IFERROR(INDEX(TableWRTECalcPts[POS RK],MATCH(TableWRTERank[[#This Row],[WR and TE COMBINED]],TableWRTECalcPts[PLAYER],0)),"")</f>
        <v>WR90</v>
      </c>
      <c r="AY119" s="122">
        <f>IFERROR(INDEX(TableWRTECalcPts[BYE],MATCH(TableWRTERank[[#This Row],[RK]],TableWRTECalcPts[RK],0)),"")</f>
        <v>11</v>
      </c>
      <c r="AZ119" s="123">
        <f>IFERROR(INDEX(TableWRTECalcPts[Custom],MATCH(TableWRTERank[[#This Row],[RK]],TableWRTECalcPts[RK],0)),"")</f>
        <v>78.840212767144308</v>
      </c>
      <c r="BA119" s="174">
        <f>IFERROR((TableWRTERank[[#This Row],[FPS]]-INDEX(TableWRTERank[FPS],MATCH(WRTEVORPCalc,TableWRTERank[RK],0)))/INDEX(TableWRTERank[FPS],MATCH(WRTEVORPCalc,TableWRTERank[RK],0)),"")</f>
        <v>-0.49758695007359499</v>
      </c>
      <c r="BC119" t="s">
        <v>208</v>
      </c>
      <c r="BD119">
        <v>118</v>
      </c>
      <c r="BE119" s="83">
        <f>RANK(TableWRTEMaster[[#This Row],[VORP]],TableWRTEMaster[VORP])+COUNTIF($BJ$2:BJ119,BJ119)-1</f>
        <v>187</v>
      </c>
      <c r="BF119" s="115" t="str">
        <f>IFERROR(INDEX(TableWRVORP[WIDE RECEIVER],MATCH(TableWRTEMaster[[#This Row],[RK]],TableWRVORP[RK],0)),"")</f>
        <v>Jake Bobo</v>
      </c>
      <c r="BG119" s="115" t="str">
        <f>_xlfn.CONCAT(TableWRTEMaster[[#This Row],[POS]],TableWRTEMaster[[#This Row],[RK]])</f>
        <v>WR118</v>
      </c>
      <c r="BH119" s="115">
        <f>IFERROR(INDEX(TableWRVORP[BYE],MATCH(TableWRTEMaster[[#This Row],[RK]],TableWRVORP[RK],0)),"")</f>
        <v>10</v>
      </c>
      <c r="BI119" s="116">
        <f>IFERROR(INDEX(TableWRVORP[FPS],MATCH(TableWRTEMaster[[#This Row],[RK]],TableWRVORP[RK],0)),"")</f>
        <v>34.341331834367637</v>
      </c>
      <c r="BJ119" s="117">
        <f>IFERROR(INDEX(TableWRVORP[VORP],MATCH(TableWRTEMaster[[#This Row],[RK]],TableWRVORP[RK],0)),"")</f>
        <v>-0.92007983416360961</v>
      </c>
    </row>
    <row r="120" spans="8:62" x14ac:dyDescent="0.2">
      <c r="H120">
        <v>119</v>
      </c>
      <c r="I120" s="112" t="str">
        <f>IFERROR(INDEX(TableRBCalcPts[PLAYER],MATCH(TableRBVORP[[#This Row],[RK]],TableRBCalcPts[RK],0)),"")</f>
        <v/>
      </c>
      <c r="J120" s="112" t="str">
        <f>IFERROR(INDEX(TableRBCalcPts[TM],MATCH(TableRBVORP[[#This Row],[RK]],TableRBCalcPts[RK],0)),"")</f>
        <v/>
      </c>
      <c r="K120" s="112" t="str">
        <f>IFERROR(INDEX(TableRBCalcPts[BYE],MATCH(TableRBVORP[[#This Row],[RK]],TableRBCalcPts[RK],0)),"")</f>
        <v/>
      </c>
      <c r="L120" s="113" t="str">
        <f>IFERROR(INDEX(TableRBCalcPts[Custom],MATCH(TableRBVORP[[#This Row],[RK]],TableRBCalcPts[RK],0)),"")</f>
        <v/>
      </c>
      <c r="M120" s="114" t="e">
        <f>(IFERROR((TableRBVORP[[#This Row],[FPS]]-INDEX(TableRBVORP[FPS],MATCH(RBVORPCalc,TableRBVORP[RK],0)))/INDEX(TableRBVORP[FPS],MATCH(RBVORPCalc,TableRBVORP[RK],0)),""))*0.8</f>
        <v>#VALUE!</v>
      </c>
      <c r="O120">
        <v>119</v>
      </c>
      <c r="P120" s="112" t="str">
        <f>IFERROR(INDEX(TableWRCalcPts[PLAYER],MATCH(TableWRVORP[[#This Row],[RK]],TableWRCalcPts[RK],0)),"")</f>
        <v>Deonte Harty</v>
      </c>
      <c r="Q120" s="112" t="str">
        <f>IFERROR(INDEX(TableWRCalcPts[TM],MATCH(TableWRVORP[[#This Row],[RK]],TableWRCalcPts[RK],0)),"")</f>
        <v>BAL</v>
      </c>
      <c r="R120" s="112">
        <f>IFERROR(INDEX(TableWRCalcPts[BYE],MATCH(TableWRVORP[[#This Row],[RK]],TableWRCalcPts[RK],0)),"")</f>
        <v>14</v>
      </c>
      <c r="S120" s="113">
        <f>IFERROR(INDEX(TableWRCalcPts[Custom],MATCH(TableWRVORP[[#This Row],[RK]],TableWRCalcPts[RK],0)),"")</f>
        <v>33.714169441945884</v>
      </c>
      <c r="T120" s="114">
        <f>(IFERROR((TableWRVORP[[#This Row],[FPS]]-INDEX(TableWRVORP[FPS],MATCH(WRVORPCalc,TableWRVORP[RK],0)))/INDEX(TableWRVORP[FPS],MATCH(WRVORPCalc,TableWRVORP[RK],0)),""))*1.2</f>
        <v>-0.92519190732780054</v>
      </c>
      <c r="AF120" t="s">
        <v>207</v>
      </c>
      <c r="AG120">
        <v>79</v>
      </c>
      <c r="AH120" s="83">
        <f>RANK(TableOverallMaster[[#This Row],[VORP]],TableOverallMaster[VORP])+COUNTIF($AM$2:AM120,AM120)-1</f>
        <v>242</v>
      </c>
      <c r="AI120" s="115" t="str">
        <f>IFERROR(INDEX(TableRBVORP[RUNNING BACK],MATCH(TableOverallMaster[[#This Row],[RK]],TableRBVORP[RK],0)),"")</f>
        <v>Jaret Patterson</v>
      </c>
      <c r="AJ120" s="115" t="str">
        <f t="shared" si="1"/>
        <v>RB79</v>
      </c>
      <c r="AK120" s="115">
        <f>IFERROR(INDEX(TableRBVORP[BYE],MATCH(TableOverallMaster[[#This Row],[RK]],TableRBVORP[RK],0)),"")</f>
        <v>5</v>
      </c>
      <c r="AL120" s="116">
        <f>IFERROR(INDEX(TableRBVORP[FPS],MATCH(TableOverallMaster[[#This Row],[RK]],TableRBVORP[RK],0)),"")</f>
        <v>29.588984625290436</v>
      </c>
      <c r="AM120" s="117">
        <f>IFERROR(INDEX(TableRBVORP[VORP],MATCH(TableOverallMaster[[#This Row],[RK]],TableRBVORP[RK],0)),"")</f>
        <v>-0.60259678170442221</v>
      </c>
      <c r="AO120">
        <v>119</v>
      </c>
      <c r="AP120" s="118" t="str">
        <f>IFERROR(INDEX(TableOverallMaster[OVERALL PLAYER],MATCH(TableOverallRank[[#This Row],[RK]],TableOverallMaster[OVR RK],0)),"")</f>
        <v>Jared Goff</v>
      </c>
      <c r="AQ120" s="119" t="str">
        <f>IFERROR(INDEX(TableOverallMaster[POS RK],MATCH(TableOverallRank[[#This Row],[OVERALL PLAYER]],TableOverallMaster[OVERALL PLAYER],0)),"")</f>
        <v>QB15</v>
      </c>
      <c r="AR120" s="120">
        <f>IFERROR(INDEX(TableOverallMaster[BYE],MATCH(TableOverallRank[[#This Row],[OVERALL PLAYER]],TableOverallMaster[OVERALL PLAYER],0)),"")</f>
        <v>5</v>
      </c>
      <c r="AS120" s="119">
        <f>IFERROR(INDEX(TableOverallMaster[Custom],MATCH(TableOverallRank[[#This Row],[OVERALL PLAYER]],TableOverallMaster[OVERALL PLAYER],0)),"")</f>
        <v>303.18172306147073</v>
      </c>
      <c r="AT120" s="121">
        <f>IFERROR(INDEX(TableOverallMaster[VORP],MATCH(TableOverallRank[[#This Row],[OVERALL PLAYER]],TableOverallMaster[OVERALL PLAYER],0)),"")</f>
        <v>4.6824884558793273E-2</v>
      </c>
      <c r="AV120">
        <v>119</v>
      </c>
      <c r="AW120" s="122" t="str">
        <f>IFERROR(INDEX(TableWRTECalcPts[PLAYER],MATCH(TableWRTERank[[#This Row],[RK]],TableWRTECalcPts[RK],0)),"")</f>
        <v>Troy Franklin</v>
      </c>
      <c r="AX120" s="122" t="str">
        <f>IFERROR(INDEX(TableWRTECalcPts[POS RK],MATCH(TableWRTERank[[#This Row],[WR and TE COMBINED]],TableWRTECalcPts[PLAYER],0)),"")</f>
        <v>WR91</v>
      </c>
      <c r="AY120" s="122">
        <f>IFERROR(INDEX(TableWRTECalcPts[BYE],MATCH(TableWRTERank[[#This Row],[RK]],TableWRTECalcPts[RK],0)),"")</f>
        <v>14</v>
      </c>
      <c r="AZ120" s="123">
        <f>IFERROR(INDEX(TableWRTECalcPts[Custom],MATCH(TableWRTERank[[#This Row],[RK]],TableWRTECalcPts[RK],0)),"")</f>
        <v>77.840978498808838</v>
      </c>
      <c r="BA120" s="174">
        <f>IFERROR((TableWRTERank[[#This Row],[FPS]]-INDEX(TableWRTERank[FPS],MATCH(WRTEVORPCalc,TableWRTERank[RK],0)))/INDEX(TableWRTERank[FPS],MATCH(WRTEVORPCalc,TableWRTERank[RK],0)),"")</f>
        <v>-0.50395461853522316</v>
      </c>
      <c r="BC120" t="s">
        <v>208</v>
      </c>
      <c r="BD120">
        <v>119</v>
      </c>
      <c r="BE120" s="83">
        <f>RANK(TableWRTEMaster[[#This Row],[VORP]],TableWRTEMaster[VORP])+COUNTIF($BJ$2:BJ120,BJ120)-1</f>
        <v>188</v>
      </c>
      <c r="BF120" s="115" t="str">
        <f>IFERROR(INDEX(TableWRVORP[WIDE RECEIVER],MATCH(TableWRTEMaster[[#This Row],[RK]],TableWRVORP[RK],0)),"")</f>
        <v>Deonte Harty</v>
      </c>
      <c r="BG120" s="115" t="str">
        <f>_xlfn.CONCAT(TableWRTEMaster[[#This Row],[POS]],TableWRTEMaster[[#This Row],[RK]])</f>
        <v>WR119</v>
      </c>
      <c r="BH120" s="115">
        <f>IFERROR(INDEX(TableWRVORP[BYE],MATCH(TableWRTEMaster[[#This Row],[RK]],TableWRVORP[RK],0)),"")</f>
        <v>14</v>
      </c>
      <c r="BI120" s="116">
        <f>IFERROR(INDEX(TableWRVORP[FPS],MATCH(TableWRTEMaster[[#This Row],[RK]],TableWRVORP[RK],0)),"")</f>
        <v>33.714169441945884</v>
      </c>
      <c r="BJ120" s="117">
        <f>IFERROR(INDEX(TableWRVORP[VORP],MATCH(TableWRTEMaster[[#This Row],[RK]],TableWRVORP[RK],0)),"")</f>
        <v>-0.92519190732780054</v>
      </c>
    </row>
    <row r="121" spans="8:62" x14ac:dyDescent="0.2">
      <c r="H121">
        <v>120</v>
      </c>
      <c r="I121" s="112" t="str">
        <f>IFERROR(INDEX(TableRBCalcPts[PLAYER],MATCH(TableRBVORP[[#This Row],[RK]],TableRBCalcPts[RK],0)),"")</f>
        <v/>
      </c>
      <c r="J121" s="112" t="str">
        <f>IFERROR(INDEX(TableRBCalcPts[TM],MATCH(TableRBVORP[[#This Row],[RK]],TableRBCalcPts[RK],0)),"")</f>
        <v/>
      </c>
      <c r="K121" s="112" t="str">
        <f>IFERROR(INDEX(TableRBCalcPts[BYE],MATCH(TableRBVORP[[#This Row],[RK]],TableRBCalcPts[RK],0)),"")</f>
        <v/>
      </c>
      <c r="L121" s="113" t="str">
        <f>IFERROR(INDEX(TableRBCalcPts[Custom],MATCH(TableRBVORP[[#This Row],[RK]],TableRBCalcPts[RK],0)),"")</f>
        <v/>
      </c>
      <c r="M121" s="114" t="e">
        <f>(IFERROR((TableRBVORP[[#This Row],[FPS]]-INDEX(TableRBVORP[FPS],MATCH(RBVORPCalc,TableRBVORP[RK],0)))/INDEX(TableRBVORP[FPS],MATCH(RBVORPCalc,TableRBVORP[RK],0)),""))*0.8</f>
        <v>#VALUE!</v>
      </c>
      <c r="O121">
        <v>120</v>
      </c>
      <c r="P121" s="112" t="str">
        <f>IFERROR(INDEX(TableWRCalcPts[PLAYER],MATCH(TableWRVORP[[#This Row],[RK]],TableWRCalcPts[RK],0)),"")</f>
        <v>JuJu Smith-Schuster</v>
      </c>
      <c r="Q121" s="112" t="str">
        <f>IFERROR(INDEX(TableWRCalcPts[TM],MATCH(TableWRVORP[[#This Row],[RK]],TableWRCalcPts[RK],0)),"")</f>
        <v>KC</v>
      </c>
      <c r="R121" s="112">
        <f>IFERROR(INDEX(TableWRCalcPts[BYE],MATCH(TableWRVORP[[#This Row],[RK]],TableWRCalcPts[RK],0)),"")</f>
        <v>6</v>
      </c>
      <c r="S121" s="113">
        <f>IFERROR(INDEX(TableWRCalcPts[Custom],MATCH(TableWRVORP[[#This Row],[RK]],TableWRCalcPts[RK],0)),"")</f>
        <v>32.587761034751999</v>
      </c>
      <c r="T121" s="114">
        <f>(IFERROR((TableWRVORP[[#This Row],[FPS]]-INDEX(TableWRVORP[FPS],MATCH(WRVORPCalc,TableWRVORP[RK],0)))/INDEX(TableWRVORP[FPS],MATCH(WRVORPCalc,TableWRVORP[RK],0)),""))*1.2</f>
        <v>-0.93437339247409512</v>
      </c>
      <c r="AF121" t="s">
        <v>207</v>
      </c>
      <c r="AG121">
        <v>80</v>
      </c>
      <c r="AH121" s="83">
        <f>RANK(TableOverallMaster[[#This Row],[VORP]],TableOverallMaster[VORP])+COUNTIF($AM$2:AM121,AM121)-1</f>
        <v>245</v>
      </c>
      <c r="AI121" s="115" t="str">
        <f>IFERROR(INDEX(TableRBVORP[RUNNING BACK],MATCH(TableOverallMaster[[#This Row],[RK]],TableRBVORP[RK],0)),"")</f>
        <v>Isaac Guerendo</v>
      </c>
      <c r="AJ121" s="115" t="str">
        <f t="shared" si="1"/>
        <v>RB80</v>
      </c>
      <c r="AK121" s="115">
        <f>IFERROR(INDEX(TableRBVORP[BYE],MATCH(TableOverallMaster[[#This Row],[RK]],TableRBVORP[RK],0)),"")</f>
        <v>9</v>
      </c>
      <c r="AL121" s="116">
        <f>IFERROR(INDEX(TableRBVORP[FPS],MATCH(TableOverallMaster[[#This Row],[RK]],TableRBVORP[RK],0)),"")</f>
        <v>28.83727157398889</v>
      </c>
      <c r="AM121" s="117">
        <f>IFERROR(INDEX(TableRBVORP[VORP],MATCH(TableOverallMaster[[#This Row],[RK]],TableRBVORP[RK],0)),"")</f>
        <v>-0.60761184313491423</v>
      </c>
      <c r="AO121">
        <v>120</v>
      </c>
      <c r="AP121" s="118" t="str">
        <f>IFERROR(INDEX(TableOverallMaster[OVERALL PLAYER],MATCH(TableOverallRank[[#This Row],[RK]],TableOverallMaster[OVR RK],0)),"")</f>
        <v>Antonio Gibson</v>
      </c>
      <c r="AQ121" s="119" t="str">
        <f>IFERROR(INDEX(TableOverallMaster[POS RK],MATCH(TableOverallRank[[#This Row],[OVERALL PLAYER]],TableOverallMaster[OVERALL PLAYER],0)),"")</f>
        <v>RB42</v>
      </c>
      <c r="AR121" s="120">
        <f>IFERROR(INDEX(TableOverallMaster[BYE],MATCH(TableOverallRank[[#This Row],[OVERALL PLAYER]],TableOverallMaster[OVERALL PLAYER],0)),"")</f>
        <v>14</v>
      </c>
      <c r="AS121" s="119">
        <f>IFERROR(INDEX(TableOverallMaster[Custom],MATCH(TableOverallRank[[#This Row],[OVERALL PLAYER]],TableOverallMaster[OVERALL PLAYER],0)),"")</f>
        <v>126.71956996098638</v>
      </c>
      <c r="AT121" s="121">
        <f>IFERROR(INDEX(TableOverallMaster[VORP],MATCH(TableOverallRank[[#This Row],[OVERALL PLAYER]],TableOverallMaster[OVERALL PLAYER],0)),"")</f>
        <v>4.541092734725094E-2</v>
      </c>
      <c r="AV121">
        <v>120</v>
      </c>
      <c r="AW121" s="122" t="str">
        <f>IFERROR(INDEX(TableWRTECalcPts[PLAYER],MATCH(TableWRTERank[[#This Row],[RK]],TableWRTECalcPts[RK],0)),"")</f>
        <v>Noah Fant</v>
      </c>
      <c r="AX121" s="122" t="str">
        <f>IFERROR(INDEX(TableWRTECalcPts[POS RK],MATCH(TableWRTERank[[#This Row],[WR and TE COMBINED]],TableWRTECalcPts[PLAYER],0)),"")</f>
        <v>TE29</v>
      </c>
      <c r="AY121" s="122">
        <f>IFERROR(INDEX(TableWRTECalcPts[BYE],MATCH(TableWRTERank[[#This Row],[RK]],TableWRTECalcPts[RK],0)),"")</f>
        <v>10</v>
      </c>
      <c r="AZ121" s="123">
        <f>IFERROR(INDEX(TableWRTECalcPts[Custom],MATCH(TableWRTERank[[#This Row],[RK]],TableWRTECalcPts[RK],0)),"")</f>
        <v>76.39024214942178</v>
      </c>
      <c r="BA121" s="174">
        <f>IFERROR((TableWRTERank[[#This Row],[FPS]]-INDEX(TableWRTERank[FPS],MATCH(WRTEVORPCalc,TableWRTERank[RK],0)))/INDEX(TableWRTERank[FPS],MATCH(WRTEVORPCalc,TableWRTERank[RK],0)),"")</f>
        <v>-0.51319950573621764</v>
      </c>
      <c r="BC121" t="s">
        <v>208</v>
      </c>
      <c r="BD121">
        <v>120</v>
      </c>
      <c r="BE121" s="83">
        <f>RANK(TableWRTEMaster[[#This Row],[VORP]],TableWRTEMaster[VORP])+COUNTIF($BJ$2:BJ121,BJ121)-1</f>
        <v>190</v>
      </c>
      <c r="BF121" s="115" t="str">
        <f>IFERROR(INDEX(TableWRVORP[WIDE RECEIVER],MATCH(TableWRTEMaster[[#This Row],[RK]],TableWRVORP[RK],0)),"")</f>
        <v>JuJu Smith-Schuster</v>
      </c>
      <c r="BG121" s="115" t="str">
        <f>_xlfn.CONCAT(TableWRTEMaster[[#This Row],[POS]],TableWRTEMaster[[#This Row],[RK]])</f>
        <v>WR120</v>
      </c>
      <c r="BH121" s="115">
        <f>IFERROR(INDEX(TableWRVORP[BYE],MATCH(TableWRTEMaster[[#This Row],[RK]],TableWRVORP[RK],0)),"")</f>
        <v>6</v>
      </c>
      <c r="BI121" s="116">
        <f>IFERROR(INDEX(TableWRVORP[FPS],MATCH(TableWRTEMaster[[#This Row],[RK]],TableWRVORP[RK],0)),"")</f>
        <v>32.587761034751999</v>
      </c>
      <c r="BJ121" s="117">
        <f>IFERROR(INDEX(TableWRVORP[VORP],MATCH(TableWRTEMaster[[#This Row],[RK]],TableWRVORP[RK],0)),"")</f>
        <v>-0.93437339247409512</v>
      </c>
    </row>
    <row r="122" spans="8:62" x14ac:dyDescent="0.2">
      <c r="H122">
        <v>121</v>
      </c>
      <c r="I122" s="112" t="str">
        <f>IFERROR(INDEX(TableRBCalcPts[PLAYER],MATCH(TableRBVORP[[#This Row],[RK]],TableRBCalcPts[RK],0)),"")</f>
        <v/>
      </c>
      <c r="J122" s="112" t="str">
        <f>IFERROR(INDEX(TableRBCalcPts[TM],MATCH(TableRBVORP[[#This Row],[RK]],TableRBCalcPts[RK],0)),"")</f>
        <v/>
      </c>
      <c r="K122" s="112" t="str">
        <f>IFERROR(INDEX(TableRBCalcPts[BYE],MATCH(TableRBVORP[[#This Row],[RK]],TableRBCalcPts[RK],0)),"")</f>
        <v/>
      </c>
      <c r="L122" s="113" t="str">
        <f>IFERROR(INDEX(TableRBCalcPts[Custom],MATCH(TableRBVORP[[#This Row],[RK]],TableRBCalcPts[RK],0)),"")</f>
        <v/>
      </c>
      <c r="M122" s="114" t="e">
        <f>(IFERROR((TableRBVORP[[#This Row],[FPS]]-INDEX(TableRBVORP[FPS],MATCH(RBVORPCalc,TableRBVORP[RK],0)))/INDEX(TableRBVORP[FPS],MATCH(RBVORPCalc,TableRBVORP[RK],0)),""))*0.8</f>
        <v>#VALUE!</v>
      </c>
      <c r="O122">
        <v>121</v>
      </c>
      <c r="P122" s="112" t="str">
        <f>IFERROR(INDEX(TableWRCalcPts[PLAYER],MATCH(TableWRVORP[[#This Row],[RK]],TableWRCalcPts[RK],0)),"")</f>
        <v>John Metchie</v>
      </c>
      <c r="Q122" s="112" t="str">
        <f>IFERROR(INDEX(TableWRCalcPts[TM],MATCH(TableWRVORP[[#This Row],[RK]],TableWRCalcPts[RK],0)),"")</f>
        <v>HOU</v>
      </c>
      <c r="R122" s="112">
        <f>IFERROR(INDEX(TableWRCalcPts[BYE],MATCH(TableWRVORP[[#This Row],[RK]],TableWRCalcPts[RK],0)),"")</f>
        <v>14</v>
      </c>
      <c r="S122" s="113">
        <f>IFERROR(INDEX(TableWRCalcPts[Custom],MATCH(TableWRVORP[[#This Row],[RK]],TableWRCalcPts[RK],0)),"")</f>
        <v>31.120723425792004</v>
      </c>
      <c r="T122" s="114">
        <f>(IFERROR((TableWRVORP[[#This Row],[FPS]]-INDEX(TableWRVORP[FPS],MATCH(WRVORPCalc,TableWRVORP[RK],0)))/INDEX(TableWRVORP[FPS],MATCH(WRVORPCalc,TableWRVORP[RK],0)),""))*1.2</f>
        <v>-0.94633138562266983</v>
      </c>
      <c r="AF122" t="s">
        <v>207</v>
      </c>
      <c r="AG122">
        <v>81</v>
      </c>
      <c r="AH122" s="83">
        <f>RANK(TableOverallMaster[[#This Row],[VORP]],TableOverallMaster[VORP])+COUNTIF($AM$2:AM122,AM122)-1</f>
        <v>246</v>
      </c>
      <c r="AI122" s="115" t="str">
        <f>IFERROR(INDEX(TableRBVORP[RUNNING BACK],MATCH(TableOverallMaster[[#This Row],[RK]],TableRBVORP[RK],0)),"")</f>
        <v>Kenny McIntosh</v>
      </c>
      <c r="AJ122" s="115" t="str">
        <f t="shared" si="1"/>
        <v>RB81</v>
      </c>
      <c r="AK122" s="115">
        <f>IFERROR(INDEX(TableRBVORP[BYE],MATCH(TableOverallMaster[[#This Row],[RK]],TableRBVORP[RK],0)),"")</f>
        <v>10</v>
      </c>
      <c r="AL122" s="116">
        <f>IFERROR(INDEX(TableRBVORP[FPS],MATCH(TableOverallMaster[[#This Row],[RK]],TableRBVORP[RK],0)),"")</f>
        <v>28.385205661229314</v>
      </c>
      <c r="AM122" s="117">
        <f>IFERROR(INDEX(TableRBVORP[VORP],MATCH(TableOverallMaster[[#This Row],[RK]],TableRBVORP[RK],0)),"")</f>
        <v>-0.61062780556791341</v>
      </c>
      <c r="AO122">
        <v>121</v>
      </c>
      <c r="AP122" s="118" t="str">
        <f>IFERROR(INDEX(TableOverallMaster[OVERALL PLAYER],MATCH(TableOverallRank[[#This Row],[RK]],TableOverallMaster[OVR RK],0)),"")</f>
        <v>Curtis Samuel</v>
      </c>
      <c r="AQ122" s="119" t="str">
        <f>IFERROR(INDEX(TableOverallMaster[POS RK],MATCH(TableOverallRank[[#This Row],[OVERALL PLAYER]],TableOverallMaster[OVERALL PLAYER],0)),"")</f>
        <v>WR53</v>
      </c>
      <c r="AR122" s="120">
        <f>IFERROR(INDEX(TableOverallMaster[BYE],MATCH(TableOverallRank[[#This Row],[OVERALL PLAYER]],TableOverallMaster[OVERALL PLAYER],0)),"")</f>
        <v>12</v>
      </c>
      <c r="AS122" s="119">
        <f>IFERROR(INDEX(TableOverallMaster[Custom],MATCH(TableOverallRank[[#This Row],[OVERALL PLAYER]],TableOverallMaster[OVERALL PLAYER],0)),"")</f>
        <v>152.29973704531247</v>
      </c>
      <c r="AT122" s="121">
        <f>IFERROR(INDEX(TableOverallMaster[VORP],MATCH(TableOverallRank[[#This Row],[OVERALL PLAYER]],TableOverallMaster[OVERALL PLAYER],0)),"")</f>
        <v>4.1412763377397084E-2</v>
      </c>
      <c r="AV122">
        <v>121</v>
      </c>
      <c r="AW122" s="122" t="str">
        <f>IFERROR(INDEX(TableWRTECalcPts[PLAYER],MATCH(TableWRTERank[[#This Row],[RK]],TableWRTECalcPts[RK],0)),"")</f>
        <v>Kalif Raymond</v>
      </c>
      <c r="AX122" s="122" t="str">
        <f>IFERROR(INDEX(TableWRTECalcPts[POS RK],MATCH(TableWRTERank[[#This Row],[WR and TE COMBINED]],TableWRTECalcPts[PLAYER],0)),"")</f>
        <v>WR92</v>
      </c>
      <c r="AY122" s="122">
        <f>IFERROR(INDEX(TableWRTECalcPts[BYE],MATCH(TableWRTERank[[#This Row],[RK]],TableWRTECalcPts[RK],0)),"")</f>
        <v>5</v>
      </c>
      <c r="AZ122" s="123">
        <f>IFERROR(INDEX(TableWRTECalcPts[Custom],MATCH(TableWRTERank[[#This Row],[RK]],TableWRTECalcPts[RK],0)),"")</f>
        <v>75.815283346782593</v>
      </c>
      <c r="BA122" s="174">
        <f>IFERROR((TableWRTERank[[#This Row],[FPS]]-INDEX(TableWRTERank[FPS],MATCH(WRTEVORPCalc,TableWRTERank[RK],0)))/INDEX(TableWRTERank[FPS],MATCH(WRTEVORPCalc,TableWRTERank[RK],0)),"")</f>
        <v>-0.51686345837507164</v>
      </c>
      <c r="BC122" t="s">
        <v>208</v>
      </c>
      <c r="BD122">
        <v>121</v>
      </c>
      <c r="BE122" s="83">
        <f>RANK(TableWRTEMaster[[#This Row],[VORP]],TableWRTEMaster[VORP])+COUNTIF($BJ$2:BJ122,BJ122)-1</f>
        <v>201</v>
      </c>
      <c r="BF122" s="115" t="str">
        <f>IFERROR(INDEX(TableWRVORP[WIDE RECEIVER],MATCH(TableWRTEMaster[[#This Row],[RK]],TableWRVORP[RK],0)),"")</f>
        <v>John Metchie</v>
      </c>
      <c r="BG122" s="115" t="str">
        <f>_xlfn.CONCAT(TableWRTEMaster[[#This Row],[POS]],TableWRTEMaster[[#This Row],[RK]])</f>
        <v>WR121</v>
      </c>
      <c r="BH122" s="115">
        <f>IFERROR(INDEX(TableWRVORP[BYE],MATCH(TableWRTEMaster[[#This Row],[RK]],TableWRVORP[RK],0)),"")</f>
        <v>14</v>
      </c>
      <c r="BI122" s="116">
        <f>IFERROR(INDEX(TableWRVORP[FPS],MATCH(TableWRTEMaster[[#This Row],[RK]],TableWRVORP[RK],0)),"")</f>
        <v>31.120723425792004</v>
      </c>
      <c r="BJ122" s="117">
        <f>IFERROR(INDEX(TableWRVORP[VORP],MATCH(TableWRTEMaster[[#This Row],[RK]],TableWRVORP[RK],0)),"")</f>
        <v>-0.94633138562266983</v>
      </c>
    </row>
    <row r="123" spans="8:62" x14ac:dyDescent="0.2">
      <c r="H123">
        <v>122</v>
      </c>
      <c r="I123" s="112" t="str">
        <f>IFERROR(INDEX(TableRBCalcPts[PLAYER],MATCH(TableRBVORP[[#This Row],[RK]],TableRBCalcPts[RK],0)),"")</f>
        <v/>
      </c>
      <c r="J123" s="112" t="str">
        <f>IFERROR(INDEX(TableRBCalcPts[TM],MATCH(TableRBVORP[[#This Row],[RK]],TableRBCalcPts[RK],0)),"")</f>
        <v/>
      </c>
      <c r="K123" s="112" t="str">
        <f>IFERROR(INDEX(TableRBCalcPts[BYE],MATCH(TableRBVORP[[#This Row],[RK]],TableRBCalcPts[RK],0)),"")</f>
        <v/>
      </c>
      <c r="L123" s="113" t="str">
        <f>IFERROR(INDEX(TableRBCalcPts[Custom],MATCH(TableRBVORP[[#This Row],[RK]],TableRBCalcPts[RK],0)),"")</f>
        <v/>
      </c>
      <c r="M123" s="114" t="e">
        <f>(IFERROR((TableRBVORP[[#This Row],[FPS]]-INDEX(TableRBVORP[FPS],MATCH(RBVORPCalc,TableRBVORP[RK],0)))/INDEX(TableRBVORP[FPS],MATCH(RBVORPCalc,TableRBVORP[RK],0)),""))*0.8</f>
        <v>#VALUE!</v>
      </c>
      <c r="O123">
        <v>122</v>
      </c>
      <c r="P123" s="112" t="str">
        <f>IFERROR(INDEX(TableWRCalcPts[PLAYER],MATCH(TableWRVORP[[#This Row],[RK]],TableWRCalcPts[RK],0)),"")</f>
        <v>Devaughn Vele</v>
      </c>
      <c r="Q123" s="112" t="str">
        <f>IFERROR(INDEX(TableWRCalcPts[TM],MATCH(TableWRVORP[[#This Row],[RK]],TableWRCalcPts[RK],0)),"")</f>
        <v>DEN</v>
      </c>
      <c r="R123" s="112">
        <f>IFERROR(INDEX(TableWRCalcPts[BYE],MATCH(TableWRVORP[[#This Row],[RK]],TableWRCalcPts[RK],0)),"")</f>
        <v>14</v>
      </c>
      <c r="S123" s="113">
        <f>IFERROR(INDEX(TableWRCalcPts[Custom],MATCH(TableWRVORP[[#This Row],[RK]],TableWRCalcPts[RK],0)),"")</f>
        <v>30.025220415601204</v>
      </c>
      <c r="T123" s="114">
        <f>(IFERROR((TableWRVORP[[#This Row],[FPS]]-INDEX(TableWRVORP[FPS],MATCH(WRVORPCalc,TableWRVORP[RK],0)))/INDEX(TableWRVORP[FPS],MATCH(WRVORPCalc,TableWRVORP[RK],0)),""))*1.2</f>
        <v>-0.95526095730515137</v>
      </c>
      <c r="AF123" t="s">
        <v>207</v>
      </c>
      <c r="AG123">
        <v>82</v>
      </c>
      <c r="AH123" s="83">
        <f>RANK(TableOverallMaster[[#This Row],[VORP]],TableOverallMaster[VORP])+COUNTIF($AM$2:AM123,AM123)-1</f>
        <v>249</v>
      </c>
      <c r="AI123" s="115" t="str">
        <f>IFERROR(INDEX(TableRBVORP[RUNNING BACK],MATCH(TableOverallMaster[[#This Row],[RK]],TableRBVORP[RK],0)),"")</f>
        <v>Jase McClellan</v>
      </c>
      <c r="AJ123" s="115" t="str">
        <f t="shared" si="1"/>
        <v>RB82</v>
      </c>
      <c r="AK123" s="115">
        <f>IFERROR(INDEX(TableRBVORP[BYE],MATCH(TableOverallMaster[[#This Row],[RK]],TableRBVORP[RK],0)),"")</f>
        <v>12</v>
      </c>
      <c r="AL123" s="116">
        <f>IFERROR(INDEX(TableRBVORP[FPS],MATCH(TableOverallMaster[[#This Row],[RK]],TableRBVORP[RK],0)),"")</f>
        <v>25.914417596898272</v>
      </c>
      <c r="AM123" s="117">
        <f>IFERROR(INDEX(TableRBVORP[VORP],MATCH(TableOverallMaster[[#This Row],[RK]],TableRBVORP[RK],0)),"")</f>
        <v>-0.62711169380544229</v>
      </c>
      <c r="AO123">
        <v>122</v>
      </c>
      <c r="AP123" s="118" t="str">
        <f>IFERROR(INDEX(TableOverallMaster[OVERALL PLAYER],MATCH(TableOverallRank[[#This Row],[RK]],TableOverallMaster[OVR RK],0)),"")</f>
        <v>Adonai Mitchell</v>
      </c>
      <c r="AQ123" s="119" t="str">
        <f>IFERROR(INDEX(TableOverallMaster[POS RK],MATCH(TableOverallRank[[#This Row],[OVERALL PLAYER]],TableOverallMaster[OVERALL PLAYER],0)),"")</f>
        <v>WR54</v>
      </c>
      <c r="AR123" s="120">
        <f>IFERROR(INDEX(TableOverallMaster[BYE],MATCH(TableOverallRank[[#This Row],[OVERALL PLAYER]],TableOverallMaster[OVERALL PLAYER],0)),"")</f>
        <v>14</v>
      </c>
      <c r="AS123" s="119">
        <f>IFERROR(INDEX(TableOverallMaster[Custom],MATCH(TableOverallRank[[#This Row],[OVERALL PLAYER]],TableOverallMaster[OVERALL PLAYER],0)),"")</f>
        <v>151.99119359423997</v>
      </c>
      <c r="AT123" s="121">
        <f>IFERROR(INDEX(TableOverallMaster[VORP],MATCH(TableOverallRank[[#This Row],[OVERALL PLAYER]],TableOverallMaster[OVERALL PLAYER],0)),"")</f>
        <v>3.8897790038316761E-2</v>
      </c>
      <c r="AV123">
        <v>122</v>
      </c>
      <c r="AW123" s="122" t="str">
        <f>IFERROR(INDEX(TableWRTECalcPts[PLAYER],MATCH(TableWRTERank[[#This Row],[RK]],TableWRTECalcPts[RK],0)),"")</f>
        <v>DJ Chark</v>
      </c>
      <c r="AX123" s="122" t="str">
        <f>IFERROR(INDEX(TableWRTECalcPts[POS RK],MATCH(TableWRTERank[[#This Row],[WR and TE COMBINED]],TableWRTECalcPts[PLAYER],0)),"")</f>
        <v>WR93</v>
      </c>
      <c r="AY123" s="122">
        <f>IFERROR(INDEX(TableWRTECalcPts[BYE],MATCH(TableWRTERank[[#This Row],[RK]],TableWRTECalcPts[RK],0)),"")</f>
        <v>5</v>
      </c>
      <c r="AZ123" s="123">
        <f>IFERROR(INDEX(TableWRTECalcPts[Custom],MATCH(TableWRTERank[[#This Row],[RK]],TableWRTECalcPts[RK],0)),"")</f>
        <v>74.74853649727298</v>
      </c>
      <c r="BA123" s="174">
        <f>IFERROR((TableWRTERank[[#This Row],[FPS]]-INDEX(TableWRTERank[FPS],MATCH(WRTEVORPCalc,TableWRTERank[RK],0)))/INDEX(TableWRTERank[FPS],MATCH(WRTEVORPCalc,TableWRTERank[RK],0)),"")</f>
        <v>-0.52366135400917446</v>
      </c>
      <c r="BC123" t="s">
        <v>208</v>
      </c>
      <c r="BD123">
        <v>122</v>
      </c>
      <c r="BE123" s="83">
        <f>RANK(TableWRTEMaster[[#This Row],[VORP]],TableWRTEMaster[VORP])+COUNTIF($BJ$2:BJ123,BJ123)-1</f>
        <v>202</v>
      </c>
      <c r="BF123" s="115" t="str">
        <f>IFERROR(INDEX(TableWRVORP[WIDE RECEIVER],MATCH(TableWRTEMaster[[#This Row],[RK]],TableWRVORP[RK],0)),"")</f>
        <v>Devaughn Vele</v>
      </c>
      <c r="BG123" s="115" t="str">
        <f>_xlfn.CONCAT(TableWRTEMaster[[#This Row],[POS]],TableWRTEMaster[[#This Row],[RK]])</f>
        <v>WR122</v>
      </c>
      <c r="BH123" s="115">
        <f>IFERROR(INDEX(TableWRVORP[BYE],MATCH(TableWRTEMaster[[#This Row],[RK]],TableWRVORP[RK],0)),"")</f>
        <v>14</v>
      </c>
      <c r="BI123" s="116">
        <f>IFERROR(INDEX(TableWRVORP[FPS],MATCH(TableWRTEMaster[[#This Row],[RK]],TableWRVORP[RK],0)),"")</f>
        <v>30.025220415601204</v>
      </c>
      <c r="BJ123" s="117">
        <f>IFERROR(INDEX(TableWRVORP[VORP],MATCH(TableWRTEMaster[[#This Row],[RK]],TableWRVORP[RK],0)),"")</f>
        <v>-0.95526095730515137</v>
      </c>
    </row>
    <row r="124" spans="8:62" x14ac:dyDescent="0.2">
      <c r="H124">
        <v>123</v>
      </c>
      <c r="I124" s="112" t="str">
        <f>IFERROR(INDEX(TableRBCalcPts[PLAYER],MATCH(TableRBVORP[[#This Row],[RK]],TableRBCalcPts[RK],0)),"")</f>
        <v/>
      </c>
      <c r="J124" s="112" t="str">
        <f>IFERROR(INDEX(TableRBCalcPts[TM],MATCH(TableRBVORP[[#This Row],[RK]],TableRBCalcPts[RK],0)),"")</f>
        <v/>
      </c>
      <c r="K124" s="112" t="str">
        <f>IFERROR(INDEX(TableRBCalcPts[BYE],MATCH(TableRBVORP[[#This Row],[RK]],TableRBCalcPts[RK],0)),"")</f>
        <v/>
      </c>
      <c r="L124" s="113" t="str">
        <f>IFERROR(INDEX(TableRBCalcPts[Custom],MATCH(TableRBVORP[[#This Row],[RK]],TableRBCalcPts[RK],0)),"")</f>
        <v/>
      </c>
      <c r="M124" s="114" t="e">
        <f>(IFERROR((TableRBVORP[[#This Row],[FPS]]-INDEX(TableRBVORP[FPS],MATCH(RBVORPCalc,TableRBVORP[RK],0)))/INDEX(TableRBVORP[FPS],MATCH(RBVORPCalc,TableRBVORP[RK],0)),""))*0.8</f>
        <v>#VALUE!</v>
      </c>
      <c r="O124">
        <v>123</v>
      </c>
      <c r="P124" s="112" t="str">
        <f>IFERROR(INDEX(TableWRCalcPts[PLAYER],MATCH(TableWRVORP[[#This Row],[RK]],TableWRCalcPts[RK],0)),"")</f>
        <v>Robert Woods</v>
      </c>
      <c r="Q124" s="112" t="str">
        <f>IFERROR(INDEX(TableWRCalcPts[TM],MATCH(TableWRVORP[[#This Row],[RK]],TableWRCalcPts[RK],0)),"")</f>
        <v>HOU</v>
      </c>
      <c r="R124" s="112">
        <f>IFERROR(INDEX(TableWRCalcPts[BYE],MATCH(TableWRVORP[[#This Row],[RK]],TableWRCalcPts[RK],0)),"")</f>
        <v>14</v>
      </c>
      <c r="S124" s="113">
        <f>IFERROR(INDEX(TableWRCalcPts[Custom],MATCH(TableWRVORP[[#This Row],[RK]],TableWRCalcPts[RK],0)),"")</f>
        <v>29.421431565209236</v>
      </c>
      <c r="T124" s="114">
        <f>(IFERROR((TableWRVORP[[#This Row],[FPS]]-INDEX(TableWRVORP[FPS],MATCH(WRVORPCalc,TableWRVORP[RK],0)))/INDEX(TableWRVORP[FPS],MATCH(WRVORPCalc,TableWRVORP[RK],0)),""))*1.2</f>
        <v>-0.96018251002614241</v>
      </c>
      <c r="AF124" t="s">
        <v>207</v>
      </c>
      <c r="AG124">
        <v>83</v>
      </c>
      <c r="AH124" s="83">
        <f>RANK(TableOverallMaster[[#This Row],[VORP]],TableOverallMaster[VORP])+COUNTIF($AM$2:AM124,AM124)-1</f>
        <v>251</v>
      </c>
      <c r="AI124" s="115" t="str">
        <f>IFERROR(INDEX(TableRBVORP[RUNNING BACK],MATCH(TableOverallMaster[[#This Row],[RK]],TableRBVORP[RK],0)),"")</f>
        <v>D'Ernest Johnson</v>
      </c>
      <c r="AJ124" s="115" t="str">
        <f t="shared" si="1"/>
        <v>RB83</v>
      </c>
      <c r="AK124" s="115">
        <f>IFERROR(INDEX(TableRBVORP[BYE],MATCH(TableOverallMaster[[#This Row],[RK]],TableRBVORP[RK],0)),"")</f>
        <v>12</v>
      </c>
      <c r="AL124" s="116">
        <f>IFERROR(INDEX(TableRBVORP[FPS],MATCH(TableOverallMaster[[#This Row],[RK]],TableRBVORP[RK],0)),"")</f>
        <v>25.442433227514666</v>
      </c>
      <c r="AM124" s="117">
        <f>IFERROR(INDEX(TableRBVORP[VORP],MATCH(TableOverallMaster[[#This Row],[RK]],TableRBVORP[RK],0)),"")</f>
        <v>-0.63026054242872009</v>
      </c>
      <c r="AO124">
        <v>123</v>
      </c>
      <c r="AP124" s="118" t="str">
        <f>IFERROR(INDEX(TableOverallMaster[OVERALL PLAYER],MATCH(TableOverallRank[[#This Row],[RK]],TableOverallMaster[OVR RK],0)),"")</f>
        <v>Rome Odunze</v>
      </c>
      <c r="AQ124" s="119" t="str">
        <f>IFERROR(INDEX(TableOverallMaster[POS RK],MATCH(TableOverallRank[[#This Row],[OVERALL PLAYER]],TableOverallMaster[OVERALL PLAYER],0)),"")</f>
        <v>WR55</v>
      </c>
      <c r="AR124" s="120">
        <f>IFERROR(INDEX(TableOverallMaster[BYE],MATCH(TableOverallRank[[#This Row],[OVERALL PLAYER]],TableOverallMaster[OVERALL PLAYER],0)),"")</f>
        <v>7</v>
      </c>
      <c r="AS124" s="119">
        <f>IFERROR(INDEX(TableOverallMaster[Custom],MATCH(TableOverallRank[[#This Row],[OVERALL PLAYER]],TableOverallMaster[OVERALL PLAYER],0)),"")</f>
        <v>151.03909567844491</v>
      </c>
      <c r="AT124" s="121">
        <f>IFERROR(INDEX(TableOverallMaster[VORP],MATCH(TableOverallRank[[#This Row],[OVERALL PLAYER]],TableOverallMaster[OVERALL PLAYER],0)),"")</f>
        <v>3.1137129858704253E-2</v>
      </c>
      <c r="AV124">
        <v>123</v>
      </c>
      <c r="AW124" s="122" t="str">
        <f>IFERROR(INDEX(TableWRTECalcPts[PLAYER],MATCH(TableWRTERank[[#This Row],[RK]],TableWRTECalcPts[RK],0)),"")</f>
        <v>Theo Johnson</v>
      </c>
      <c r="AX124" s="122" t="str">
        <f>IFERROR(INDEX(TableWRTECalcPts[POS RK],MATCH(TableWRTERank[[#This Row],[WR and TE COMBINED]],TableWRTECalcPts[PLAYER],0)),"")</f>
        <v>TE30</v>
      </c>
      <c r="AY124" s="122">
        <f>IFERROR(INDEX(TableWRTECalcPts[BYE],MATCH(TableWRTERank[[#This Row],[RK]],TableWRTECalcPts[RK],0)),"")</f>
        <v>11</v>
      </c>
      <c r="AZ124" s="123">
        <f>IFERROR(INDEX(TableWRTECalcPts[Custom],MATCH(TableWRTERank[[#This Row],[RK]],TableWRTECalcPts[RK],0)),"")</f>
        <v>74.308369090843826</v>
      </c>
      <c r="BA124" s="174">
        <f>IFERROR((TableWRTERank[[#This Row],[FPS]]-INDEX(TableWRTERank[FPS],MATCH(WRTEVORPCalc,TableWRTERank[RK],0)))/INDEX(TableWRTERank[FPS],MATCH(WRTEVORPCalc,TableWRTERank[RK],0)),"")</f>
        <v>-0.52646634198904485</v>
      </c>
      <c r="BC124" t="s">
        <v>208</v>
      </c>
      <c r="BD124">
        <v>123</v>
      </c>
      <c r="BE124" s="83">
        <f>RANK(TableWRTEMaster[[#This Row],[VORP]],TableWRTEMaster[VORP])+COUNTIF($BJ$2:BJ124,BJ124)-1</f>
        <v>203</v>
      </c>
      <c r="BF124" s="115" t="str">
        <f>IFERROR(INDEX(TableWRVORP[WIDE RECEIVER],MATCH(TableWRTEMaster[[#This Row],[RK]],TableWRVORP[RK],0)),"")</f>
        <v>Robert Woods</v>
      </c>
      <c r="BG124" s="115" t="str">
        <f>_xlfn.CONCAT(TableWRTEMaster[[#This Row],[POS]],TableWRTEMaster[[#This Row],[RK]])</f>
        <v>WR123</v>
      </c>
      <c r="BH124" s="115">
        <f>IFERROR(INDEX(TableWRVORP[BYE],MATCH(TableWRTEMaster[[#This Row],[RK]],TableWRVORP[RK],0)),"")</f>
        <v>14</v>
      </c>
      <c r="BI124" s="116">
        <f>IFERROR(INDEX(TableWRVORP[FPS],MATCH(TableWRTEMaster[[#This Row],[RK]],TableWRVORP[RK],0)),"")</f>
        <v>29.421431565209236</v>
      </c>
      <c r="BJ124" s="117">
        <f>IFERROR(INDEX(TableWRVORP[VORP],MATCH(TableWRTEMaster[[#This Row],[RK]],TableWRVORP[RK],0)),"")</f>
        <v>-0.96018251002614241</v>
      </c>
    </row>
    <row r="125" spans="8:62" x14ac:dyDescent="0.2">
      <c r="H125">
        <v>124</v>
      </c>
      <c r="I125" s="112" t="str">
        <f>IFERROR(INDEX(TableRBCalcPts[PLAYER],MATCH(TableRBVORP[[#This Row],[RK]],TableRBCalcPts[RK],0)),"")</f>
        <v/>
      </c>
      <c r="J125" s="112" t="str">
        <f>IFERROR(INDEX(TableRBCalcPts[TM],MATCH(TableRBVORP[[#This Row],[RK]],TableRBCalcPts[RK],0)),"")</f>
        <v/>
      </c>
      <c r="K125" s="112" t="str">
        <f>IFERROR(INDEX(TableRBCalcPts[BYE],MATCH(TableRBVORP[[#This Row],[RK]],TableRBCalcPts[RK],0)),"")</f>
        <v/>
      </c>
      <c r="L125" s="113" t="str">
        <f>IFERROR(INDEX(TableRBCalcPts[Custom],MATCH(TableRBVORP[[#This Row],[RK]],TableRBCalcPts[RK],0)),"")</f>
        <v/>
      </c>
      <c r="M125" s="114" t="e">
        <f>(IFERROR((TableRBVORP[[#This Row],[FPS]]-INDEX(TableRBVORP[FPS],MATCH(RBVORPCalc,TableRBVORP[RK],0)))/INDEX(TableRBVORP[FPS],MATCH(RBVORPCalc,TableRBVORP[RK],0)),""))*0.8</f>
        <v>#VALUE!</v>
      </c>
      <c r="O125">
        <v>124</v>
      </c>
      <c r="P125" s="112" t="str">
        <f>IFERROR(INDEX(TableWRCalcPts[PLAYER],MATCH(TableWRVORP[[#This Row],[RK]],TableWRCalcPts[RK],0)),"")</f>
        <v>Tim Patrick</v>
      </c>
      <c r="Q125" s="112" t="str">
        <f>IFERROR(INDEX(TableWRCalcPts[TM],MATCH(TableWRVORP[[#This Row],[RK]],TableWRCalcPts[RK],0)),"")</f>
        <v>DET</v>
      </c>
      <c r="R125" s="112">
        <f>IFERROR(INDEX(TableWRCalcPts[BYE],MATCH(TableWRVORP[[#This Row],[RK]],TableWRCalcPts[RK],0)),"")</f>
        <v>5</v>
      </c>
      <c r="S125" s="113">
        <f>IFERROR(INDEX(TableWRCalcPts[Custom],MATCH(TableWRVORP[[#This Row],[RK]],TableWRCalcPts[RK],0)),"")</f>
        <v>29.408646755318752</v>
      </c>
      <c r="T125" s="114">
        <f>(IFERROR((TableWRVORP[[#This Row],[FPS]]-INDEX(TableWRVORP[FPS],MATCH(WRVORPCalc,TableWRVORP[RK],0)))/INDEX(TableWRVORP[FPS],MATCH(WRVORPCalc,TableWRVORP[RK],0)),""))*1.2</f>
        <v>-0.96028672048955688</v>
      </c>
      <c r="AF125" t="s">
        <v>207</v>
      </c>
      <c r="AG125">
        <v>84</v>
      </c>
      <c r="AH125" s="83">
        <f>RANK(TableOverallMaster[[#This Row],[VORP]],TableOverallMaster[VORP])+COUNTIF($AM$2:AM125,AM125)-1</f>
        <v>253</v>
      </c>
      <c r="AI125" s="115" t="str">
        <f>IFERROR(INDEX(TableRBVORP[RUNNING BACK],MATCH(TableOverallMaster[[#This Row],[RK]],TableRBVORP[RK],0)),"")</f>
        <v>Kimani Vidal</v>
      </c>
      <c r="AJ125" s="115" t="str">
        <f t="shared" si="1"/>
        <v>RB84</v>
      </c>
      <c r="AK125" s="115">
        <f>IFERROR(INDEX(TableRBVORP[BYE],MATCH(TableOverallMaster[[#This Row],[RK]],TableRBVORP[RK],0)),"")</f>
        <v>5</v>
      </c>
      <c r="AL125" s="116">
        <f>IFERROR(INDEX(TableRBVORP[FPS],MATCH(TableOverallMaster[[#This Row],[RK]],TableRBVORP[RK],0)),"")</f>
        <v>22.870970628816636</v>
      </c>
      <c r="AM125" s="117">
        <f>IFERROR(INDEX(TableRBVORP[VORP],MATCH(TableOverallMaster[[#This Row],[RK]],TableRBVORP[RK],0)),"")</f>
        <v>-0.6474160818680772</v>
      </c>
      <c r="AO125">
        <v>124</v>
      </c>
      <c r="AP125" s="118" t="str">
        <f>IFERROR(INDEX(TableOverallMaster[OVERALL PLAYER],MATCH(TableOverallRank[[#This Row],[RK]],TableOverallMaster[OVR RK],0)),"")</f>
        <v>Tua Tagovailoa</v>
      </c>
      <c r="AQ125" s="119" t="str">
        <f>IFERROR(INDEX(TableOverallMaster[POS RK],MATCH(TableOverallRank[[#This Row],[OVERALL PLAYER]],TableOverallMaster[OVERALL PLAYER],0)),"")</f>
        <v>QB16</v>
      </c>
      <c r="AR125" s="120">
        <f>IFERROR(INDEX(TableOverallMaster[BYE],MATCH(TableOverallRank[[#This Row],[OVERALL PLAYER]],TableOverallMaster[OVERALL PLAYER],0)),"")</f>
        <v>6</v>
      </c>
      <c r="AS125" s="119">
        <f>IFERROR(INDEX(TableOverallMaster[Custom],MATCH(TableOverallRank[[#This Row],[OVERALL PLAYER]],TableOverallMaster[OVERALL PLAYER],0)),"")</f>
        <v>298.29362645876625</v>
      </c>
      <c r="AT125" s="121">
        <f>IFERROR(INDEX(TableOverallMaster[VORP],MATCH(TableOverallRank[[#This Row],[OVERALL PLAYER]],TableOverallMaster[OVERALL PLAYER],0)),"")</f>
        <v>3.0395407917068268E-2</v>
      </c>
      <c r="AV125">
        <v>124</v>
      </c>
      <c r="AW125" s="122" t="str">
        <f>IFERROR(INDEX(TableWRTECalcPts[PLAYER],MATCH(TableWRTERank[[#This Row],[RK]],TableWRTECalcPts[RK],0)),"")</f>
        <v>Greg Dulcich</v>
      </c>
      <c r="AX125" s="122" t="str">
        <f>IFERROR(INDEX(TableWRTECalcPts[POS RK],MATCH(TableWRTERank[[#This Row],[WR and TE COMBINED]],TableWRTECalcPts[PLAYER],0)),"")</f>
        <v>TE31</v>
      </c>
      <c r="AY125" s="122">
        <f>IFERROR(INDEX(TableWRTECalcPts[BYE],MATCH(TableWRTERank[[#This Row],[RK]],TableWRTECalcPts[RK],0)),"")</f>
        <v>14</v>
      </c>
      <c r="AZ125" s="123">
        <f>IFERROR(INDEX(TableWRTECalcPts[Custom],MATCH(TableWRTERank[[#This Row],[RK]],TableWRTECalcPts[RK],0)),"")</f>
        <v>72.597638439045213</v>
      </c>
      <c r="BA125" s="174">
        <f>IFERROR((TableWRTERank[[#This Row],[FPS]]-INDEX(TableWRTERank[FPS],MATCH(WRTEVORPCalc,TableWRTERank[RK],0)))/INDEX(TableWRTERank[FPS],MATCH(WRTEVORPCalc,TableWRTERank[RK],0)),"")</f>
        <v>-0.53736805539399546</v>
      </c>
      <c r="BC125" t="s">
        <v>208</v>
      </c>
      <c r="BD125">
        <v>124</v>
      </c>
      <c r="BE125" s="83">
        <f>RANK(TableWRTEMaster[[#This Row],[VORP]],TableWRTEMaster[VORP])+COUNTIF($BJ$2:BJ125,BJ125)-1</f>
        <v>204</v>
      </c>
      <c r="BF125" s="115" t="str">
        <f>IFERROR(INDEX(TableWRVORP[WIDE RECEIVER],MATCH(TableWRTEMaster[[#This Row],[RK]],TableWRVORP[RK],0)),"")</f>
        <v>Tim Patrick</v>
      </c>
      <c r="BG125" s="115" t="str">
        <f>_xlfn.CONCAT(TableWRTEMaster[[#This Row],[POS]],TableWRTEMaster[[#This Row],[RK]])</f>
        <v>WR124</v>
      </c>
      <c r="BH125" s="115">
        <f>IFERROR(INDEX(TableWRVORP[BYE],MATCH(TableWRTEMaster[[#This Row],[RK]],TableWRVORP[RK],0)),"")</f>
        <v>5</v>
      </c>
      <c r="BI125" s="116">
        <f>IFERROR(INDEX(TableWRVORP[FPS],MATCH(TableWRTEMaster[[#This Row],[RK]],TableWRVORP[RK],0)),"")</f>
        <v>29.408646755318752</v>
      </c>
      <c r="BJ125" s="117">
        <f>IFERROR(INDEX(TableWRVORP[VORP],MATCH(TableWRTEMaster[[#This Row],[RK]],TableWRVORP[RK],0)),"")</f>
        <v>-0.96028672048955688</v>
      </c>
    </row>
    <row r="126" spans="8:62" x14ac:dyDescent="0.2">
      <c r="H126">
        <v>125</v>
      </c>
      <c r="I126" s="112" t="str">
        <f>IFERROR(INDEX(TableRBCalcPts[PLAYER],MATCH(TableRBVORP[[#This Row],[RK]],TableRBCalcPts[RK],0)),"")</f>
        <v/>
      </c>
      <c r="J126" s="112" t="str">
        <f>IFERROR(INDEX(TableRBCalcPts[TM],MATCH(TableRBVORP[[#This Row],[RK]],TableRBCalcPts[RK],0)),"")</f>
        <v/>
      </c>
      <c r="K126" s="112" t="str">
        <f>IFERROR(INDEX(TableRBCalcPts[BYE],MATCH(TableRBVORP[[#This Row],[RK]],TableRBCalcPts[RK],0)),"")</f>
        <v/>
      </c>
      <c r="L126" s="113" t="str">
        <f>IFERROR(INDEX(TableRBCalcPts[Custom],MATCH(TableRBVORP[[#This Row],[RK]],TableRBCalcPts[RK],0)),"")</f>
        <v/>
      </c>
      <c r="M126" s="114" t="e">
        <f>(IFERROR((TableRBVORP[[#This Row],[FPS]]-INDEX(TableRBVORP[FPS],MATCH(RBVORPCalc,TableRBVORP[RK],0)))/INDEX(TableRBVORP[FPS],MATCH(RBVORPCalc,TableRBVORP[RK],0)),""))*0.8</f>
        <v>#VALUE!</v>
      </c>
      <c r="O126">
        <v>125</v>
      </c>
      <c r="P126" s="112" t="str">
        <f>IFERROR(INDEX(TableWRCalcPts[PLAYER],MATCH(TableWRVORP[[#This Row],[RK]],TableWRCalcPts[RK],0)),"")</f>
        <v>Treylon Burks</v>
      </c>
      <c r="Q126" s="112" t="str">
        <f>IFERROR(INDEX(TableWRCalcPts[TM],MATCH(TableWRVORP[[#This Row],[RK]],TableWRCalcPts[RK],0)),"")</f>
        <v>TEN</v>
      </c>
      <c r="R126" s="112">
        <f>IFERROR(INDEX(TableWRCalcPts[BYE],MATCH(TableWRVORP[[#This Row],[RK]],TableWRCalcPts[RK],0)),"")</f>
        <v>5</v>
      </c>
      <c r="S126" s="113">
        <f>IFERROR(INDEX(TableWRCalcPts[Custom],MATCH(TableWRVORP[[#This Row],[RK]],TableWRCalcPts[RK],0)),"")</f>
        <v>28.738155331311248</v>
      </c>
      <c r="T126" s="114">
        <f>(IFERROR((TableWRVORP[[#This Row],[FPS]]-INDEX(TableWRVORP[FPS],MATCH(WRVORPCalc,TableWRVORP[RK],0)))/INDEX(TableWRVORP[FPS],MATCH(WRVORPCalc,TableWRVORP[RK],0)),""))*1.2</f>
        <v>-0.96575197359928722</v>
      </c>
      <c r="AF126" t="s">
        <v>207</v>
      </c>
      <c r="AG126">
        <v>85</v>
      </c>
      <c r="AH126" s="83">
        <f>RANK(TableOverallMaster[[#This Row],[VORP]],TableOverallMaster[VORP])+COUNTIF($AM$2:AM126,AM126)-1</f>
        <v>254</v>
      </c>
      <c r="AI126" s="115" t="str">
        <f>IFERROR(INDEX(TableRBVORP[RUNNING BACK],MATCH(TableOverallMaster[[#This Row],[RK]],TableRBVORP[RK],0)),"")</f>
        <v>Miles Sanders</v>
      </c>
      <c r="AJ126" s="115" t="str">
        <f t="shared" si="1"/>
        <v>RB85</v>
      </c>
      <c r="AK126" s="115">
        <f>IFERROR(INDEX(TableRBVORP[BYE],MATCH(TableOverallMaster[[#This Row],[RK]],TableRBVORP[RK],0)),"")</f>
        <v>11</v>
      </c>
      <c r="AL126" s="116">
        <f>IFERROR(INDEX(TableRBVORP[FPS],MATCH(TableOverallMaster[[#This Row],[RK]],TableRBVORP[RK],0)),"")</f>
        <v>22.254131037480178</v>
      </c>
      <c r="AM126" s="117">
        <f>IFERROR(INDEX(TableRBVORP[VORP],MATCH(TableOverallMaster[[#This Row],[RK]],TableRBVORP[RK],0)),"")</f>
        <v>-0.65153133360935767</v>
      </c>
      <c r="AO126">
        <v>125</v>
      </c>
      <c r="AP126" s="118" t="str">
        <f>IFERROR(INDEX(TableOverallMaster[OVERALL PLAYER],MATCH(TableOverallRank[[#This Row],[RK]],TableOverallMaster[OVR RK],0)),"")</f>
        <v>Aaron Rodgers</v>
      </c>
      <c r="AQ126" s="119" t="str">
        <f>IFERROR(INDEX(TableOverallMaster[POS RK],MATCH(TableOverallRank[[#This Row],[OVERALL PLAYER]],TableOverallMaster[OVERALL PLAYER],0)),"")</f>
        <v>QB17</v>
      </c>
      <c r="AR126" s="120">
        <f>IFERROR(INDEX(TableOverallMaster[BYE],MATCH(TableOverallRank[[#This Row],[OVERALL PLAYER]],TableOverallMaster[OVERALL PLAYER],0)),"")</f>
        <v>12</v>
      </c>
      <c r="AS126" s="119">
        <f>IFERROR(INDEX(TableOverallMaster[Custom],MATCH(TableOverallRank[[#This Row],[OVERALL PLAYER]],TableOverallMaster[OVERALL PLAYER],0)),"")</f>
        <v>295.18043126391552</v>
      </c>
      <c r="AT126" s="121">
        <f>IFERROR(INDEX(TableOverallMaster[VORP],MATCH(TableOverallRank[[#This Row],[OVERALL PLAYER]],TableOverallMaster[OVERALL PLAYER],0)),"")</f>
        <v>2.0792542719962559E-2</v>
      </c>
      <c r="AV126">
        <v>125</v>
      </c>
      <c r="AW126" s="122" t="str">
        <f>IFERROR(INDEX(TableWRTECalcPts[PLAYER],MATCH(TableWRTERank[[#This Row],[RK]],TableWRTECalcPts[RK],0)),"")</f>
        <v>Luke McCaffrey</v>
      </c>
      <c r="AX126" s="122" t="str">
        <f>IFERROR(INDEX(TableWRTECalcPts[POS RK],MATCH(TableWRTERank[[#This Row],[WR and TE COMBINED]],TableWRTECalcPts[PLAYER],0)),"")</f>
        <v>WR94</v>
      </c>
      <c r="AY126" s="122">
        <f>IFERROR(INDEX(TableWRTECalcPts[BYE],MATCH(TableWRTERank[[#This Row],[RK]],TableWRTECalcPts[RK],0)),"")</f>
        <v>14</v>
      </c>
      <c r="AZ126" s="123">
        <f>IFERROR(INDEX(TableWRTECalcPts[Custom],MATCH(TableWRTERank[[#This Row],[RK]],TableWRTECalcPts[RK],0)),"")</f>
        <v>71.775430096650027</v>
      </c>
      <c r="BA126" s="174">
        <f>IFERROR((TableWRTERank[[#This Row],[FPS]]-INDEX(TableWRTERank[FPS],MATCH(WRTEVORPCalc,TableWRTERank[RK],0)))/INDEX(TableWRTERank[FPS],MATCH(WRTEVORPCalc,TableWRTERank[RK],0)),"")</f>
        <v>-0.54260761762346021</v>
      </c>
      <c r="BC126" t="s">
        <v>208</v>
      </c>
      <c r="BD126">
        <v>125</v>
      </c>
      <c r="BE126" s="83">
        <f>RANK(TableWRTEMaster[[#This Row],[VORP]],TableWRTEMaster[VORP])+COUNTIF($BJ$2:BJ126,BJ126)-1</f>
        <v>205</v>
      </c>
      <c r="BF126" s="115" t="str">
        <f>IFERROR(INDEX(TableWRVORP[WIDE RECEIVER],MATCH(TableWRTEMaster[[#This Row],[RK]],TableWRVORP[RK],0)),"")</f>
        <v>Treylon Burks</v>
      </c>
      <c r="BG126" s="115" t="str">
        <f>_xlfn.CONCAT(TableWRTEMaster[[#This Row],[POS]],TableWRTEMaster[[#This Row],[RK]])</f>
        <v>WR125</v>
      </c>
      <c r="BH126" s="115">
        <f>IFERROR(INDEX(TableWRVORP[BYE],MATCH(TableWRTEMaster[[#This Row],[RK]],TableWRVORP[RK],0)),"")</f>
        <v>5</v>
      </c>
      <c r="BI126" s="116">
        <f>IFERROR(INDEX(TableWRVORP[FPS],MATCH(TableWRTEMaster[[#This Row],[RK]],TableWRVORP[RK],0)),"")</f>
        <v>28.738155331311248</v>
      </c>
      <c r="BJ126" s="117">
        <f>IFERROR(INDEX(TableWRVORP[VORP],MATCH(TableWRTEMaster[[#This Row],[RK]],TableWRVORP[RK],0)),"")</f>
        <v>-0.96575197359928722</v>
      </c>
    </row>
    <row r="127" spans="8:62" x14ac:dyDescent="0.2">
      <c r="H127">
        <v>126</v>
      </c>
      <c r="I127" s="112" t="str">
        <f>IFERROR(INDEX(TableRBCalcPts[PLAYER],MATCH(TableRBVORP[[#This Row],[RK]],TableRBCalcPts[RK],0)),"")</f>
        <v/>
      </c>
      <c r="J127" s="112" t="str">
        <f>IFERROR(INDEX(TableRBCalcPts[TM],MATCH(TableRBVORP[[#This Row],[RK]],TableRBCalcPts[RK],0)),"")</f>
        <v/>
      </c>
      <c r="K127" s="112" t="str">
        <f>IFERROR(INDEX(TableRBCalcPts[BYE],MATCH(TableRBVORP[[#This Row],[RK]],TableRBCalcPts[RK],0)),"")</f>
        <v/>
      </c>
      <c r="L127" s="113" t="str">
        <f>IFERROR(INDEX(TableRBCalcPts[Custom],MATCH(TableRBVORP[[#This Row],[RK]],TableRBCalcPts[RK],0)),"")</f>
        <v/>
      </c>
      <c r="M127" s="114" t="e">
        <f>(IFERROR((TableRBVORP[[#This Row],[FPS]]-INDEX(TableRBVORP[FPS],MATCH(RBVORPCalc,TableRBVORP[RK],0)))/INDEX(TableRBVORP[FPS],MATCH(RBVORPCalc,TableRBVORP[RK],0)),""))*0.8</f>
        <v>#VALUE!</v>
      </c>
      <c r="O127">
        <v>126</v>
      </c>
      <c r="P127" s="112" t="str">
        <f>IFERROR(INDEX(TableWRCalcPts[PLAYER],MATCH(TableWRVORP[[#This Row],[RK]],TableWRCalcPts[RK],0)),"")</f>
        <v>KhaDarel Hodge</v>
      </c>
      <c r="Q127" s="112" t="str">
        <f>IFERROR(INDEX(TableWRCalcPts[TM],MATCH(TableWRVORP[[#This Row],[RK]],TableWRCalcPts[RK],0)),"")</f>
        <v>ATL</v>
      </c>
      <c r="R127" s="112">
        <f>IFERROR(INDEX(TableWRCalcPts[BYE],MATCH(TableWRVORP[[#This Row],[RK]],TableWRCalcPts[RK],0)),"")</f>
        <v>12</v>
      </c>
      <c r="S127" s="113">
        <f>IFERROR(INDEX(TableWRCalcPts[Custom],MATCH(TableWRVORP[[#This Row],[RK]],TableWRCalcPts[RK],0)),"")</f>
        <v>28.719195128877054</v>
      </c>
      <c r="T127" s="114">
        <f>(IFERROR((TableWRVORP[[#This Row],[FPS]]-INDEX(TableWRVORP[FPS],MATCH(WRVORPCalc,TableWRVORP[RK],0)))/INDEX(TableWRVORP[FPS],MATCH(WRVORPCalc,TableWRVORP[RK],0)),""))*1.2</f>
        <v>-0.96590652040123615</v>
      </c>
      <c r="AF127" t="s">
        <v>207</v>
      </c>
      <c r="AG127">
        <v>86</v>
      </c>
      <c r="AH127" s="83">
        <f>RANK(TableOverallMaster[[#This Row],[VORP]],TableOverallMaster[VORP])+COUNTIF($AM$2:AM127,AM127)-1</f>
        <v>255</v>
      </c>
      <c r="AI127" s="115" t="str">
        <f>IFERROR(INDEX(TableRBVORP[RUNNING BACK],MATCH(TableOverallMaster[[#This Row],[RK]],TableRBVORP[RK],0)),"")</f>
        <v>Tyler Goodson</v>
      </c>
      <c r="AJ127" s="115" t="str">
        <f t="shared" si="1"/>
        <v>RB86</v>
      </c>
      <c r="AK127" s="115">
        <f>IFERROR(INDEX(TableRBVORP[BYE],MATCH(TableOverallMaster[[#This Row],[RK]],TableRBVORP[RK],0)),"")</f>
        <v>14</v>
      </c>
      <c r="AL127" s="116">
        <f>IFERROR(INDEX(TableRBVORP[FPS],MATCH(TableOverallMaster[[#This Row],[RK]],TableRBVORP[RK],0)),"")</f>
        <v>21.431914367906273</v>
      </c>
      <c r="AM127" s="117">
        <f>IFERROR(INDEX(TableRBVORP[VORP],MATCH(TableOverallMaster[[#This Row],[RK]],TableRBVORP[RK],0)),"")</f>
        <v>-0.65701676066153947</v>
      </c>
      <c r="AO127">
        <v>126</v>
      </c>
      <c r="AP127" s="118" t="str">
        <f>IFERROR(INDEX(TableOverallMaster[OVERALL PLAYER],MATCH(TableOverallRank[[#This Row],[RK]],TableOverallMaster[OVR RK],0)),"")</f>
        <v>Kirk Cousins</v>
      </c>
      <c r="AQ127" s="119" t="str">
        <f>IFERROR(INDEX(TableOverallMaster[POS RK],MATCH(TableOverallRank[[#This Row],[OVERALL PLAYER]],TableOverallMaster[OVERALL PLAYER],0)),"")</f>
        <v>QB18</v>
      </c>
      <c r="AR127" s="120">
        <f>IFERROR(INDEX(TableOverallMaster[BYE],MATCH(TableOverallRank[[#This Row],[OVERALL PLAYER]],TableOverallMaster[OVERALL PLAYER],0)),"")</f>
        <v>12</v>
      </c>
      <c r="AS127" s="119">
        <f>IFERROR(INDEX(TableOverallMaster[Custom],MATCH(TableOverallRank[[#This Row],[OVERALL PLAYER]],TableOverallMaster[OVERALL PLAYER],0)),"")</f>
        <v>292.72218406002816</v>
      </c>
      <c r="AT127" s="121">
        <f>IFERROR(INDEX(TableOverallMaster[VORP],MATCH(TableOverallRank[[#This Row],[OVERALL PLAYER]],TableOverallMaster[OVERALL PLAYER],0)),"")</f>
        <v>7.4723391553324636E-3</v>
      </c>
      <c r="AV127">
        <v>126</v>
      </c>
      <c r="AW127" s="122" t="str">
        <f>IFERROR(INDEX(TableWRTECalcPts[PLAYER],MATCH(TableWRTERank[[#This Row],[RK]],TableWRTECalcPts[RK],0)),"")</f>
        <v>Kendrick Bourne</v>
      </c>
      <c r="AX127" s="122" t="str">
        <f>IFERROR(INDEX(TableWRTECalcPts[POS RK],MATCH(TableWRTERank[[#This Row],[WR and TE COMBINED]],TableWRTECalcPts[PLAYER],0)),"")</f>
        <v>WR95</v>
      </c>
      <c r="AY127" s="122">
        <f>IFERROR(INDEX(TableWRTECalcPts[BYE],MATCH(TableWRTERank[[#This Row],[RK]],TableWRTECalcPts[RK],0)),"")</f>
        <v>14</v>
      </c>
      <c r="AZ127" s="123">
        <f>IFERROR(INDEX(TableWRTECalcPts[Custom],MATCH(TableWRTERank[[#This Row],[RK]],TableWRTECalcPts[RK],0)),"")</f>
        <v>70.699840083387201</v>
      </c>
      <c r="BA127" s="174">
        <f>IFERROR((TableWRTERank[[#This Row],[FPS]]-INDEX(TableWRTERank[FPS],MATCH(WRTEVORPCalc,TableWRTERank[RK],0)))/INDEX(TableWRTERank[FPS],MATCH(WRTEVORPCalc,TableWRTERank[RK],0)),"")</f>
        <v>-0.54946186674414443</v>
      </c>
      <c r="BC127" t="s">
        <v>208</v>
      </c>
      <c r="BD127">
        <v>126</v>
      </c>
      <c r="BE127" s="83">
        <f>RANK(TableWRTEMaster[[#This Row],[VORP]],TableWRTEMaster[VORP])+COUNTIF($BJ$2:BJ127,BJ127)-1</f>
        <v>206</v>
      </c>
      <c r="BF127" s="115" t="str">
        <f>IFERROR(INDEX(TableWRVORP[WIDE RECEIVER],MATCH(TableWRTEMaster[[#This Row],[RK]],TableWRVORP[RK],0)),"")</f>
        <v>KhaDarel Hodge</v>
      </c>
      <c r="BG127" s="115" t="str">
        <f>_xlfn.CONCAT(TableWRTEMaster[[#This Row],[POS]],TableWRTEMaster[[#This Row],[RK]])</f>
        <v>WR126</v>
      </c>
      <c r="BH127" s="115">
        <f>IFERROR(INDEX(TableWRVORP[BYE],MATCH(TableWRTEMaster[[#This Row],[RK]],TableWRVORP[RK],0)),"")</f>
        <v>12</v>
      </c>
      <c r="BI127" s="116">
        <f>IFERROR(INDEX(TableWRVORP[FPS],MATCH(TableWRTEMaster[[#This Row],[RK]],TableWRVORP[RK],0)),"")</f>
        <v>28.719195128877054</v>
      </c>
      <c r="BJ127" s="117">
        <f>IFERROR(INDEX(TableWRVORP[VORP],MATCH(TableWRTEMaster[[#This Row],[RK]],TableWRVORP[RK],0)),"")</f>
        <v>-0.96590652040123615</v>
      </c>
    </row>
    <row r="128" spans="8:62" x14ac:dyDescent="0.2">
      <c r="H128">
        <v>127</v>
      </c>
      <c r="I128" s="112" t="str">
        <f>IFERROR(INDEX(TableRBCalcPts[PLAYER],MATCH(TableRBVORP[[#This Row],[RK]],TableRBCalcPts[RK],0)),"")</f>
        <v/>
      </c>
      <c r="J128" s="112" t="str">
        <f>IFERROR(INDEX(TableRBCalcPts[TM],MATCH(TableRBVORP[[#This Row],[RK]],TableRBCalcPts[RK],0)),"")</f>
        <v/>
      </c>
      <c r="K128" s="112" t="str">
        <f>IFERROR(INDEX(TableRBCalcPts[BYE],MATCH(TableRBVORP[[#This Row],[RK]],TableRBCalcPts[RK],0)),"")</f>
        <v/>
      </c>
      <c r="L128" s="113" t="str">
        <f>IFERROR(INDEX(TableRBCalcPts[Custom],MATCH(TableRBVORP[[#This Row],[RK]],TableRBCalcPts[RK],0)),"")</f>
        <v/>
      </c>
      <c r="M128" s="114" t="e">
        <f>(IFERROR((TableRBVORP[[#This Row],[FPS]]-INDEX(TableRBVORP[FPS],MATCH(RBVORPCalc,TableRBVORP[RK],0)))/INDEX(TableRBVORP[FPS],MATCH(RBVORPCalc,TableRBVORP[RK],0)),""))*0.8</f>
        <v>#VALUE!</v>
      </c>
      <c r="O128">
        <v>127</v>
      </c>
      <c r="P128" s="112" t="str">
        <f>IFERROR(INDEX(TableWRCalcPts[PLAYER],MATCH(TableWRVORP[[#This Row],[RK]],TableWRCalcPts[RK],0)),"")</f>
        <v>Anthony Gould</v>
      </c>
      <c r="Q128" s="112" t="str">
        <f>IFERROR(INDEX(TableWRCalcPts[TM],MATCH(TableWRVORP[[#This Row],[RK]],TableWRCalcPts[RK],0)),"")</f>
        <v>IND</v>
      </c>
      <c r="R128" s="112">
        <f>IFERROR(INDEX(TableWRCalcPts[BYE],MATCH(TableWRVORP[[#This Row],[RK]],TableWRCalcPts[RK],0)),"")</f>
        <v>14</v>
      </c>
      <c r="S128" s="113">
        <f>IFERROR(INDEX(TableWRCalcPts[Custom],MATCH(TableWRVORP[[#This Row],[RK]],TableWRCalcPts[RK],0)),"")</f>
        <v>28.099560916257602</v>
      </c>
      <c r="T128" s="114">
        <f>(IFERROR((TableWRVORP[[#This Row],[FPS]]-INDEX(TableWRVORP[FPS],MATCH(WRVORPCalc,TableWRVORP[RK],0)))/INDEX(TableWRVORP[FPS],MATCH(WRVORPCalc,TableWRVORP[RK],0)),""))*1.2</f>
        <v>-0.9709572305015578</v>
      </c>
      <c r="AF128" t="s">
        <v>207</v>
      </c>
      <c r="AG128">
        <v>87</v>
      </c>
      <c r="AH128" s="83">
        <f>RANK(TableOverallMaster[[#This Row],[VORP]],TableOverallMaster[VORP])+COUNTIF($AM$2:AM128,AM128)-1</f>
        <v>258</v>
      </c>
      <c r="AI128" s="115" t="str">
        <f>IFERROR(INDEX(TableRBVORP[RUNNING BACK],MATCH(TableOverallMaster[[#This Row],[RK]],TableRBVORP[RK],0)),"")</f>
        <v>Clyde Edwards-Helaire</v>
      </c>
      <c r="AJ128" s="115" t="str">
        <f t="shared" si="1"/>
        <v>RB87</v>
      </c>
      <c r="AK128" s="115">
        <f>IFERROR(INDEX(TableRBVORP[BYE],MATCH(TableOverallMaster[[#This Row],[RK]],TableRBVORP[RK],0)),"")</f>
        <v>6</v>
      </c>
      <c r="AL128" s="116">
        <f>IFERROR(INDEX(TableRBVORP[FPS],MATCH(TableOverallMaster[[#This Row],[RK]],TableRBVORP[RK],0)),"")</f>
        <v>19.953388884589188</v>
      </c>
      <c r="AM128" s="117">
        <f>IFERROR(INDEX(TableRBVORP[VORP],MATCH(TableOverallMaster[[#This Row],[RK]],TableRBVORP[RK],0)),"")</f>
        <v>-0.66688075878229114</v>
      </c>
      <c r="AO128">
        <v>127</v>
      </c>
      <c r="AP128" s="118" t="str">
        <f>IFERROR(INDEX(TableOverallMaster[OVERALL PLAYER],MATCH(TableOverallRank[[#This Row],[RK]],TableOverallMaster[OVR RK],0)),"")</f>
        <v>Keon Coleman</v>
      </c>
      <c r="AQ128" s="119" t="str">
        <f>IFERROR(INDEX(TableOverallMaster[POS RK],MATCH(TableOverallRank[[#This Row],[OVERALL PLAYER]],TableOverallMaster[OVERALL PLAYER],0)),"")</f>
        <v>WR56</v>
      </c>
      <c r="AR128" s="120">
        <f>IFERROR(INDEX(TableOverallMaster[BYE],MATCH(TableOverallRank[[#This Row],[OVERALL PLAYER]],TableOverallMaster[OVERALL PLAYER],0)),"")</f>
        <v>12</v>
      </c>
      <c r="AS128" s="119">
        <f>IFERROR(INDEX(TableOverallMaster[Custom],MATCH(TableOverallRank[[#This Row],[OVERALL PLAYER]],TableOverallMaster[OVERALL PLAYER],0)),"")</f>
        <v>147.77140943565098</v>
      </c>
      <c r="AT128" s="121">
        <f>IFERROR(INDEX(TableOverallMaster[VORP],MATCH(TableOverallRank[[#This Row],[OVERALL PLAYER]],TableOverallMaster[OVERALL PLAYER],0)),"")</f>
        <v>4.5018415304637124E-3</v>
      </c>
      <c r="AV128">
        <v>127</v>
      </c>
      <c r="AW128" s="122" t="str">
        <f>IFERROR(INDEX(TableWRTECalcPts[PLAYER],MATCH(TableWRTERank[[#This Row],[RK]],TableWRTECalcPts[RK],0)),"")</f>
        <v>Brenden Rice</v>
      </c>
      <c r="AX128" s="122" t="str">
        <f>IFERROR(INDEX(TableWRTECalcPts[POS RK],MATCH(TableWRTERank[[#This Row],[WR and TE COMBINED]],TableWRTECalcPts[PLAYER],0)),"")</f>
        <v>WR96</v>
      </c>
      <c r="AY128" s="122">
        <f>IFERROR(INDEX(TableWRTECalcPts[BYE],MATCH(TableWRTERank[[#This Row],[RK]],TableWRTECalcPts[RK],0)),"")</f>
        <v>5</v>
      </c>
      <c r="AZ128" s="123">
        <f>IFERROR(INDEX(TableWRTECalcPts[Custom],MATCH(TableWRTERank[[#This Row],[RK]],TableWRTECalcPts[RK],0)),"")</f>
        <v>65.713634104769312</v>
      </c>
      <c r="BA128" s="174">
        <f>IFERROR((TableWRTERank[[#This Row],[FPS]]-INDEX(TableWRTERank[FPS],MATCH(WRTEVORPCalc,TableWRTERank[RK],0)))/INDEX(TableWRTERank[FPS],MATCH(WRTEVORPCalc,TableWRTERank[RK],0)),"")</f>
        <v>-0.58123670429662089</v>
      </c>
      <c r="BC128" t="s">
        <v>208</v>
      </c>
      <c r="BD128">
        <v>127</v>
      </c>
      <c r="BE128" s="83">
        <f>RANK(TableWRTEMaster[[#This Row],[VORP]],TableWRTEMaster[VORP])+COUNTIF($BJ$2:BJ128,BJ128)-1</f>
        <v>207</v>
      </c>
      <c r="BF128" s="115" t="str">
        <f>IFERROR(INDEX(TableWRVORP[WIDE RECEIVER],MATCH(TableWRTEMaster[[#This Row],[RK]],TableWRVORP[RK],0)),"")</f>
        <v>Anthony Gould</v>
      </c>
      <c r="BG128" s="115" t="str">
        <f>_xlfn.CONCAT(TableWRTEMaster[[#This Row],[POS]],TableWRTEMaster[[#This Row],[RK]])</f>
        <v>WR127</v>
      </c>
      <c r="BH128" s="115">
        <f>IFERROR(INDEX(TableWRVORP[BYE],MATCH(TableWRTEMaster[[#This Row],[RK]],TableWRVORP[RK],0)),"")</f>
        <v>14</v>
      </c>
      <c r="BI128" s="116">
        <f>IFERROR(INDEX(TableWRVORP[FPS],MATCH(TableWRTEMaster[[#This Row],[RK]],TableWRVORP[RK],0)),"")</f>
        <v>28.099560916257602</v>
      </c>
      <c r="BJ128" s="117">
        <f>IFERROR(INDEX(TableWRVORP[VORP],MATCH(TableWRTEMaster[[#This Row],[RK]],TableWRVORP[RK],0)),"")</f>
        <v>-0.9709572305015578</v>
      </c>
    </row>
    <row r="129" spans="8:62" x14ac:dyDescent="0.2">
      <c r="H129">
        <v>128</v>
      </c>
      <c r="I129" s="112" t="str">
        <f>IFERROR(INDEX(TableRBCalcPts[PLAYER],MATCH(TableRBVORP[[#This Row],[RK]],TableRBCalcPts[RK],0)),"")</f>
        <v/>
      </c>
      <c r="J129" s="112" t="str">
        <f>IFERROR(INDEX(TableRBCalcPts[TM],MATCH(TableRBVORP[[#This Row],[RK]],TableRBCalcPts[RK],0)),"")</f>
        <v/>
      </c>
      <c r="K129" s="112" t="str">
        <f>IFERROR(INDEX(TableRBCalcPts[BYE],MATCH(TableRBVORP[[#This Row],[RK]],TableRBCalcPts[RK],0)),"")</f>
        <v/>
      </c>
      <c r="L129" s="113" t="str">
        <f>IFERROR(INDEX(TableRBCalcPts[Custom],MATCH(TableRBVORP[[#This Row],[RK]],TableRBCalcPts[RK],0)),"")</f>
        <v/>
      </c>
      <c r="M129" s="114" t="e">
        <f>(IFERROR((TableRBVORP[[#This Row],[FPS]]-INDEX(TableRBVORP[FPS],MATCH(RBVORPCalc,TableRBVORP[RK],0)))/INDEX(TableRBVORP[FPS],MATCH(RBVORPCalc,TableRBVORP[RK],0)),""))*0.8</f>
        <v>#VALUE!</v>
      </c>
      <c r="O129">
        <v>128</v>
      </c>
      <c r="P129" s="112" t="str">
        <f>IFERROR(INDEX(TableWRCalcPts[PLAYER],MATCH(TableWRVORP[[#This Row],[RK]],TableWRCalcPts[RK],0)),"")</f>
        <v>Xavier Gipson</v>
      </c>
      <c r="Q129" s="112" t="str">
        <f>IFERROR(INDEX(TableWRCalcPts[TM],MATCH(TableWRVORP[[#This Row],[RK]],TableWRCalcPts[RK],0)),"")</f>
        <v>NYJ</v>
      </c>
      <c r="R129" s="112">
        <f>IFERROR(INDEX(TableWRCalcPts[BYE],MATCH(TableWRVORP[[#This Row],[RK]],TableWRCalcPts[RK],0)),"")</f>
        <v>12</v>
      </c>
      <c r="S129" s="113">
        <f>IFERROR(INDEX(TableWRCalcPts[Custom],MATCH(TableWRVORP[[#This Row],[RK]],TableWRCalcPts[RK],0)),"")</f>
        <v>27.628995709029127</v>
      </c>
      <c r="T129" s="114">
        <f>(IFERROR((TableWRVORP[[#This Row],[FPS]]-INDEX(TableWRVORP[FPS],MATCH(WRVORPCalc,TableWRVORP[RK],0)))/INDEX(TableWRVORP[FPS],MATCH(WRVORPCalc,TableWRVORP[RK],0)),""))*1.2</f>
        <v>-0.97479286190570769</v>
      </c>
      <c r="AF129" t="s">
        <v>207</v>
      </c>
      <c r="AG129">
        <v>88</v>
      </c>
      <c r="AH129" s="83">
        <f>RANK(TableOverallMaster[[#This Row],[VORP]],TableOverallMaster[VORP])+COUNTIF($AM$2:AM129,AM129)-1</f>
        <v>259</v>
      </c>
      <c r="AI129" s="115" t="str">
        <f>IFERROR(INDEX(TableRBVORP[RUNNING BACK],MATCH(TableOverallMaster[[#This Row],[RK]],TableRBVORP[RK],0)),"")</f>
        <v>Craig Reynolds</v>
      </c>
      <c r="AJ129" s="115" t="str">
        <f t="shared" si="1"/>
        <v>RB88</v>
      </c>
      <c r="AK129" s="115">
        <f>IFERROR(INDEX(TableRBVORP[BYE],MATCH(TableOverallMaster[[#This Row],[RK]],TableRBVORP[RK],0)),"")</f>
        <v>5</v>
      </c>
      <c r="AL129" s="116">
        <f>IFERROR(INDEX(TableRBVORP[FPS],MATCH(TableOverallMaster[[#This Row],[RK]],TableRBVORP[RK],0)),"")</f>
        <v>19.745636094954225</v>
      </c>
      <c r="AM129" s="117">
        <f>IFERROR(INDEX(TableRBVORP[VORP],MATCH(TableOverallMaster[[#This Row],[RK]],TableRBVORP[RK],0)),"")</f>
        <v>-0.66826678367645986</v>
      </c>
      <c r="AO129">
        <v>128</v>
      </c>
      <c r="AP129" s="118" t="str">
        <f>IFERROR(INDEX(TableOverallMaster[OVERALL PLAYER],MATCH(TableOverallRank[[#This Row],[RK]],TableOverallMaster[OVR RK],0)),"")</f>
        <v>Blake Corum</v>
      </c>
      <c r="AQ129" s="119" t="str">
        <f>IFERROR(INDEX(TableOverallMaster[POS RK],MATCH(TableOverallRank[[#This Row],[OVERALL PLAYER]],TableOverallMaster[OVERALL PLAYER],0)),"")</f>
        <v>RB43</v>
      </c>
      <c r="AR129" s="120">
        <f>IFERROR(INDEX(TableOverallMaster[BYE],MATCH(TableOverallRank[[#This Row],[OVERALL PLAYER]],TableOverallMaster[OVERALL PLAYER],0)),"")</f>
        <v>6</v>
      </c>
      <c r="AS129" s="119">
        <f>IFERROR(INDEX(TableOverallMaster[Custom],MATCH(TableOverallRank[[#This Row],[OVERALL PLAYER]],TableOverallMaster[OVERALL PLAYER],0)),"")</f>
        <v>120.1999000133012</v>
      </c>
      <c r="AT129" s="121">
        <f>IFERROR(INDEX(TableOverallMaster[VORP],MATCH(TableOverallRank[[#This Row],[OVERALL PLAYER]],TableOverallMaster[OVERALL PLAYER],0)),"")</f>
        <v>1.9148815654710296E-3</v>
      </c>
      <c r="AV129">
        <v>128</v>
      </c>
      <c r="AW129" s="122" t="str">
        <f>IFERROR(INDEX(TableWRTECalcPts[PLAYER],MATCH(TableWRTERank[[#This Row],[RK]],TableWRTECalcPts[RK],0)),"")</f>
        <v>Tucker Kraft</v>
      </c>
      <c r="AX129" s="122" t="str">
        <f>IFERROR(INDEX(TableWRTECalcPts[POS RK],MATCH(TableWRTERank[[#This Row],[WR and TE COMBINED]],TableWRTECalcPts[PLAYER],0)),"")</f>
        <v>TE32</v>
      </c>
      <c r="AY129" s="122">
        <f>IFERROR(INDEX(TableWRTECalcPts[BYE],MATCH(TableWRTERank[[#This Row],[RK]],TableWRTECalcPts[RK],0)),"")</f>
        <v>10</v>
      </c>
      <c r="AZ129" s="123">
        <f>IFERROR(INDEX(TableWRTECalcPts[Custom],MATCH(TableWRTERank[[#This Row],[RK]],TableWRTECalcPts[RK],0)),"")</f>
        <v>65.127360408954189</v>
      </c>
      <c r="BA129" s="174">
        <f>IFERROR((TableWRTERank[[#This Row],[FPS]]-INDEX(TableWRTERank[FPS],MATCH(WRTEVORPCalc,TableWRTERank[RK],0)))/INDEX(TableWRTERank[FPS],MATCH(WRTEVORPCalc,TableWRTERank[RK],0)),"")</f>
        <v>-0.58497276163675094</v>
      </c>
      <c r="BC129" t="s">
        <v>208</v>
      </c>
      <c r="BD129">
        <v>128</v>
      </c>
      <c r="BE129" s="83">
        <f>RANK(TableWRTEMaster[[#This Row],[VORP]],TableWRTEMaster[VORP])+COUNTIF($BJ$2:BJ129,BJ129)-1</f>
        <v>208</v>
      </c>
      <c r="BF129" s="115" t="str">
        <f>IFERROR(INDEX(TableWRVORP[WIDE RECEIVER],MATCH(TableWRTEMaster[[#This Row],[RK]],TableWRVORP[RK],0)),"")</f>
        <v>Xavier Gipson</v>
      </c>
      <c r="BG129" s="115" t="str">
        <f>_xlfn.CONCAT(TableWRTEMaster[[#This Row],[POS]],TableWRTEMaster[[#This Row],[RK]])</f>
        <v>WR128</v>
      </c>
      <c r="BH129" s="115">
        <f>IFERROR(INDEX(TableWRVORP[BYE],MATCH(TableWRTEMaster[[#This Row],[RK]],TableWRVORP[RK],0)),"")</f>
        <v>12</v>
      </c>
      <c r="BI129" s="116">
        <f>IFERROR(INDEX(TableWRVORP[FPS],MATCH(TableWRTEMaster[[#This Row],[RK]],TableWRVORP[RK],0)),"")</f>
        <v>27.628995709029127</v>
      </c>
      <c r="BJ129" s="117">
        <f>IFERROR(INDEX(TableWRVORP[VORP],MATCH(TableWRTEMaster[[#This Row],[RK]],TableWRVORP[RK],0)),"")</f>
        <v>-0.97479286190570769</v>
      </c>
    </row>
    <row r="130" spans="8:62" x14ac:dyDescent="0.2">
      <c r="H130">
        <v>129</v>
      </c>
      <c r="I130" s="112" t="str">
        <f>IFERROR(INDEX(TableRBCalcPts[PLAYER],MATCH(TableRBVORP[[#This Row],[RK]],TableRBCalcPts[RK],0)),"")</f>
        <v/>
      </c>
      <c r="J130" s="112" t="str">
        <f>IFERROR(INDEX(TableRBCalcPts[TM],MATCH(TableRBVORP[[#This Row],[RK]],TableRBCalcPts[RK],0)),"")</f>
        <v/>
      </c>
      <c r="K130" s="112" t="str">
        <f>IFERROR(INDEX(TableRBCalcPts[BYE],MATCH(TableRBVORP[[#This Row],[RK]],TableRBCalcPts[RK],0)),"")</f>
        <v/>
      </c>
      <c r="L130" s="113" t="str">
        <f>IFERROR(INDEX(TableRBCalcPts[Custom],MATCH(TableRBVORP[[#This Row],[RK]],TableRBCalcPts[RK],0)),"")</f>
        <v/>
      </c>
      <c r="M130" s="114" t="e">
        <f>(IFERROR((TableRBVORP[[#This Row],[FPS]]-INDEX(TableRBVORP[FPS],MATCH(RBVORPCalc,TableRBVORP[RK],0)))/INDEX(TableRBVORP[FPS],MATCH(RBVORPCalc,TableRBVORP[RK],0)),""))*0.8</f>
        <v>#VALUE!</v>
      </c>
      <c r="O130">
        <v>129</v>
      </c>
      <c r="P130" s="112" t="str">
        <f>IFERROR(INDEX(TableWRCalcPts[PLAYER],MATCH(TableWRVORP[[#This Row],[RK]],TableWRCalcPts[RK],0)),"")</f>
        <v>Johnny Wilson</v>
      </c>
      <c r="Q130" s="112" t="str">
        <f>IFERROR(INDEX(TableWRCalcPts[TM],MATCH(TableWRVORP[[#This Row],[RK]],TableWRCalcPts[RK],0)),"")</f>
        <v>PHI</v>
      </c>
      <c r="R130" s="112">
        <f>IFERROR(INDEX(TableWRCalcPts[BYE],MATCH(TableWRVORP[[#This Row],[RK]],TableWRCalcPts[RK],0)),"")</f>
        <v>5</v>
      </c>
      <c r="S130" s="113">
        <f>IFERROR(INDEX(TableWRCalcPts[Custom],MATCH(TableWRVORP[[#This Row],[RK]],TableWRCalcPts[RK],0)),"")</f>
        <v>25.767407778456288</v>
      </c>
      <c r="T130" s="114">
        <f>(IFERROR((TableWRVORP[[#This Row],[FPS]]-INDEX(TableWRVORP[FPS],MATCH(WRVORPCalc,TableWRVORP[RK],0)))/INDEX(TableWRVORP[FPS],MATCH(WRVORPCalc,TableWRVORP[RK],0)),""))*1.2</f>
        <v>-0.98996688033802349</v>
      </c>
      <c r="AF130" t="s">
        <v>207</v>
      </c>
      <c r="AG130">
        <v>89</v>
      </c>
      <c r="AH130" s="83">
        <f>RANK(TableOverallMaster[[#This Row],[VORP]],TableOverallMaster[VORP])+COUNTIF($AM$2:AM130,AM130)-1</f>
        <v>260</v>
      </c>
      <c r="AI130" s="115" t="str">
        <f>IFERROR(INDEX(TableRBVORP[RUNNING BACK],MATCH(TableOverallMaster[[#This Row],[RK]],TableRBVORP[RK],0)),"")</f>
        <v>JaMycal Hasty</v>
      </c>
      <c r="AJ130" s="115" t="str">
        <f t="shared" ref="AJ130:AJ193" si="2">CONCATENATE(AF130,AG130)</f>
        <v>RB89</v>
      </c>
      <c r="AK130" s="115">
        <f>IFERROR(INDEX(TableRBVORP[BYE],MATCH(TableOverallMaster[[#This Row],[RK]],TableRBVORP[RK],0)),"")</f>
        <v>14</v>
      </c>
      <c r="AL130" s="116">
        <f>IFERROR(INDEX(TableRBVORP[FPS],MATCH(TableOverallMaster[[#This Row],[RK]],TableRBVORP[RK],0)),"")</f>
        <v>19.737978312410934</v>
      </c>
      <c r="AM130" s="117">
        <f>IFERROR(INDEX(TableRBVORP[VORP],MATCH(TableOverallMaster[[#This Row],[RK]],TableRBVORP[RK],0)),"")</f>
        <v>-0.66831787265224585</v>
      </c>
      <c r="AO130">
        <v>129</v>
      </c>
      <c r="AP130" s="118" t="str">
        <f>IFERROR(INDEX(TableOverallMaster[OVERALL PLAYER],MATCH(TableOverallRank[[#This Row],[RK]],TableOverallMaster[OVR RK],0)),"")</f>
        <v>Deshaun Watson</v>
      </c>
      <c r="AQ130" s="119" t="str">
        <f>IFERROR(INDEX(TableOverallMaster[POS RK],MATCH(TableOverallRank[[#This Row],[OVERALL PLAYER]],TableOverallMaster[OVERALL PLAYER],0)),"")</f>
        <v>QB19</v>
      </c>
      <c r="AR130" s="120">
        <f>IFERROR(INDEX(TableOverallMaster[BYE],MATCH(TableOverallRank[[#This Row],[OVERALL PLAYER]],TableOverallMaster[OVERALL PLAYER],0)),"")</f>
        <v>10</v>
      </c>
      <c r="AS130" s="119">
        <f>IFERROR(INDEX(TableOverallMaster[Custom],MATCH(TableOverallRank[[#This Row],[OVERALL PLAYER]],TableOverallMaster[OVERALL PLAYER],0)),"")</f>
        <v>292.12616760278985</v>
      </c>
      <c r="AT130" s="121">
        <f>IFERROR(INDEX(TableOverallMaster[VORP],MATCH(TableOverallRank[[#This Row],[OVERALL PLAYER]],TableOverallMaster[OVERALL PLAYER],0)),"")</f>
        <v>1.4863432762013962E-3</v>
      </c>
      <c r="AV130">
        <v>129</v>
      </c>
      <c r="AW130" s="122" t="str">
        <f>IFERROR(INDEX(TableWRTECalcPts[PLAYER],MATCH(TableWRTERank[[#This Row],[RK]],TableWRTECalcPts[RK],0)),"")</f>
        <v>Jalen Nailor</v>
      </c>
      <c r="AX130" s="122" t="str">
        <f>IFERROR(INDEX(TableWRTECalcPts[POS RK],MATCH(TableWRTERank[[#This Row],[WR and TE COMBINED]],TableWRTECalcPts[PLAYER],0)),"")</f>
        <v>WR97</v>
      </c>
      <c r="AY130" s="122">
        <f>IFERROR(INDEX(TableWRTECalcPts[BYE],MATCH(TableWRTERank[[#This Row],[RK]],TableWRTECalcPts[RK],0)),"")</f>
        <v>6</v>
      </c>
      <c r="AZ130" s="123">
        <f>IFERROR(INDEX(TableWRTECalcPts[Custom],MATCH(TableWRTERank[[#This Row],[RK]],TableWRTECalcPts[RK],0)),"")</f>
        <v>64.716988902047987</v>
      </c>
      <c r="BA130" s="174">
        <f>IFERROR((TableWRTERank[[#This Row],[FPS]]-INDEX(TableWRTERank[FPS],MATCH(WRTEVORPCalc,TableWRTERank[RK],0)))/INDEX(TableWRTERank[FPS],MATCH(WRTEVORPCalc,TableWRTERank[RK],0)),"")</f>
        <v>-0.58758787381302802</v>
      </c>
      <c r="BC130" t="s">
        <v>208</v>
      </c>
      <c r="BD130">
        <v>129</v>
      </c>
      <c r="BE130" s="83">
        <f>RANK(TableWRTEMaster[[#This Row],[VORP]],TableWRTEMaster[VORP])+COUNTIF($BJ$2:BJ130,BJ130)-1</f>
        <v>209</v>
      </c>
      <c r="BF130" s="115" t="str">
        <f>IFERROR(INDEX(TableWRVORP[WIDE RECEIVER],MATCH(TableWRTEMaster[[#This Row],[RK]],TableWRVORP[RK],0)),"")</f>
        <v>Johnny Wilson</v>
      </c>
      <c r="BG130" s="115" t="str">
        <f>_xlfn.CONCAT(TableWRTEMaster[[#This Row],[POS]],TableWRTEMaster[[#This Row],[RK]])</f>
        <v>WR129</v>
      </c>
      <c r="BH130" s="115">
        <f>IFERROR(INDEX(TableWRVORP[BYE],MATCH(TableWRTEMaster[[#This Row],[RK]],TableWRVORP[RK],0)),"")</f>
        <v>5</v>
      </c>
      <c r="BI130" s="116">
        <f>IFERROR(INDEX(TableWRVORP[FPS],MATCH(TableWRTEMaster[[#This Row],[RK]],TableWRVORP[RK],0)),"")</f>
        <v>25.767407778456288</v>
      </c>
      <c r="BJ130" s="117">
        <f>IFERROR(INDEX(TableWRVORP[VORP],MATCH(TableWRTEMaster[[#This Row],[RK]],TableWRVORP[RK],0)),"")</f>
        <v>-0.98996688033802349</v>
      </c>
    </row>
    <row r="131" spans="8:62" x14ac:dyDescent="0.2">
      <c r="H131">
        <v>130</v>
      </c>
      <c r="I131" s="112" t="str">
        <f>IFERROR(INDEX(TableRBCalcPts[PLAYER],MATCH(TableRBVORP[[#This Row],[RK]],TableRBCalcPts[RK],0)),"")</f>
        <v/>
      </c>
      <c r="J131" s="112" t="str">
        <f>IFERROR(INDEX(TableRBCalcPts[TM],MATCH(TableRBVORP[[#This Row],[RK]],TableRBCalcPts[RK],0)),"")</f>
        <v/>
      </c>
      <c r="K131" s="112" t="str">
        <f>IFERROR(INDEX(TableRBCalcPts[BYE],MATCH(TableRBVORP[[#This Row],[RK]],TableRBCalcPts[RK],0)),"")</f>
        <v/>
      </c>
      <c r="L131" s="113" t="str">
        <f>IFERROR(INDEX(TableRBCalcPts[Custom],MATCH(TableRBVORP[[#This Row],[RK]],TableRBCalcPts[RK],0)),"")</f>
        <v/>
      </c>
      <c r="M131" s="114" t="e">
        <f>(IFERROR((TableRBVORP[[#This Row],[FPS]]-INDEX(TableRBVORP[FPS],MATCH(RBVORPCalc,TableRBVORP[RK],0)))/INDEX(TableRBVORP[FPS],MATCH(RBVORPCalc,TableRBVORP[RK],0)),""))*0.8</f>
        <v>#VALUE!</v>
      </c>
      <c r="O131">
        <v>130</v>
      </c>
      <c r="P131" s="112" t="str">
        <f>IFERROR(INDEX(TableWRCalcPts[PLAYER],MATCH(TableWRVORP[[#This Row],[RK]],TableWRCalcPts[RK],0)),"")</f>
        <v>Alec Pierce</v>
      </c>
      <c r="Q131" s="112" t="str">
        <f>IFERROR(INDEX(TableWRCalcPts[TM],MATCH(TableWRVORP[[#This Row],[RK]],TableWRCalcPts[RK],0)),"")</f>
        <v>IND</v>
      </c>
      <c r="R131" s="112">
        <f>IFERROR(INDEX(TableWRCalcPts[BYE],MATCH(TableWRVORP[[#This Row],[RK]],TableWRCalcPts[RK],0)),"")</f>
        <v>14</v>
      </c>
      <c r="S131" s="113">
        <f>IFERROR(INDEX(TableWRCalcPts[Custom],MATCH(TableWRVORP[[#This Row],[RK]],TableWRCalcPts[RK],0)),"")</f>
        <v>25.049826099296304</v>
      </c>
      <c r="T131" s="114">
        <f>(IFERROR((TableWRVORP[[#This Row],[FPS]]-INDEX(TableWRVORP[FPS],MATCH(WRVORPCalc,TableWRVORP[RK],0)))/INDEX(TableWRVORP[FPS],MATCH(WRVORPCalc,TableWRVORP[RK],0)),""))*1.2</f>
        <v>-0.99581597156140467</v>
      </c>
      <c r="AF131" t="s">
        <v>207</v>
      </c>
      <c r="AG131">
        <v>90</v>
      </c>
      <c r="AH131" s="83">
        <f>RANK(TableOverallMaster[[#This Row],[VORP]],TableOverallMaster[VORP])+COUNTIF($AM$2:AM131,AM131)-1</f>
        <v>264</v>
      </c>
      <c r="AI131" s="115" t="str">
        <f>IFERROR(INDEX(TableRBVORP[RUNNING BACK],MATCH(TableOverallMaster[[#This Row],[RK]],TableRBVORP[RK],0)),"")</f>
        <v>Pierre Strong</v>
      </c>
      <c r="AJ131" s="115" t="str">
        <f t="shared" si="2"/>
        <v>RB90</v>
      </c>
      <c r="AK131" s="115">
        <f>IFERROR(INDEX(TableRBVORP[BYE],MATCH(TableOverallMaster[[#This Row],[RK]],TableRBVORP[RK],0)),"")</f>
        <v>10</v>
      </c>
      <c r="AL131" s="116">
        <f>IFERROR(INDEX(TableRBVORP[FPS],MATCH(TableOverallMaster[[#This Row],[RK]],TableRBVORP[RK],0)),"")</f>
        <v>18.346231257200003</v>
      </c>
      <c r="AM131" s="117">
        <f>IFERROR(INDEX(TableRBVORP[VORP],MATCH(TableOverallMaster[[#This Row],[RK]],TableRBVORP[RK],0)),"")</f>
        <v>-0.6776029275884401</v>
      </c>
      <c r="AO131">
        <v>130</v>
      </c>
      <c r="AP131" s="118" t="str">
        <f>IFERROR(INDEX(TableOverallMaster[OVERALL PLAYER],MATCH(TableOverallRank[[#This Row],[RK]],TableOverallMaster[OVR RK],0)),"")</f>
        <v>Trey Benson</v>
      </c>
      <c r="AQ131" s="119" t="str">
        <f>IFERROR(INDEX(TableOverallMaster[POS RK],MATCH(TableOverallRank[[#This Row],[OVERALL PLAYER]],TableOverallMaster[OVERALL PLAYER],0)),"")</f>
        <v>RB44</v>
      </c>
      <c r="AR131" s="120">
        <f>IFERROR(INDEX(TableOverallMaster[BYE],MATCH(TableOverallRank[[#This Row],[OVERALL PLAYER]],TableOverallMaster[OVERALL PLAYER],0)),"")</f>
        <v>11</v>
      </c>
      <c r="AS131" s="119">
        <f>IFERROR(INDEX(TableOverallMaster[Custom],MATCH(TableOverallRank[[#This Row],[OVERALL PLAYER]],TableOverallMaster[OVERALL PLAYER],0)),"")</f>
        <v>119.91287631789652</v>
      </c>
      <c r="AT131" s="121">
        <f>IFERROR(INDEX(TableOverallMaster[VORP],MATCH(TableOverallRank[[#This Row],[OVERALL PLAYER]],TableOverallMaster[OVERALL PLAYER],0)),"")</f>
        <v>0</v>
      </c>
      <c r="AV131">
        <v>130</v>
      </c>
      <c r="AW131" s="122" t="str">
        <f>IFERROR(INDEX(TableWRTECalcPts[PLAYER],MATCH(TableWRTERank[[#This Row],[RK]],TableWRTECalcPts[RK],0)),"")</f>
        <v>Ricky Pearsall</v>
      </c>
      <c r="AX131" s="122" t="str">
        <f>IFERROR(INDEX(TableWRTECalcPts[POS RK],MATCH(TableWRTERank[[#This Row],[WR and TE COMBINED]],TableWRTECalcPts[PLAYER],0)),"")</f>
        <v>WR98</v>
      </c>
      <c r="AY131" s="122">
        <f>IFERROR(INDEX(TableWRTECalcPts[BYE],MATCH(TableWRTERank[[#This Row],[RK]],TableWRTECalcPts[RK],0)),"")</f>
        <v>9</v>
      </c>
      <c r="AZ131" s="123">
        <f>IFERROR(INDEX(TableWRTECalcPts[Custom],MATCH(TableWRTERank[[#This Row],[RK]],TableWRTECalcPts[RK],0)),"")</f>
        <v>64.515491200216616</v>
      </c>
      <c r="BA131" s="174">
        <f>IFERROR((TableWRTERank[[#This Row],[FPS]]-INDEX(TableWRTERank[FPS],MATCH(WRTEVORPCalc,TableWRTERank[RK],0)))/INDEX(TableWRTERank[FPS],MATCH(WRTEVORPCalc,TableWRTERank[RK],0)),"")</f>
        <v>-0.58887192761472518</v>
      </c>
      <c r="BC131" t="s">
        <v>208</v>
      </c>
      <c r="BD131">
        <v>130</v>
      </c>
      <c r="BE131" s="83">
        <f>RANK(TableWRTEMaster[[#This Row],[VORP]],TableWRTEMaster[VORP])+COUNTIF($BJ$2:BJ131,BJ131)-1</f>
        <v>210</v>
      </c>
      <c r="BF131" s="115" t="str">
        <f>IFERROR(INDEX(TableWRVORP[WIDE RECEIVER],MATCH(TableWRTEMaster[[#This Row],[RK]],TableWRVORP[RK],0)),"")</f>
        <v>Alec Pierce</v>
      </c>
      <c r="BG131" s="115" t="str">
        <f>_xlfn.CONCAT(TableWRTEMaster[[#This Row],[POS]],TableWRTEMaster[[#This Row],[RK]])</f>
        <v>WR130</v>
      </c>
      <c r="BH131" s="115">
        <f>IFERROR(INDEX(TableWRVORP[BYE],MATCH(TableWRTEMaster[[#This Row],[RK]],TableWRVORP[RK],0)),"")</f>
        <v>14</v>
      </c>
      <c r="BI131" s="116">
        <f>IFERROR(INDEX(TableWRVORP[FPS],MATCH(TableWRTEMaster[[#This Row],[RK]],TableWRVORP[RK],0)),"")</f>
        <v>25.049826099296304</v>
      </c>
      <c r="BJ131" s="117">
        <f>IFERROR(INDEX(TableWRVORP[VORP],MATCH(TableWRTEMaster[[#This Row],[RK]],TableWRVORP[RK],0)),"")</f>
        <v>-0.99581597156140467</v>
      </c>
    </row>
    <row r="132" spans="8:62" x14ac:dyDescent="0.2">
      <c r="H132">
        <v>131</v>
      </c>
      <c r="I132" s="112" t="str">
        <f>IFERROR(INDEX(TableRBCalcPts[PLAYER],MATCH(TableRBVORP[[#This Row],[RK]],TableRBCalcPts[RK],0)),"")</f>
        <v/>
      </c>
      <c r="J132" s="112" t="str">
        <f>IFERROR(INDEX(TableRBCalcPts[TM],MATCH(TableRBVORP[[#This Row],[RK]],TableRBCalcPts[RK],0)),"")</f>
        <v/>
      </c>
      <c r="K132" s="112" t="str">
        <f>IFERROR(INDEX(TableRBCalcPts[BYE],MATCH(TableRBVORP[[#This Row],[RK]],TableRBCalcPts[RK],0)),"")</f>
        <v/>
      </c>
      <c r="L132" s="113" t="str">
        <f>IFERROR(INDEX(TableRBCalcPts[Custom],MATCH(TableRBVORP[[#This Row],[RK]],TableRBCalcPts[RK],0)),"")</f>
        <v/>
      </c>
      <c r="M132" s="114" t="e">
        <f>(IFERROR((TableRBVORP[[#This Row],[FPS]]-INDEX(TableRBVORP[FPS],MATCH(RBVORPCalc,TableRBVORP[RK],0)))/INDEX(TableRBVORP[FPS],MATCH(RBVORPCalc,TableRBVORP[RK],0)),""))*0.8</f>
        <v>#VALUE!</v>
      </c>
      <c r="O132">
        <v>131</v>
      </c>
      <c r="P132" s="112" t="str">
        <f>IFERROR(INDEX(TableWRCalcPts[PLAYER],MATCH(TableWRVORP[[#This Row],[RK]],TableWRCalcPts[RK],0)),"")</f>
        <v>Justin Watson</v>
      </c>
      <c r="Q132" s="112" t="str">
        <f>IFERROR(INDEX(TableWRCalcPts[TM],MATCH(TableWRVORP[[#This Row],[RK]],TableWRCalcPts[RK],0)),"")</f>
        <v>KC</v>
      </c>
      <c r="R132" s="112">
        <f>IFERROR(INDEX(TableWRCalcPts[BYE],MATCH(TableWRVORP[[#This Row],[RK]],TableWRCalcPts[RK],0)),"")</f>
        <v>6</v>
      </c>
      <c r="S132" s="113">
        <f>IFERROR(INDEX(TableWRCalcPts[Custom],MATCH(TableWRVORP[[#This Row],[RK]],TableWRCalcPts[RK],0)),"")</f>
        <v>24.945080751359992</v>
      </c>
      <c r="T132" s="114">
        <f>(IFERROR((TableWRVORP[[#This Row],[FPS]]-INDEX(TableWRVORP[FPS],MATCH(WRVORPCalc,TableWRVORP[RK],0)))/INDEX(TableWRVORP[FPS],MATCH(WRVORPCalc,TableWRVORP[RK],0)),""))*1.2</f>
        <v>-0.99666976300159515</v>
      </c>
      <c r="AF132" t="s">
        <v>207</v>
      </c>
      <c r="AG132">
        <v>91</v>
      </c>
      <c r="AH132" s="83">
        <f>RANK(TableOverallMaster[[#This Row],[VORP]],TableOverallMaster[VORP])+COUNTIF($AM$2:AM132,AM132)-1</f>
        <v>266</v>
      </c>
      <c r="AI132" s="115" t="str">
        <f>IFERROR(INDEX(TableRBVORP[RUNNING BACK],MATCH(TableOverallMaster[[#This Row],[RK]],TableRBVORP[RK],0)),"")</f>
        <v>Israel Abanikanda</v>
      </c>
      <c r="AJ132" s="115" t="str">
        <f t="shared" si="2"/>
        <v>RB91</v>
      </c>
      <c r="AK132" s="115">
        <f>IFERROR(INDEX(TableRBVORP[BYE],MATCH(TableOverallMaster[[#This Row],[RK]],TableRBVORP[RK],0)),"")</f>
        <v>12</v>
      </c>
      <c r="AL132" s="116">
        <f>IFERROR(INDEX(TableRBVORP[FPS],MATCH(TableOverallMaster[[#This Row],[RK]],TableRBVORP[RK],0)),"")</f>
        <v>17.414630244290926</v>
      </c>
      <c r="AM132" s="117">
        <f>IFERROR(INDEX(TableRBVORP[VORP],MATCH(TableOverallMaster[[#This Row],[RK]],TableRBVORP[RK],0)),"")</f>
        <v>-0.68381811342345822</v>
      </c>
      <c r="AO132">
        <v>131</v>
      </c>
      <c r="AP132" s="118" t="str">
        <f>IFERROR(INDEX(TableOverallMaster[OVERALL PLAYER],MATCH(TableOverallRank[[#This Row],[RK]],TableOverallMaster[OVR RK],0)),"")</f>
        <v>Darnell Mooney</v>
      </c>
      <c r="AQ132" s="119" t="str">
        <f>IFERROR(INDEX(TableOverallMaster[POS RK],MATCH(TableOverallRank[[#This Row],[OVERALL PLAYER]],TableOverallMaster[OVERALL PLAYER],0)),"")</f>
        <v>WR57</v>
      </c>
      <c r="AR132" s="120">
        <f>IFERROR(INDEX(TableOverallMaster[BYE],MATCH(TableOverallRank[[#This Row],[OVERALL PLAYER]],TableOverallMaster[OVERALL PLAYER],0)),"")</f>
        <v>12</v>
      </c>
      <c r="AS132" s="119">
        <f>IFERROR(INDEX(TableOverallMaster[Custom],MATCH(TableOverallRank[[#This Row],[OVERALL PLAYER]],TableOverallMaster[OVERALL PLAYER],0)),"")</f>
        <v>147.21911184250882</v>
      </c>
      <c r="AT132" s="121">
        <f>IFERROR(INDEX(TableOverallMaster[VORP],MATCH(TableOverallRank[[#This Row],[OVERALL PLAYER]],TableOverallMaster[OVERALL PLAYER],0)),"")</f>
        <v>0</v>
      </c>
      <c r="AV132">
        <v>131</v>
      </c>
      <c r="AW132" s="122" t="str">
        <f>IFERROR(INDEX(TableWRTECalcPts[PLAYER],MATCH(TableWRTERank[[#This Row],[RK]],TableWRTECalcPts[RK],0)),"")</f>
        <v>Michael Mayer</v>
      </c>
      <c r="AX132" s="122" t="str">
        <f>IFERROR(INDEX(TableWRTECalcPts[POS RK],MATCH(TableWRTERank[[#This Row],[WR and TE COMBINED]],TableWRTECalcPts[PLAYER],0)),"")</f>
        <v>TE33</v>
      </c>
      <c r="AY132" s="122">
        <f>IFERROR(INDEX(TableWRTECalcPts[BYE],MATCH(TableWRTERank[[#This Row],[RK]],TableWRTECalcPts[RK],0)),"")</f>
        <v>10</v>
      </c>
      <c r="AZ132" s="123">
        <f>IFERROR(INDEX(TableWRTECalcPts[Custom],MATCH(TableWRTERank[[#This Row],[RK]],TableWRTECalcPts[RK],0)),"")</f>
        <v>63.541282229215099</v>
      </c>
      <c r="BA132" s="174">
        <f>IFERROR((TableWRTERank[[#This Row],[FPS]]-INDEX(TableWRTERank[FPS],MATCH(WRTEVORPCalc,TableWRTERank[RK],0)))/INDEX(TableWRTERank[FPS],MATCH(WRTEVORPCalc,TableWRTERank[RK],0)),"")</f>
        <v>-0.59508012116478759</v>
      </c>
      <c r="BC132" t="s">
        <v>208</v>
      </c>
      <c r="BD132">
        <v>131</v>
      </c>
      <c r="BE132" s="83">
        <f>RANK(TableWRTEMaster[[#This Row],[VORP]],TableWRTEMaster[VORP])+COUNTIF($BJ$2:BJ132,BJ132)-1</f>
        <v>211</v>
      </c>
      <c r="BF132" s="115" t="str">
        <f>IFERROR(INDEX(TableWRVORP[WIDE RECEIVER],MATCH(TableWRTEMaster[[#This Row],[RK]],TableWRVORP[RK],0)),"")</f>
        <v>Justin Watson</v>
      </c>
      <c r="BG132" s="115" t="str">
        <f>_xlfn.CONCAT(TableWRTEMaster[[#This Row],[POS]],TableWRTEMaster[[#This Row],[RK]])</f>
        <v>WR131</v>
      </c>
      <c r="BH132" s="115">
        <f>IFERROR(INDEX(TableWRVORP[BYE],MATCH(TableWRTEMaster[[#This Row],[RK]],TableWRVORP[RK],0)),"")</f>
        <v>6</v>
      </c>
      <c r="BI132" s="116">
        <f>IFERROR(INDEX(TableWRVORP[FPS],MATCH(TableWRTEMaster[[#This Row],[RK]],TableWRVORP[RK],0)),"")</f>
        <v>24.945080751359992</v>
      </c>
      <c r="BJ132" s="117">
        <f>IFERROR(INDEX(TableWRVORP[VORP],MATCH(TableWRTEMaster[[#This Row],[RK]],TableWRVORP[RK],0)),"")</f>
        <v>-0.99666976300159515</v>
      </c>
    </row>
    <row r="133" spans="8:62" x14ac:dyDescent="0.2">
      <c r="H133">
        <v>132</v>
      </c>
      <c r="I133" s="112" t="str">
        <f>IFERROR(INDEX(TableRBCalcPts[PLAYER],MATCH(TableRBVORP[[#This Row],[RK]],TableRBCalcPts[RK],0)),"")</f>
        <v/>
      </c>
      <c r="J133" s="112" t="str">
        <f>IFERROR(INDEX(TableRBCalcPts[TM],MATCH(TableRBVORP[[#This Row],[RK]],TableRBCalcPts[RK],0)),"")</f>
        <v/>
      </c>
      <c r="K133" s="112" t="str">
        <f>IFERROR(INDEX(TableRBCalcPts[BYE],MATCH(TableRBVORP[[#This Row],[RK]],TableRBCalcPts[RK],0)),"")</f>
        <v/>
      </c>
      <c r="L133" s="113" t="str">
        <f>IFERROR(INDEX(TableRBCalcPts[Custom],MATCH(TableRBVORP[[#This Row],[RK]],TableRBCalcPts[RK],0)),"")</f>
        <v/>
      </c>
      <c r="M133" s="114" t="e">
        <f>(IFERROR((TableRBVORP[[#This Row],[FPS]]-INDEX(TableRBVORP[FPS],MATCH(RBVORPCalc,TableRBVORP[RK],0)))/INDEX(TableRBVORP[FPS],MATCH(RBVORPCalc,TableRBVORP[RK],0)),""))*0.8</f>
        <v>#VALUE!</v>
      </c>
      <c r="O133">
        <v>132</v>
      </c>
      <c r="P133" s="112" t="str">
        <f>IFERROR(INDEX(TableWRCalcPts[PLAYER],MATCH(TableWRVORP[[#This Row],[RK]],TableWRCalcPts[RK],0)),"")</f>
        <v>Brandon Powell</v>
      </c>
      <c r="Q133" s="112" t="str">
        <f>IFERROR(INDEX(TableWRCalcPts[TM],MATCH(TableWRVORP[[#This Row],[RK]],TableWRCalcPts[RK],0)),"")</f>
        <v>MIN</v>
      </c>
      <c r="R133" s="112">
        <f>IFERROR(INDEX(TableWRCalcPts[BYE],MATCH(TableWRVORP[[#This Row],[RK]],TableWRCalcPts[RK],0)),"")</f>
        <v>6</v>
      </c>
      <c r="S133" s="113">
        <f>IFERROR(INDEX(TableWRCalcPts[Custom],MATCH(TableWRVORP[[#This Row],[RK]],TableWRCalcPts[RK],0)),"")</f>
        <v>24.407091129565359</v>
      </c>
      <c r="T133" s="114">
        <f>(IFERROR((TableWRVORP[[#This Row],[FPS]]-INDEX(TableWRVORP[FPS],MATCH(WRVORPCalc,TableWRVORP[RK],0)))/INDEX(TableWRVORP[FPS],MATCH(WRVORPCalc,TableWRVORP[RK],0)),""))*1.2</f>
        <v>-1.0010549786035219</v>
      </c>
      <c r="AF133" t="s">
        <v>207</v>
      </c>
      <c r="AG133">
        <v>92</v>
      </c>
      <c r="AH133" s="83">
        <f>RANK(TableOverallMaster[[#This Row],[VORP]],TableOverallMaster[VORP])+COUNTIF($AM$2:AM133,AM133)-1</f>
        <v>269</v>
      </c>
      <c r="AI133" s="115" t="str">
        <f>IFERROR(INDEX(TableRBVORP[RUNNING BACK],MATCH(TableOverallMaster[[#This Row],[RK]],TableRBVORP[RK],0)),"")</f>
        <v>Keillan Robinson</v>
      </c>
      <c r="AJ133" s="115" t="str">
        <f t="shared" si="2"/>
        <v>RB92</v>
      </c>
      <c r="AK133" s="115">
        <f>IFERROR(INDEX(TableRBVORP[BYE],MATCH(TableOverallMaster[[#This Row],[RK]],TableRBVORP[RK],0)),"")</f>
        <v>12</v>
      </c>
      <c r="AL133" s="116">
        <f>IFERROR(INDEX(TableRBVORP[FPS],MATCH(TableOverallMaster[[#This Row],[RK]],TableRBVORP[RK],0)),"")</f>
        <v>16.817457293879201</v>
      </c>
      <c r="AM133" s="117">
        <f>IFERROR(INDEX(TableRBVORP[VORP],MATCH(TableOverallMaster[[#This Row],[RK]],TableRBVORP[RK],0)),"")</f>
        <v>-0.68780215896551378</v>
      </c>
      <c r="AO133">
        <v>132</v>
      </c>
      <c r="AP133" s="118" t="str">
        <f>IFERROR(INDEX(TableOverallMaster[OVERALL PLAYER],MATCH(TableOverallRank[[#This Row],[RK]],TableOverallMaster[OVR RK],0)),"")</f>
        <v>T.J. Hockenson</v>
      </c>
      <c r="AQ133" s="119" t="str">
        <f>IFERROR(INDEX(TableOverallMaster[POS RK],MATCH(TableOverallRank[[#This Row],[OVERALL PLAYER]],TableOverallMaster[OVERALL PLAYER],0)),"")</f>
        <v>TE12</v>
      </c>
      <c r="AR133" s="120">
        <f>IFERROR(INDEX(TableOverallMaster[BYE],MATCH(TableOverallRank[[#This Row],[OVERALL PLAYER]],TableOverallMaster[OVERALL PLAYER],0)),"")</f>
        <v>6</v>
      </c>
      <c r="AS133" s="119">
        <f>IFERROR(INDEX(TableOverallMaster[Custom],MATCH(TableOverallRank[[#This Row],[OVERALL PLAYER]],TableOverallMaster[OVERALL PLAYER],0)),"")</f>
        <v>131.63902916472006</v>
      </c>
      <c r="AT133" s="121">
        <f>IFERROR(INDEX(TableOverallMaster[VORP],MATCH(TableOverallRank[[#This Row],[OVERALL PLAYER]],TableOverallMaster[OVERALL PLAYER],0)),"")</f>
        <v>0</v>
      </c>
      <c r="AV133">
        <v>132</v>
      </c>
      <c r="AW133" s="122" t="str">
        <f>IFERROR(INDEX(TableWRTECalcPts[PLAYER],MATCH(TableWRTERank[[#This Row],[RK]],TableWRTECalcPts[RK],0)),"")</f>
        <v>Cedrick Wilson</v>
      </c>
      <c r="AX133" s="122" t="str">
        <f>IFERROR(INDEX(TableWRTECalcPts[POS RK],MATCH(TableWRTERank[[#This Row],[WR and TE COMBINED]],TableWRTECalcPts[PLAYER],0)),"")</f>
        <v>WR99</v>
      </c>
      <c r="AY133" s="122">
        <f>IFERROR(INDEX(TableWRTECalcPts[BYE],MATCH(TableWRTERank[[#This Row],[RK]],TableWRTECalcPts[RK],0)),"")</f>
        <v>12</v>
      </c>
      <c r="AZ133" s="123">
        <f>IFERROR(INDEX(TableWRTECalcPts[Custom],MATCH(TableWRTERank[[#This Row],[RK]],TableWRTECalcPts[RK],0)),"")</f>
        <v>63.135295687497305</v>
      </c>
      <c r="BA133" s="174">
        <f>IFERROR((TableWRTERank[[#This Row],[FPS]]-INDEX(TableWRTERank[FPS],MATCH(WRTEVORPCalc,TableWRTERank[RK],0)))/INDEX(TableWRTERank[FPS],MATCH(WRTEVORPCalc,TableWRTERank[RK],0)),"")</f>
        <v>-0.59766728993938167</v>
      </c>
      <c r="BC133" t="s">
        <v>208</v>
      </c>
      <c r="BD133">
        <v>132</v>
      </c>
      <c r="BE133" s="83">
        <f>RANK(TableWRTEMaster[[#This Row],[VORP]],TableWRTEMaster[VORP])+COUNTIF($BJ$2:BJ133,BJ133)-1</f>
        <v>212</v>
      </c>
      <c r="BF133" s="115" t="str">
        <f>IFERROR(INDEX(TableWRVORP[WIDE RECEIVER],MATCH(TableWRTEMaster[[#This Row],[RK]],TableWRVORP[RK],0)),"")</f>
        <v>Brandon Powell</v>
      </c>
      <c r="BG133" s="115" t="str">
        <f>_xlfn.CONCAT(TableWRTEMaster[[#This Row],[POS]],TableWRTEMaster[[#This Row],[RK]])</f>
        <v>WR132</v>
      </c>
      <c r="BH133" s="115">
        <f>IFERROR(INDEX(TableWRVORP[BYE],MATCH(TableWRTEMaster[[#This Row],[RK]],TableWRVORP[RK],0)),"")</f>
        <v>6</v>
      </c>
      <c r="BI133" s="116">
        <f>IFERROR(INDEX(TableWRVORP[FPS],MATCH(TableWRTEMaster[[#This Row],[RK]],TableWRVORP[RK],0)),"")</f>
        <v>24.407091129565359</v>
      </c>
      <c r="BJ133" s="117">
        <f>IFERROR(INDEX(TableWRVORP[VORP],MATCH(TableWRTEMaster[[#This Row],[RK]],TableWRVORP[RK],0)),"")</f>
        <v>-1.0010549786035219</v>
      </c>
    </row>
    <row r="134" spans="8:62" x14ac:dyDescent="0.2">
      <c r="H134">
        <v>133</v>
      </c>
      <c r="I134" s="112" t="str">
        <f>IFERROR(INDEX(TableRBCalcPts[PLAYER],MATCH(TableRBVORP[[#This Row],[RK]],TableRBCalcPts[RK],0)),"")</f>
        <v/>
      </c>
      <c r="J134" s="112" t="str">
        <f>IFERROR(INDEX(TableRBCalcPts[TM],MATCH(TableRBVORP[[#This Row],[RK]],TableRBCalcPts[RK],0)),"")</f>
        <v/>
      </c>
      <c r="K134" s="112" t="str">
        <f>IFERROR(INDEX(TableRBCalcPts[BYE],MATCH(TableRBVORP[[#This Row],[RK]],TableRBCalcPts[RK],0)),"")</f>
        <v/>
      </c>
      <c r="L134" s="113" t="str">
        <f>IFERROR(INDEX(TableRBCalcPts[Custom],MATCH(TableRBVORP[[#This Row],[RK]],TableRBCalcPts[RK],0)),"")</f>
        <v/>
      </c>
      <c r="M134" s="114" t="e">
        <f>(IFERROR((TableRBVORP[[#This Row],[FPS]]-INDEX(TableRBVORP[FPS],MATCH(RBVORPCalc,TableRBVORP[RK],0)))/INDEX(TableRBVORP[FPS],MATCH(RBVORPCalc,TableRBVORP[RK],0)),""))*0.8</f>
        <v>#VALUE!</v>
      </c>
      <c r="O134">
        <v>133</v>
      </c>
      <c r="P134" s="112" t="str">
        <f>IFERROR(INDEX(TableWRCalcPts[PLAYER],MATCH(TableWRVORP[[#This Row],[RK]],TableWRCalcPts[RK],0)),"")</f>
        <v>David Moore</v>
      </c>
      <c r="Q134" s="112" t="str">
        <f>IFERROR(INDEX(TableWRCalcPts[TM],MATCH(TableWRVORP[[#This Row],[RK]],TableWRCalcPts[RK],0)),"")</f>
        <v>CAR</v>
      </c>
      <c r="R134" s="112">
        <f>IFERROR(INDEX(TableWRCalcPts[BYE],MATCH(TableWRVORP[[#This Row],[RK]],TableWRCalcPts[RK],0)),"")</f>
        <v>11</v>
      </c>
      <c r="S134" s="113">
        <f>IFERROR(INDEX(TableWRCalcPts[Custom],MATCH(TableWRVORP[[#This Row],[RK]],TableWRCalcPts[RK],0)),"")</f>
        <v>22.838399236688442</v>
      </c>
      <c r="T134" s="114">
        <f>(IFERROR((TableWRVORP[[#This Row],[FPS]]-INDEX(TableWRVORP[FPS],MATCH(WRVORPCalc,TableWRVORP[RK],0)))/INDEX(TableWRVORP[FPS],MATCH(WRVORPCalc,TableWRVORP[RK],0)),""))*1.2</f>
        <v>-1.0138415675721204</v>
      </c>
      <c r="AF134" t="s">
        <v>207</v>
      </c>
      <c r="AG134">
        <v>93</v>
      </c>
      <c r="AH134" s="83">
        <f>RANK(TableOverallMaster[[#This Row],[VORP]],TableOverallMaster[VORP])+COUNTIF($AM$2:AM134,AM134)-1</f>
        <v>272</v>
      </c>
      <c r="AI134" s="115" t="str">
        <f>IFERROR(INDEX(TableRBVORP[RUNNING BACK],MATCH(TableOverallMaster[[#This Row],[RK]],TableRBVORP[RK],0)),"")</f>
        <v>Hassan Haskins</v>
      </c>
      <c r="AJ134" s="115" t="str">
        <f t="shared" si="2"/>
        <v>RB93</v>
      </c>
      <c r="AK134" s="115">
        <f>IFERROR(INDEX(TableRBVORP[BYE],MATCH(TableOverallMaster[[#This Row],[RK]],TableRBVORP[RK],0)),"")</f>
        <v>5</v>
      </c>
      <c r="AL134" s="116">
        <f>IFERROR(INDEX(TableRBVORP[FPS],MATCH(TableOverallMaster[[#This Row],[RK]],TableRBVORP[RK],0)),"")</f>
        <v>15.651052764334191</v>
      </c>
      <c r="AM134" s="117">
        <f>IFERROR(INDEX(TableRBVORP[VORP],MATCH(TableOverallMaster[[#This Row],[RK]],TableRBVORP[RK],0)),"")</f>
        <v>-0.69558383890088826</v>
      </c>
      <c r="AO134">
        <v>133</v>
      </c>
      <c r="AP134" s="118" t="str">
        <f>IFERROR(INDEX(TableOverallMaster[OVERALL PLAYER],MATCH(TableOverallRank[[#This Row],[RK]],TableOverallMaster[OVR RK],0)),"")</f>
        <v>Rashid Shaheed</v>
      </c>
      <c r="AQ134" s="119" t="str">
        <f>IFERROR(INDEX(TableOverallMaster[POS RK],MATCH(TableOverallRank[[#This Row],[OVERALL PLAYER]],TableOverallMaster[OVERALL PLAYER],0)),"")</f>
        <v>WR58</v>
      </c>
      <c r="AR134" s="120">
        <f>IFERROR(INDEX(TableOverallMaster[BYE],MATCH(TableOverallRank[[#This Row],[OVERALL PLAYER]],TableOverallMaster[OVERALL PLAYER],0)),"")</f>
        <v>12</v>
      </c>
      <c r="AS134" s="119">
        <f>IFERROR(INDEX(TableOverallMaster[Custom],MATCH(TableOverallRank[[#This Row],[OVERALL PLAYER]],TableOverallMaster[OVERALL PLAYER],0)),"")</f>
        <v>146.61073300360175</v>
      </c>
      <c r="AT134" s="121">
        <f>IFERROR(INDEX(TableOverallMaster[VORP],MATCH(TableOverallRank[[#This Row],[OVERALL PLAYER]],TableOverallMaster[OVERALL PLAYER],0)),"")</f>
        <v>-4.9589662480064379E-3</v>
      </c>
      <c r="AV134">
        <v>133</v>
      </c>
      <c r="AW134" s="122" t="str">
        <f>IFERROR(INDEX(TableWRTECalcPts[PLAYER],MATCH(TableWRTERank[[#This Row],[RK]],TableWRTECalcPts[RK],0)),"")</f>
        <v>Tyquan Thornton</v>
      </c>
      <c r="AX134" s="122" t="str">
        <f>IFERROR(INDEX(TableWRTECalcPts[POS RK],MATCH(TableWRTERank[[#This Row],[WR and TE COMBINED]],TableWRTECalcPts[PLAYER],0)),"")</f>
        <v>WR100</v>
      </c>
      <c r="AY134" s="122">
        <f>IFERROR(INDEX(TableWRTECalcPts[BYE],MATCH(TableWRTERank[[#This Row],[RK]],TableWRTECalcPts[RK],0)),"")</f>
        <v>14</v>
      </c>
      <c r="AZ134" s="123">
        <f>IFERROR(INDEX(TableWRTECalcPts[Custom],MATCH(TableWRTERank[[#This Row],[RK]],TableWRTECalcPts[RK],0)),"")</f>
        <v>63.087701683529595</v>
      </c>
      <c r="BA134" s="174">
        <f>IFERROR((TableWRTERank[[#This Row],[FPS]]-INDEX(TableWRTERank[FPS],MATCH(WRTEVORPCalc,TableWRTERank[RK],0)))/INDEX(TableWRTERank[FPS],MATCH(WRTEVORPCalc,TableWRTERank[RK],0)),"")</f>
        <v>-0.59797058502005651</v>
      </c>
      <c r="BC134" t="s">
        <v>208</v>
      </c>
      <c r="BD134">
        <v>133</v>
      </c>
      <c r="BE134" s="83">
        <f>RANK(TableWRTEMaster[[#This Row],[VORP]],TableWRTEMaster[VORP])+COUNTIF($BJ$2:BJ134,BJ134)-1</f>
        <v>213</v>
      </c>
      <c r="BF134" s="115" t="str">
        <f>IFERROR(INDEX(TableWRVORP[WIDE RECEIVER],MATCH(TableWRTEMaster[[#This Row],[RK]],TableWRVORP[RK],0)),"")</f>
        <v>David Moore</v>
      </c>
      <c r="BG134" s="115" t="str">
        <f>_xlfn.CONCAT(TableWRTEMaster[[#This Row],[POS]],TableWRTEMaster[[#This Row],[RK]])</f>
        <v>WR133</v>
      </c>
      <c r="BH134" s="115">
        <f>IFERROR(INDEX(TableWRVORP[BYE],MATCH(TableWRTEMaster[[#This Row],[RK]],TableWRVORP[RK],0)),"")</f>
        <v>11</v>
      </c>
      <c r="BI134" s="116">
        <f>IFERROR(INDEX(TableWRVORP[FPS],MATCH(TableWRTEMaster[[#This Row],[RK]],TableWRVORP[RK],0)),"")</f>
        <v>22.838399236688442</v>
      </c>
      <c r="BJ134" s="117">
        <f>IFERROR(INDEX(TableWRVORP[VORP],MATCH(TableWRTEMaster[[#This Row],[RK]],TableWRVORP[RK],0)),"")</f>
        <v>-1.0138415675721204</v>
      </c>
    </row>
    <row r="135" spans="8:62" x14ac:dyDescent="0.2">
      <c r="H135">
        <v>134</v>
      </c>
      <c r="I135" s="112" t="str">
        <f>IFERROR(INDEX(TableRBCalcPts[PLAYER],MATCH(TableRBVORP[[#This Row],[RK]],TableRBCalcPts[RK],0)),"")</f>
        <v/>
      </c>
      <c r="J135" s="112" t="str">
        <f>IFERROR(INDEX(TableRBCalcPts[TM],MATCH(TableRBVORP[[#This Row],[RK]],TableRBCalcPts[RK],0)),"")</f>
        <v/>
      </c>
      <c r="K135" s="112" t="str">
        <f>IFERROR(INDEX(TableRBCalcPts[BYE],MATCH(TableRBVORP[[#This Row],[RK]],TableRBCalcPts[RK],0)),"")</f>
        <v/>
      </c>
      <c r="L135" s="113" t="str">
        <f>IFERROR(INDEX(TableRBCalcPts[Custom],MATCH(TableRBVORP[[#This Row],[RK]],TableRBCalcPts[RK],0)),"")</f>
        <v/>
      </c>
      <c r="M135" s="114" t="e">
        <f>(IFERROR((TableRBVORP[[#This Row],[FPS]]-INDEX(TableRBVORP[FPS],MATCH(RBVORPCalc,TableRBVORP[RK],0)))/INDEX(TableRBVORP[FPS],MATCH(RBVORPCalc,TableRBVORP[RK],0)),""))*0.8</f>
        <v>#VALUE!</v>
      </c>
      <c r="O135">
        <v>134</v>
      </c>
      <c r="P135" s="112" t="str">
        <f>IFERROR(INDEX(TableWRCalcPts[PLAYER],MATCH(TableWRVORP[[#This Row],[RK]],TableWRCalcPts[RK],0)),"")</f>
        <v>Casey Washington</v>
      </c>
      <c r="Q135" s="112" t="str">
        <f>IFERROR(INDEX(TableWRCalcPts[TM],MATCH(TableWRVORP[[#This Row],[RK]],TableWRCalcPts[RK],0)),"")</f>
        <v>ATL</v>
      </c>
      <c r="R135" s="112">
        <f>IFERROR(INDEX(TableWRCalcPts[BYE],MATCH(TableWRVORP[[#This Row],[RK]],TableWRCalcPts[RK],0)),"")</f>
        <v>12</v>
      </c>
      <c r="S135" s="113">
        <f>IFERROR(INDEX(TableWRCalcPts[Custom],MATCH(TableWRVORP[[#This Row],[RK]],TableWRCalcPts[RK],0)),"")</f>
        <v>22.563065964479041</v>
      </c>
      <c r="T135" s="114">
        <f>(IFERROR((TableWRVORP[[#This Row],[FPS]]-INDEX(TableWRVORP[FPS],MATCH(WRVORPCalc,TableWRVORP[RK],0)))/INDEX(TableWRVORP[FPS],MATCH(WRVORPCalc,TableWRVORP[RK],0)),""))*1.2</f>
        <v>-1.016085840904001</v>
      </c>
      <c r="AF135" t="s">
        <v>207</v>
      </c>
      <c r="AG135">
        <v>94</v>
      </c>
      <c r="AH135" s="83">
        <f>RANK(TableOverallMaster[[#This Row],[VORP]],TableOverallMaster[VORP])+COUNTIF($AM$2:AM135,AM135)-1</f>
        <v>274</v>
      </c>
      <c r="AI135" s="115" t="str">
        <f>IFERROR(INDEX(TableRBVORP[RUNNING BACK],MATCH(TableOverallMaster[[#This Row],[RK]],TableRBVORP[RK],0)),"")</f>
        <v>Emanuel Wilson</v>
      </c>
      <c r="AJ135" s="115" t="str">
        <f t="shared" si="2"/>
        <v>RB94</v>
      </c>
      <c r="AK135" s="115">
        <f>IFERROR(INDEX(TableRBVORP[BYE],MATCH(TableOverallMaster[[#This Row],[RK]],TableRBVORP[RK],0)),"")</f>
        <v>10</v>
      </c>
      <c r="AL135" s="116">
        <f>IFERROR(INDEX(TableRBVORP[FPS],MATCH(TableOverallMaster[[#This Row],[RK]],TableRBVORP[RK],0)),"")</f>
        <v>14.378845048288003</v>
      </c>
      <c r="AM135" s="117">
        <f>IFERROR(INDEX(TableRBVORP[VORP],MATCH(TableOverallMaster[[#This Row],[RK]],TableRBVORP[RK],0)),"")</f>
        <v>-0.70407138589408014</v>
      </c>
      <c r="AO135">
        <v>134</v>
      </c>
      <c r="AP135" s="118" t="str">
        <f>IFERROR(INDEX(TableOverallMaster[OVERALL PLAYER],MATCH(TableOverallRank[[#This Row],[RK]],TableOverallMaster[OVR RK],0)),"")</f>
        <v>Ty Chandler</v>
      </c>
      <c r="AQ135" s="119" t="str">
        <f>IFERROR(INDEX(TableOverallMaster[POS RK],MATCH(TableOverallRank[[#This Row],[OVERALL PLAYER]],TableOverallMaster[OVERALL PLAYER],0)),"")</f>
        <v>RB45</v>
      </c>
      <c r="AR135" s="120">
        <f>IFERROR(INDEX(TableOverallMaster[BYE],MATCH(TableOverallRank[[#This Row],[OVERALL PLAYER]],TableOverallMaster[OVERALL PLAYER],0)),"")</f>
        <v>6</v>
      </c>
      <c r="AS135" s="119">
        <f>IFERROR(INDEX(TableOverallMaster[Custom],MATCH(TableOverallRank[[#This Row],[OVERALL PLAYER]],TableOverallMaster[OVERALL PLAYER],0)),"")</f>
        <v>118.79597178821116</v>
      </c>
      <c r="AT135" s="121">
        <f>IFERROR(INDEX(TableOverallMaster[VORP],MATCH(TableOverallRank[[#This Row],[OVERALL PLAYER]],TableOverallMaster[OVERALL PLAYER],0)),"")</f>
        <v>-7.4514401721087788E-3</v>
      </c>
      <c r="AV135">
        <v>134</v>
      </c>
      <c r="AW135" s="122" t="str">
        <f>IFERROR(INDEX(TableWRTECalcPts[PLAYER],MATCH(TableWRTERank[[#This Row],[RK]],TableWRTECalcPts[RK],0)),"")</f>
        <v>Jauan Jennings</v>
      </c>
      <c r="AX135" s="122" t="str">
        <f>IFERROR(INDEX(TableWRTECalcPts[POS RK],MATCH(TableWRTERank[[#This Row],[WR and TE COMBINED]],TableWRTECalcPts[PLAYER],0)),"")</f>
        <v>WR101</v>
      </c>
      <c r="AY135" s="122">
        <f>IFERROR(INDEX(TableWRTECalcPts[BYE],MATCH(TableWRTERank[[#This Row],[RK]],TableWRTECalcPts[RK],0)),"")</f>
        <v>9</v>
      </c>
      <c r="AZ135" s="123">
        <f>IFERROR(INDEX(TableWRTECalcPts[Custom],MATCH(TableWRTERank[[#This Row],[RK]],TableWRTECalcPts[RK],0)),"")</f>
        <v>60.696683892896807</v>
      </c>
      <c r="BA135" s="174">
        <f>IFERROR((TableWRTERank[[#This Row],[FPS]]-INDEX(TableWRTERank[FPS],MATCH(WRTEVORPCalc,TableWRTERank[RK],0)))/INDEX(TableWRTERank[FPS],MATCH(WRTEVORPCalc,TableWRTERank[RK],0)),"")</f>
        <v>-0.61320746095503287</v>
      </c>
      <c r="BC135" t="s">
        <v>208</v>
      </c>
      <c r="BD135">
        <v>134</v>
      </c>
      <c r="BE135" s="83">
        <f>RANK(TableWRTEMaster[[#This Row],[VORP]],TableWRTEMaster[VORP])+COUNTIF($BJ$2:BJ135,BJ135)-1</f>
        <v>214</v>
      </c>
      <c r="BF135" s="115" t="str">
        <f>IFERROR(INDEX(TableWRVORP[WIDE RECEIVER],MATCH(TableWRTEMaster[[#This Row],[RK]],TableWRVORP[RK],0)),"")</f>
        <v>Casey Washington</v>
      </c>
      <c r="BG135" s="115" t="str">
        <f>_xlfn.CONCAT(TableWRTEMaster[[#This Row],[POS]],TableWRTEMaster[[#This Row],[RK]])</f>
        <v>WR134</v>
      </c>
      <c r="BH135" s="115">
        <f>IFERROR(INDEX(TableWRVORP[BYE],MATCH(TableWRTEMaster[[#This Row],[RK]],TableWRVORP[RK],0)),"")</f>
        <v>12</v>
      </c>
      <c r="BI135" s="116">
        <f>IFERROR(INDEX(TableWRVORP[FPS],MATCH(TableWRTEMaster[[#This Row],[RK]],TableWRVORP[RK],0)),"")</f>
        <v>22.563065964479041</v>
      </c>
      <c r="BJ135" s="117">
        <f>IFERROR(INDEX(TableWRVORP[VORP],MATCH(TableWRTEMaster[[#This Row],[RK]],TableWRVORP[RK],0)),"")</f>
        <v>-1.016085840904001</v>
      </c>
    </row>
    <row r="136" spans="8:62" x14ac:dyDescent="0.2">
      <c r="H136">
        <v>135</v>
      </c>
      <c r="I136" s="112" t="str">
        <f>IFERROR(INDEX(TableRBCalcPts[PLAYER],MATCH(TableRBVORP[[#This Row],[RK]],TableRBCalcPts[RK],0)),"")</f>
        <v/>
      </c>
      <c r="J136" s="112" t="str">
        <f>IFERROR(INDEX(TableRBCalcPts[TM],MATCH(TableRBVORP[[#This Row],[RK]],TableRBCalcPts[RK],0)),"")</f>
        <v/>
      </c>
      <c r="K136" s="112" t="str">
        <f>IFERROR(INDEX(TableRBCalcPts[BYE],MATCH(TableRBVORP[[#This Row],[RK]],TableRBCalcPts[RK],0)),"")</f>
        <v/>
      </c>
      <c r="L136" s="113" t="str">
        <f>IFERROR(INDEX(TableRBCalcPts[Custom],MATCH(TableRBVORP[[#This Row],[RK]],TableRBCalcPts[RK],0)),"")</f>
        <v/>
      </c>
      <c r="M136" s="114" t="e">
        <f>(IFERROR((TableRBVORP[[#This Row],[FPS]]-INDEX(TableRBVORP[FPS],MATCH(RBVORPCalc,TableRBVORP[RK],0)))/INDEX(TableRBVORP[FPS],MATCH(RBVORPCalc,TableRBVORP[RK],0)),""))*0.8</f>
        <v>#VALUE!</v>
      </c>
      <c r="O136">
        <v>135</v>
      </c>
      <c r="P136" s="112" t="str">
        <f>IFERROR(INDEX(TableWRCalcPts[PLAYER],MATCH(TableWRVORP[[#This Row],[RK]],TableWRCalcPts[RK],0)),"")</f>
        <v>DJ Turner</v>
      </c>
      <c r="Q136" s="112" t="str">
        <f>IFERROR(INDEX(TableWRCalcPts[TM],MATCH(TableWRVORP[[#This Row],[RK]],TableWRCalcPts[RK],0)),"")</f>
        <v>LV</v>
      </c>
      <c r="R136" s="112">
        <f>IFERROR(INDEX(TableWRCalcPts[BYE],MATCH(TableWRVORP[[#This Row],[RK]],TableWRCalcPts[RK],0)),"")</f>
        <v>10</v>
      </c>
      <c r="S136" s="113">
        <f>IFERROR(INDEX(TableWRCalcPts[Custom],MATCH(TableWRVORP[[#This Row],[RK]],TableWRCalcPts[RK],0)),"")</f>
        <v>22.294969913999999</v>
      </c>
      <c r="T136" s="114">
        <f>(IFERROR((TableWRVORP[[#This Row],[FPS]]-INDEX(TableWRVORP[FPS],MATCH(WRVORPCalc,TableWRVORP[RK],0)))/INDEX(TableWRVORP[FPS],MATCH(WRVORPCalc,TableWRVORP[RK],0)),""))*1.2</f>
        <v>-1.0182711228048931</v>
      </c>
      <c r="AF136" t="s">
        <v>207</v>
      </c>
      <c r="AG136">
        <v>95</v>
      </c>
      <c r="AH136" s="83">
        <f>RANK(TableOverallMaster[[#This Row],[VORP]],TableOverallMaster[VORP])+COUNTIF($AM$2:AM136,AM136)-1</f>
        <v>276</v>
      </c>
      <c r="AI136" s="115" t="str">
        <f>IFERROR(INDEX(TableRBVORP[RUNNING BACK],MATCH(TableOverallMaster[[#This Row],[RK]],TableRBVORP[RK],0)),"")</f>
        <v>Ronnie Rivers</v>
      </c>
      <c r="AJ136" s="115" t="str">
        <f t="shared" si="2"/>
        <v>RB95</v>
      </c>
      <c r="AK136" s="115">
        <f>IFERROR(INDEX(TableRBVORP[BYE],MATCH(TableOverallMaster[[#This Row],[RK]],TableRBVORP[RK],0)),"")</f>
        <v>6</v>
      </c>
      <c r="AL136" s="116">
        <f>IFERROR(INDEX(TableRBVORP[FPS],MATCH(TableOverallMaster[[#This Row],[RK]],TableRBVORP[RK],0)),"")</f>
        <v>14.014172186551225</v>
      </c>
      <c r="AM136" s="117">
        <f>IFERROR(INDEX(TableRBVORP[VORP],MATCH(TableOverallMaster[[#This Row],[RK]],TableRBVORP[RK],0)),"")</f>
        <v>-0.70650430467934888</v>
      </c>
      <c r="AO136">
        <v>135</v>
      </c>
      <c r="AP136" s="118" t="str">
        <f>IFERROR(INDEX(TableOverallMaster[OVERALL PLAYER],MATCH(TableOverallRank[[#This Row],[RK]],TableOverallMaster[OVR RK],0)),"")</f>
        <v>Matthew Stafford</v>
      </c>
      <c r="AQ136" s="119" t="str">
        <f>IFERROR(INDEX(TableOverallMaster[POS RK],MATCH(TableOverallRank[[#This Row],[OVERALL PLAYER]],TableOverallMaster[OVERALL PLAYER],0)),"")</f>
        <v>QB20</v>
      </c>
      <c r="AR136" s="120">
        <f>IFERROR(INDEX(TableOverallMaster[BYE],MATCH(TableOverallRank[[#This Row],[OVERALL PLAYER]],TableOverallMaster[OVERALL PLAYER],0)),"")</f>
        <v>6</v>
      </c>
      <c r="AS136" s="119">
        <f>IFERROR(INDEX(TableOverallMaster[Custom],MATCH(TableOverallRank[[#This Row],[OVERALL PLAYER]],TableOverallMaster[OVERALL PLAYER],0)),"")</f>
        <v>286.98529196689174</v>
      </c>
      <c r="AT136" s="121">
        <f>IFERROR(INDEX(TableOverallMaster[VORP],MATCH(TableOverallRank[[#This Row],[OVERALL PLAYER]],TableOverallMaster[OVERALL PLAYER],0)),"")</f>
        <v>-1.3787997151748665E-2</v>
      </c>
      <c r="AV136">
        <v>135</v>
      </c>
      <c r="AW136" s="122" t="str">
        <f>IFERROR(INDEX(TableWRTECalcPts[PLAYER],MATCH(TableWRTERank[[#This Row],[RK]],TableWRTECalcPts[RK],0)),"")</f>
        <v>Tommy Tremble</v>
      </c>
      <c r="AX136" s="122" t="str">
        <f>IFERROR(INDEX(TableWRTECalcPts[POS RK],MATCH(TableWRTERank[[#This Row],[WR and TE COMBINED]],TableWRTECalcPts[PLAYER],0)),"")</f>
        <v>TE34</v>
      </c>
      <c r="AY136" s="122">
        <f>IFERROR(INDEX(TableWRTECalcPts[BYE],MATCH(TableWRTERank[[#This Row],[RK]],TableWRTECalcPts[RK],0)),"")</f>
        <v>11</v>
      </c>
      <c r="AZ136" s="123">
        <f>IFERROR(INDEX(TableWRTECalcPts[Custom],MATCH(TableWRTERank[[#This Row],[RK]],TableWRTECalcPts[RK],0)),"")</f>
        <v>59.441486316951199</v>
      </c>
      <c r="BA136" s="174">
        <f>IFERROR((TableWRTERank[[#This Row],[FPS]]-INDEX(TableWRTERank[FPS],MATCH(WRTEVORPCalc,TableWRTERank[RK],0)))/INDEX(TableWRTERank[FPS],MATCH(WRTEVORPCalc,TableWRTERank[RK],0)),"")</f>
        <v>-0.62120626791225941</v>
      </c>
      <c r="BC136" t="s">
        <v>208</v>
      </c>
      <c r="BD136">
        <v>135</v>
      </c>
      <c r="BE136" s="83">
        <f>RANK(TableWRTEMaster[[#This Row],[VORP]],TableWRTEMaster[VORP])+COUNTIF($BJ$2:BJ136,BJ136)-1</f>
        <v>215</v>
      </c>
      <c r="BF136" s="115" t="str">
        <f>IFERROR(INDEX(TableWRVORP[WIDE RECEIVER],MATCH(TableWRTEMaster[[#This Row],[RK]],TableWRVORP[RK],0)),"")</f>
        <v>DJ Turner</v>
      </c>
      <c r="BG136" s="115" t="str">
        <f>_xlfn.CONCAT(TableWRTEMaster[[#This Row],[POS]],TableWRTEMaster[[#This Row],[RK]])</f>
        <v>WR135</v>
      </c>
      <c r="BH136" s="115">
        <f>IFERROR(INDEX(TableWRVORP[BYE],MATCH(TableWRTEMaster[[#This Row],[RK]],TableWRVORP[RK],0)),"")</f>
        <v>10</v>
      </c>
      <c r="BI136" s="116">
        <f>IFERROR(INDEX(TableWRVORP[FPS],MATCH(TableWRTEMaster[[#This Row],[RK]],TableWRVORP[RK],0)),"")</f>
        <v>22.294969913999999</v>
      </c>
      <c r="BJ136" s="117">
        <f>IFERROR(INDEX(TableWRVORP[VORP],MATCH(TableWRTEMaster[[#This Row],[RK]],TableWRVORP[RK],0)),"")</f>
        <v>-1.0182711228048931</v>
      </c>
    </row>
    <row r="137" spans="8:62" x14ac:dyDescent="0.2">
      <c r="H137">
        <v>136</v>
      </c>
      <c r="I137" s="112" t="str">
        <f>IFERROR(INDEX(TableRBCalcPts[PLAYER],MATCH(TableRBVORP[[#This Row],[RK]],TableRBCalcPts[RK],0)),"")</f>
        <v/>
      </c>
      <c r="J137" s="112" t="str">
        <f>IFERROR(INDEX(TableRBCalcPts[TM],MATCH(TableRBVORP[[#This Row],[RK]],TableRBCalcPts[RK],0)),"")</f>
        <v/>
      </c>
      <c r="K137" s="112" t="str">
        <f>IFERROR(INDEX(TableRBCalcPts[BYE],MATCH(TableRBVORP[[#This Row],[RK]],TableRBCalcPts[RK],0)),"")</f>
        <v/>
      </c>
      <c r="L137" s="113" t="str">
        <f>IFERROR(INDEX(TableRBCalcPts[Custom],MATCH(TableRBVORP[[#This Row],[RK]],TableRBCalcPts[RK],0)),"")</f>
        <v/>
      </c>
      <c r="M137" s="114" t="e">
        <f>(IFERROR((TableRBVORP[[#This Row],[FPS]]-INDEX(TableRBVORP[FPS],MATCH(RBVORPCalc,TableRBVORP[RK],0)))/INDEX(TableRBVORP[FPS],MATCH(RBVORPCalc,TableRBVORP[RK],0)),""))*0.8</f>
        <v>#VALUE!</v>
      </c>
      <c r="O137">
        <v>136</v>
      </c>
      <c r="P137" s="112" t="str">
        <f>IFERROR(INDEX(TableWRCalcPts[PLAYER],MATCH(TableWRVORP[[#This Row],[RK]],TableWRCalcPts[RK],0)),"")</f>
        <v>Parker Washington</v>
      </c>
      <c r="Q137" s="112" t="str">
        <f>IFERROR(INDEX(TableWRCalcPts[TM],MATCH(TableWRVORP[[#This Row],[RK]],TableWRCalcPts[RK],0)),"")</f>
        <v>JAX</v>
      </c>
      <c r="R137" s="112">
        <f>IFERROR(INDEX(TableWRCalcPts[BYE],MATCH(TableWRVORP[[#This Row],[RK]],TableWRCalcPts[RK],0)),"")</f>
        <v>12</v>
      </c>
      <c r="S137" s="113">
        <f>IFERROR(INDEX(TableWRCalcPts[Custom],MATCH(TableWRVORP[[#This Row],[RK]],TableWRCalcPts[RK],0)),"")</f>
        <v>22.072144527232805</v>
      </c>
      <c r="T137" s="114">
        <f>(IFERROR((TableWRVORP[[#This Row],[FPS]]-INDEX(TableWRVORP[FPS],MATCH(WRVORPCalc,TableWRVORP[RK],0)))/INDEX(TableWRVORP[FPS],MATCH(WRVORPCalc,TableWRVORP[RK],0)),""))*1.2</f>
        <v>-1.0200873982923222</v>
      </c>
      <c r="AF137" t="s">
        <v>207</v>
      </c>
      <c r="AG137">
        <v>96</v>
      </c>
      <c r="AH137" s="83">
        <f>RANK(TableOverallMaster[[#This Row],[VORP]],TableOverallMaster[VORP])+COUNTIF($AM$2:AM137,AM137)-1</f>
        <v>277</v>
      </c>
      <c r="AI137" s="115" t="str">
        <f>IFERROR(INDEX(TableRBVORP[RUNNING BACK],MATCH(TableOverallMaster[[#This Row],[RK]],TableRBVORP[RK],0)),"")</f>
        <v>Trayveon Williams</v>
      </c>
      <c r="AJ137" s="115" t="str">
        <f t="shared" si="2"/>
        <v>RB96</v>
      </c>
      <c r="AK137" s="115">
        <f>IFERROR(INDEX(TableRBVORP[BYE],MATCH(TableOverallMaster[[#This Row],[RK]],TableRBVORP[RK],0)),"")</f>
        <v>12</v>
      </c>
      <c r="AL137" s="116">
        <f>IFERROR(INDEX(TableRBVORP[FPS],MATCH(TableOverallMaster[[#This Row],[RK]],TableRBVORP[RK],0)),"")</f>
        <v>13.785328291377642</v>
      </c>
      <c r="AM137" s="117">
        <f>IFERROR(INDEX(TableRBVORP[VORP],MATCH(TableOverallMaster[[#This Row],[RK]],TableRBVORP[RK],0)),"")</f>
        <v>-0.70803103910321108</v>
      </c>
      <c r="AO137">
        <v>136</v>
      </c>
      <c r="AP137" s="118" t="str">
        <f>IFERROR(INDEX(TableOverallMaster[OVERALL PLAYER],MATCH(TableOverallRank[[#This Row],[RK]],TableOverallMaster[OVR RK],0)),"")</f>
        <v>Jayden Reed</v>
      </c>
      <c r="AQ137" s="119" t="str">
        <f>IFERROR(INDEX(TableOverallMaster[POS RK],MATCH(TableOverallRank[[#This Row],[OVERALL PLAYER]],TableOverallMaster[OVERALL PLAYER],0)),"")</f>
        <v>WR59</v>
      </c>
      <c r="AR137" s="120">
        <f>IFERROR(INDEX(TableOverallMaster[BYE],MATCH(TableOverallRank[[#This Row],[OVERALL PLAYER]],TableOverallMaster[OVERALL PLAYER],0)),"")</f>
        <v>10</v>
      </c>
      <c r="AS137" s="119">
        <f>IFERROR(INDEX(TableOverallMaster[Custom],MATCH(TableOverallRank[[#This Row],[OVERALL PLAYER]],TableOverallMaster[OVERALL PLAYER],0)),"")</f>
        <v>145.49022396972001</v>
      </c>
      <c r="AT137" s="121">
        <f>IFERROR(INDEX(TableOverallMaster[VORP],MATCH(TableOverallRank[[#This Row],[OVERALL PLAYER]],TableOverallMaster[OVERALL PLAYER],0)),"")</f>
        <v>-1.4092364920432369E-2</v>
      </c>
      <c r="AV137">
        <v>136</v>
      </c>
      <c r="AW137" s="122" t="str">
        <f>IFERROR(INDEX(TableWRTECalcPts[PLAYER],MATCH(TableWRTERank[[#This Row],[RK]],TableWRTECalcPts[RK],0)),"")</f>
        <v>Ja'Tavion Sanders</v>
      </c>
      <c r="AX137" s="122" t="str">
        <f>IFERROR(INDEX(TableWRTECalcPts[POS RK],MATCH(TableWRTERank[[#This Row],[WR and TE COMBINED]],TableWRTECalcPts[PLAYER],0)),"")</f>
        <v>TE35</v>
      </c>
      <c r="AY137" s="122">
        <f>IFERROR(INDEX(TableWRTECalcPts[BYE],MATCH(TableWRTERank[[#This Row],[RK]],TableWRTECalcPts[RK],0)),"")</f>
        <v>11</v>
      </c>
      <c r="AZ137" s="123">
        <f>IFERROR(INDEX(TableWRTECalcPts[Custom],MATCH(TableWRTERank[[#This Row],[RK]],TableWRTECalcPts[RK],0)),"")</f>
        <v>59.212657014771921</v>
      </c>
      <c r="BA137" s="174">
        <f>IFERROR((TableWRTERank[[#This Row],[FPS]]-INDEX(TableWRTERank[FPS],MATCH(WRTEVORPCalc,TableWRTERank[RK],0)))/INDEX(TableWRTERank[FPS],MATCH(WRTEVORPCalc,TableWRTERank[RK],0)),"")</f>
        <v>-0.62266449365246612</v>
      </c>
      <c r="BC137" t="s">
        <v>208</v>
      </c>
      <c r="BD137">
        <v>136</v>
      </c>
      <c r="BE137" s="83">
        <f>RANK(TableWRTEMaster[[#This Row],[VORP]],TableWRTEMaster[VORP])+COUNTIF($BJ$2:BJ137,BJ137)-1</f>
        <v>216</v>
      </c>
      <c r="BF137" s="115" t="str">
        <f>IFERROR(INDEX(TableWRVORP[WIDE RECEIVER],MATCH(TableWRTEMaster[[#This Row],[RK]],TableWRVORP[RK],0)),"")</f>
        <v>Parker Washington</v>
      </c>
      <c r="BG137" s="115" t="str">
        <f>_xlfn.CONCAT(TableWRTEMaster[[#This Row],[POS]],TableWRTEMaster[[#This Row],[RK]])</f>
        <v>WR136</v>
      </c>
      <c r="BH137" s="115">
        <f>IFERROR(INDEX(TableWRVORP[BYE],MATCH(TableWRTEMaster[[#This Row],[RK]],TableWRVORP[RK],0)),"")</f>
        <v>12</v>
      </c>
      <c r="BI137" s="116">
        <f>IFERROR(INDEX(TableWRVORP[FPS],MATCH(TableWRTEMaster[[#This Row],[RK]],TableWRVORP[RK],0)),"")</f>
        <v>22.072144527232805</v>
      </c>
      <c r="BJ137" s="117">
        <f>IFERROR(INDEX(TableWRVORP[VORP],MATCH(TableWRTEMaster[[#This Row],[RK]],TableWRVORP[RK],0)),"")</f>
        <v>-1.0200873982923222</v>
      </c>
    </row>
    <row r="138" spans="8:62" x14ac:dyDescent="0.2">
      <c r="H138">
        <v>137</v>
      </c>
      <c r="I138" s="112" t="str">
        <f>IFERROR(INDEX(TableRBCalcPts[PLAYER],MATCH(TableRBVORP[[#This Row],[RK]],TableRBCalcPts[RK],0)),"")</f>
        <v/>
      </c>
      <c r="J138" s="112" t="str">
        <f>IFERROR(INDEX(TableRBCalcPts[TM],MATCH(TableRBVORP[[#This Row],[RK]],TableRBCalcPts[RK],0)),"")</f>
        <v/>
      </c>
      <c r="K138" s="112" t="str">
        <f>IFERROR(INDEX(TableRBCalcPts[BYE],MATCH(TableRBVORP[[#This Row],[RK]],TableRBCalcPts[RK],0)),"")</f>
        <v/>
      </c>
      <c r="L138" s="113" t="str">
        <f>IFERROR(INDEX(TableRBCalcPts[Custom],MATCH(TableRBVORP[[#This Row],[RK]],TableRBCalcPts[RK],0)),"")</f>
        <v/>
      </c>
      <c r="M138" s="114" t="e">
        <f>(IFERROR((TableRBVORP[[#This Row],[FPS]]-INDEX(TableRBVORP[FPS],MATCH(RBVORPCalc,TableRBVORP[RK],0)))/INDEX(TableRBVORP[FPS],MATCH(RBVORPCalc,TableRBVORP[RK],0)),""))*0.8</f>
        <v>#VALUE!</v>
      </c>
      <c r="O138">
        <v>137</v>
      </c>
      <c r="P138" s="112" t="str">
        <f>IFERROR(INDEX(TableWRCalcPts[PLAYER],MATCH(TableWRVORP[[#This Row],[RK]],TableWRCalcPts[RK],0)),"")</f>
        <v>KaVontae Turpin</v>
      </c>
      <c r="Q138" s="112" t="str">
        <f>IFERROR(INDEX(TableWRCalcPts[TM],MATCH(TableWRVORP[[#This Row],[RK]],TableWRCalcPts[RK],0)),"")</f>
        <v>DAL</v>
      </c>
      <c r="R138" s="112">
        <f>IFERROR(INDEX(TableWRCalcPts[BYE],MATCH(TableWRVORP[[#This Row],[RK]],TableWRCalcPts[RK],0)),"")</f>
        <v>7</v>
      </c>
      <c r="S138" s="113">
        <f>IFERROR(INDEX(TableWRCalcPts[Custom],MATCH(TableWRVORP[[#This Row],[RK]],TableWRCalcPts[RK],0)),"")</f>
        <v>21.958836132368511</v>
      </c>
      <c r="T138" s="114">
        <f>(IFERROR((TableWRVORP[[#This Row],[FPS]]-INDEX(TableWRVORP[FPS],MATCH(WRVORPCalc,TableWRVORP[RK],0)))/INDEX(TableWRVORP[FPS],MATCH(WRVORPCalc,TableWRVORP[RK],0)),""))*1.2</f>
        <v>-1.0210109881179599</v>
      </c>
      <c r="AF138" t="s">
        <v>207</v>
      </c>
      <c r="AG138">
        <v>97</v>
      </c>
      <c r="AH138" s="83">
        <f>RANK(TableOverallMaster[[#This Row],[VORP]],TableOverallMaster[VORP])+COUNTIF($AM$2:AM138,AM138)-1</f>
        <v>278</v>
      </c>
      <c r="AI138" s="115" t="str">
        <f>IFERROR(INDEX(TableRBVORP[RUNNING BACK],MATCH(TableOverallMaster[[#This Row],[RK]],TableRBVORP[RK],0)),"")</f>
        <v>Ty Johnson</v>
      </c>
      <c r="AJ138" s="115" t="str">
        <f t="shared" si="2"/>
        <v>RB97</v>
      </c>
      <c r="AK138" s="115">
        <f>IFERROR(INDEX(TableRBVORP[BYE],MATCH(TableOverallMaster[[#This Row],[RK]],TableRBVORP[RK],0)),"")</f>
        <v>12</v>
      </c>
      <c r="AL138" s="116">
        <f>IFERROR(INDEX(TableRBVORP[FPS],MATCH(TableOverallMaster[[#This Row],[RK]],TableRBVORP[RK],0)),"")</f>
        <v>13.759009396897017</v>
      </c>
      <c r="AM138" s="117">
        <f>IFERROR(INDEX(TableRBVORP[VORP],MATCH(TableOverallMaster[[#This Row],[RK]],TableRBVORP[RK],0)),"")</f>
        <v>-0.70820662588113714</v>
      </c>
      <c r="AO138">
        <v>137</v>
      </c>
      <c r="AP138" s="118" t="str">
        <f>IFERROR(INDEX(TableOverallMaster[OVERALL PLAYER],MATCH(TableOverallRank[[#This Row],[RK]],TableOverallMaster[OVR RK],0)),"")</f>
        <v>Tyler Allgeier</v>
      </c>
      <c r="AQ138" s="119" t="str">
        <f>IFERROR(INDEX(TableOverallMaster[POS RK],MATCH(TableOverallRank[[#This Row],[OVERALL PLAYER]],TableOverallMaster[OVERALL PLAYER],0)),"")</f>
        <v>RB46</v>
      </c>
      <c r="AR138" s="120">
        <f>IFERROR(INDEX(TableOverallMaster[BYE],MATCH(TableOverallRank[[#This Row],[OVERALL PLAYER]],TableOverallMaster[OVERALL PLAYER],0)),"")</f>
        <v>12</v>
      </c>
      <c r="AS138" s="119">
        <f>IFERROR(INDEX(TableOverallMaster[Custom],MATCH(TableOverallRank[[#This Row],[OVERALL PLAYER]],TableOverallMaster[OVERALL PLAYER],0)),"")</f>
        <v>116.02229455155656</v>
      </c>
      <c r="AT138" s="121">
        <f>IFERROR(INDEX(TableOverallMaster[VORP],MATCH(TableOverallRank[[#This Row],[OVERALL PLAYER]],TableOverallMaster[OVERALL PLAYER],0)),"")</f>
        <v>-2.5956056669182305E-2</v>
      </c>
      <c r="AV138">
        <v>137</v>
      </c>
      <c r="AW138" s="122" t="str">
        <f>IFERROR(INDEX(TableWRTECalcPts[PLAYER],MATCH(TableWRTERank[[#This Row],[RK]],TableWRTECalcPts[RK],0)),"")</f>
        <v>Jonathan Mingo</v>
      </c>
      <c r="AX138" s="122" t="str">
        <f>IFERROR(INDEX(TableWRTECalcPts[POS RK],MATCH(TableWRTERank[[#This Row],[WR and TE COMBINED]],TableWRTECalcPts[PLAYER],0)),"")</f>
        <v>WR102</v>
      </c>
      <c r="AY138" s="122">
        <f>IFERROR(INDEX(TableWRTECalcPts[BYE],MATCH(TableWRTERank[[#This Row],[RK]],TableWRTECalcPts[RK],0)),"")</f>
        <v>11</v>
      </c>
      <c r="AZ138" s="123">
        <f>IFERROR(INDEX(TableWRTECalcPts[Custom],MATCH(TableWRTERank[[#This Row],[RK]],TableWRTECalcPts[RK],0)),"")</f>
        <v>58.748444769088849</v>
      </c>
      <c r="BA138" s="174">
        <f>IFERROR((TableWRTERank[[#This Row],[FPS]]-INDEX(TableWRTERank[FPS],MATCH(WRTEVORPCalc,TableWRTERank[RK],0)))/INDEX(TableWRTERank[FPS],MATCH(WRTEVORPCalc,TableWRTERank[RK],0)),"")</f>
        <v>-0.62562270852760427</v>
      </c>
      <c r="BC138" t="s">
        <v>208</v>
      </c>
      <c r="BD138">
        <v>137</v>
      </c>
      <c r="BE138" s="83">
        <f>RANK(TableWRTEMaster[[#This Row],[VORP]],TableWRTEMaster[VORP])+COUNTIF($BJ$2:BJ138,BJ138)-1</f>
        <v>217</v>
      </c>
      <c r="BF138" s="115" t="str">
        <f>IFERROR(INDEX(TableWRVORP[WIDE RECEIVER],MATCH(TableWRTEMaster[[#This Row],[RK]],TableWRVORP[RK],0)),"")</f>
        <v>KaVontae Turpin</v>
      </c>
      <c r="BG138" s="115" t="str">
        <f>_xlfn.CONCAT(TableWRTEMaster[[#This Row],[POS]],TableWRTEMaster[[#This Row],[RK]])</f>
        <v>WR137</v>
      </c>
      <c r="BH138" s="115">
        <f>IFERROR(INDEX(TableWRVORP[BYE],MATCH(TableWRTEMaster[[#This Row],[RK]],TableWRVORP[RK],0)),"")</f>
        <v>7</v>
      </c>
      <c r="BI138" s="116">
        <f>IFERROR(INDEX(TableWRVORP[FPS],MATCH(TableWRTEMaster[[#This Row],[RK]],TableWRVORP[RK],0)),"")</f>
        <v>21.958836132368511</v>
      </c>
      <c r="BJ138" s="117">
        <f>IFERROR(INDEX(TableWRVORP[VORP],MATCH(TableWRTEMaster[[#This Row],[RK]],TableWRVORP[RK],0)),"")</f>
        <v>-1.0210109881179599</v>
      </c>
    </row>
    <row r="139" spans="8:62" x14ac:dyDescent="0.2">
      <c r="H139">
        <v>138</v>
      </c>
      <c r="I139" s="112" t="str">
        <f>IFERROR(INDEX(TableRBCalcPts[PLAYER],MATCH(TableRBVORP[[#This Row],[RK]],TableRBCalcPts[RK],0)),"")</f>
        <v/>
      </c>
      <c r="J139" s="112" t="str">
        <f>IFERROR(INDEX(TableRBCalcPts[TM],MATCH(TableRBVORP[[#This Row],[RK]],TableRBCalcPts[RK],0)),"")</f>
        <v/>
      </c>
      <c r="K139" s="112" t="str">
        <f>IFERROR(INDEX(TableRBCalcPts[BYE],MATCH(TableRBVORP[[#This Row],[RK]],TableRBCalcPts[RK],0)),"")</f>
        <v/>
      </c>
      <c r="L139" s="113" t="str">
        <f>IFERROR(INDEX(TableRBCalcPts[Custom],MATCH(TableRBVORP[[#This Row],[RK]],TableRBCalcPts[RK],0)),"")</f>
        <v/>
      </c>
      <c r="M139" s="114" t="e">
        <f>(IFERROR((TableRBVORP[[#This Row],[FPS]]-INDEX(TableRBVORP[FPS],MATCH(RBVORPCalc,TableRBVORP[RK],0)))/INDEX(TableRBVORP[FPS],MATCH(RBVORPCalc,TableRBVORP[RK],0)),""))*0.8</f>
        <v>#VALUE!</v>
      </c>
      <c r="O139">
        <v>138</v>
      </c>
      <c r="P139" s="112" t="str">
        <f>IFERROR(INDEX(TableWRCalcPts[PLAYER],MATCH(TableWRVORP[[#This Row],[RK]],TableWRCalcPts[RK],0)),"")</f>
        <v>Tyler Scott</v>
      </c>
      <c r="Q139" s="112" t="str">
        <f>IFERROR(INDEX(TableWRCalcPts[TM],MATCH(TableWRVORP[[#This Row],[RK]],TableWRCalcPts[RK],0)),"")</f>
        <v>CHI</v>
      </c>
      <c r="R139" s="112">
        <f>IFERROR(INDEX(TableWRCalcPts[BYE],MATCH(TableWRVORP[[#This Row],[RK]],TableWRCalcPts[RK],0)),"")</f>
        <v>7</v>
      </c>
      <c r="S139" s="113">
        <f>IFERROR(INDEX(TableWRCalcPts[Custom],MATCH(TableWRVORP[[#This Row],[RK]],TableWRCalcPts[RK],0)),"")</f>
        <v>21.409501478856473</v>
      </c>
      <c r="T139" s="114">
        <f>(IFERROR((TableWRVORP[[#This Row],[FPS]]-INDEX(TableWRVORP[FPS],MATCH(WRVORPCalc,TableWRVORP[RK],0)))/INDEX(TableWRVORP[FPS],MATCH(WRVORPCalc,TableWRVORP[RK],0)),""))*1.2</f>
        <v>-1.0254886783849655</v>
      </c>
      <c r="AF139" t="s">
        <v>207</v>
      </c>
      <c r="AG139">
        <v>98</v>
      </c>
      <c r="AH139" s="83">
        <f>RANK(TableOverallMaster[[#This Row],[VORP]],TableOverallMaster[VORP])+COUNTIF($AM$2:AM139,AM139)-1</f>
        <v>279</v>
      </c>
      <c r="AI139" s="115" t="str">
        <f>IFERROR(INDEX(TableRBVORP[RUNNING BACK],MATCH(TableOverallMaster[[#This Row],[RK]],TableRBVORP[RK],0)),"")</f>
        <v>Deuce Vaughn</v>
      </c>
      <c r="AJ139" s="115" t="str">
        <f t="shared" si="2"/>
        <v>RB98</v>
      </c>
      <c r="AK139" s="115">
        <f>IFERROR(INDEX(TableRBVORP[BYE],MATCH(TableOverallMaster[[#This Row],[RK]],TableRBVORP[RK],0)),"")</f>
        <v>7</v>
      </c>
      <c r="AL139" s="116">
        <f>IFERROR(INDEX(TableRBVORP[FPS],MATCH(TableOverallMaster[[#This Row],[RK]],TableRBVORP[RK],0)),"")</f>
        <v>13.132523562740179</v>
      </c>
      <c r="AM139" s="117">
        <f>IFERROR(INDEX(TableRBVORP[VORP],MATCH(TableOverallMaster[[#This Row],[RK]],TableRBVORP[RK],0)),"")</f>
        <v>-0.71238623263159806</v>
      </c>
      <c r="AO139">
        <v>138</v>
      </c>
      <c r="AP139" s="118" t="str">
        <f>IFERROR(INDEX(TableOverallMaster[OVERALL PLAYER],MATCH(TableOverallRank[[#This Row],[RK]],TableOverallMaster[OVR RK],0)),"")</f>
        <v>Brandin Cooks</v>
      </c>
      <c r="AQ139" s="119" t="str">
        <f>IFERROR(INDEX(TableOverallMaster[POS RK],MATCH(TableOverallRank[[#This Row],[OVERALL PLAYER]],TableOverallMaster[OVERALL PLAYER],0)),"")</f>
        <v>WR60</v>
      </c>
      <c r="AR139" s="120">
        <f>IFERROR(INDEX(TableOverallMaster[BYE],MATCH(TableOverallRank[[#This Row],[OVERALL PLAYER]],TableOverallMaster[OVERALL PLAYER],0)),"")</f>
        <v>7</v>
      </c>
      <c r="AS139" s="119">
        <f>IFERROR(INDEX(TableOverallMaster[Custom],MATCH(TableOverallRank[[#This Row],[OVERALL PLAYER]],TableOverallMaster[OVERALL PLAYER],0)),"")</f>
        <v>143.24353207428095</v>
      </c>
      <c r="AT139" s="121">
        <f>IFERROR(INDEX(TableOverallMaster[VORP],MATCH(TableOverallRank[[#This Row],[OVERALL PLAYER]],TableOverallMaster[OVERALL PLAYER],0)),"")</f>
        <v>-3.2405410290594711E-2</v>
      </c>
      <c r="AV139">
        <v>138</v>
      </c>
      <c r="AW139" s="122" t="str">
        <f>IFERROR(INDEX(TableWRTECalcPts[PLAYER],MATCH(TableWRTERank[[#This Row],[RK]],TableWRTECalcPts[RK],0)),"")</f>
        <v>Calvin Austin</v>
      </c>
      <c r="AX139" s="122" t="str">
        <f>IFERROR(INDEX(TableWRTECalcPts[POS RK],MATCH(TableWRTERank[[#This Row],[WR and TE COMBINED]],TableWRTECalcPts[PLAYER],0)),"")</f>
        <v>WR103</v>
      </c>
      <c r="AY139" s="122">
        <f>IFERROR(INDEX(TableWRTECalcPts[BYE],MATCH(TableWRTERank[[#This Row],[RK]],TableWRTECalcPts[RK],0)),"")</f>
        <v>9</v>
      </c>
      <c r="AZ139" s="123">
        <f>IFERROR(INDEX(TableWRTECalcPts[Custom],MATCH(TableWRTERank[[#This Row],[RK]],TableWRTECalcPts[RK],0)),"")</f>
        <v>58.376500767336978</v>
      </c>
      <c r="BA139" s="174">
        <f>IFERROR((TableWRTERank[[#This Row],[FPS]]-INDEX(TableWRTERank[FPS],MATCH(WRTEVORPCalc,TableWRTERank[RK],0)))/INDEX(TableWRTERank[FPS],MATCH(WRTEVORPCalc,TableWRTERank[RK],0)),"")</f>
        <v>-0.62799293957801894</v>
      </c>
      <c r="BC139" t="s">
        <v>208</v>
      </c>
      <c r="BD139">
        <v>138</v>
      </c>
      <c r="BE139" s="83">
        <f>RANK(TableWRTEMaster[[#This Row],[VORP]],TableWRTEMaster[VORP])+COUNTIF($BJ$2:BJ139,BJ139)-1</f>
        <v>218</v>
      </c>
      <c r="BF139" s="115" t="str">
        <f>IFERROR(INDEX(TableWRVORP[WIDE RECEIVER],MATCH(TableWRTEMaster[[#This Row],[RK]],TableWRVORP[RK],0)),"")</f>
        <v>Tyler Scott</v>
      </c>
      <c r="BG139" s="115" t="str">
        <f>_xlfn.CONCAT(TableWRTEMaster[[#This Row],[POS]],TableWRTEMaster[[#This Row],[RK]])</f>
        <v>WR138</v>
      </c>
      <c r="BH139" s="115">
        <f>IFERROR(INDEX(TableWRVORP[BYE],MATCH(TableWRTEMaster[[#This Row],[RK]],TableWRVORP[RK],0)),"")</f>
        <v>7</v>
      </c>
      <c r="BI139" s="116">
        <f>IFERROR(INDEX(TableWRVORP[FPS],MATCH(TableWRTEMaster[[#This Row],[RK]],TableWRVORP[RK],0)),"")</f>
        <v>21.409501478856473</v>
      </c>
      <c r="BJ139" s="117">
        <f>IFERROR(INDEX(TableWRVORP[VORP],MATCH(TableWRTEMaster[[#This Row],[RK]],TableWRVORP[RK],0)),"")</f>
        <v>-1.0254886783849655</v>
      </c>
    </row>
    <row r="140" spans="8:62" x14ac:dyDescent="0.2">
      <c r="H140">
        <v>139</v>
      </c>
      <c r="I140" s="112" t="str">
        <f>IFERROR(INDEX(TableRBCalcPts[PLAYER],MATCH(TableRBVORP[[#This Row],[RK]],TableRBCalcPts[RK],0)),"")</f>
        <v/>
      </c>
      <c r="J140" s="112" t="str">
        <f>IFERROR(INDEX(TableRBCalcPts[TM],MATCH(TableRBVORP[[#This Row],[RK]],TableRBCalcPts[RK],0)),"")</f>
        <v/>
      </c>
      <c r="K140" s="112" t="str">
        <f>IFERROR(INDEX(TableRBCalcPts[BYE],MATCH(TableRBVORP[[#This Row],[RK]],TableRBCalcPts[RK],0)),"")</f>
        <v/>
      </c>
      <c r="L140" s="113" t="str">
        <f>IFERROR(INDEX(TableRBCalcPts[Custom],MATCH(TableRBVORP[[#This Row],[RK]],TableRBCalcPts[RK],0)),"")</f>
        <v/>
      </c>
      <c r="M140" s="114" t="e">
        <f>(IFERROR((TableRBVORP[[#This Row],[FPS]]-INDEX(TableRBVORP[FPS],MATCH(RBVORPCalc,TableRBVORP[RK],0)))/INDEX(TableRBVORP[FPS],MATCH(RBVORPCalc,TableRBVORP[RK],0)),""))*0.8</f>
        <v>#VALUE!</v>
      </c>
      <c r="O140">
        <v>139</v>
      </c>
      <c r="P140" s="112" t="str">
        <f>IFERROR(INDEX(TableWRCalcPts[PLAYER],MATCH(TableWRVORP[[#This Row],[RK]],TableWRCalcPts[RK],0)),"")</f>
        <v>Tutu Atwell</v>
      </c>
      <c r="Q140" s="112" t="str">
        <f>IFERROR(INDEX(TableWRCalcPts[TM],MATCH(TableWRVORP[[#This Row],[RK]],TableWRCalcPts[RK],0)),"")</f>
        <v>LAR</v>
      </c>
      <c r="R140" s="112">
        <f>IFERROR(INDEX(TableWRCalcPts[BYE],MATCH(TableWRVORP[[#This Row],[RK]],TableWRCalcPts[RK],0)),"")</f>
        <v>6</v>
      </c>
      <c r="S140" s="113">
        <f>IFERROR(INDEX(TableWRCalcPts[Custom],MATCH(TableWRVORP[[#This Row],[RK]],TableWRCalcPts[RK],0)),"")</f>
        <v>21.022461117950055</v>
      </c>
      <c r="T140" s="114">
        <f>(IFERROR((TableWRVORP[[#This Row],[FPS]]-INDEX(TableWRVORP[FPS],MATCH(WRVORPCalc,TableWRVORP[RK],0)))/INDEX(TableWRVORP[FPS],MATCH(WRVORPCalc,TableWRVORP[RK],0)),""))*1.2</f>
        <v>-1.0286434891107943</v>
      </c>
      <c r="AF140" t="s">
        <v>207</v>
      </c>
      <c r="AG140">
        <v>99</v>
      </c>
      <c r="AH140" s="83">
        <f>RANK(TableOverallMaster[[#This Row],[VORP]],TableOverallMaster[VORP])+COUNTIF($AM$2:AM140,AM140)-1</f>
        <v>280</v>
      </c>
      <c r="AI140" s="115" t="str">
        <f>IFERROR(INDEX(TableRBVORP[RUNNING BACK],MATCH(TableOverallMaster[[#This Row],[RK]],TableRBVORP[RK],0)),"")</f>
        <v>Raheem Blackshear</v>
      </c>
      <c r="AJ140" s="115" t="str">
        <f t="shared" si="2"/>
        <v>RB99</v>
      </c>
      <c r="AK140" s="115">
        <f>IFERROR(INDEX(TableRBVORP[BYE],MATCH(TableOverallMaster[[#This Row],[RK]],TableRBVORP[RK],0)),"")</f>
        <v>11</v>
      </c>
      <c r="AL140" s="116">
        <f>IFERROR(INDEX(TableRBVORP[FPS],MATCH(TableOverallMaster[[#This Row],[RK]],TableRBVORP[RK],0)),"")</f>
        <v>13.006320665241072</v>
      </c>
      <c r="AM140" s="117">
        <f>IFERROR(INDEX(TableRBVORP[VORP],MATCH(TableOverallMaster[[#This Row],[RK]],TableRBVORP[RK],0)),"")</f>
        <v>-0.71322819657324876</v>
      </c>
      <c r="AO140">
        <v>139</v>
      </c>
      <c r="AP140" s="118" t="str">
        <f>IFERROR(INDEX(TableOverallMaster[OVERALL PLAYER],MATCH(TableOverallRank[[#This Row],[RK]],TableOverallMaster[OVR RK],0)),"")</f>
        <v>Baker Mayfield</v>
      </c>
      <c r="AQ140" s="119" t="str">
        <f>IFERROR(INDEX(TableOverallMaster[POS RK],MATCH(TableOverallRank[[#This Row],[OVERALL PLAYER]],TableOverallMaster[OVERALL PLAYER],0)),"")</f>
        <v>QB21</v>
      </c>
      <c r="AR140" s="120">
        <f>IFERROR(INDEX(TableOverallMaster[BYE],MATCH(TableOverallRank[[#This Row],[OVERALL PLAYER]],TableOverallMaster[OVERALL PLAYER],0)),"")</f>
        <v>11</v>
      </c>
      <c r="AS140" s="119">
        <f>IFERROR(INDEX(TableOverallMaster[Custom],MATCH(TableOverallRank[[#This Row],[OVERALL PLAYER]],TableOverallMaster[OVERALL PLAYER],0)),"")</f>
        <v>279.41011934295392</v>
      </c>
      <c r="AT140" s="121">
        <f>IFERROR(INDEX(TableOverallMaster[VORP],MATCH(TableOverallRank[[#This Row],[OVERALL PLAYER]],TableOverallMaster[OVERALL PLAYER],0)),"")</f>
        <v>-4.304097208637131E-2</v>
      </c>
      <c r="AV140">
        <v>139</v>
      </c>
      <c r="AW140" s="122" t="str">
        <f>IFERROR(INDEX(TableWRTECalcPts[PLAYER],MATCH(TableWRTERank[[#This Row],[RK]],TableWRTECalcPts[RK],0)),"")</f>
        <v>Dawson Knox</v>
      </c>
      <c r="AX140" s="122" t="str">
        <f>IFERROR(INDEX(TableWRTECalcPts[POS RK],MATCH(TableWRTERank[[#This Row],[WR and TE COMBINED]],TableWRTECalcPts[PLAYER],0)),"")</f>
        <v>TE36</v>
      </c>
      <c r="AY140" s="122">
        <f>IFERROR(INDEX(TableWRTECalcPts[BYE],MATCH(TableWRTERank[[#This Row],[RK]],TableWRTECalcPts[RK],0)),"")</f>
        <v>12</v>
      </c>
      <c r="AZ140" s="123">
        <f>IFERROR(INDEX(TableWRTECalcPts[Custom],MATCH(TableWRTERank[[#This Row],[RK]],TableWRTECalcPts[RK],0)),"")</f>
        <v>58.149530922381004</v>
      </c>
      <c r="BA140" s="174">
        <f>IFERROR((TableWRTERank[[#This Row],[FPS]]-INDEX(TableWRTERank[FPS],MATCH(WRTEVORPCalc,TableWRTERank[RK],0)))/INDEX(TableWRTERank[FPS],MATCH(WRTEVORPCalc,TableWRTERank[RK],0)),"")</f>
        <v>-0.6294393158375865</v>
      </c>
      <c r="BC140" t="s">
        <v>208</v>
      </c>
      <c r="BD140">
        <v>139</v>
      </c>
      <c r="BE140" s="83">
        <f>RANK(TableWRTEMaster[[#This Row],[VORP]],TableWRTEMaster[VORP])+COUNTIF($BJ$2:BJ140,BJ140)-1</f>
        <v>219</v>
      </c>
      <c r="BF140" s="115" t="str">
        <f>IFERROR(INDEX(TableWRVORP[WIDE RECEIVER],MATCH(TableWRTEMaster[[#This Row],[RK]],TableWRVORP[RK],0)),"")</f>
        <v>Tutu Atwell</v>
      </c>
      <c r="BG140" s="115" t="str">
        <f>_xlfn.CONCAT(TableWRTEMaster[[#This Row],[POS]],TableWRTEMaster[[#This Row],[RK]])</f>
        <v>WR139</v>
      </c>
      <c r="BH140" s="115">
        <f>IFERROR(INDEX(TableWRVORP[BYE],MATCH(TableWRTEMaster[[#This Row],[RK]],TableWRVORP[RK],0)),"")</f>
        <v>6</v>
      </c>
      <c r="BI140" s="116">
        <f>IFERROR(INDEX(TableWRVORP[FPS],MATCH(TableWRTEMaster[[#This Row],[RK]],TableWRVORP[RK],0)),"")</f>
        <v>21.022461117950055</v>
      </c>
      <c r="BJ140" s="117">
        <f>IFERROR(INDEX(TableWRVORP[VORP],MATCH(TableWRTEMaster[[#This Row],[RK]],TableWRVORP[RK],0)),"")</f>
        <v>-1.0286434891107943</v>
      </c>
    </row>
    <row r="141" spans="8:62" x14ac:dyDescent="0.2">
      <c r="H141">
        <v>140</v>
      </c>
      <c r="I141" s="112" t="str">
        <f>IFERROR(INDEX(TableRBCalcPts[PLAYER],MATCH(TableRBVORP[[#This Row],[RK]],TableRBCalcPts[RK],0)),"")</f>
        <v/>
      </c>
      <c r="J141" s="112" t="str">
        <f>IFERROR(INDEX(TableRBCalcPts[TM],MATCH(TableRBVORP[[#This Row],[RK]],TableRBCalcPts[RK],0)),"")</f>
        <v/>
      </c>
      <c r="K141" s="112" t="str">
        <f>IFERROR(INDEX(TableRBCalcPts[BYE],MATCH(TableRBVORP[[#This Row],[RK]],TableRBCalcPts[RK],0)),"")</f>
        <v/>
      </c>
      <c r="L141" s="113" t="str">
        <f>IFERROR(INDEX(TableRBCalcPts[Custom],MATCH(TableRBVORP[[#This Row],[RK]],TableRBCalcPts[RK],0)),"")</f>
        <v/>
      </c>
      <c r="M141" s="114" t="e">
        <f>(IFERROR((TableRBVORP[[#This Row],[FPS]]-INDEX(TableRBVORP[FPS],MATCH(RBVORPCalc,TableRBVORP[RK],0)))/INDEX(TableRBVORP[FPS],MATCH(RBVORPCalc,TableRBVORP[RK],0)),""))*0.8</f>
        <v>#VALUE!</v>
      </c>
      <c r="O141">
        <v>140</v>
      </c>
      <c r="P141" s="112" t="str">
        <f>IFERROR(INDEX(TableWRCalcPts[PLAYER],MATCH(TableWRVORP[[#This Row],[RK]],TableWRCalcPts[RK],0)),"")</f>
        <v>Skyy Moore</v>
      </c>
      <c r="Q141" s="112" t="str">
        <f>IFERROR(INDEX(TableWRCalcPts[TM],MATCH(TableWRVORP[[#This Row],[RK]],TableWRCalcPts[RK],0)),"")</f>
        <v>KC</v>
      </c>
      <c r="R141" s="112">
        <f>IFERROR(INDEX(TableWRCalcPts[BYE],MATCH(TableWRVORP[[#This Row],[RK]],TableWRCalcPts[RK],0)),"")</f>
        <v>6</v>
      </c>
      <c r="S141" s="113">
        <f>IFERROR(INDEX(TableWRCalcPts[Custom],MATCH(TableWRVORP[[#This Row],[RK]],TableWRCalcPts[RK],0)),"")</f>
        <v>19.594242808998718</v>
      </c>
      <c r="T141" s="114">
        <f>(IFERROR((TableWRVORP[[#This Row],[FPS]]-INDEX(TableWRVORP[FPS],MATCH(WRVORPCalc,TableWRVORP[RK],0)))/INDEX(TableWRVORP[FPS],MATCH(WRVORPCalc,TableWRVORP[RK],0)),""))*1.2</f>
        <v>-1.0402850616572652</v>
      </c>
      <c r="AF141" t="s">
        <v>207</v>
      </c>
      <c r="AG141">
        <v>100</v>
      </c>
      <c r="AH141" s="83">
        <f>RANK(TableOverallMaster[[#This Row],[VORP]],TableOverallMaster[VORP])+COUNTIF($AM$2:AM141,AM141)-1</f>
        <v>281</v>
      </c>
      <c r="AI141" s="115" t="str">
        <f>IFERROR(INDEX(TableRBVORP[RUNNING BACK],MATCH(TableOverallMaster[[#This Row],[RK]],TableRBVORP[RK],0)),"")</f>
        <v>Jeremy McNichols</v>
      </c>
      <c r="AJ141" s="115" t="str">
        <f t="shared" si="2"/>
        <v>RB100</v>
      </c>
      <c r="AK141" s="115">
        <f>IFERROR(INDEX(TableRBVORP[BYE],MATCH(TableOverallMaster[[#This Row],[RK]],TableRBVORP[RK],0)),"")</f>
        <v>14</v>
      </c>
      <c r="AL141" s="116">
        <f>IFERROR(INDEX(TableRBVORP[FPS],MATCH(TableOverallMaster[[#This Row],[RK]],TableRBVORP[RK],0)),"")</f>
        <v>12.903486134583991</v>
      </c>
      <c r="AM141" s="117">
        <f>IFERROR(INDEX(TableRBVORP[VORP],MATCH(TableOverallMaster[[#This Row],[RK]],TableRBVORP[RK],0)),"")</f>
        <v>-0.71391425821276422</v>
      </c>
      <c r="AO141">
        <v>140</v>
      </c>
      <c r="AP141" s="118" t="str">
        <f>IFERROR(INDEX(TableOverallMaster[OVERALL PLAYER],MATCH(TableOverallRank[[#This Row],[RK]],TableOverallMaster[OVR RK],0)),"")</f>
        <v>Rico Dowdle</v>
      </c>
      <c r="AQ141" s="119" t="str">
        <f>IFERROR(INDEX(TableOverallMaster[POS RK],MATCH(TableOverallRank[[#This Row],[OVERALL PLAYER]],TableOverallMaster[OVERALL PLAYER],0)),"")</f>
        <v>RB47</v>
      </c>
      <c r="AR141" s="120">
        <f>IFERROR(INDEX(TableOverallMaster[BYE],MATCH(TableOverallRank[[#This Row],[OVERALL PLAYER]],TableOverallMaster[OVERALL PLAYER],0)),"")</f>
        <v>7</v>
      </c>
      <c r="AS141" s="119">
        <f>IFERROR(INDEX(TableOverallMaster[Custom],MATCH(TableOverallRank[[#This Row],[OVERALL PLAYER]],TableOverallMaster[OVERALL PLAYER],0)),"")</f>
        <v>111.11104496242798</v>
      </c>
      <c r="AT141" s="121">
        <f>IFERROR(INDEX(TableOverallMaster[VORP],MATCH(TableOverallRank[[#This Row],[OVERALL PLAYER]],TableOverallMaster[OVERALL PLAYER],0)),"")</f>
        <v>-5.8721509320712698E-2</v>
      </c>
      <c r="AV141">
        <v>140</v>
      </c>
      <c r="AW141" s="122" t="str">
        <f>IFERROR(INDEX(TableWRTECalcPts[PLAYER],MATCH(TableWRTERank[[#This Row],[RK]],TableWRTECalcPts[RK],0)),"")</f>
        <v>Malik Washington</v>
      </c>
      <c r="AX141" s="122" t="str">
        <f>IFERROR(INDEX(TableWRTECalcPts[POS RK],MATCH(TableWRTERank[[#This Row],[WR and TE COMBINED]],TableWRTECalcPts[PLAYER],0)),"")</f>
        <v>WR104</v>
      </c>
      <c r="AY141" s="122">
        <f>IFERROR(INDEX(TableWRTECalcPts[BYE],MATCH(TableWRTERank[[#This Row],[RK]],TableWRTECalcPts[RK],0)),"")</f>
        <v>6</v>
      </c>
      <c r="AZ141" s="123">
        <f>IFERROR(INDEX(TableWRTECalcPts[Custom],MATCH(TableWRTERank[[#This Row],[RK]],TableWRTECalcPts[RK],0)),"")</f>
        <v>56.740369681564793</v>
      </c>
      <c r="BA141" s="174">
        <f>IFERROR((TableWRTERank[[#This Row],[FPS]]-INDEX(TableWRTERank[FPS],MATCH(WRTEVORPCalc,TableWRTERank[RK],0)))/INDEX(TableWRTERank[FPS],MATCH(WRTEVORPCalc,TableWRTERank[RK],0)),"")</f>
        <v>-0.63841926365847301</v>
      </c>
      <c r="BC141" t="s">
        <v>208</v>
      </c>
      <c r="BD141">
        <v>140</v>
      </c>
      <c r="BE141" s="83">
        <f>RANK(TableWRTEMaster[[#This Row],[VORP]],TableWRTEMaster[VORP])+COUNTIF($BJ$2:BJ141,BJ141)-1</f>
        <v>220</v>
      </c>
      <c r="BF141" s="115" t="str">
        <f>IFERROR(INDEX(TableWRVORP[WIDE RECEIVER],MATCH(TableWRTEMaster[[#This Row],[RK]],TableWRVORP[RK],0)),"")</f>
        <v>Skyy Moore</v>
      </c>
      <c r="BG141" s="115" t="str">
        <f>_xlfn.CONCAT(TableWRTEMaster[[#This Row],[POS]],TableWRTEMaster[[#This Row],[RK]])</f>
        <v>WR140</v>
      </c>
      <c r="BH141" s="115">
        <f>IFERROR(INDEX(TableWRVORP[BYE],MATCH(TableWRTEMaster[[#This Row],[RK]],TableWRVORP[RK],0)),"")</f>
        <v>6</v>
      </c>
      <c r="BI141" s="116">
        <f>IFERROR(INDEX(TableWRVORP[FPS],MATCH(TableWRTEMaster[[#This Row],[RK]],TableWRVORP[RK],0)),"")</f>
        <v>19.594242808998718</v>
      </c>
      <c r="BJ141" s="117">
        <f>IFERROR(INDEX(TableWRVORP[VORP],MATCH(TableWRTEMaster[[#This Row],[RK]],TableWRVORP[RK],0)),"")</f>
        <v>-1.0402850616572652</v>
      </c>
    </row>
    <row r="142" spans="8:62" x14ac:dyDescent="0.2">
      <c r="H142">
        <v>141</v>
      </c>
      <c r="I142" s="112" t="str">
        <f>IFERROR(INDEX(TableRBCalcPts[PLAYER],MATCH(TableRBVORP[[#This Row],[RK]],TableRBCalcPts[RK],0)),"")</f>
        <v/>
      </c>
      <c r="J142" s="112" t="str">
        <f>IFERROR(INDEX(TableRBCalcPts[TM],MATCH(TableRBVORP[[#This Row],[RK]],TableRBCalcPts[RK],0)),"")</f>
        <v/>
      </c>
      <c r="K142" s="112" t="str">
        <f>IFERROR(INDEX(TableRBCalcPts[BYE],MATCH(TableRBVORP[[#This Row],[RK]],TableRBCalcPts[RK],0)),"")</f>
        <v/>
      </c>
      <c r="L142" s="113" t="str">
        <f>IFERROR(INDEX(TableRBCalcPts[Custom],MATCH(TableRBVORP[[#This Row],[RK]],TableRBCalcPts[RK],0)),"")</f>
        <v/>
      </c>
      <c r="M142" s="114" t="e">
        <f>(IFERROR((TableRBVORP[[#This Row],[FPS]]-INDEX(TableRBVORP[FPS],MATCH(RBVORPCalc,TableRBVORP[RK],0)))/INDEX(TableRBVORP[FPS],MATCH(RBVORPCalc,TableRBVORP[RK],0)),""))*0.8</f>
        <v>#VALUE!</v>
      </c>
      <c r="O142">
        <v>141</v>
      </c>
      <c r="P142" s="112" t="str">
        <f>IFERROR(INDEX(TableWRCalcPts[PLAYER],MATCH(TableWRVORP[[#This Row],[RK]],TableWRCalcPts[RK],0)),"")</f>
        <v>Bub Means</v>
      </c>
      <c r="Q142" s="112" t="str">
        <f>IFERROR(INDEX(TableWRCalcPts[TM],MATCH(TableWRVORP[[#This Row],[RK]],TableWRCalcPts[RK],0)),"")</f>
        <v>NO</v>
      </c>
      <c r="R142" s="112">
        <f>IFERROR(INDEX(TableWRCalcPts[BYE],MATCH(TableWRVORP[[#This Row],[RK]],TableWRCalcPts[RK],0)),"")</f>
        <v>12</v>
      </c>
      <c r="S142" s="113">
        <f>IFERROR(INDEX(TableWRCalcPts[Custom],MATCH(TableWRVORP[[#This Row],[RK]],TableWRCalcPts[RK],0)),"")</f>
        <v>19.239112264455407</v>
      </c>
      <c r="T142" s="114">
        <f>(IFERROR((TableWRVORP[[#This Row],[FPS]]-INDEX(TableWRVORP[FPS],MATCH(WRVORPCalc,TableWRVORP[RK],0)))/INDEX(TableWRVORP[FPS],MATCH(WRVORPCalc,TableWRVORP[RK],0)),""))*1.2</f>
        <v>-1.0431797717809608</v>
      </c>
      <c r="AF142" t="s">
        <v>208</v>
      </c>
      <c r="AG142">
        <v>1</v>
      </c>
      <c r="AH142" s="83">
        <f>RANK(TableOverallMaster[[#This Row],[VORP]],TableOverallMaster[VORP])+COUNTIF($AM$2:AM142,AM142)-1</f>
        <v>2</v>
      </c>
      <c r="AI142" s="115" t="str">
        <f>IFERROR(INDEX(TableWRVORP[WIDE RECEIVER],MATCH(TableOverallMaster[[#This Row],[RK]],TableWRVORP[RK],0)),"")</f>
        <v>CeeDee Lamb</v>
      </c>
      <c r="AJ142" s="115" t="str">
        <f t="shared" si="2"/>
        <v>WR1</v>
      </c>
      <c r="AK142" s="115">
        <f>IFERROR(INDEX(TableWRVORP[BYE],MATCH(TableOverallMaster[[#This Row],[RK]],TableWRVORP[RK],0)),"")</f>
        <v>7</v>
      </c>
      <c r="AL142" s="116">
        <f>IFERROR(INDEX(TableWRVORP[FPS],MATCH(TableOverallMaster[[#This Row],[RK]],TableWRVORP[RK],0)),"")</f>
        <v>271.55717234290148</v>
      </c>
      <c r="AM142" s="117">
        <f>IFERROR(INDEX(TableWRVORP[VORP],MATCH(TableOverallMaster[[#This Row],[RK]],TableWRVORP[RK],0)),"")</f>
        <v>1.0134939053299514</v>
      </c>
      <c r="AO142">
        <v>141</v>
      </c>
      <c r="AP142" s="118" t="str">
        <f>IFERROR(INDEX(TableOverallMaster[OVERALL PLAYER],MATCH(TableOverallRank[[#This Row],[RK]],TableOverallMaster[OVR RK],0)),"")</f>
        <v>Dallas Goedert</v>
      </c>
      <c r="AQ142" s="119" t="str">
        <f>IFERROR(INDEX(TableOverallMaster[POS RK],MATCH(TableOverallRank[[#This Row],[OVERALL PLAYER]],TableOverallMaster[OVERALL PLAYER],0)),"")</f>
        <v>TE13</v>
      </c>
      <c r="AR142" s="120">
        <f>IFERROR(INDEX(TableOverallMaster[BYE],MATCH(TableOverallRank[[#This Row],[OVERALL PLAYER]],TableOverallMaster[OVERALL PLAYER],0)),"")</f>
        <v>5</v>
      </c>
      <c r="AS142" s="119">
        <f>IFERROR(INDEX(TableOverallMaster[Custom],MATCH(TableOverallRank[[#This Row],[OVERALL PLAYER]],TableOverallMaster[OVERALL PLAYER],0)),"")</f>
        <v>123.25352037647167</v>
      </c>
      <c r="AT142" s="121">
        <f>IFERROR(INDEX(TableOverallMaster[VORP],MATCH(TableOverallRank[[#This Row],[OVERALL PLAYER]],TableOverallMaster[OVERALL PLAYER],0)),"")</f>
        <v>-6.3700779635465041E-2</v>
      </c>
      <c r="AV142">
        <v>141</v>
      </c>
      <c r="AW142" s="122" t="str">
        <f>IFERROR(INDEX(TableWRTECalcPts[PLAYER],MATCH(TableWRTERank[[#This Row],[RK]],TableWRTECalcPts[RK],0)),"")</f>
        <v>Zach Ertz</v>
      </c>
      <c r="AX142" s="122" t="str">
        <f>IFERROR(INDEX(TableWRTECalcPts[POS RK],MATCH(TableWRTERank[[#This Row],[WR and TE COMBINED]],TableWRTECalcPts[PLAYER],0)),"")</f>
        <v>TE37</v>
      </c>
      <c r="AY142" s="122">
        <f>IFERROR(INDEX(TableWRTECalcPts[BYE],MATCH(TableWRTERank[[#This Row],[RK]],TableWRTECalcPts[RK],0)),"")</f>
        <v>14</v>
      </c>
      <c r="AZ142" s="123">
        <f>IFERROR(INDEX(TableWRTECalcPts[Custom],MATCH(TableWRTERank[[#This Row],[RK]],TableWRTECalcPts[RK],0)),"")</f>
        <v>56.143588018518017</v>
      </c>
      <c r="BA142" s="174">
        <f>IFERROR((TableWRTERank[[#This Row],[FPS]]-INDEX(TableWRTERank[FPS],MATCH(WRTEVORPCalc,TableWRTERank[RK],0)))/INDEX(TableWRTERank[FPS],MATCH(WRTEVORPCalc,TableWRTERank[RK],0)),"")</f>
        <v>-0.64222228352546706</v>
      </c>
      <c r="BC142" t="s">
        <v>208</v>
      </c>
      <c r="BD142">
        <v>141</v>
      </c>
      <c r="BE142" s="83">
        <f>RANK(TableWRTEMaster[[#This Row],[VORP]],TableWRTEMaster[VORP])+COUNTIF($BJ$2:BJ142,BJ142)-1</f>
        <v>221</v>
      </c>
      <c r="BF142" s="115" t="str">
        <f>IFERROR(INDEX(TableWRVORP[WIDE RECEIVER],MATCH(TableWRTEMaster[[#This Row],[RK]],TableWRVORP[RK],0)),"")</f>
        <v>Bub Means</v>
      </c>
      <c r="BG142" s="115" t="str">
        <f>_xlfn.CONCAT(TableWRTEMaster[[#This Row],[POS]],TableWRTEMaster[[#This Row],[RK]])</f>
        <v>WR141</v>
      </c>
      <c r="BH142" s="115">
        <f>IFERROR(INDEX(TableWRVORP[BYE],MATCH(TableWRTEMaster[[#This Row],[RK]],TableWRVORP[RK],0)),"")</f>
        <v>12</v>
      </c>
      <c r="BI142" s="116">
        <f>IFERROR(INDEX(TableWRVORP[FPS],MATCH(TableWRTEMaster[[#This Row],[RK]],TableWRVORP[RK],0)),"")</f>
        <v>19.239112264455407</v>
      </c>
      <c r="BJ142" s="117">
        <f>IFERROR(INDEX(TableWRVORP[VORP],MATCH(TableWRTEMaster[[#This Row],[RK]],TableWRVORP[RK],0)),"")</f>
        <v>-1.0431797717809608</v>
      </c>
    </row>
    <row r="143" spans="8:62" x14ac:dyDescent="0.2">
      <c r="H143">
        <v>142</v>
      </c>
      <c r="I143" s="112" t="str">
        <f>IFERROR(INDEX(TableRBCalcPts[PLAYER],MATCH(TableRBVORP[[#This Row],[RK]],TableRBCalcPts[RK],0)),"")</f>
        <v/>
      </c>
      <c r="J143" s="112" t="str">
        <f>IFERROR(INDEX(TableRBCalcPts[TM],MATCH(TableRBVORP[[#This Row],[RK]],TableRBCalcPts[RK],0)),"")</f>
        <v/>
      </c>
      <c r="K143" s="112" t="str">
        <f>IFERROR(INDEX(TableRBCalcPts[BYE],MATCH(TableRBVORP[[#This Row],[RK]],TableRBCalcPts[RK],0)),"")</f>
        <v/>
      </c>
      <c r="L143" s="113" t="str">
        <f>IFERROR(INDEX(TableRBCalcPts[Custom],MATCH(TableRBVORP[[#This Row],[RK]],TableRBCalcPts[RK],0)),"")</f>
        <v/>
      </c>
      <c r="M143" s="114" t="e">
        <f>(IFERROR((TableRBVORP[[#This Row],[FPS]]-INDEX(TableRBVORP[FPS],MATCH(RBVORPCalc,TableRBVORP[RK],0)))/INDEX(TableRBVORP[FPS],MATCH(RBVORPCalc,TableRBVORP[RK],0)),""))*0.8</f>
        <v>#VALUE!</v>
      </c>
      <c r="O143">
        <v>142</v>
      </c>
      <c r="P143" s="112" t="str">
        <f>IFERROR(INDEX(TableWRCalcPts[PLAYER],MATCH(TableWRVORP[[#This Row],[RK]],TableWRCalcPts[RK],0)),"")</f>
        <v>Nick Westbrook-Ikhine</v>
      </c>
      <c r="Q143" s="112" t="str">
        <f>IFERROR(INDEX(TableWRCalcPts[TM],MATCH(TableWRVORP[[#This Row],[RK]],TableWRCalcPts[RK],0)),"")</f>
        <v>TEN</v>
      </c>
      <c r="R143" s="112">
        <f>IFERROR(INDEX(TableWRCalcPts[BYE],MATCH(TableWRVORP[[#This Row],[RK]],TableWRCalcPts[RK],0)),"")</f>
        <v>5</v>
      </c>
      <c r="S143" s="113">
        <f>IFERROR(INDEX(TableWRCalcPts[Custom],MATCH(TableWRVORP[[#This Row],[RK]],TableWRCalcPts[RK],0)),"")</f>
        <v>18.661396136836288</v>
      </c>
      <c r="T143" s="114">
        <f>(IFERROR((TableWRVORP[[#This Row],[FPS]]-INDEX(TableWRVORP[FPS],MATCH(WRVORPCalc,TableWRVORP[RK],0)))/INDEX(TableWRVORP[FPS],MATCH(WRVORPCalc,TableWRVORP[RK],0)),""))*1.2</f>
        <v>-1.0478888027244742</v>
      </c>
      <c r="AF143" t="s">
        <v>208</v>
      </c>
      <c r="AG143">
        <v>2</v>
      </c>
      <c r="AH143" s="83">
        <f>RANK(TableOverallMaster[[#This Row],[VORP]],TableOverallMaster[VORP])+COUNTIF($AM$2:AM143,AM143)-1</f>
        <v>3</v>
      </c>
      <c r="AI143" s="115" t="str">
        <f>IFERROR(INDEX(TableWRVORP[WIDE RECEIVER],MATCH(TableOverallMaster[[#This Row],[RK]],TableWRVORP[RK],0)),"")</f>
        <v>Tyreek Hill</v>
      </c>
      <c r="AJ143" s="115" t="str">
        <f t="shared" si="2"/>
        <v>WR2</v>
      </c>
      <c r="AK143" s="115">
        <f>IFERROR(INDEX(TableWRVORP[BYE],MATCH(TableOverallMaster[[#This Row],[RK]],TableWRVORP[RK],0)),"")</f>
        <v>6</v>
      </c>
      <c r="AL143" s="116">
        <f>IFERROR(INDEX(TableWRVORP[FPS],MATCH(TableOverallMaster[[#This Row],[RK]],TableWRVORP[RK],0)),"")</f>
        <v>266.35924114405168</v>
      </c>
      <c r="AM143" s="117">
        <f>IFERROR(INDEX(TableWRVORP[VORP],MATCH(TableOverallMaster[[#This Row],[RK]],TableWRVORP[RK],0)),"")</f>
        <v>0.97112496721753783</v>
      </c>
      <c r="AO143">
        <v>142</v>
      </c>
      <c r="AP143" s="118" t="str">
        <f>IFERROR(INDEX(TableOverallMaster[OVERALL PLAYER],MATCH(TableOverallRank[[#This Row],[RK]],TableOverallMaster[OVR RK],0)),"")</f>
        <v>Chase Brown</v>
      </c>
      <c r="AQ143" s="119" t="str">
        <f>IFERROR(INDEX(TableOverallMaster[POS RK],MATCH(TableOverallRank[[#This Row],[OVERALL PLAYER]],TableOverallMaster[OVERALL PLAYER],0)),"")</f>
        <v>RB48</v>
      </c>
      <c r="AR143" s="120">
        <f>IFERROR(INDEX(TableOverallMaster[BYE],MATCH(TableOverallRank[[#This Row],[OVERALL PLAYER]],TableOverallMaster[OVERALL PLAYER],0)),"")</f>
        <v>12</v>
      </c>
      <c r="AS143" s="119">
        <f>IFERROR(INDEX(TableOverallMaster[Custom],MATCH(TableOverallRank[[#This Row],[OVERALL PLAYER]],TableOverallMaster[OVERALL PLAYER],0)),"")</f>
        <v>109.75380832983265</v>
      </c>
      <c r="AT143" s="121">
        <f>IFERROR(INDEX(TableOverallMaster[VORP],MATCH(TableOverallRank[[#This Row],[OVERALL PLAYER]],TableOverallMaster[OVERALL PLAYER],0)),"")</f>
        <v>-6.7776327613935594E-2</v>
      </c>
      <c r="AV143">
        <v>142</v>
      </c>
      <c r="AW143" s="122" t="str">
        <f>IFERROR(INDEX(TableWRTECalcPts[PLAYER],MATCH(TableWRTERank[[#This Row],[RK]],TableWRTECalcPts[RK],0)),"")</f>
        <v>Jordan Whittington</v>
      </c>
      <c r="AX143" s="122" t="str">
        <f>IFERROR(INDEX(TableWRTECalcPts[POS RK],MATCH(TableWRTERank[[#This Row],[WR and TE COMBINED]],TableWRTECalcPts[PLAYER],0)),"")</f>
        <v>WR105</v>
      </c>
      <c r="AY143" s="122">
        <f>IFERROR(INDEX(TableWRTECalcPts[BYE],MATCH(TableWRTERank[[#This Row],[RK]],TableWRTECalcPts[RK],0)),"")</f>
        <v>6</v>
      </c>
      <c r="AZ143" s="123">
        <f>IFERROR(INDEX(TableWRTECalcPts[Custom],MATCH(TableWRTERank[[#This Row],[RK]],TableWRTECalcPts[RK],0)),"")</f>
        <v>55.873140032859624</v>
      </c>
      <c r="BA143" s="174">
        <f>IFERROR((TableWRTERank[[#This Row],[FPS]]-INDEX(TableWRTERank[FPS],MATCH(WRTEVORPCalc,TableWRTERank[RK],0)))/INDEX(TableWRTERank[FPS],MATCH(WRTEVORPCalc,TableWRTERank[RK],0)),"")</f>
        <v>-0.64394572632898162</v>
      </c>
      <c r="BC143" t="s">
        <v>208</v>
      </c>
      <c r="BD143">
        <v>142</v>
      </c>
      <c r="BE143" s="83">
        <f>RANK(TableWRTEMaster[[#This Row],[VORP]],TableWRTEMaster[VORP])+COUNTIF($BJ$2:BJ143,BJ143)-1</f>
        <v>222</v>
      </c>
      <c r="BF143" s="115" t="str">
        <f>IFERROR(INDEX(TableWRVORP[WIDE RECEIVER],MATCH(TableWRTEMaster[[#This Row],[RK]],TableWRVORP[RK],0)),"")</f>
        <v>Nick Westbrook-Ikhine</v>
      </c>
      <c r="BG143" s="115" t="str">
        <f>_xlfn.CONCAT(TableWRTEMaster[[#This Row],[POS]],TableWRTEMaster[[#This Row],[RK]])</f>
        <v>WR142</v>
      </c>
      <c r="BH143" s="115">
        <f>IFERROR(INDEX(TableWRVORP[BYE],MATCH(TableWRTEMaster[[#This Row],[RK]],TableWRVORP[RK],0)),"")</f>
        <v>5</v>
      </c>
      <c r="BI143" s="116">
        <f>IFERROR(INDEX(TableWRVORP[FPS],MATCH(TableWRTEMaster[[#This Row],[RK]],TableWRVORP[RK],0)),"")</f>
        <v>18.661396136836288</v>
      </c>
      <c r="BJ143" s="117">
        <f>IFERROR(INDEX(TableWRVORP[VORP],MATCH(TableWRTEMaster[[#This Row],[RK]],TableWRVORP[RK],0)),"")</f>
        <v>-1.0478888027244742</v>
      </c>
    </row>
    <row r="144" spans="8:62" x14ac:dyDescent="0.2">
      <c r="H144">
        <v>143</v>
      </c>
      <c r="I144" s="112" t="str">
        <f>IFERROR(INDEX(TableRBCalcPts[PLAYER],MATCH(TableRBVORP[[#This Row],[RK]],TableRBCalcPts[RK],0)),"")</f>
        <v/>
      </c>
      <c r="J144" s="112" t="str">
        <f>IFERROR(INDEX(TableRBCalcPts[TM],MATCH(TableRBVORP[[#This Row],[RK]],TableRBCalcPts[RK],0)),"")</f>
        <v/>
      </c>
      <c r="K144" s="112" t="str">
        <f>IFERROR(INDEX(TableRBCalcPts[BYE],MATCH(TableRBVORP[[#This Row],[RK]],TableRBCalcPts[RK],0)),"")</f>
        <v/>
      </c>
      <c r="L144" s="113" t="str">
        <f>IFERROR(INDEX(TableRBCalcPts[Custom],MATCH(TableRBVORP[[#This Row],[RK]],TableRBCalcPts[RK],0)),"")</f>
        <v/>
      </c>
      <c r="M144" s="114" t="e">
        <f>(IFERROR((TableRBVORP[[#This Row],[FPS]]-INDEX(TableRBVORP[FPS],MATCH(RBVORPCalc,TableRBVORP[RK],0)))/INDEX(TableRBVORP[FPS],MATCH(RBVORPCalc,TableRBVORP[RK],0)),""))*0.8</f>
        <v>#VALUE!</v>
      </c>
      <c r="O144">
        <v>143</v>
      </c>
      <c r="P144" s="112" t="str">
        <f>IFERROR(INDEX(TableWRCalcPts[PLAYER],MATCH(TableWRVORP[[#This Row],[RK]],TableWRCalcPts[RK],0)),"")</f>
        <v>Jason Brownlee</v>
      </c>
      <c r="Q144" s="112" t="str">
        <f>IFERROR(INDEX(TableWRCalcPts[TM],MATCH(TableWRVORP[[#This Row],[RK]],TableWRCalcPts[RK],0)),"")</f>
        <v>NYJ</v>
      </c>
      <c r="R144" s="112">
        <f>IFERROR(INDEX(TableWRCalcPts[BYE],MATCH(TableWRVORP[[#This Row],[RK]],TableWRCalcPts[RK],0)),"")</f>
        <v>12</v>
      </c>
      <c r="S144" s="113">
        <f>IFERROR(INDEX(TableWRCalcPts[Custom],MATCH(TableWRVORP[[#This Row],[RK]],TableWRCalcPts[RK],0)),"")</f>
        <v>17.408112710446087</v>
      </c>
      <c r="T144" s="114">
        <f>(IFERROR((TableWRVORP[[#This Row],[FPS]]-INDEX(TableWRVORP[FPS],MATCH(WRVORPCalc,TableWRVORP[RK],0)))/INDEX(TableWRVORP[FPS],MATCH(WRVORPCalc,TableWRVORP[RK],0)),""))*1.2</f>
        <v>-1.0581044608197161</v>
      </c>
      <c r="AF144" t="s">
        <v>208</v>
      </c>
      <c r="AG144">
        <v>3</v>
      </c>
      <c r="AH144" s="83">
        <f>RANK(TableOverallMaster[[#This Row],[VORP]],TableOverallMaster[VORP])+COUNTIF($AM$2:AM144,AM144)-1</f>
        <v>6</v>
      </c>
      <c r="AI144" s="115" t="str">
        <f>IFERROR(INDEX(TableWRVORP[WIDE RECEIVER],MATCH(TableOverallMaster[[#This Row],[RK]],TableWRVORP[RK],0)),"")</f>
        <v>Amon-Ra St. Brown</v>
      </c>
      <c r="AJ144" s="115" t="str">
        <f t="shared" si="2"/>
        <v>WR3</v>
      </c>
      <c r="AK144" s="115">
        <f>IFERROR(INDEX(TableWRVORP[BYE],MATCH(TableOverallMaster[[#This Row],[RK]],TableWRVORP[RK],0)),"")</f>
        <v>5</v>
      </c>
      <c r="AL144" s="116">
        <f>IFERROR(INDEX(TableWRVORP[FPS],MATCH(TableOverallMaster[[#This Row],[RK]],TableWRVORP[RK],0)),"")</f>
        <v>251.21556304873667</v>
      </c>
      <c r="AM144" s="117">
        <f>IFERROR(INDEX(TableWRVORP[VORP],MATCH(TableOverallMaster[[#This Row],[RK]],TableWRVORP[RK],0)),"")</f>
        <v>0.84768709636678596</v>
      </c>
      <c r="AO144">
        <v>143</v>
      </c>
      <c r="AP144" s="118" t="str">
        <f>IFERROR(INDEX(TableOverallMaster[OVERALL PLAYER],MATCH(TableOverallRank[[#This Row],[RK]],TableOverallMaster[OVR RK],0)),"")</f>
        <v>Bo Nix</v>
      </c>
      <c r="AQ144" s="119" t="str">
        <f>IFERROR(INDEX(TableOverallMaster[POS RK],MATCH(TableOverallRank[[#This Row],[OVERALL PLAYER]],TableOverallMaster[OVERALL PLAYER],0)),"")</f>
        <v>QB22</v>
      </c>
      <c r="AR144" s="120">
        <f>IFERROR(INDEX(TableOverallMaster[BYE],MATCH(TableOverallRank[[#This Row],[OVERALL PLAYER]],TableOverallMaster[OVERALL PLAYER],0)),"")</f>
        <v>14</v>
      </c>
      <c r="AS144" s="119">
        <f>IFERROR(INDEX(TableOverallMaster[Custom],MATCH(TableOverallRank[[#This Row],[OVERALL PLAYER]],TableOverallMaster[OVERALL PLAYER],0)),"")</f>
        <v>275.85327323847935</v>
      </c>
      <c r="AT144" s="121">
        <f>IFERROR(INDEX(TableOverallMaster[VORP],MATCH(TableOverallRank[[#This Row],[OVERALL PLAYER]],TableOverallMaster[OVERALL PLAYER],0)),"")</f>
        <v>-7.3622081422184404E-2</v>
      </c>
      <c r="AV144">
        <v>143</v>
      </c>
      <c r="AW144" s="122" t="str">
        <f>IFERROR(INDEX(TableWRTECalcPts[PLAYER],MATCH(TableWRTERank[[#This Row],[RK]],TableWRTECalcPts[RK],0)),"")</f>
        <v>Quentin Johnston</v>
      </c>
      <c r="AX144" s="122" t="str">
        <f>IFERROR(INDEX(TableWRTECalcPts[POS RK],MATCH(TableWRTERank[[#This Row],[WR and TE COMBINED]],TableWRTECalcPts[PLAYER],0)),"")</f>
        <v>WR106</v>
      </c>
      <c r="AY144" s="122">
        <f>IFERROR(INDEX(TableWRTECalcPts[BYE],MATCH(TableWRTERank[[#This Row],[RK]],TableWRTECalcPts[RK],0)),"")</f>
        <v>5</v>
      </c>
      <c r="AZ144" s="123">
        <f>IFERROR(INDEX(TableWRTECalcPts[Custom],MATCH(TableWRTERank[[#This Row],[RK]],TableWRTECalcPts[RK],0)),"")</f>
        <v>55.174368621131777</v>
      </c>
      <c r="BA144" s="174">
        <f>IFERROR((TableWRTERank[[#This Row],[FPS]]-INDEX(TableWRTERank[FPS],MATCH(WRTEVORPCalc,TableWRTERank[RK],0)))/INDEX(TableWRTERank[FPS],MATCH(WRTEVORPCalc,TableWRTERank[RK],0)),"")</f>
        <v>-0.64839868077755036</v>
      </c>
      <c r="BC144" t="s">
        <v>208</v>
      </c>
      <c r="BD144">
        <v>143</v>
      </c>
      <c r="BE144" s="83">
        <f>RANK(TableWRTEMaster[[#This Row],[VORP]],TableWRTEMaster[VORP])+COUNTIF($BJ$2:BJ144,BJ144)-1</f>
        <v>223</v>
      </c>
      <c r="BF144" s="115" t="str">
        <f>IFERROR(INDEX(TableWRVORP[WIDE RECEIVER],MATCH(TableWRTEMaster[[#This Row],[RK]],TableWRVORP[RK],0)),"")</f>
        <v>Jason Brownlee</v>
      </c>
      <c r="BG144" s="115" t="str">
        <f>_xlfn.CONCAT(TableWRTEMaster[[#This Row],[POS]],TableWRTEMaster[[#This Row],[RK]])</f>
        <v>WR143</v>
      </c>
      <c r="BH144" s="115">
        <f>IFERROR(INDEX(TableWRVORP[BYE],MATCH(TableWRTEMaster[[#This Row],[RK]],TableWRVORP[RK],0)),"")</f>
        <v>12</v>
      </c>
      <c r="BI144" s="116">
        <f>IFERROR(INDEX(TableWRVORP[FPS],MATCH(TableWRTEMaster[[#This Row],[RK]],TableWRVORP[RK],0)),"")</f>
        <v>17.408112710446087</v>
      </c>
      <c r="BJ144" s="117">
        <f>IFERROR(INDEX(TableWRVORP[VORP],MATCH(TableWRTEMaster[[#This Row],[RK]],TableWRVORP[RK],0)),"")</f>
        <v>-1.0581044608197161</v>
      </c>
    </row>
    <row r="145" spans="8:62" x14ac:dyDescent="0.2">
      <c r="H145">
        <v>144</v>
      </c>
      <c r="I145" s="112" t="str">
        <f>IFERROR(INDEX(TableRBCalcPts[PLAYER],MATCH(TableRBVORP[[#This Row],[RK]],TableRBCalcPts[RK],0)),"")</f>
        <v/>
      </c>
      <c r="J145" s="112" t="str">
        <f>IFERROR(INDEX(TableRBCalcPts[TM],MATCH(TableRBVORP[[#This Row],[RK]],TableRBCalcPts[RK],0)),"")</f>
        <v/>
      </c>
      <c r="K145" s="112" t="str">
        <f>IFERROR(INDEX(TableRBCalcPts[BYE],MATCH(TableRBVORP[[#This Row],[RK]],TableRBCalcPts[RK],0)),"")</f>
        <v/>
      </c>
      <c r="L145" s="113" t="str">
        <f>IFERROR(INDEX(TableRBCalcPts[Custom],MATCH(TableRBVORP[[#This Row],[RK]],TableRBCalcPts[RK],0)),"")</f>
        <v/>
      </c>
      <c r="M145" s="114" t="e">
        <f>(IFERROR((TableRBVORP[[#This Row],[FPS]]-INDEX(TableRBVORP[FPS],MATCH(RBVORPCalc,TableRBVORP[RK],0)))/INDEX(TableRBVORP[FPS],MATCH(RBVORPCalc,TableRBVORP[RK],0)),""))*0.8</f>
        <v>#VALUE!</v>
      </c>
      <c r="O145">
        <v>144</v>
      </c>
      <c r="P145" s="112" t="str">
        <f>IFERROR(INDEX(TableWRCalcPts[PLAYER],MATCH(TableWRVORP[[#This Row],[RK]],TableWRCalcPts[RK],0)),"")</f>
        <v>Devontez Walker</v>
      </c>
      <c r="Q145" s="112" t="str">
        <f>IFERROR(INDEX(TableWRCalcPts[TM],MATCH(TableWRVORP[[#This Row],[RK]],TableWRCalcPts[RK],0)),"")</f>
        <v>BAL</v>
      </c>
      <c r="R145" s="112">
        <f>IFERROR(INDEX(TableWRCalcPts[BYE],MATCH(TableWRVORP[[#This Row],[RK]],TableWRCalcPts[RK],0)),"")</f>
        <v>14</v>
      </c>
      <c r="S145" s="113">
        <f>IFERROR(INDEX(TableWRCalcPts[Custom],MATCH(TableWRVORP[[#This Row],[RK]],TableWRCalcPts[RK],0)),"")</f>
        <v>16.825698512797491</v>
      </c>
      <c r="T145" s="114">
        <f>(IFERROR((TableWRVORP[[#This Row],[FPS]]-INDEX(TableWRVORP[FPS],MATCH(WRVORPCalc,TableWRVORP[RK],0)))/INDEX(TableWRVORP[FPS],MATCH(WRVORPCalc,TableWRVORP[RK],0)),""))*1.2</f>
        <v>-1.0628517862751636</v>
      </c>
      <c r="AF145" t="s">
        <v>208</v>
      </c>
      <c r="AG145">
        <v>4</v>
      </c>
      <c r="AH145" s="83">
        <f>RANK(TableOverallMaster[[#This Row],[VORP]],TableOverallMaster[VORP])+COUNTIF($AM$2:AM145,AM145)-1</f>
        <v>9</v>
      </c>
      <c r="AI145" s="115" t="str">
        <f>IFERROR(INDEX(TableWRVORP[WIDE RECEIVER],MATCH(TableOverallMaster[[#This Row],[RK]],TableWRVORP[RK],0)),"")</f>
        <v>Ja'Marr Chase</v>
      </c>
      <c r="AJ145" s="115" t="str">
        <f t="shared" si="2"/>
        <v>WR4</v>
      </c>
      <c r="AK145" s="115">
        <f>IFERROR(INDEX(TableWRVORP[BYE],MATCH(TableOverallMaster[[#This Row],[RK]],TableWRVORP[RK],0)),"")</f>
        <v>12</v>
      </c>
      <c r="AL145" s="116">
        <f>IFERROR(INDEX(TableWRVORP[FPS],MATCH(TableOverallMaster[[#This Row],[RK]],TableWRVORP[RK],0)),"")</f>
        <v>242.69240708914157</v>
      </c>
      <c r="AM145" s="117">
        <f>IFERROR(INDEX(TableWRVORP[VORP],MATCH(TableOverallMaster[[#This Row],[RK]],TableWRVORP[RK],0)),"")</f>
        <v>0.7782138668145282</v>
      </c>
      <c r="AO145">
        <v>144</v>
      </c>
      <c r="AP145" s="118" t="str">
        <f>IFERROR(INDEX(TableOverallMaster[OVERALL PLAYER],MATCH(TableOverallRank[[#This Row],[RK]],TableOverallMaster[OVR RK],0)),"")</f>
        <v>Bucky Irving</v>
      </c>
      <c r="AQ145" s="119" t="str">
        <f>IFERROR(INDEX(TableOverallMaster[POS RK],MATCH(TableOverallRank[[#This Row],[OVERALL PLAYER]],TableOverallMaster[OVERALL PLAYER],0)),"")</f>
        <v>RB49</v>
      </c>
      <c r="AR145" s="120">
        <f>IFERROR(INDEX(TableOverallMaster[BYE],MATCH(TableOverallRank[[#This Row],[OVERALL PLAYER]],TableOverallMaster[OVERALL PLAYER],0)),"")</f>
        <v>11</v>
      </c>
      <c r="AS145" s="119">
        <f>IFERROR(INDEX(TableOverallMaster[Custom],MATCH(TableOverallRank[[#This Row],[OVERALL PLAYER]],TableOverallMaster[OVERALL PLAYER],0)),"")</f>
        <v>108.09268065474014</v>
      </c>
      <c r="AT145" s="121">
        <f>IFERROR(INDEX(TableOverallMaster[VORP],MATCH(TableOverallRank[[#This Row],[OVERALL PLAYER]],TableOverallMaster[OVERALL PLAYER],0)),"")</f>
        <v>-7.8858558153973773E-2</v>
      </c>
      <c r="AV145">
        <v>144</v>
      </c>
      <c r="AW145" s="122" t="str">
        <f>IFERROR(INDEX(TableWRTECalcPts[PLAYER],MATCH(TableWRTERank[[#This Row],[RK]],TableWRTECalcPts[RK],0)),"")</f>
        <v>Daniel Bellinger</v>
      </c>
      <c r="AX145" s="122" t="str">
        <f>IFERROR(INDEX(TableWRTECalcPts[POS RK],MATCH(TableWRTERank[[#This Row],[WR and TE COMBINED]],TableWRTECalcPts[PLAYER],0)),"")</f>
        <v>TE38</v>
      </c>
      <c r="AY145" s="122">
        <f>IFERROR(INDEX(TableWRTECalcPts[BYE],MATCH(TableWRTERank[[#This Row],[RK]],TableWRTECalcPts[RK],0)),"")</f>
        <v>11</v>
      </c>
      <c r="AZ145" s="123">
        <f>IFERROR(INDEX(TableWRTECalcPts[Custom],MATCH(TableWRTERank[[#This Row],[RK]],TableWRTECalcPts[RK],0)),"")</f>
        <v>52.988011934465121</v>
      </c>
      <c r="BA145" s="174">
        <f>IFERROR((TableWRTERank[[#This Row],[FPS]]-INDEX(TableWRTERank[FPS],MATCH(WRTEVORPCalc,TableWRTERank[RK],0)))/INDEX(TableWRTERank[FPS],MATCH(WRTEVORPCalc,TableWRTERank[RK],0)),"")</f>
        <v>-0.6623313439784918</v>
      </c>
      <c r="BC145" t="s">
        <v>208</v>
      </c>
      <c r="BD145">
        <v>144</v>
      </c>
      <c r="BE145" s="83">
        <f>RANK(TableWRTEMaster[[#This Row],[VORP]],TableWRTEMaster[VORP])+COUNTIF($BJ$2:BJ145,BJ145)-1</f>
        <v>224</v>
      </c>
      <c r="BF145" s="115" t="str">
        <f>IFERROR(INDEX(TableWRVORP[WIDE RECEIVER],MATCH(TableWRTEMaster[[#This Row],[RK]],TableWRVORP[RK],0)),"")</f>
        <v>Devontez Walker</v>
      </c>
      <c r="BG145" s="115" t="str">
        <f>_xlfn.CONCAT(TableWRTEMaster[[#This Row],[POS]],TableWRTEMaster[[#This Row],[RK]])</f>
        <v>WR144</v>
      </c>
      <c r="BH145" s="115">
        <f>IFERROR(INDEX(TableWRVORP[BYE],MATCH(TableWRTEMaster[[#This Row],[RK]],TableWRVORP[RK],0)),"")</f>
        <v>14</v>
      </c>
      <c r="BI145" s="116">
        <f>IFERROR(INDEX(TableWRVORP[FPS],MATCH(TableWRTEMaster[[#This Row],[RK]],TableWRVORP[RK],0)),"")</f>
        <v>16.825698512797491</v>
      </c>
      <c r="BJ145" s="117">
        <f>IFERROR(INDEX(TableWRVORP[VORP],MATCH(TableWRTEMaster[[#This Row],[RK]],TableWRVORP[RK],0)),"")</f>
        <v>-1.0628517862751636</v>
      </c>
    </row>
    <row r="146" spans="8:62" x14ac:dyDescent="0.2">
      <c r="H146">
        <v>145</v>
      </c>
      <c r="I146" s="112" t="str">
        <f>IFERROR(INDEX(TableRBCalcPts[PLAYER],MATCH(TableRBVORP[[#This Row],[RK]],TableRBCalcPts[RK],0)),"")</f>
        <v/>
      </c>
      <c r="J146" s="112" t="str">
        <f>IFERROR(INDEX(TableRBCalcPts[TM],MATCH(TableRBVORP[[#This Row],[RK]],TableRBCalcPts[RK],0)),"")</f>
        <v/>
      </c>
      <c r="K146" s="112" t="str">
        <f>IFERROR(INDEX(TableRBCalcPts[BYE],MATCH(TableRBVORP[[#This Row],[RK]],TableRBCalcPts[RK],0)),"")</f>
        <v/>
      </c>
      <c r="L146" s="113" t="str">
        <f>IFERROR(INDEX(TableRBCalcPts[Custom],MATCH(TableRBVORP[[#This Row],[RK]],TableRBCalcPts[RK],0)),"")</f>
        <v/>
      </c>
      <c r="M146" s="114" t="e">
        <f>(IFERROR((TableRBVORP[[#This Row],[FPS]]-INDEX(TableRBVORP[FPS],MATCH(RBVORPCalc,TableRBVORP[RK],0)))/INDEX(TableRBVORP[FPS],MATCH(RBVORPCalc,TableRBVORP[RK],0)),""))*0.8</f>
        <v>#VALUE!</v>
      </c>
      <c r="O146">
        <v>145</v>
      </c>
      <c r="P146" s="112" t="str">
        <f>IFERROR(INDEX(TableWRCalcPts[PLAYER],MATCH(TableWRVORP[[#This Row],[RK]],TableWRCalcPts[RK],0)),"")</f>
        <v>Javon Baker</v>
      </c>
      <c r="Q146" s="112" t="str">
        <f>IFERROR(INDEX(TableWRCalcPts[TM],MATCH(TableWRVORP[[#This Row],[RK]],TableWRCalcPts[RK],0)),"")</f>
        <v>NE</v>
      </c>
      <c r="R146" s="112">
        <f>IFERROR(INDEX(TableWRCalcPts[BYE],MATCH(TableWRVORP[[#This Row],[RK]],TableWRCalcPts[RK],0)),"")</f>
        <v>14</v>
      </c>
      <c r="S146" s="113">
        <f>IFERROR(INDEX(TableWRCalcPts[Custom],MATCH(TableWRVORP[[#This Row],[RK]],TableWRCalcPts[RK],0)),"")</f>
        <v>16.660263898414083</v>
      </c>
      <c r="T146" s="114">
        <f>(IFERROR((TableWRVORP[[#This Row],[FPS]]-INDEX(TableWRVORP[FPS],MATCH(WRVORPCalc,TableWRVORP[RK],0)))/INDEX(TableWRVORP[FPS],MATCH(WRVORPCalc,TableWRVORP[RK],0)),""))*1.2</f>
        <v>-1.0642002629421907</v>
      </c>
      <c r="AF146" t="s">
        <v>208</v>
      </c>
      <c r="AG146">
        <v>5</v>
      </c>
      <c r="AH146" s="83">
        <f>RANK(TableOverallMaster[[#This Row],[VORP]],TableOverallMaster[VORP])+COUNTIF($AM$2:AM146,AM146)-1</f>
        <v>11</v>
      </c>
      <c r="AI146" s="115" t="str">
        <f>IFERROR(INDEX(TableWRVORP[WIDE RECEIVER],MATCH(TableOverallMaster[[#This Row],[RK]],TableWRVORP[RK],0)),"")</f>
        <v>Justin Jefferson</v>
      </c>
      <c r="AJ146" s="115" t="str">
        <f t="shared" si="2"/>
        <v>WR5</v>
      </c>
      <c r="AK146" s="115">
        <f>IFERROR(INDEX(TableWRVORP[BYE],MATCH(TableOverallMaster[[#This Row],[RK]],TableWRVORP[RK],0)),"")</f>
        <v>6</v>
      </c>
      <c r="AL146" s="116">
        <f>IFERROR(INDEX(TableWRVORP[FPS],MATCH(TableOverallMaster[[#This Row],[RK]],TableWRVORP[RK],0)),"")</f>
        <v>241.32118821726243</v>
      </c>
      <c r="AM146" s="117">
        <f>IFERROR(INDEX(TableWRVORP[VORP],MATCH(TableOverallMaster[[#This Row],[RK]],TableWRVORP[RK],0)),"")</f>
        <v>0.76703690326909368</v>
      </c>
      <c r="AO146">
        <v>145</v>
      </c>
      <c r="AP146" s="118" t="str">
        <f>IFERROR(INDEX(TableOverallMaster[OVERALL PLAYER],MATCH(TableOverallRank[[#This Row],[RK]],TableOverallMaster[OVR RK],0)),"")</f>
        <v>Justin Herbert</v>
      </c>
      <c r="AQ146" s="119" t="str">
        <f>IFERROR(INDEX(TableOverallMaster[POS RK],MATCH(TableOverallRank[[#This Row],[OVERALL PLAYER]],TableOverallMaster[OVERALL PLAYER],0)),"")</f>
        <v>QB23</v>
      </c>
      <c r="AR146" s="120">
        <f>IFERROR(INDEX(TableOverallMaster[BYE],MATCH(TableOverallRank[[#This Row],[OVERALL PLAYER]],TableOverallMaster[OVERALL PLAYER],0)),"")</f>
        <v>5</v>
      </c>
      <c r="AS146" s="119">
        <f>IFERROR(INDEX(TableOverallMaster[Custom],MATCH(TableOverallRank[[#This Row],[OVERALL PLAYER]],TableOverallMaster[OVERALL PLAYER],0)),"")</f>
        <v>274.72016258724005</v>
      </c>
      <c r="AT146" s="121">
        <f>IFERROR(INDEX(TableOverallMaster[VORP],MATCH(TableOverallRank[[#This Row],[OVERALL PLAYER]],TableOverallMaster[OVERALL PLAYER],0)),"")</f>
        <v>-8.0764520943486406E-2</v>
      </c>
      <c r="AV146">
        <v>145</v>
      </c>
      <c r="AW146" s="122" t="str">
        <f>IFERROR(INDEX(TableWRTECalcPts[PLAYER],MATCH(TableWRTERank[[#This Row],[RK]],TableWRTECalcPts[RK],0)),"")</f>
        <v>Kylen Granson</v>
      </c>
      <c r="AX146" s="122" t="str">
        <f>IFERROR(INDEX(TableWRTECalcPts[POS RK],MATCH(TableWRTERank[[#This Row],[WR and TE COMBINED]],TableWRTECalcPts[PLAYER],0)),"")</f>
        <v>TE39</v>
      </c>
      <c r="AY146" s="122">
        <f>IFERROR(INDEX(TableWRTECalcPts[BYE],MATCH(TableWRTERank[[#This Row],[RK]],TableWRTECalcPts[RK],0)),"")</f>
        <v>14</v>
      </c>
      <c r="AZ146" s="123">
        <f>IFERROR(INDEX(TableWRTECalcPts[Custom],MATCH(TableWRTERank[[#This Row],[RK]],TableWRTECalcPts[RK],0)),"")</f>
        <v>51.971771830712242</v>
      </c>
      <c r="BA146" s="174">
        <f>IFERROR((TableWRTERank[[#This Row],[FPS]]-INDEX(TableWRTERank[FPS],MATCH(WRTEVORPCalc,TableWRTERank[RK],0)))/INDEX(TableWRTERank[FPS],MATCH(WRTEVORPCalc,TableWRTERank[RK],0)),"")</f>
        <v>-0.66880738294469799</v>
      </c>
      <c r="BC146" t="s">
        <v>208</v>
      </c>
      <c r="BD146">
        <v>145</v>
      </c>
      <c r="BE146" s="83">
        <f>RANK(TableWRTEMaster[[#This Row],[VORP]],TableWRTEMaster[VORP])+COUNTIF($BJ$2:BJ146,BJ146)-1</f>
        <v>225</v>
      </c>
      <c r="BF146" s="115" t="str">
        <f>IFERROR(INDEX(TableWRVORP[WIDE RECEIVER],MATCH(TableWRTEMaster[[#This Row],[RK]],TableWRVORP[RK],0)),"")</f>
        <v>Javon Baker</v>
      </c>
      <c r="BG146" s="115" t="str">
        <f>_xlfn.CONCAT(TableWRTEMaster[[#This Row],[POS]],TableWRTEMaster[[#This Row],[RK]])</f>
        <v>WR145</v>
      </c>
      <c r="BH146" s="115">
        <f>IFERROR(INDEX(TableWRVORP[BYE],MATCH(TableWRTEMaster[[#This Row],[RK]],TableWRVORP[RK],0)),"")</f>
        <v>14</v>
      </c>
      <c r="BI146" s="116">
        <f>IFERROR(INDEX(TableWRVORP[FPS],MATCH(TableWRTEMaster[[#This Row],[RK]],TableWRVORP[RK],0)),"")</f>
        <v>16.660263898414083</v>
      </c>
      <c r="BJ146" s="117">
        <f>IFERROR(INDEX(TableWRVORP[VORP],MATCH(TableWRTEMaster[[#This Row],[RK]],TableWRVORP[RK],0)),"")</f>
        <v>-1.0642002629421907</v>
      </c>
    </row>
    <row r="147" spans="8:62" x14ac:dyDescent="0.2">
      <c r="H147">
        <v>146</v>
      </c>
      <c r="I147" s="112" t="str">
        <f>IFERROR(INDEX(TableRBCalcPts[PLAYER],MATCH(TableRBVORP[[#This Row],[RK]],TableRBCalcPts[RK],0)),"")</f>
        <v/>
      </c>
      <c r="J147" s="112" t="str">
        <f>IFERROR(INDEX(TableRBCalcPts[TM],MATCH(TableRBVORP[[#This Row],[RK]],TableRBCalcPts[RK],0)),"")</f>
        <v/>
      </c>
      <c r="K147" s="112" t="str">
        <f>IFERROR(INDEX(TableRBCalcPts[BYE],MATCH(TableRBVORP[[#This Row],[RK]],TableRBCalcPts[RK],0)),"")</f>
        <v/>
      </c>
      <c r="L147" s="113" t="str">
        <f>IFERROR(INDEX(TableRBCalcPts[Custom],MATCH(TableRBVORP[[#This Row],[RK]],TableRBCalcPts[RK],0)),"")</f>
        <v/>
      </c>
      <c r="M147" s="114" t="e">
        <f>(IFERROR((TableRBVORP[[#This Row],[FPS]]-INDEX(TableRBVORP[FPS],MATCH(RBVORPCalc,TableRBVORP[RK],0)))/INDEX(TableRBVORP[FPS],MATCH(RBVORPCalc,TableRBVORP[RK],0)),""))*0.8</f>
        <v>#VALUE!</v>
      </c>
      <c r="O147">
        <v>146</v>
      </c>
      <c r="P147" s="112" t="str">
        <f>IFERROR(INDEX(TableWRCalcPts[PLAYER],MATCH(TableWRVORP[[#This Row],[RK]],TableWRCalcPts[RK],0)),"")</f>
        <v>Bo Melton</v>
      </c>
      <c r="Q147" s="112" t="str">
        <f>IFERROR(INDEX(TableWRCalcPts[TM],MATCH(TableWRVORP[[#This Row],[RK]],TableWRCalcPts[RK],0)),"")</f>
        <v>GB</v>
      </c>
      <c r="R147" s="112">
        <f>IFERROR(INDEX(TableWRCalcPts[BYE],MATCH(TableWRVORP[[#This Row],[RK]],TableWRCalcPts[RK],0)),"")</f>
        <v>10</v>
      </c>
      <c r="S147" s="113">
        <f>IFERROR(INDEX(TableWRCalcPts[Custom],MATCH(TableWRVORP[[#This Row],[RK]],TableWRCalcPts[RK],0)),"")</f>
        <v>15.792781181632</v>
      </c>
      <c r="T147" s="114">
        <f>(IFERROR((TableWRVORP[[#This Row],[FPS]]-INDEX(TableWRVORP[FPS],MATCH(WRVORPCalc,TableWRVORP[RK],0)))/INDEX(TableWRVORP[FPS],MATCH(WRVORPCalc,TableWRVORP[RK],0)),""))*1.2</f>
        <v>-1.0712712148526473</v>
      </c>
      <c r="AF147" t="s">
        <v>208</v>
      </c>
      <c r="AG147">
        <v>6</v>
      </c>
      <c r="AH147" s="83">
        <f>RANK(TableOverallMaster[[#This Row],[VORP]],TableOverallMaster[VORP])+COUNTIF($AM$2:AM147,AM147)-1</f>
        <v>13</v>
      </c>
      <c r="AI147" s="115" t="str">
        <f>IFERROR(INDEX(TableWRVORP[WIDE RECEIVER],MATCH(TableOverallMaster[[#This Row],[RK]],TableWRVORP[RK],0)),"")</f>
        <v>Puka Nacua</v>
      </c>
      <c r="AJ147" s="115" t="str">
        <f t="shared" si="2"/>
        <v>WR6</v>
      </c>
      <c r="AK147" s="115">
        <f>IFERROR(INDEX(TableWRVORP[BYE],MATCH(TableOverallMaster[[#This Row],[RK]],TableWRVORP[RK],0)),"")</f>
        <v>6</v>
      </c>
      <c r="AL147" s="116">
        <f>IFERROR(INDEX(TableWRVORP[FPS],MATCH(TableOverallMaster[[#This Row],[RK]],TableWRVORP[RK],0)),"")</f>
        <v>229.19735538856321</v>
      </c>
      <c r="AM147" s="117">
        <f>IFERROR(INDEX(TableWRVORP[VORP],MATCH(TableOverallMaster[[#This Row],[RK]],TableWRVORP[RK],0)),"")</f>
        <v>0.66821414029791926</v>
      </c>
      <c r="AO147">
        <v>146</v>
      </c>
      <c r="AP147" s="118" t="str">
        <f>IFERROR(INDEX(TableOverallMaster[OVERALL PLAYER],MATCH(TableOverallRank[[#This Row],[RK]],TableOverallMaster[OVR RK],0)),"")</f>
        <v>Bryce Young</v>
      </c>
      <c r="AQ147" s="119" t="str">
        <f>IFERROR(INDEX(TableOverallMaster[POS RK],MATCH(TableOverallRank[[#This Row],[OVERALL PLAYER]],TableOverallMaster[OVERALL PLAYER],0)),"")</f>
        <v>QB24</v>
      </c>
      <c r="AR147" s="120">
        <f>IFERROR(INDEX(TableOverallMaster[BYE],MATCH(TableOverallRank[[#This Row],[OVERALL PLAYER]],TableOverallMaster[OVERALL PLAYER],0)),"")</f>
        <v>11</v>
      </c>
      <c r="AS147" s="119">
        <f>IFERROR(INDEX(TableOverallMaster[Custom],MATCH(TableOverallRank[[#This Row],[OVERALL PLAYER]],TableOverallMaster[OVERALL PLAYER],0)),"")</f>
        <v>274.38871581037159</v>
      </c>
      <c r="AT147" s="121">
        <f>IFERROR(INDEX(TableOverallMaster[VORP],MATCH(TableOverallRank[[#This Row],[OVERALL PLAYER]],TableOverallMaster[OVERALL PLAYER],0)),"")</f>
        <v>-8.3151027388432053E-2</v>
      </c>
      <c r="AV147">
        <v>146</v>
      </c>
      <c r="AW147" s="122" t="str">
        <f>IFERROR(INDEX(TableWRTECalcPts[PLAYER],MATCH(TableWRTERank[[#This Row],[RK]],TableWRTECalcPts[RK],0)),"")</f>
        <v>Will Dissly</v>
      </c>
      <c r="AX147" s="122" t="str">
        <f>IFERROR(INDEX(TableWRTECalcPts[POS RK],MATCH(TableWRTERank[[#This Row],[WR and TE COMBINED]],TableWRTECalcPts[PLAYER],0)),"")</f>
        <v>TE40</v>
      </c>
      <c r="AY147" s="122">
        <f>IFERROR(INDEX(TableWRTECalcPts[BYE],MATCH(TableWRTERank[[#This Row],[RK]],TableWRTECalcPts[RK],0)),"")</f>
        <v>5</v>
      </c>
      <c r="AZ147" s="123">
        <f>IFERROR(INDEX(TableWRTECalcPts[Custom],MATCH(TableWRTERank[[#This Row],[RK]],TableWRTECalcPts[RK],0)),"")</f>
        <v>51.886490271348435</v>
      </c>
      <c r="BA147" s="174">
        <f>IFERROR((TableWRTERank[[#This Row],[FPS]]-INDEX(TableWRTERank[FPS],MATCH(WRTEVORPCalc,TableWRTERank[RK],0)))/INDEX(TableWRTERank[FPS],MATCH(WRTEVORPCalc,TableWRTERank[RK],0)),"")</f>
        <v>-0.66935084378579179</v>
      </c>
      <c r="BC147" t="s">
        <v>208</v>
      </c>
      <c r="BD147">
        <v>146</v>
      </c>
      <c r="BE147" s="83">
        <f>RANK(TableWRTEMaster[[#This Row],[VORP]],TableWRTEMaster[VORP])+COUNTIF($BJ$2:BJ147,BJ147)-1</f>
        <v>226</v>
      </c>
      <c r="BF147" s="115" t="str">
        <f>IFERROR(INDEX(TableWRVORP[WIDE RECEIVER],MATCH(TableWRTEMaster[[#This Row],[RK]],TableWRVORP[RK],0)),"")</f>
        <v>Bo Melton</v>
      </c>
      <c r="BG147" s="115" t="str">
        <f>_xlfn.CONCAT(TableWRTEMaster[[#This Row],[POS]],TableWRTEMaster[[#This Row],[RK]])</f>
        <v>WR146</v>
      </c>
      <c r="BH147" s="115">
        <f>IFERROR(INDEX(TableWRVORP[BYE],MATCH(TableWRTEMaster[[#This Row],[RK]],TableWRVORP[RK],0)),"")</f>
        <v>10</v>
      </c>
      <c r="BI147" s="116">
        <f>IFERROR(INDEX(TableWRVORP[FPS],MATCH(TableWRTEMaster[[#This Row],[RK]],TableWRVORP[RK],0)),"")</f>
        <v>15.792781181632</v>
      </c>
      <c r="BJ147" s="117">
        <f>IFERROR(INDEX(TableWRVORP[VORP],MATCH(TableWRTEMaster[[#This Row],[RK]],TableWRVORP[RK],0)),"")</f>
        <v>-1.0712712148526473</v>
      </c>
    </row>
    <row r="148" spans="8:62" x14ac:dyDescent="0.2">
      <c r="H148">
        <v>147</v>
      </c>
      <c r="I148" s="112" t="str">
        <f>IFERROR(INDEX(TableRBCalcPts[PLAYER],MATCH(TableRBVORP[[#This Row],[RK]],TableRBCalcPts[RK],0)),"")</f>
        <v/>
      </c>
      <c r="J148" s="112" t="str">
        <f>IFERROR(INDEX(TableRBCalcPts[TM],MATCH(TableRBVORP[[#This Row],[RK]],TableRBCalcPts[RK],0)),"")</f>
        <v/>
      </c>
      <c r="K148" s="112" t="str">
        <f>IFERROR(INDEX(TableRBCalcPts[BYE],MATCH(TableRBVORP[[#This Row],[RK]],TableRBCalcPts[RK],0)),"")</f>
        <v/>
      </c>
      <c r="L148" s="113" t="str">
        <f>IFERROR(INDEX(TableRBCalcPts[Custom],MATCH(TableRBVORP[[#This Row],[RK]],TableRBCalcPts[RK],0)),"")</f>
        <v/>
      </c>
      <c r="M148" s="114" t="e">
        <f>(IFERROR((TableRBVORP[[#This Row],[FPS]]-INDEX(TableRBVORP[FPS],MATCH(RBVORPCalc,TableRBVORP[RK],0)))/INDEX(TableRBVORP[FPS],MATCH(RBVORPCalc,TableRBVORP[RK],0)),""))*0.8</f>
        <v>#VALUE!</v>
      </c>
      <c r="O148">
        <v>147</v>
      </c>
      <c r="P148" s="112" t="str">
        <f>IFERROR(INDEX(TableWRCalcPts[PLAYER],MATCH(TableWRVORP[[#This Row],[RK]],TableWRCalcPts[RK],0)),"")</f>
        <v>Ryan Flournoy</v>
      </c>
      <c r="Q148" s="112" t="str">
        <f>IFERROR(INDEX(TableWRCalcPts[TM],MATCH(TableWRVORP[[#This Row],[RK]],TableWRCalcPts[RK],0)),"")</f>
        <v>DAL</v>
      </c>
      <c r="R148" s="112">
        <f>IFERROR(INDEX(TableWRCalcPts[BYE],MATCH(TableWRVORP[[#This Row],[RK]],TableWRCalcPts[RK],0)),"")</f>
        <v>7</v>
      </c>
      <c r="S148" s="113">
        <f>IFERROR(INDEX(TableWRCalcPts[Custom],MATCH(TableWRVORP[[#This Row],[RK]],TableWRCalcPts[RK],0)),"")</f>
        <v>15.366760287490072</v>
      </c>
      <c r="T148" s="114">
        <f>(IFERROR((TableWRVORP[[#This Row],[FPS]]-INDEX(TableWRVORP[FPS],MATCH(WRVORPCalc,TableWRVORP[RK],0)))/INDEX(TableWRVORP[FPS],MATCH(WRVORPCalc,TableWRVORP[RK],0)),""))*1.2</f>
        <v>-1.0747437604112511</v>
      </c>
      <c r="AF148" t="s">
        <v>208</v>
      </c>
      <c r="AG148">
        <v>7</v>
      </c>
      <c r="AH148" s="83">
        <f>RANK(TableOverallMaster[[#This Row],[VORP]],TableOverallMaster[VORP])+COUNTIF($AM$2:AM148,AM148)-1</f>
        <v>18</v>
      </c>
      <c r="AI148" s="115" t="str">
        <f>IFERROR(INDEX(TableWRVORP[WIDE RECEIVER],MATCH(TableOverallMaster[[#This Row],[RK]],TableWRVORP[RK],0)),"")</f>
        <v>A.J. Brown</v>
      </c>
      <c r="AJ148" s="115" t="str">
        <f t="shared" si="2"/>
        <v>WR7</v>
      </c>
      <c r="AK148" s="115">
        <f>IFERROR(INDEX(TableWRVORP[BYE],MATCH(TableOverallMaster[[#This Row],[RK]],TableWRVORP[RK],0)),"")</f>
        <v>5</v>
      </c>
      <c r="AL148" s="116">
        <f>IFERROR(INDEX(TableWRVORP[FPS],MATCH(TableOverallMaster[[#This Row],[RK]],TableWRVORP[RK],0)),"")</f>
        <v>222.93815465263103</v>
      </c>
      <c r="AM148" s="117">
        <f>IFERROR(INDEX(TableWRVORP[VORP],MATCH(TableOverallMaster[[#This Row],[RK]],TableWRVORP[RK],0)),"")</f>
        <v>0.61719467149991614</v>
      </c>
      <c r="AO148">
        <v>147</v>
      </c>
      <c r="AP148" s="118" t="str">
        <f>IFERROR(INDEX(TableOverallMaster[OVERALL PLAYER],MATCH(TableOverallRank[[#This Row],[RK]],TableOverallMaster[OVR RK],0)),"")</f>
        <v>Adam Thielen</v>
      </c>
      <c r="AQ148" s="119" t="str">
        <f>IFERROR(INDEX(TableOverallMaster[POS RK],MATCH(TableOverallRank[[#This Row],[OVERALL PLAYER]],TableOverallMaster[OVERALL PLAYER],0)),"")</f>
        <v>WR61</v>
      </c>
      <c r="AR148" s="120">
        <f>IFERROR(INDEX(TableOverallMaster[BYE],MATCH(TableOverallRank[[#This Row],[OVERALL PLAYER]],TableOverallMaster[OVERALL PLAYER],0)),"")</f>
        <v>11</v>
      </c>
      <c r="AS148" s="119">
        <f>IFERROR(INDEX(TableOverallMaster[Custom],MATCH(TableOverallRank[[#This Row],[OVERALL PLAYER]],TableOverallMaster[OVERALL PLAYER],0)),"")</f>
        <v>136.73499170173079</v>
      </c>
      <c r="AT148" s="121">
        <f>IFERROR(INDEX(TableOverallMaster[VORP],MATCH(TableOverallRank[[#This Row],[OVERALL PLAYER]],TableOverallMaster[OVERALL PLAYER],0)),"")</f>
        <v>-8.5457275291759699E-2</v>
      </c>
      <c r="AV148">
        <v>147</v>
      </c>
      <c r="AW148" s="122" t="str">
        <f>IFERROR(INDEX(TableWRTECalcPts[PLAYER],MATCH(TableWRTERank[[#This Row],[RK]],TableWRTECalcPts[RK],0)),"")</f>
        <v>Olamide Zaccheaus</v>
      </c>
      <c r="AX148" s="122" t="str">
        <f>IFERROR(INDEX(TableWRTECalcPts[POS RK],MATCH(TableWRTERank[[#This Row],[WR and TE COMBINED]],TableWRTECalcPts[PLAYER],0)),"")</f>
        <v>WR107</v>
      </c>
      <c r="AY148" s="122">
        <f>IFERROR(INDEX(TableWRTECalcPts[BYE],MATCH(TableWRTERank[[#This Row],[RK]],TableWRTECalcPts[RK],0)),"")</f>
        <v>14</v>
      </c>
      <c r="AZ148" s="123">
        <f>IFERROR(INDEX(TableWRTECalcPts[Custom],MATCH(TableWRTERank[[#This Row],[RK]],TableWRTECalcPts[RK],0)),"")</f>
        <v>49.709316936787211</v>
      </c>
      <c r="BA148" s="174">
        <f>IFERROR((TableWRTERank[[#This Row],[FPS]]-INDEX(TableWRTERank[FPS],MATCH(WRTEVORPCalc,TableWRTERank[RK],0)))/INDEX(TableWRTERank[FPS],MATCH(WRTEVORPCalc,TableWRTERank[RK],0)),"")</f>
        <v>-0.6832249856335062</v>
      </c>
      <c r="BC148" t="s">
        <v>208</v>
      </c>
      <c r="BD148">
        <v>147</v>
      </c>
      <c r="BE148" s="83">
        <f>RANK(TableWRTEMaster[[#This Row],[VORP]],TableWRTEMaster[VORP])+COUNTIF($BJ$2:BJ148,BJ148)-1</f>
        <v>227</v>
      </c>
      <c r="BF148" s="115" t="str">
        <f>IFERROR(INDEX(TableWRVORP[WIDE RECEIVER],MATCH(TableWRTEMaster[[#This Row],[RK]],TableWRVORP[RK],0)),"")</f>
        <v>Ryan Flournoy</v>
      </c>
      <c r="BG148" s="115" t="str">
        <f>_xlfn.CONCAT(TableWRTEMaster[[#This Row],[POS]],TableWRTEMaster[[#This Row],[RK]])</f>
        <v>WR147</v>
      </c>
      <c r="BH148" s="115">
        <f>IFERROR(INDEX(TableWRVORP[BYE],MATCH(TableWRTEMaster[[#This Row],[RK]],TableWRVORP[RK],0)),"")</f>
        <v>7</v>
      </c>
      <c r="BI148" s="116">
        <f>IFERROR(INDEX(TableWRVORP[FPS],MATCH(TableWRTEMaster[[#This Row],[RK]],TableWRVORP[RK],0)),"")</f>
        <v>15.366760287490072</v>
      </c>
      <c r="BJ148" s="117">
        <f>IFERROR(INDEX(TableWRVORP[VORP],MATCH(TableWRTEMaster[[#This Row],[RK]],TableWRVORP[RK],0)),"")</f>
        <v>-1.0747437604112511</v>
      </c>
    </row>
    <row r="149" spans="8:62" x14ac:dyDescent="0.2">
      <c r="H149">
        <v>148</v>
      </c>
      <c r="I149" s="112" t="str">
        <f>IFERROR(INDEX(TableRBCalcPts[PLAYER],MATCH(TableRBVORP[[#This Row],[RK]],TableRBCalcPts[RK],0)),"")</f>
        <v/>
      </c>
      <c r="J149" s="112" t="str">
        <f>IFERROR(INDEX(TableRBCalcPts[TM],MATCH(TableRBVORP[[#This Row],[RK]],TableRBCalcPts[RK],0)),"")</f>
        <v/>
      </c>
      <c r="K149" s="112" t="str">
        <f>IFERROR(INDEX(TableRBCalcPts[BYE],MATCH(TableRBVORP[[#This Row],[RK]],TableRBCalcPts[RK],0)),"")</f>
        <v/>
      </c>
      <c r="L149" s="113" t="str">
        <f>IFERROR(INDEX(TableRBCalcPts[Custom],MATCH(TableRBVORP[[#This Row],[RK]],TableRBCalcPts[RK],0)),"")</f>
        <v/>
      </c>
      <c r="M149" s="114" t="e">
        <f>(IFERROR((TableRBVORP[[#This Row],[FPS]]-INDEX(TableRBVORP[FPS],MATCH(RBVORPCalc,TableRBVORP[RK],0)))/INDEX(TableRBVORP[FPS],MATCH(RBVORPCalc,TableRBVORP[RK],0)),""))*0.8</f>
        <v>#VALUE!</v>
      </c>
      <c r="O149">
        <v>148</v>
      </c>
      <c r="P149" s="112" t="str">
        <f>IFERROR(INDEX(TableWRCalcPts[PLAYER],MATCH(TableWRVORP[[#This Row],[RK]],TableWRCalcPts[RK],0)),"")</f>
        <v>Jalen Brooks</v>
      </c>
      <c r="Q149" s="112" t="str">
        <f>IFERROR(INDEX(TableWRCalcPts[TM],MATCH(TableWRVORP[[#This Row],[RK]],TableWRCalcPts[RK],0)),"")</f>
        <v>DAL</v>
      </c>
      <c r="R149" s="112">
        <f>IFERROR(INDEX(TableWRCalcPts[BYE],MATCH(TableWRVORP[[#This Row],[RK]],TableWRCalcPts[RK],0)),"")</f>
        <v>7</v>
      </c>
      <c r="S149" s="113">
        <f>IFERROR(INDEX(TableWRCalcPts[Custom],MATCH(TableWRVORP[[#This Row],[RK]],TableWRCalcPts[RK],0)),"")</f>
        <v>15.178797800477579</v>
      </c>
      <c r="T149" s="114">
        <f>(IFERROR((TableWRVORP[[#This Row],[FPS]]-INDEX(TableWRVORP[FPS],MATCH(WRVORPCalc,TableWRVORP[RK],0)))/INDEX(TableWRVORP[FPS],MATCH(WRVORPCalc,TableWRVORP[RK],0)),""))*1.2</f>
        <v>-1.0762758643724291</v>
      </c>
      <c r="AF149" t="s">
        <v>208</v>
      </c>
      <c r="AG149">
        <v>8</v>
      </c>
      <c r="AH149" s="83">
        <f>RANK(TableOverallMaster[[#This Row],[VORP]],TableOverallMaster[VORP])+COUNTIF($AM$2:AM149,AM149)-1</f>
        <v>23</v>
      </c>
      <c r="AI149" s="115" t="str">
        <f>IFERROR(INDEX(TableWRVORP[WIDE RECEIVER],MATCH(TableOverallMaster[[#This Row],[RK]],TableWRVORP[RK],0)),"")</f>
        <v>Cooper Kupp</v>
      </c>
      <c r="AJ149" s="115" t="str">
        <f t="shared" si="2"/>
        <v>WR8</v>
      </c>
      <c r="AK149" s="115">
        <f>IFERROR(INDEX(TableWRVORP[BYE],MATCH(TableOverallMaster[[#This Row],[RK]],TableWRVORP[RK],0)),"")</f>
        <v>6</v>
      </c>
      <c r="AL149" s="116">
        <f>IFERROR(INDEX(TableWRVORP[FPS],MATCH(TableOverallMaster[[#This Row],[RK]],TableWRVORP[RK],0)),"")</f>
        <v>212.00270106103099</v>
      </c>
      <c r="AM149" s="117">
        <f>IFERROR(INDEX(TableWRVORP[VORP],MATCH(TableOverallMaster[[#This Row],[RK]],TableWRVORP[RK],0)),"")</f>
        <v>0.52805852507377682</v>
      </c>
      <c r="AO149">
        <v>148</v>
      </c>
      <c r="AP149" s="118" t="str">
        <f>IFERROR(INDEX(TableOverallMaster[OVERALL PLAYER],MATCH(TableOverallRank[[#This Row],[RK]],TableOverallMaster[OVR RK],0)),"")</f>
        <v>Will Levis</v>
      </c>
      <c r="AQ149" s="119" t="str">
        <f>IFERROR(INDEX(TableOverallMaster[POS RK],MATCH(TableOverallRank[[#This Row],[OVERALL PLAYER]],TableOverallMaster[OVERALL PLAYER],0)),"")</f>
        <v>QB25</v>
      </c>
      <c r="AR149" s="120">
        <f>IFERROR(INDEX(TableOverallMaster[BYE],MATCH(TableOverallRank[[#This Row],[OVERALL PLAYER]],TableOverallMaster[OVERALL PLAYER],0)),"")</f>
        <v>5</v>
      </c>
      <c r="AS149" s="119">
        <f>IFERROR(INDEX(TableOverallMaster[Custom],MATCH(TableOverallRank[[#This Row],[OVERALL PLAYER]],TableOverallMaster[OVERALL PLAYER],0)),"")</f>
        <v>270.23832799722175</v>
      </c>
      <c r="AT149" s="121">
        <f>IFERROR(INDEX(TableOverallMaster[VORP],MATCH(TableOverallRank[[#This Row],[OVERALL PLAYER]],TableOverallMaster[OVERALL PLAYER],0)),"")</f>
        <v>-9.9659345116777209E-2</v>
      </c>
      <c r="AV149">
        <v>148</v>
      </c>
      <c r="AW149" s="122" t="str">
        <f>IFERROR(INDEX(TableWRTECalcPts[PLAYER],MATCH(TableWRTERank[[#This Row],[RK]],TableWRTECalcPts[RK],0)),"")</f>
        <v>Jahan Dotson</v>
      </c>
      <c r="AX149" s="122" t="str">
        <f>IFERROR(INDEX(TableWRTECalcPts[POS RK],MATCH(TableWRTERank[[#This Row],[WR and TE COMBINED]],TableWRTECalcPts[PLAYER],0)),"")</f>
        <v>WR108</v>
      </c>
      <c r="AY149" s="122">
        <f>IFERROR(INDEX(TableWRTECalcPts[BYE],MATCH(TableWRTERank[[#This Row],[RK]],TableWRTECalcPts[RK],0)),"")</f>
        <v>5</v>
      </c>
      <c r="AZ149" s="123">
        <f>IFERROR(INDEX(TableWRTECalcPts[Custom],MATCH(TableWRTERank[[#This Row],[RK]],TableWRTECalcPts[RK],0)),"")</f>
        <v>48.684252861175672</v>
      </c>
      <c r="BA149" s="174">
        <f>IFERROR((TableWRTERank[[#This Row],[FPS]]-INDEX(TableWRTERank[FPS],MATCH(WRTEVORPCalc,TableWRTERank[RK],0)))/INDEX(TableWRTERank[FPS],MATCH(WRTEVORPCalc,TableWRTERank[RK],0)),"")</f>
        <v>-0.68975725578502212</v>
      </c>
      <c r="BC149" t="s">
        <v>208</v>
      </c>
      <c r="BD149">
        <v>148</v>
      </c>
      <c r="BE149" s="83">
        <f>RANK(TableWRTEMaster[[#This Row],[VORP]],TableWRTEMaster[VORP])+COUNTIF($BJ$2:BJ149,BJ149)-1</f>
        <v>228</v>
      </c>
      <c r="BF149" s="115" t="str">
        <f>IFERROR(INDEX(TableWRVORP[WIDE RECEIVER],MATCH(TableWRTEMaster[[#This Row],[RK]],TableWRVORP[RK],0)),"")</f>
        <v>Jalen Brooks</v>
      </c>
      <c r="BG149" s="115" t="str">
        <f>_xlfn.CONCAT(TableWRTEMaster[[#This Row],[POS]],TableWRTEMaster[[#This Row],[RK]])</f>
        <v>WR148</v>
      </c>
      <c r="BH149" s="115">
        <f>IFERROR(INDEX(TableWRVORP[BYE],MATCH(TableWRTEMaster[[#This Row],[RK]],TableWRVORP[RK],0)),"")</f>
        <v>7</v>
      </c>
      <c r="BI149" s="116">
        <f>IFERROR(INDEX(TableWRVORP[FPS],MATCH(TableWRTEMaster[[#This Row],[RK]],TableWRVORP[RK],0)),"")</f>
        <v>15.178797800477579</v>
      </c>
      <c r="BJ149" s="117">
        <f>IFERROR(INDEX(TableWRVORP[VORP],MATCH(TableWRTEMaster[[#This Row],[RK]],TableWRVORP[RK],0)),"")</f>
        <v>-1.0762758643724291</v>
      </c>
    </row>
    <row r="150" spans="8:62" x14ac:dyDescent="0.2">
      <c r="H150">
        <v>149</v>
      </c>
      <c r="I150" s="112" t="str">
        <f>IFERROR(INDEX(TableRBCalcPts[PLAYER],MATCH(TableRBVORP[[#This Row],[RK]],TableRBCalcPts[RK],0)),"")</f>
        <v/>
      </c>
      <c r="J150" s="112" t="str">
        <f>IFERROR(INDEX(TableRBCalcPts[TM],MATCH(TableRBVORP[[#This Row],[RK]],TableRBCalcPts[RK],0)),"")</f>
        <v/>
      </c>
      <c r="K150" s="112" t="str">
        <f>IFERROR(INDEX(TableRBCalcPts[BYE],MATCH(TableRBVORP[[#This Row],[RK]],TableRBCalcPts[RK],0)),"")</f>
        <v/>
      </c>
      <c r="L150" s="113" t="str">
        <f>IFERROR(INDEX(TableRBCalcPts[Custom],MATCH(TableRBVORP[[#This Row],[RK]],TableRBCalcPts[RK],0)),"")</f>
        <v/>
      </c>
      <c r="M150" s="114" t="e">
        <f>(IFERROR((TableRBVORP[[#This Row],[FPS]]-INDEX(TableRBVORP[FPS],MATCH(RBVORPCalc,TableRBVORP[RK],0)))/INDEX(TableRBVORP[FPS],MATCH(RBVORPCalc,TableRBVORP[RK],0)),""))*0.8</f>
        <v>#VALUE!</v>
      </c>
      <c r="O150">
        <v>149</v>
      </c>
      <c r="P150" s="112" t="str">
        <f>IFERROR(INDEX(TableWRCalcPts[PLAYER],MATCH(TableWRVORP[[#This Row],[RK]],TableWRCalcPts[RK],0)),"")</f>
        <v>Chris Moore</v>
      </c>
      <c r="Q150" s="112" t="str">
        <f>IFERROR(INDEX(TableWRCalcPts[TM],MATCH(TableWRVORP[[#This Row],[RK]],TableWRCalcPts[RK],0)),"")</f>
        <v>ARI</v>
      </c>
      <c r="R150" s="112">
        <f>IFERROR(INDEX(TableWRCalcPts[BYE],MATCH(TableWRVORP[[#This Row],[RK]],TableWRCalcPts[RK],0)),"")</f>
        <v>11</v>
      </c>
      <c r="S150" s="113">
        <f>IFERROR(INDEX(TableWRCalcPts[Custom],MATCH(TableWRVORP[[#This Row],[RK]],TableWRCalcPts[RK],0)),"")</f>
        <v>14.964485193398426</v>
      </c>
      <c r="T150" s="114">
        <f>(IFERROR((TableWRVORP[[#This Row],[FPS]]-INDEX(TableWRVORP[FPS],MATCH(WRVORPCalc,TableWRVORP[RK],0)))/INDEX(TableWRVORP[FPS],MATCH(WRVORPCalc,TableWRVORP[RK],0)),""))*1.2</f>
        <v>-1.078022751208495</v>
      </c>
      <c r="AF150" t="s">
        <v>208</v>
      </c>
      <c r="AG150">
        <v>9</v>
      </c>
      <c r="AH150" s="83">
        <f>RANK(TableOverallMaster[[#This Row],[VORP]],TableOverallMaster[VORP])+COUNTIF($AM$2:AM150,AM150)-1</f>
        <v>27</v>
      </c>
      <c r="AI150" s="115" t="str">
        <f>IFERROR(INDEX(TableWRVORP[WIDE RECEIVER],MATCH(TableOverallMaster[[#This Row],[RK]],TableWRVORP[RK],0)),"")</f>
        <v>Mike Evans</v>
      </c>
      <c r="AJ150" s="115" t="str">
        <f t="shared" si="2"/>
        <v>WR9</v>
      </c>
      <c r="AK150" s="115">
        <f>IFERROR(INDEX(TableWRVORP[BYE],MATCH(TableOverallMaster[[#This Row],[RK]],TableWRVORP[RK],0)),"")</f>
        <v>11</v>
      </c>
      <c r="AL150" s="116">
        <f>IFERROR(INDEX(TableWRVORP[FPS],MATCH(TableOverallMaster[[#This Row],[RK]],TableWRVORP[RK],0)),"")</f>
        <v>209.61363892007614</v>
      </c>
      <c r="AM150" s="117">
        <f>IFERROR(INDEX(TableWRVORP[VORP],MATCH(TableOverallMaster[[#This Row],[RK]],TableWRVORP[RK],0)),"")</f>
        <v>0.50858500337360024</v>
      </c>
      <c r="AO150">
        <v>149</v>
      </c>
      <c r="AP150" s="118" t="str">
        <f>IFERROR(INDEX(TableOverallMaster[OVERALL PLAYER],MATCH(TableOverallRank[[#This Row],[RK]],TableOverallMaster[OVR RK],0)),"")</f>
        <v>Geno Smith</v>
      </c>
      <c r="AQ150" s="119" t="str">
        <f>IFERROR(INDEX(TableOverallMaster[POS RK],MATCH(TableOverallRank[[#This Row],[OVERALL PLAYER]],TableOverallMaster[OVERALL PLAYER],0)),"")</f>
        <v>QB26</v>
      </c>
      <c r="AR150" s="120">
        <f>IFERROR(INDEX(TableOverallMaster[BYE],MATCH(TableOverallRank[[#This Row],[OVERALL PLAYER]],TableOverallMaster[OVERALL PLAYER],0)),"")</f>
        <v>10</v>
      </c>
      <c r="AS150" s="119">
        <f>IFERROR(INDEX(TableOverallMaster[Custom],MATCH(TableOverallRank[[#This Row],[OVERALL PLAYER]],TableOverallMaster[OVERALL PLAYER],0)),"")</f>
        <v>264.83536145652607</v>
      </c>
      <c r="AT150" s="121">
        <f>IFERROR(INDEX(TableOverallMaster[VORP],MATCH(TableOverallRank[[#This Row],[OVERALL PLAYER]],TableOverallMaster[OVERALL PLAYER],0)),"")</f>
        <v>-0.11968532270883148</v>
      </c>
      <c r="AV150">
        <v>149</v>
      </c>
      <c r="AW150" s="122" t="str">
        <f>IFERROR(INDEX(TableWRTECalcPts[PLAYER],MATCH(TableWRTERank[[#This Row],[RK]],TableWRTECalcPts[RK],0)),"")</f>
        <v>Trey Palmer</v>
      </c>
      <c r="AX150" s="122" t="str">
        <f>IFERROR(INDEX(TableWRTECalcPts[POS RK],MATCH(TableWRTERank[[#This Row],[WR and TE COMBINED]],TableWRTECalcPts[PLAYER],0)),"")</f>
        <v>WR109</v>
      </c>
      <c r="AY150" s="122">
        <f>IFERROR(INDEX(TableWRTECalcPts[BYE],MATCH(TableWRTERank[[#This Row],[RK]],TableWRTECalcPts[RK],0)),"")</f>
        <v>11</v>
      </c>
      <c r="AZ150" s="123">
        <f>IFERROR(INDEX(TableWRTECalcPts[Custom],MATCH(TableWRTERank[[#This Row],[RK]],TableWRTECalcPts[RK],0)),"")</f>
        <v>48.394842908874082</v>
      </c>
      <c r="BA150" s="174">
        <f>IFERROR((TableWRTERank[[#This Row],[FPS]]-INDEX(TableWRTERank[FPS],MATCH(WRTEVORPCalc,TableWRTERank[RK],0)))/INDEX(TableWRTERank[FPS],MATCH(WRTEVORPCalc,TableWRTERank[RK],0)),"")</f>
        <v>-0.69160153463348684</v>
      </c>
      <c r="BC150" t="s">
        <v>208</v>
      </c>
      <c r="BD150">
        <v>149</v>
      </c>
      <c r="BE150" s="83">
        <f>RANK(TableWRTEMaster[[#This Row],[VORP]],TableWRTEMaster[VORP])+COUNTIF($BJ$2:BJ150,BJ150)-1</f>
        <v>229</v>
      </c>
      <c r="BF150" s="115" t="str">
        <f>IFERROR(INDEX(TableWRVORP[WIDE RECEIVER],MATCH(TableWRTEMaster[[#This Row],[RK]],TableWRVORP[RK],0)),"")</f>
        <v>Chris Moore</v>
      </c>
      <c r="BG150" s="115" t="str">
        <f>_xlfn.CONCAT(TableWRTEMaster[[#This Row],[POS]],TableWRTEMaster[[#This Row],[RK]])</f>
        <v>WR149</v>
      </c>
      <c r="BH150" s="115">
        <f>IFERROR(INDEX(TableWRVORP[BYE],MATCH(TableWRTEMaster[[#This Row],[RK]],TableWRVORP[RK],0)),"")</f>
        <v>11</v>
      </c>
      <c r="BI150" s="116">
        <f>IFERROR(INDEX(TableWRVORP[FPS],MATCH(TableWRTEMaster[[#This Row],[RK]],TableWRVORP[RK],0)),"")</f>
        <v>14.964485193398426</v>
      </c>
      <c r="BJ150" s="117">
        <f>IFERROR(INDEX(TableWRVORP[VORP],MATCH(TableWRTEMaster[[#This Row],[RK]],TableWRVORP[RK],0)),"")</f>
        <v>-1.078022751208495</v>
      </c>
    </row>
    <row r="151" spans="8:62" x14ac:dyDescent="0.2">
      <c r="H151">
        <v>150</v>
      </c>
      <c r="I151" s="112" t="str">
        <f>IFERROR(INDEX(TableRBCalcPts[PLAYER],MATCH(TableRBVORP[[#This Row],[RK]],TableRBCalcPts[RK],0)),"")</f>
        <v/>
      </c>
      <c r="J151" s="112" t="str">
        <f>IFERROR(INDEX(TableRBCalcPts[TM],MATCH(TableRBVORP[[#This Row],[RK]],TableRBCalcPts[RK],0)),"")</f>
        <v/>
      </c>
      <c r="K151" s="112" t="str">
        <f>IFERROR(INDEX(TableRBCalcPts[BYE],MATCH(TableRBVORP[[#This Row],[RK]],TableRBCalcPts[RK],0)),"")</f>
        <v/>
      </c>
      <c r="L151" s="113" t="str">
        <f>IFERROR(INDEX(TableRBCalcPts[Custom],MATCH(TableRBVORP[[#This Row],[RK]],TableRBCalcPts[RK],0)),"")</f>
        <v/>
      </c>
      <c r="M151" s="114" t="e">
        <f>(IFERROR((TableRBVORP[[#This Row],[FPS]]-INDEX(TableRBVORP[FPS],MATCH(RBVORPCalc,TableRBVORP[RK],0)))/INDEX(TableRBVORP[FPS],MATCH(RBVORPCalc,TableRBVORP[RK],0)),""))*0.8</f>
        <v>#VALUE!</v>
      </c>
      <c r="O151">
        <v>150</v>
      </c>
      <c r="P151" s="112" t="str">
        <f>IFERROR(INDEX(TableWRCalcPts[PLAYER],MATCH(TableWRVORP[[#This Row],[RK]],TableWRCalcPts[RK],0)),"")</f>
        <v>Antoine Green</v>
      </c>
      <c r="Q151" s="112" t="str">
        <f>IFERROR(INDEX(TableWRCalcPts[TM],MATCH(TableWRVORP[[#This Row],[RK]],TableWRCalcPts[RK],0)),"")</f>
        <v>DET</v>
      </c>
      <c r="R151" s="112">
        <f>IFERROR(INDEX(TableWRCalcPts[BYE],MATCH(TableWRVORP[[#This Row],[RK]],TableWRCalcPts[RK],0)),"")</f>
        <v>5</v>
      </c>
      <c r="S151" s="113">
        <f>IFERROR(INDEX(TableWRCalcPts[Custom],MATCH(TableWRVORP[[#This Row],[RK]],TableWRCalcPts[RK],0)),"")</f>
        <v>14.861922318973217</v>
      </c>
      <c r="T151" s="114">
        <f>(IFERROR((TableWRVORP[[#This Row],[FPS]]-INDEX(TableWRVORP[FPS],MATCH(WRVORPCalc,TableWRVORP[RK],0)))/INDEX(TableWRVORP[FPS],MATCH(WRVORPCalc,TableWRVORP[RK],0)),""))*1.2</f>
        <v>-1.0788587530547897</v>
      </c>
      <c r="AF151" t="s">
        <v>208</v>
      </c>
      <c r="AG151">
        <v>10</v>
      </c>
      <c r="AH151" s="83">
        <f>RANK(TableOverallMaster[[#This Row],[VORP]],TableOverallMaster[VORP])+COUNTIF($AM$2:AM151,AM151)-1</f>
        <v>29</v>
      </c>
      <c r="AI151" s="115" t="str">
        <f>IFERROR(INDEX(TableWRVORP[WIDE RECEIVER],MATCH(TableOverallMaster[[#This Row],[RK]],TableWRVORP[RK],0)),"")</f>
        <v>Deebo Samuel</v>
      </c>
      <c r="AJ151" s="115" t="str">
        <f t="shared" si="2"/>
        <v>WR10</v>
      </c>
      <c r="AK151" s="115">
        <f>IFERROR(INDEX(TableWRVORP[BYE],MATCH(TableOverallMaster[[#This Row],[RK]],TableWRVORP[RK],0)),"")</f>
        <v>9</v>
      </c>
      <c r="AL151" s="116">
        <f>IFERROR(INDEX(TableWRVORP[FPS],MATCH(TableOverallMaster[[#This Row],[RK]],TableWRVORP[RK],0)),"")</f>
        <v>209.42708203956002</v>
      </c>
      <c r="AM151" s="117">
        <f>IFERROR(INDEX(TableWRVORP[VORP],MATCH(TableOverallMaster[[#This Row],[RK]],TableWRVORP[RK],0)),"")</f>
        <v>0.5070643566734705</v>
      </c>
      <c r="AO151">
        <v>150</v>
      </c>
      <c r="AP151" s="118" t="str">
        <f>IFERROR(INDEX(TableOverallMaster[OVERALL PLAYER],MATCH(TableOverallRank[[#This Row],[RK]],TableOverallMaster[OVR RK],0)),"")</f>
        <v>Jaleel McLaughlin</v>
      </c>
      <c r="AQ151" s="119" t="str">
        <f>IFERROR(INDEX(TableOverallMaster[POS RK],MATCH(TableOverallRank[[#This Row],[OVERALL PLAYER]],TableOverallMaster[OVERALL PLAYER],0)),"")</f>
        <v>RB50</v>
      </c>
      <c r="AR151" s="120">
        <f>IFERROR(INDEX(TableOverallMaster[BYE],MATCH(TableOverallRank[[#This Row],[OVERALL PLAYER]],TableOverallMaster[OVERALL PLAYER],0)),"")</f>
        <v>14</v>
      </c>
      <c r="AS151" s="119">
        <f>IFERROR(INDEX(TableOverallMaster[Custom],MATCH(TableOverallRank[[#This Row],[OVERALL PLAYER]],TableOverallMaster[OVERALL PLAYER],0)),"")</f>
        <v>101.96850811551907</v>
      </c>
      <c r="AT151" s="121">
        <f>IFERROR(INDEX(TableOverallMaster[VORP],MATCH(TableOverallRank[[#This Row],[OVERALL PLAYER]],TableOverallMaster[OVERALL PLAYER],0)),"")</f>
        <v>-0.11971603886679064</v>
      </c>
      <c r="AV151">
        <v>150</v>
      </c>
      <c r="AW151" s="122" t="str">
        <f>IFERROR(INDEX(TableWRTECalcPts[PLAYER],MATCH(TableWRTERank[[#This Row],[RK]],TableWRTECalcPts[RK],0)),"")</f>
        <v>Mo Alie-Cox</v>
      </c>
      <c r="AX151" s="122" t="str">
        <f>IFERROR(INDEX(TableWRTECalcPts[POS RK],MATCH(TableWRTERank[[#This Row],[WR and TE COMBINED]],TableWRTECalcPts[PLAYER],0)),"")</f>
        <v>TE41</v>
      </c>
      <c r="AY151" s="122">
        <f>IFERROR(INDEX(TableWRTECalcPts[BYE],MATCH(TableWRTERank[[#This Row],[RK]],TableWRTECalcPts[RK],0)),"")</f>
        <v>14</v>
      </c>
      <c r="AZ151" s="123">
        <f>IFERROR(INDEX(TableWRTECalcPts[Custom],MATCH(TableWRTERank[[#This Row],[RK]],TableWRTECalcPts[RK],0)),"")</f>
        <v>47.760272891565855</v>
      </c>
      <c r="BA151" s="174">
        <f>IFERROR((TableWRTERank[[#This Row],[FPS]]-INDEX(TableWRTERank[FPS],MATCH(WRTEVORPCalc,TableWRTERank[RK],0)))/INDEX(TableWRTERank[FPS],MATCH(WRTEVORPCalc,TableWRTERank[RK],0)),"")</f>
        <v>-0.69564536260652021</v>
      </c>
      <c r="BC151" t="s">
        <v>208</v>
      </c>
      <c r="BD151">
        <v>150</v>
      </c>
      <c r="BE151" s="83">
        <f>RANK(TableWRTEMaster[[#This Row],[VORP]],TableWRTEMaster[VORP])+COUNTIF($BJ$2:BJ151,BJ151)-1</f>
        <v>230</v>
      </c>
      <c r="BF151" s="115" t="str">
        <f>IFERROR(INDEX(TableWRVORP[WIDE RECEIVER],MATCH(TableWRTEMaster[[#This Row],[RK]],TableWRVORP[RK],0)),"")</f>
        <v>Antoine Green</v>
      </c>
      <c r="BG151" s="115" t="str">
        <f>_xlfn.CONCAT(TableWRTEMaster[[#This Row],[POS]],TableWRTEMaster[[#This Row],[RK]])</f>
        <v>WR150</v>
      </c>
      <c r="BH151" s="115">
        <f>IFERROR(INDEX(TableWRVORP[BYE],MATCH(TableWRTEMaster[[#This Row],[RK]],TableWRVORP[RK],0)),"")</f>
        <v>5</v>
      </c>
      <c r="BI151" s="116">
        <f>IFERROR(INDEX(TableWRVORP[FPS],MATCH(TableWRTEMaster[[#This Row],[RK]],TableWRVORP[RK],0)),"")</f>
        <v>14.861922318973217</v>
      </c>
      <c r="BJ151" s="117">
        <f>IFERROR(INDEX(TableWRVORP[VORP],MATCH(TableWRTEMaster[[#This Row],[RK]],TableWRVORP[RK],0)),"")</f>
        <v>-1.0788587530547897</v>
      </c>
    </row>
    <row r="152" spans="8:62" x14ac:dyDescent="0.2">
      <c r="H152">
        <v>151</v>
      </c>
      <c r="I152" s="112" t="str">
        <f>IFERROR(INDEX(TableRBCalcPts[PLAYER],MATCH(TableRBVORP[[#This Row],[RK]],TableRBCalcPts[RK],0)),"")</f>
        <v/>
      </c>
      <c r="J152" s="112" t="str">
        <f>IFERROR(INDEX(TableRBCalcPts[TM],MATCH(TableRBVORP[[#This Row],[RK]],TableRBCalcPts[RK],0)),"")</f>
        <v/>
      </c>
      <c r="K152" s="112" t="str">
        <f>IFERROR(INDEX(TableRBCalcPts[BYE],MATCH(TableRBVORP[[#This Row],[RK]],TableRBCalcPts[RK],0)),"")</f>
        <v/>
      </c>
      <c r="L152" s="113" t="str">
        <f>IFERROR(INDEX(TableRBCalcPts[Custom],MATCH(TableRBVORP[[#This Row],[RK]],TableRBCalcPts[RK],0)),"")</f>
        <v/>
      </c>
      <c r="M152" s="114" t="e">
        <f>(IFERROR((TableRBVORP[[#This Row],[FPS]]-INDEX(TableRBVORP[FPS],MATCH(RBVORPCalc,TableRBVORP[RK],0)))/INDEX(TableRBVORP[FPS],MATCH(RBVORPCalc,TableRBVORP[RK],0)),""))*0.8</f>
        <v>#VALUE!</v>
      </c>
      <c r="O152">
        <v>151</v>
      </c>
      <c r="P152" s="112" t="str">
        <f>IFERROR(INDEX(TableWRCalcPts[PLAYER],MATCH(TableWRVORP[[#This Row],[RK]],TableWRCalcPts[RK],0)),"")</f>
        <v>Derius Davis</v>
      </c>
      <c r="Q152" s="112" t="str">
        <f>IFERROR(INDEX(TableWRCalcPts[TM],MATCH(TableWRVORP[[#This Row],[RK]],TableWRCalcPts[RK],0)),"")</f>
        <v>LAC</v>
      </c>
      <c r="R152" s="112">
        <f>IFERROR(INDEX(TableWRCalcPts[BYE],MATCH(TableWRVORP[[#This Row],[RK]],TableWRCalcPts[RK],0)),"")</f>
        <v>5</v>
      </c>
      <c r="S152" s="113">
        <f>IFERROR(INDEX(TableWRCalcPts[Custom],MATCH(TableWRVORP[[#This Row],[RK]],TableWRCalcPts[RK],0)),"")</f>
        <v>14.815385969013441</v>
      </c>
      <c r="T152" s="114">
        <f>(IFERROR((TableWRVORP[[#This Row],[FPS]]-INDEX(TableWRVORP[FPS],MATCH(WRVORPCalc,TableWRVORP[RK],0)))/INDEX(TableWRVORP[FPS],MATCH(WRVORPCalc,TableWRVORP[RK],0)),""))*1.2</f>
        <v>-1.0792380762231804</v>
      </c>
      <c r="AF152" t="s">
        <v>208</v>
      </c>
      <c r="AG152">
        <v>11</v>
      </c>
      <c r="AH152" s="83">
        <f>RANK(TableOverallMaster[[#This Row],[VORP]],TableOverallMaster[VORP])+COUNTIF($AM$2:AM152,AM152)-1</f>
        <v>31</v>
      </c>
      <c r="AI152" s="115" t="str">
        <f>IFERROR(INDEX(TableWRVORP[WIDE RECEIVER],MATCH(TableOverallMaster[[#This Row],[RK]],TableWRVORP[RK],0)),"")</f>
        <v>Nico Collins</v>
      </c>
      <c r="AJ152" s="115" t="str">
        <f t="shared" si="2"/>
        <v>WR11</v>
      </c>
      <c r="AK152" s="115">
        <f>IFERROR(INDEX(TableWRVORP[BYE],MATCH(TableOverallMaster[[#This Row],[RK]],TableWRVORP[RK],0)),"")</f>
        <v>14</v>
      </c>
      <c r="AL152" s="116">
        <f>IFERROR(INDEX(TableWRVORP[FPS],MATCH(TableOverallMaster[[#This Row],[RK]],TableWRVORP[RK],0)),"")</f>
        <v>206.51868818380797</v>
      </c>
      <c r="AM152" s="117">
        <f>IFERROR(INDEX(TableWRVORP[VORP],MATCH(TableOverallMaster[[#This Row],[RK]],TableWRVORP[RK],0)),"")</f>
        <v>0.48335770212826401</v>
      </c>
      <c r="AO152">
        <v>151</v>
      </c>
      <c r="AP152" s="118" t="str">
        <f>IFERROR(INDEX(TableOverallMaster[OVERALL PLAYER],MATCH(TableOverallRank[[#This Row],[RK]],TableOverallMaster[OVR RK],0)),"")</f>
        <v>Gabe Davis</v>
      </c>
      <c r="AQ152" s="119" t="str">
        <f>IFERROR(INDEX(TableOverallMaster[POS RK],MATCH(TableOverallRank[[#This Row],[OVERALL PLAYER]],TableOverallMaster[OVERALL PLAYER],0)),"")</f>
        <v>WR62</v>
      </c>
      <c r="AR152" s="120">
        <f>IFERROR(INDEX(TableOverallMaster[BYE],MATCH(TableOverallRank[[#This Row],[OVERALL PLAYER]],TableOverallMaster[OVERALL PLAYER],0)),"")</f>
        <v>12</v>
      </c>
      <c r="AS152" s="119">
        <f>IFERROR(INDEX(TableOverallMaster[Custom],MATCH(TableOverallRank[[#This Row],[OVERALL PLAYER]],TableOverallMaster[OVERALL PLAYER],0)),"")</f>
        <v>132.40466047325438</v>
      </c>
      <c r="AT152" s="121">
        <f>IFERROR(INDEX(TableOverallMaster[VORP],MATCH(TableOverallRank[[#This Row],[OVERALL PLAYER]],TableOverallMaster[OVERALL PLAYER],0)),"")</f>
        <v>-0.12075430574613891</v>
      </c>
      <c r="AV152">
        <v>151</v>
      </c>
      <c r="AW152" s="122" t="str">
        <f>IFERROR(INDEX(TableWRTECalcPts[PLAYER],MATCH(TableWRTERank[[#This Row],[RK]],TableWRTECalcPts[RK],0)),"")</f>
        <v>Tre Tucker</v>
      </c>
      <c r="AX152" s="122" t="str">
        <f>IFERROR(INDEX(TableWRTECalcPts[POS RK],MATCH(TableWRTERank[[#This Row],[WR and TE COMBINED]],TableWRTECalcPts[PLAYER],0)),"")</f>
        <v>WR110</v>
      </c>
      <c r="AY152" s="122">
        <f>IFERROR(INDEX(TableWRTECalcPts[BYE],MATCH(TableWRTERank[[#This Row],[RK]],TableWRTECalcPts[RK],0)),"")</f>
        <v>10</v>
      </c>
      <c r="AZ152" s="123">
        <f>IFERROR(INDEX(TableWRTECalcPts[Custom],MATCH(TableWRTERank[[#This Row],[RK]],TableWRTECalcPts[RK],0)),"")</f>
        <v>46.554964034031769</v>
      </c>
      <c r="BA152" s="174">
        <f>IFERROR((TableWRTERank[[#This Row],[FPS]]-INDEX(TableWRTERank[FPS],MATCH(WRTEVORPCalc,TableWRTERank[RK],0)))/INDEX(TableWRTERank[FPS],MATCH(WRTEVORPCalc,TableWRTERank[RK],0)),"")</f>
        <v>-0.70332625130484916</v>
      </c>
      <c r="BC152" t="s">
        <v>208</v>
      </c>
      <c r="BD152">
        <v>151</v>
      </c>
      <c r="BE152" s="83">
        <f>RANK(TableWRTEMaster[[#This Row],[VORP]],TableWRTEMaster[VORP])+COUNTIF($BJ$2:BJ152,BJ152)-1</f>
        <v>231</v>
      </c>
      <c r="BF152" s="115" t="str">
        <f>IFERROR(INDEX(TableWRVORP[WIDE RECEIVER],MATCH(TableWRTEMaster[[#This Row],[RK]],TableWRVORP[RK],0)),"")</f>
        <v>Derius Davis</v>
      </c>
      <c r="BG152" s="115" t="str">
        <f>_xlfn.CONCAT(TableWRTEMaster[[#This Row],[POS]],TableWRTEMaster[[#This Row],[RK]])</f>
        <v>WR151</v>
      </c>
      <c r="BH152" s="115">
        <f>IFERROR(INDEX(TableWRVORP[BYE],MATCH(TableWRTEMaster[[#This Row],[RK]],TableWRVORP[RK],0)),"")</f>
        <v>5</v>
      </c>
      <c r="BI152" s="116">
        <f>IFERROR(INDEX(TableWRVORP[FPS],MATCH(TableWRTEMaster[[#This Row],[RK]],TableWRVORP[RK],0)),"")</f>
        <v>14.815385969013441</v>
      </c>
      <c r="BJ152" s="117">
        <f>IFERROR(INDEX(TableWRVORP[VORP],MATCH(TableWRTEMaster[[#This Row],[RK]],TableWRVORP[RK],0)),"")</f>
        <v>-1.0792380762231804</v>
      </c>
    </row>
    <row r="153" spans="8:62" x14ac:dyDescent="0.2">
      <c r="H153">
        <v>152</v>
      </c>
      <c r="I153" s="112" t="str">
        <f>IFERROR(INDEX(TableRBCalcPts[PLAYER],MATCH(TableRBVORP[[#This Row],[RK]],TableRBCalcPts[RK],0)),"")</f>
        <v/>
      </c>
      <c r="J153" s="112" t="str">
        <f>IFERROR(INDEX(TableRBCalcPts[TM],MATCH(TableRBVORP[[#This Row],[RK]],TableRBCalcPts[RK],0)),"")</f>
        <v/>
      </c>
      <c r="K153" s="112" t="str">
        <f>IFERROR(INDEX(TableRBCalcPts[BYE],MATCH(TableRBVORP[[#This Row],[RK]],TableRBCalcPts[RK],0)),"")</f>
        <v/>
      </c>
      <c r="L153" s="113" t="str">
        <f>IFERROR(INDEX(TableRBCalcPts[Custom],MATCH(TableRBVORP[[#This Row],[RK]],TableRBCalcPts[RK],0)),"")</f>
        <v/>
      </c>
      <c r="M153" s="114" t="e">
        <f>(IFERROR((TableRBVORP[[#This Row],[FPS]]-INDEX(TableRBVORP[FPS],MATCH(RBVORPCalc,TableRBVORP[RK],0)))/INDEX(TableRBVORP[FPS],MATCH(RBVORPCalc,TableRBVORP[RK],0)),""))*0.8</f>
        <v>#VALUE!</v>
      </c>
      <c r="O153">
        <v>152</v>
      </c>
      <c r="P153" s="112" t="str">
        <f>IFERROR(INDEX(TableWRCalcPts[PLAYER],MATCH(TableWRVORP[[#This Row],[RK]],TableWRCalcPts[RK],0)),"")</f>
        <v>Trent Sherfield</v>
      </c>
      <c r="Q153" s="112" t="str">
        <f>IFERROR(INDEX(TableWRCalcPts[TM],MATCH(TableWRVORP[[#This Row],[RK]],TableWRCalcPts[RK],0)),"")</f>
        <v>MIN</v>
      </c>
      <c r="R153" s="112">
        <f>IFERROR(INDEX(TableWRCalcPts[BYE],MATCH(TableWRVORP[[#This Row],[RK]],TableWRCalcPts[RK],0)),"")</f>
        <v>6</v>
      </c>
      <c r="S153" s="113">
        <f>IFERROR(INDEX(TableWRCalcPts[Custom],MATCH(TableWRVORP[[#This Row],[RK]],TableWRCalcPts[RK],0)),"")</f>
        <v>14.679469050603101</v>
      </c>
      <c r="T153" s="114">
        <f>(IFERROR((TableWRVORP[[#This Row],[FPS]]-INDEX(TableWRVORP[FPS],MATCH(WRVORPCalc,TableWRVORP[RK],0)))/INDEX(TableWRVORP[FPS],MATCH(WRVORPCalc,TableWRVORP[RK],0)),""))*1.2</f>
        <v>-1.0803459507379165</v>
      </c>
      <c r="AF153" t="s">
        <v>208</v>
      </c>
      <c r="AG153">
        <v>12</v>
      </c>
      <c r="AH153" s="83">
        <f>RANK(TableOverallMaster[[#This Row],[VORP]],TableOverallMaster[VORP])+COUNTIF($AM$2:AM153,AM153)-1</f>
        <v>34</v>
      </c>
      <c r="AI153" s="115" t="str">
        <f>IFERROR(INDEX(TableWRVORP[WIDE RECEIVER],MATCH(TableOverallMaster[[#This Row],[RK]],TableWRVORP[RK],0)),"")</f>
        <v>Rashee Rice</v>
      </c>
      <c r="AJ153" s="115" t="str">
        <f t="shared" si="2"/>
        <v>WR12</v>
      </c>
      <c r="AK153" s="115">
        <f>IFERROR(INDEX(TableWRVORP[BYE],MATCH(TableOverallMaster[[#This Row],[RK]],TableWRVORP[RK],0)),"")</f>
        <v>6</v>
      </c>
      <c r="AL153" s="116">
        <f>IFERROR(INDEX(TableWRVORP[FPS],MATCH(TableOverallMaster[[#This Row],[RK]],TableWRVORP[RK],0)),"")</f>
        <v>205.3788457910936</v>
      </c>
      <c r="AM153" s="117">
        <f>IFERROR(INDEX(TableWRVORP[VORP],MATCH(TableOverallMaster[[#This Row],[RK]],TableWRVORP[RK],0)),"")</f>
        <v>0.4740667150129465</v>
      </c>
      <c r="AO153">
        <v>152</v>
      </c>
      <c r="AP153" s="118" t="str">
        <f>IFERROR(INDEX(TableOverallMaster[OVERALL PLAYER],MATCH(TableOverallRank[[#This Row],[RK]],TableOverallMaster[OVR RK],0)),"")</f>
        <v>Demarcus Robinson</v>
      </c>
      <c r="AQ153" s="119" t="str">
        <f>IFERROR(INDEX(TableOverallMaster[POS RK],MATCH(TableOverallRank[[#This Row],[OVERALL PLAYER]],TableOverallMaster[OVERALL PLAYER],0)),"")</f>
        <v>WR63</v>
      </c>
      <c r="AR153" s="120">
        <f>IFERROR(INDEX(TableOverallMaster[BYE],MATCH(TableOverallRank[[#This Row],[OVERALL PLAYER]],TableOverallMaster[OVERALL PLAYER],0)),"")</f>
        <v>6</v>
      </c>
      <c r="AS153" s="119">
        <f>IFERROR(INDEX(TableOverallMaster[Custom],MATCH(TableOverallRank[[#This Row],[OVERALL PLAYER]],TableOverallMaster[OVERALL PLAYER],0)),"")</f>
        <v>130.31560834928999</v>
      </c>
      <c r="AT153" s="121">
        <f>IFERROR(INDEX(TableOverallMaster[VORP],MATCH(TableOverallRank[[#This Row],[OVERALL PLAYER]],TableOverallMaster[OVERALL PLAYER],0)),"")</f>
        <v>-0.13778241111495168</v>
      </c>
      <c r="AV153">
        <v>152</v>
      </c>
      <c r="AW153" s="122" t="str">
        <f>IFERROR(INDEX(TableWRTECalcPts[PLAYER],MATCH(TableWRTERank[[#This Row],[RK]],TableWRTECalcPts[RK],0)),"")</f>
        <v>A.T. Perry</v>
      </c>
      <c r="AX153" s="122" t="str">
        <f>IFERROR(INDEX(TableWRTECalcPts[POS RK],MATCH(TableWRTERank[[#This Row],[WR and TE COMBINED]],TableWRTECalcPts[PLAYER],0)),"")</f>
        <v>WR111</v>
      </c>
      <c r="AY153" s="122">
        <f>IFERROR(INDEX(TableWRTECalcPts[BYE],MATCH(TableWRTERank[[#This Row],[RK]],TableWRTECalcPts[RK],0)),"")</f>
        <v>12</v>
      </c>
      <c r="AZ153" s="123">
        <f>IFERROR(INDEX(TableWRTECalcPts[Custom],MATCH(TableWRTERank[[#This Row],[RK]],TableWRTECalcPts[RK],0)),"")</f>
        <v>45.789766470240522</v>
      </c>
      <c r="BA153" s="174">
        <f>IFERROR((TableWRTERank[[#This Row],[FPS]]-INDEX(TableWRTERank[FPS],MATCH(WRTEVORPCalc,TableWRTERank[RK],0)))/INDEX(TableWRTERank[FPS],MATCH(WRTEVORPCalc,TableWRTERank[RK],0)),"")</f>
        <v>-0.70820250960410158</v>
      </c>
      <c r="BC153" t="s">
        <v>208</v>
      </c>
      <c r="BD153">
        <v>152</v>
      </c>
      <c r="BE153" s="83">
        <f>RANK(TableWRTEMaster[[#This Row],[VORP]],TableWRTEMaster[VORP])+COUNTIF($BJ$2:BJ153,BJ153)-1</f>
        <v>232</v>
      </c>
      <c r="BF153" s="115" t="str">
        <f>IFERROR(INDEX(TableWRVORP[WIDE RECEIVER],MATCH(TableWRTEMaster[[#This Row],[RK]],TableWRVORP[RK],0)),"")</f>
        <v>Trent Sherfield</v>
      </c>
      <c r="BG153" s="115" t="str">
        <f>_xlfn.CONCAT(TableWRTEMaster[[#This Row],[POS]],TableWRTEMaster[[#This Row],[RK]])</f>
        <v>WR152</v>
      </c>
      <c r="BH153" s="115">
        <f>IFERROR(INDEX(TableWRVORP[BYE],MATCH(TableWRTEMaster[[#This Row],[RK]],TableWRVORP[RK],0)),"")</f>
        <v>6</v>
      </c>
      <c r="BI153" s="116">
        <f>IFERROR(INDEX(TableWRVORP[FPS],MATCH(TableWRTEMaster[[#This Row],[RK]],TableWRVORP[RK],0)),"")</f>
        <v>14.679469050603101</v>
      </c>
      <c r="BJ153" s="117">
        <f>IFERROR(INDEX(TableWRVORP[VORP],MATCH(TableWRTEMaster[[#This Row],[RK]],TableWRVORP[RK],0)),"")</f>
        <v>-1.0803459507379165</v>
      </c>
    </row>
    <row r="154" spans="8:62" x14ac:dyDescent="0.2">
      <c r="H154">
        <v>153</v>
      </c>
      <c r="I154" s="112" t="str">
        <f>IFERROR(INDEX(TableRBCalcPts[PLAYER],MATCH(TableRBVORP[[#This Row],[RK]],TableRBCalcPts[RK],0)),"")</f>
        <v/>
      </c>
      <c r="J154" s="112" t="str">
        <f>IFERROR(INDEX(TableRBCalcPts[TM],MATCH(TableRBVORP[[#This Row],[RK]],TableRBCalcPts[RK],0)),"")</f>
        <v/>
      </c>
      <c r="K154" s="112" t="str">
        <f>IFERROR(INDEX(TableRBCalcPts[BYE],MATCH(TableRBVORP[[#This Row],[RK]],TableRBCalcPts[RK],0)),"")</f>
        <v/>
      </c>
      <c r="L154" s="113" t="str">
        <f>IFERROR(INDEX(TableRBCalcPts[Custom],MATCH(TableRBVORP[[#This Row],[RK]],TableRBCalcPts[RK],0)),"")</f>
        <v/>
      </c>
      <c r="M154" s="114" t="e">
        <f>(IFERROR((TableRBVORP[[#This Row],[FPS]]-INDEX(TableRBVORP[FPS],MATCH(RBVORPCalc,TableRBVORP[RK],0)))/INDEX(TableRBVORP[FPS],MATCH(RBVORPCalc,TableRBVORP[RK],0)),""))*0.8</f>
        <v>#VALUE!</v>
      </c>
      <c r="O154">
        <v>153</v>
      </c>
      <c r="P154" s="112" t="str">
        <f>IFERROR(INDEX(TableWRCalcPts[PLAYER],MATCH(TableWRVORP[[#This Row],[RK]],TableWRCalcPts[RK],0)),"")</f>
        <v>Laviska Shenault</v>
      </c>
      <c r="Q154" s="112" t="str">
        <f>IFERROR(INDEX(TableWRCalcPts[TM],MATCH(TableWRVORP[[#This Row],[RK]],TableWRCalcPts[RK],0)),"")</f>
        <v>SEA</v>
      </c>
      <c r="R154" s="112">
        <f>IFERROR(INDEX(TableWRCalcPts[BYE],MATCH(TableWRVORP[[#This Row],[RK]],TableWRCalcPts[RK],0)),"")</f>
        <v>10</v>
      </c>
      <c r="S154" s="113">
        <f>IFERROR(INDEX(TableWRCalcPts[Custom],MATCH(TableWRVORP[[#This Row],[RK]],TableWRCalcPts[RK],0)),"")</f>
        <v>14.629293969015656</v>
      </c>
      <c r="T154" s="114">
        <f>(IFERROR((TableWRVORP[[#This Row],[FPS]]-INDEX(TableWRVORP[FPS],MATCH(WRVORPCalc,TableWRVORP[RK],0)))/INDEX(TableWRVORP[FPS],MATCH(WRVORPCalc,TableWRVORP[RK],0)),""))*1.2</f>
        <v>-1.0807549336284623</v>
      </c>
      <c r="AF154" t="s">
        <v>208</v>
      </c>
      <c r="AG154">
        <v>13</v>
      </c>
      <c r="AH154" s="83">
        <f>RANK(TableOverallMaster[[#This Row],[VORP]],TableOverallMaster[VORP])+COUNTIF($AM$2:AM154,AM154)-1</f>
        <v>35</v>
      </c>
      <c r="AI154" s="115" t="str">
        <f>IFERROR(INDEX(TableWRVORP[WIDE RECEIVER],MATCH(TableOverallMaster[[#This Row],[RK]],TableWRVORP[RK],0)),"")</f>
        <v>Jaylen Waddle</v>
      </c>
      <c r="AJ154" s="115" t="str">
        <f t="shared" si="2"/>
        <v>WR13</v>
      </c>
      <c r="AK154" s="115">
        <f>IFERROR(INDEX(TableWRVORP[BYE],MATCH(TableOverallMaster[[#This Row],[RK]],TableWRVORP[RK],0)),"")</f>
        <v>6</v>
      </c>
      <c r="AL154" s="116">
        <f>IFERROR(INDEX(TableWRVORP[FPS],MATCH(TableOverallMaster[[#This Row],[RK]],TableWRVORP[RK],0)),"")</f>
        <v>205.17621580917057</v>
      </c>
      <c r="AM154" s="117">
        <f>IFERROR(INDEX(TableWRVORP[VORP],MATCH(TableOverallMaster[[#This Row],[RK]],TableWRVORP[RK],0)),"")</f>
        <v>0.47241505460510658</v>
      </c>
      <c r="AO154">
        <v>153</v>
      </c>
      <c r="AP154" s="118" t="str">
        <f>IFERROR(INDEX(TableOverallMaster[OVERALL PLAYER],MATCH(TableOverallRank[[#This Row],[RK]],TableOverallMaster[OVR RK],0)),"")</f>
        <v>Sam Darnold</v>
      </c>
      <c r="AQ154" s="119" t="str">
        <f>IFERROR(INDEX(TableOverallMaster[POS RK],MATCH(TableOverallRank[[#This Row],[OVERALL PLAYER]],TableOverallMaster[OVERALL PLAYER],0)),"")</f>
        <v>QB27</v>
      </c>
      <c r="AR154" s="120">
        <f>IFERROR(INDEX(TableOverallMaster[BYE],MATCH(TableOverallRank[[#This Row],[OVERALL PLAYER]],TableOverallMaster[OVERALL PLAYER],0)),"")</f>
        <v>6</v>
      </c>
      <c r="AS154" s="119">
        <f>IFERROR(INDEX(TableOverallMaster[Custom],MATCH(TableOverallRank[[#This Row],[OVERALL PLAYER]],TableOverallMaster[OVERALL PLAYER],0)),"")</f>
        <v>258.71409293844147</v>
      </c>
      <c r="AT154" s="121">
        <f>IFERROR(INDEX(TableOverallMaster[VORP],MATCH(TableOverallRank[[#This Row],[OVERALL PLAYER]],TableOverallMaster[OVERALL PLAYER],0)),"")</f>
        <v>-0.13837503908590124</v>
      </c>
      <c r="AV154">
        <v>153</v>
      </c>
      <c r="AW154" s="122" t="str">
        <f>IFERROR(INDEX(TableWRTECalcPts[PLAYER],MATCH(TableWRTERank[[#This Row],[RK]],TableWRTECalcPts[RK],0)),"")</f>
        <v>Darnell Washington</v>
      </c>
      <c r="AX154" s="122" t="str">
        <f>IFERROR(INDEX(TableWRTECalcPts[POS RK],MATCH(TableWRTERank[[#This Row],[WR and TE COMBINED]],TableWRTECalcPts[PLAYER],0)),"")</f>
        <v>TE42</v>
      </c>
      <c r="AY154" s="122">
        <f>IFERROR(INDEX(TableWRTECalcPts[BYE],MATCH(TableWRTERank[[#This Row],[RK]],TableWRTECalcPts[RK],0)),"")</f>
        <v>9</v>
      </c>
      <c r="AZ154" s="123">
        <f>IFERROR(INDEX(TableWRTECalcPts[Custom],MATCH(TableWRTERank[[#This Row],[RK]],TableWRTECalcPts[RK],0)),"")</f>
        <v>45.128004722701178</v>
      </c>
      <c r="BA154" s="174">
        <f>IFERROR((TableWRTERank[[#This Row],[FPS]]-INDEX(TableWRTERank[FPS],MATCH(WRTEVORPCalc,TableWRTERank[RK],0)))/INDEX(TableWRTERank[FPS],MATCH(WRTEVORPCalc,TableWRTERank[RK],0)),"")</f>
        <v>-0.71241961818659427</v>
      </c>
      <c r="BC154" t="s">
        <v>208</v>
      </c>
      <c r="BD154">
        <v>153</v>
      </c>
      <c r="BE154" s="83">
        <f>RANK(TableWRTEMaster[[#This Row],[VORP]],TableWRTEMaster[VORP])+COUNTIF($BJ$2:BJ154,BJ154)-1</f>
        <v>233</v>
      </c>
      <c r="BF154" s="115" t="str">
        <f>IFERROR(INDEX(TableWRVORP[WIDE RECEIVER],MATCH(TableWRTEMaster[[#This Row],[RK]],TableWRVORP[RK],0)),"")</f>
        <v>Laviska Shenault</v>
      </c>
      <c r="BG154" s="115" t="str">
        <f>_xlfn.CONCAT(TableWRTEMaster[[#This Row],[POS]],TableWRTEMaster[[#This Row],[RK]])</f>
        <v>WR153</v>
      </c>
      <c r="BH154" s="115">
        <f>IFERROR(INDEX(TableWRVORP[BYE],MATCH(TableWRTEMaster[[#This Row],[RK]],TableWRVORP[RK],0)),"")</f>
        <v>10</v>
      </c>
      <c r="BI154" s="116">
        <f>IFERROR(INDEX(TableWRVORP[FPS],MATCH(TableWRTEMaster[[#This Row],[RK]],TableWRVORP[RK],0)),"")</f>
        <v>14.629293969015656</v>
      </c>
      <c r="BJ154" s="117">
        <f>IFERROR(INDEX(TableWRVORP[VORP],MATCH(TableWRTEMaster[[#This Row],[RK]],TableWRVORP[RK],0)),"")</f>
        <v>-1.0807549336284623</v>
      </c>
    </row>
    <row r="155" spans="8:62" x14ac:dyDescent="0.2">
      <c r="H155">
        <v>154</v>
      </c>
      <c r="I155" s="112" t="str">
        <f>IFERROR(INDEX(TableRBCalcPts[PLAYER],MATCH(TableRBVORP[[#This Row],[RK]],TableRBCalcPts[RK],0)),"")</f>
        <v/>
      </c>
      <c r="J155" s="112" t="str">
        <f>IFERROR(INDEX(TableRBCalcPts[TM],MATCH(TableRBVORP[[#This Row],[RK]],TableRBCalcPts[RK],0)),"")</f>
        <v/>
      </c>
      <c r="K155" s="112" t="str">
        <f>IFERROR(INDEX(TableRBCalcPts[BYE],MATCH(TableRBVORP[[#This Row],[RK]],TableRBCalcPts[RK],0)),"")</f>
        <v/>
      </c>
      <c r="L155" s="113" t="str">
        <f>IFERROR(INDEX(TableRBCalcPts[Custom],MATCH(TableRBVORP[[#This Row],[RK]],TableRBCalcPts[RK],0)),"")</f>
        <v/>
      </c>
      <c r="M155" s="114" t="e">
        <f>(IFERROR((TableRBVORP[[#This Row],[FPS]]-INDEX(TableRBVORP[FPS],MATCH(RBVORPCalc,TableRBVORP[RK],0)))/INDEX(TableRBVORP[FPS],MATCH(RBVORPCalc,TableRBVORP[RK],0)),""))*0.8</f>
        <v>#VALUE!</v>
      </c>
      <c r="O155">
        <v>154</v>
      </c>
      <c r="P155" s="112" t="str">
        <f>IFERROR(INDEX(TableWRCalcPts[PLAYER],MATCH(TableWRVORP[[#This Row],[RK]],TableWRCalcPts[RK],0)),"")</f>
        <v>Velus Jones</v>
      </c>
      <c r="Q155" s="112" t="str">
        <f>IFERROR(INDEX(TableWRCalcPts[TM],MATCH(TableWRVORP[[#This Row],[RK]],TableWRCalcPts[RK],0)),"")</f>
        <v>CHI</v>
      </c>
      <c r="R155" s="112">
        <f>IFERROR(INDEX(TableWRCalcPts[BYE],MATCH(TableWRVORP[[#This Row],[RK]],TableWRCalcPts[RK],0)),"")</f>
        <v>7</v>
      </c>
      <c r="S155" s="113">
        <f>IFERROR(INDEX(TableWRCalcPts[Custom],MATCH(TableWRVORP[[#This Row],[RK]],TableWRCalcPts[RK],0)),"")</f>
        <v>14.476907333664046</v>
      </c>
      <c r="T155" s="114">
        <f>(IFERROR((TableWRVORP[[#This Row],[FPS]]-INDEX(TableWRVORP[FPS],MATCH(WRVORPCalc,TableWRVORP[RK],0)))/INDEX(TableWRVORP[FPS],MATCH(WRVORPCalc,TableWRVORP[RK],0)),""))*1.2</f>
        <v>-1.0819970547099802</v>
      </c>
      <c r="AF155" t="s">
        <v>208</v>
      </c>
      <c r="AG155">
        <v>14</v>
      </c>
      <c r="AH155" s="83">
        <f>RANK(TableOverallMaster[[#This Row],[VORP]],TableOverallMaster[VORP])+COUNTIF($AM$2:AM155,AM155)-1</f>
        <v>36</v>
      </c>
      <c r="AI155" s="115" t="str">
        <f>IFERROR(INDEX(TableWRVORP[WIDE RECEIVER],MATCH(TableOverallMaster[[#This Row],[RK]],TableWRVORP[RK],0)),"")</f>
        <v>Brandon Aiyuk</v>
      </c>
      <c r="AJ155" s="115" t="str">
        <f t="shared" si="2"/>
        <v>WR14</v>
      </c>
      <c r="AK155" s="115">
        <f>IFERROR(INDEX(TableWRVORP[BYE],MATCH(TableOverallMaster[[#This Row],[RK]],TableWRVORP[RK],0)),"")</f>
        <v>9</v>
      </c>
      <c r="AL155" s="116">
        <f>IFERROR(INDEX(TableWRVORP[FPS],MATCH(TableOverallMaster[[#This Row],[RK]],TableWRVORP[RK],0)),"")</f>
        <v>204.932700677376</v>
      </c>
      <c r="AM155" s="117">
        <f>IFERROR(INDEX(TableWRVORP[VORP],MATCH(TableOverallMaster[[#This Row],[RK]],TableWRVORP[RK],0)),"")</f>
        <v>0.47043013461410638</v>
      </c>
      <c r="AO155">
        <v>154</v>
      </c>
      <c r="AP155" s="118" t="str">
        <f>IFERROR(INDEX(TableOverallMaster[OVERALL PLAYER],MATCH(TableOverallRank[[#This Row],[RK]],TableOverallMaster[OVR RK],0)),"")</f>
        <v>Jordan Mason</v>
      </c>
      <c r="AQ155" s="119" t="str">
        <f>IFERROR(INDEX(TableOverallMaster[POS RK],MATCH(TableOverallRank[[#This Row],[OVERALL PLAYER]],TableOverallMaster[OVERALL PLAYER],0)),"")</f>
        <v>RB51</v>
      </c>
      <c r="AR155" s="120">
        <f>IFERROR(INDEX(TableOverallMaster[BYE],MATCH(TableOverallRank[[#This Row],[OVERALL PLAYER]],TableOverallMaster[OVERALL PLAYER],0)),"")</f>
        <v>9</v>
      </c>
      <c r="AS155" s="119">
        <f>IFERROR(INDEX(TableOverallMaster[Custom],MATCH(TableOverallRank[[#This Row],[OVERALL PLAYER]],TableOverallMaster[OVERALL PLAYER],0)),"")</f>
        <v>98.495229171198076</v>
      </c>
      <c r="AT155" s="121">
        <f>IFERROR(INDEX(TableOverallMaster[VORP],MATCH(TableOverallRank[[#This Row],[OVERALL PLAYER]],TableOverallMaster[OVERALL PLAYER],0)),"")</f>
        <v>-0.14288805542396582</v>
      </c>
      <c r="AV155">
        <v>154</v>
      </c>
      <c r="AW155" s="122" t="str">
        <f>IFERROR(INDEX(TableWRTECalcPts[PLAYER],MATCH(TableWRTERank[[#This Row],[RK]],TableWRTECalcPts[RK],0)),"")</f>
        <v>Odell Beckham</v>
      </c>
      <c r="AX155" s="122" t="str">
        <f>IFERROR(INDEX(TableWRTECalcPts[POS RK],MATCH(TableWRTERank[[#This Row],[WR and TE COMBINED]],TableWRTECalcPts[PLAYER],0)),"")</f>
        <v>WR112</v>
      </c>
      <c r="AY155" s="122">
        <f>IFERROR(INDEX(TableWRTECalcPts[BYE],MATCH(TableWRTERank[[#This Row],[RK]],TableWRTECalcPts[RK],0)),"")</f>
        <v>6</v>
      </c>
      <c r="AZ155" s="123">
        <f>IFERROR(INDEX(TableWRTECalcPts[Custom],MATCH(TableWRTERank[[#This Row],[RK]],TableWRTECalcPts[RK],0)),"")</f>
        <v>43.144873904039258</v>
      </c>
      <c r="BA155" s="174">
        <f>IFERROR((TableWRTERank[[#This Row],[FPS]]-INDEX(TableWRTERank[FPS],MATCH(WRTEVORPCalc,TableWRTERank[RK],0)))/INDEX(TableWRTERank[FPS],MATCH(WRTEVORPCalc,TableWRTERank[RK],0)),"")</f>
        <v>-0.72505721476373342</v>
      </c>
      <c r="BC155" t="s">
        <v>208</v>
      </c>
      <c r="BD155">
        <v>154</v>
      </c>
      <c r="BE155" s="83">
        <f>RANK(TableWRTEMaster[[#This Row],[VORP]],TableWRTEMaster[VORP])+COUNTIF($BJ$2:BJ155,BJ155)-1</f>
        <v>234</v>
      </c>
      <c r="BF155" s="115" t="str">
        <f>IFERROR(INDEX(TableWRVORP[WIDE RECEIVER],MATCH(TableWRTEMaster[[#This Row],[RK]],TableWRVORP[RK],0)),"")</f>
        <v>Velus Jones</v>
      </c>
      <c r="BG155" s="115" t="str">
        <f>_xlfn.CONCAT(TableWRTEMaster[[#This Row],[POS]],TableWRTEMaster[[#This Row],[RK]])</f>
        <v>WR154</v>
      </c>
      <c r="BH155" s="115">
        <f>IFERROR(INDEX(TableWRVORP[BYE],MATCH(TableWRTEMaster[[#This Row],[RK]],TableWRVORP[RK],0)),"")</f>
        <v>7</v>
      </c>
      <c r="BI155" s="116">
        <f>IFERROR(INDEX(TableWRVORP[FPS],MATCH(TableWRTEMaster[[#This Row],[RK]],TableWRVORP[RK],0)),"")</f>
        <v>14.476907333664046</v>
      </c>
      <c r="BJ155" s="117">
        <f>IFERROR(INDEX(TableWRVORP[VORP],MATCH(TableWRTEMaster[[#This Row],[RK]],TableWRVORP[RK],0)),"")</f>
        <v>-1.0819970547099802</v>
      </c>
    </row>
    <row r="156" spans="8:62" x14ac:dyDescent="0.2">
      <c r="H156">
        <v>155</v>
      </c>
      <c r="I156" s="112" t="str">
        <f>IFERROR(INDEX(TableRBCalcPts[PLAYER],MATCH(TableRBVORP[[#This Row],[RK]],TableRBCalcPts[RK],0)),"")</f>
        <v/>
      </c>
      <c r="J156" s="112" t="str">
        <f>IFERROR(INDEX(TableRBCalcPts[TM],MATCH(TableRBVORP[[#This Row],[RK]],TableRBCalcPts[RK],0)),"")</f>
        <v/>
      </c>
      <c r="K156" s="112" t="str">
        <f>IFERROR(INDEX(TableRBCalcPts[BYE],MATCH(TableRBVORP[[#This Row],[RK]],TableRBCalcPts[RK],0)),"")</f>
        <v/>
      </c>
      <c r="L156" s="113" t="str">
        <f>IFERROR(INDEX(TableRBCalcPts[Custom],MATCH(TableRBVORP[[#This Row],[RK]],TableRBCalcPts[RK],0)),"")</f>
        <v/>
      </c>
      <c r="M156" s="114" t="e">
        <f>(IFERROR((TableRBVORP[[#This Row],[FPS]]-INDEX(TableRBVORP[FPS],MATCH(RBVORPCalc,TableRBVORP[RK],0)))/INDEX(TableRBVORP[FPS],MATCH(RBVORPCalc,TableRBVORP[RK],0)),""))*0.8</f>
        <v>#VALUE!</v>
      </c>
      <c r="O156">
        <v>155</v>
      </c>
      <c r="P156" s="112" t="str">
        <f>IFERROR(INDEX(TableWRCalcPts[PLAYER],MATCH(TableWRVORP[[#This Row],[RK]],TableWRCalcPts[RK],0)),"")</f>
        <v>Xavier Hutchinson</v>
      </c>
      <c r="Q156" s="112" t="str">
        <f>IFERROR(INDEX(TableWRCalcPts[TM],MATCH(TableWRVORP[[#This Row],[RK]],TableWRCalcPts[RK],0)),"")</f>
        <v>HOU</v>
      </c>
      <c r="R156" s="112">
        <f>IFERROR(INDEX(TableWRCalcPts[BYE],MATCH(TableWRVORP[[#This Row],[RK]],TableWRCalcPts[RK],0)),"")</f>
        <v>14</v>
      </c>
      <c r="S156" s="113">
        <f>IFERROR(INDEX(TableWRCalcPts[Custom],MATCH(TableWRVORP[[#This Row],[RK]],TableWRCalcPts[RK],0)),"")</f>
        <v>14.406193515022382</v>
      </c>
      <c r="T156" s="114">
        <f>(IFERROR((TableWRVORP[[#This Row],[FPS]]-INDEX(TableWRVORP[FPS],MATCH(WRVORPCalc,TableWRVORP[RK],0)))/INDEX(TableWRVORP[FPS],MATCH(WRVORPCalc,TableWRVORP[RK],0)),""))*1.2</f>
        <v>-1.0825734512206504</v>
      </c>
      <c r="AF156" t="s">
        <v>208</v>
      </c>
      <c r="AG156">
        <v>15</v>
      </c>
      <c r="AH156" s="83">
        <f>RANK(TableOverallMaster[[#This Row],[VORP]],TableOverallMaster[VORP])+COUNTIF($AM$2:AM156,AM156)-1</f>
        <v>37</v>
      </c>
      <c r="AI156" s="115" t="str">
        <f>IFERROR(INDEX(TableWRVORP[WIDE RECEIVER],MATCH(TableOverallMaster[[#This Row],[RK]],TableWRVORP[RK],0)),"")</f>
        <v>Tee Higgins</v>
      </c>
      <c r="AJ156" s="115" t="str">
        <f t="shared" si="2"/>
        <v>WR15</v>
      </c>
      <c r="AK156" s="115">
        <f>IFERROR(INDEX(TableWRVORP[BYE],MATCH(TableOverallMaster[[#This Row],[RK]],TableWRVORP[RK],0)),"")</f>
        <v>12</v>
      </c>
      <c r="AL156" s="116">
        <f>IFERROR(INDEX(TableWRVORP[FPS],MATCH(TableOverallMaster[[#This Row],[RK]],TableWRVORP[RK],0)),"")</f>
        <v>204.30798894549793</v>
      </c>
      <c r="AM156" s="117">
        <f>IFERROR(INDEX(TableWRVORP[VORP],MATCH(TableOverallMaster[[#This Row],[RK]],TableWRVORP[RK],0)),"")</f>
        <v>0.46533803706731741</v>
      </c>
      <c r="AO156">
        <v>155</v>
      </c>
      <c r="AP156" s="118" t="str">
        <f>IFERROR(INDEX(TableOverallMaster[OVERALL PLAYER],MATCH(TableOverallRank[[#This Row],[RK]],TableOverallMaster[OVR RK],0)),"")</f>
        <v>Derek Carr</v>
      </c>
      <c r="AQ156" s="119" t="str">
        <f>IFERROR(INDEX(TableOverallMaster[POS RK],MATCH(TableOverallRank[[#This Row],[OVERALL PLAYER]],TableOverallMaster[OVERALL PLAYER],0)),"")</f>
        <v>QB28</v>
      </c>
      <c r="AR156" s="120">
        <f>IFERROR(INDEX(TableOverallMaster[BYE],MATCH(TableOverallRank[[#This Row],[OVERALL PLAYER]],TableOverallMaster[OVERALL PLAYER],0)),"")</f>
        <v>12</v>
      </c>
      <c r="AS156" s="119">
        <f>IFERROR(INDEX(TableOverallMaster[Custom],MATCH(TableOverallRank[[#This Row],[OVERALL PLAYER]],TableOverallMaster[OVERALL PLAYER],0)),"")</f>
        <v>256.00216389991385</v>
      </c>
      <c r="AT156" s="121">
        <f>IFERROR(INDEX(TableOverallMaster[VORP],MATCH(TableOverallRank[[#This Row],[OVERALL PLAYER]],TableOverallMaster[OVERALL PLAYER],0)),"")</f>
        <v>-0.14669895703859426</v>
      </c>
      <c r="AV156">
        <v>155</v>
      </c>
      <c r="AW156" s="122" t="str">
        <f>IFERROR(INDEX(TableWRTECalcPts[PLAYER],MATCH(TableWRTERank[[#This Row],[RK]],TableWRTECalcPts[RK],0)),"")</f>
        <v>Josh Oliver</v>
      </c>
      <c r="AX156" s="122" t="str">
        <f>IFERROR(INDEX(TableWRTECalcPts[POS RK],MATCH(TableWRTERank[[#This Row],[WR and TE COMBINED]],TableWRTECalcPts[PLAYER],0)),"")</f>
        <v>TE43</v>
      </c>
      <c r="AY156" s="122">
        <f>IFERROR(INDEX(TableWRTECalcPts[BYE],MATCH(TableWRTERank[[#This Row],[RK]],TableWRTECalcPts[RK],0)),"")</f>
        <v>6</v>
      </c>
      <c r="AZ156" s="123">
        <f>IFERROR(INDEX(TableWRTECalcPts[Custom],MATCH(TableWRTERank[[#This Row],[RK]],TableWRTECalcPts[RK],0)),"")</f>
        <v>43.132444729764075</v>
      </c>
      <c r="BA156" s="174">
        <f>IFERROR((TableWRTERank[[#This Row],[FPS]]-INDEX(TableWRTERank[FPS],MATCH(WRTEVORPCalc,TableWRTERank[RK],0)))/INDEX(TableWRTERank[FPS],MATCH(WRTEVORPCalc,TableWRTERank[RK],0)),"")</f>
        <v>-0.72513642027493752</v>
      </c>
      <c r="BC156" t="s">
        <v>208</v>
      </c>
      <c r="BD156">
        <v>155</v>
      </c>
      <c r="BE156" s="83">
        <f>RANK(TableWRTEMaster[[#This Row],[VORP]],TableWRTEMaster[VORP])+COUNTIF($BJ$2:BJ156,BJ156)-1</f>
        <v>235</v>
      </c>
      <c r="BF156" s="115" t="str">
        <f>IFERROR(INDEX(TableWRVORP[WIDE RECEIVER],MATCH(TableWRTEMaster[[#This Row],[RK]],TableWRVORP[RK],0)),"")</f>
        <v>Xavier Hutchinson</v>
      </c>
      <c r="BG156" s="115" t="str">
        <f>_xlfn.CONCAT(TableWRTEMaster[[#This Row],[POS]],TableWRTEMaster[[#This Row],[RK]])</f>
        <v>WR155</v>
      </c>
      <c r="BH156" s="115">
        <f>IFERROR(INDEX(TableWRVORP[BYE],MATCH(TableWRTEMaster[[#This Row],[RK]],TableWRVORP[RK],0)),"")</f>
        <v>14</v>
      </c>
      <c r="BI156" s="116">
        <f>IFERROR(INDEX(TableWRVORP[FPS],MATCH(TableWRTEMaster[[#This Row],[RK]],TableWRVORP[RK],0)),"")</f>
        <v>14.406193515022382</v>
      </c>
      <c r="BJ156" s="117">
        <f>IFERROR(INDEX(TableWRVORP[VORP],MATCH(TableWRTEMaster[[#This Row],[RK]],TableWRVORP[RK],0)),"")</f>
        <v>-1.0825734512206504</v>
      </c>
    </row>
    <row r="157" spans="8:62" x14ac:dyDescent="0.2">
      <c r="H157">
        <v>156</v>
      </c>
      <c r="I157" s="112" t="str">
        <f>IFERROR(INDEX(TableRBCalcPts[PLAYER],MATCH(TableRBVORP[[#This Row],[RK]],TableRBCalcPts[RK],0)),"")</f>
        <v/>
      </c>
      <c r="J157" s="112" t="str">
        <f>IFERROR(INDEX(TableRBCalcPts[TM],MATCH(TableRBVORP[[#This Row],[RK]],TableRBCalcPts[RK],0)),"")</f>
        <v/>
      </c>
      <c r="K157" s="112" t="str">
        <f>IFERROR(INDEX(TableRBCalcPts[BYE],MATCH(TableRBVORP[[#This Row],[RK]],TableRBCalcPts[RK],0)),"")</f>
        <v/>
      </c>
      <c r="L157" s="113" t="str">
        <f>IFERROR(INDEX(TableRBCalcPts[Custom],MATCH(TableRBVORP[[#This Row],[RK]],TableRBCalcPts[RK],0)),"")</f>
        <v/>
      </c>
      <c r="M157" s="114" t="e">
        <f>(IFERROR((TableRBVORP[[#This Row],[FPS]]-INDEX(TableRBVORP[FPS],MATCH(RBVORPCalc,TableRBVORP[RK],0)))/INDEX(TableRBVORP[FPS],MATCH(RBVORPCalc,TableRBVORP[RK],0)),""))*0.8</f>
        <v>#VALUE!</v>
      </c>
      <c r="O157">
        <v>156</v>
      </c>
      <c r="P157" s="112" t="str">
        <f>IFERROR(INDEX(TableWRCalcPts[PLAYER],MATCH(TableWRVORP[[#This Row],[RK]],TableWRCalcPts[RK],0)),"")</f>
        <v>Jamison Crowder</v>
      </c>
      <c r="Q157" s="112" t="str">
        <f>IFERROR(INDEX(TableWRCalcPts[TM],MATCH(TableWRVORP[[#This Row],[RK]],TableWRCalcPts[RK],0)),"")</f>
        <v>WSH</v>
      </c>
      <c r="R157" s="112">
        <f>IFERROR(INDEX(TableWRCalcPts[BYE],MATCH(TableWRVORP[[#This Row],[RK]],TableWRCalcPts[RK],0)),"")</f>
        <v>14</v>
      </c>
      <c r="S157" s="113">
        <f>IFERROR(INDEX(TableWRCalcPts[Custom],MATCH(TableWRVORP[[#This Row],[RK]],TableWRCalcPts[RK],0)),"")</f>
        <v>13.927226789448</v>
      </c>
      <c r="T157" s="114">
        <f>(IFERROR((TableWRVORP[[#This Row],[FPS]]-INDEX(TableWRVORP[FPS],MATCH(WRVORPCalc,TableWRVORP[RK],0)))/INDEX(TableWRVORP[FPS],MATCH(WRVORPCalc,TableWRVORP[RK],0)),""))*1.2</f>
        <v>-1.0864775643721014</v>
      </c>
      <c r="AF157" t="s">
        <v>208</v>
      </c>
      <c r="AG157">
        <v>16</v>
      </c>
      <c r="AH157" s="83">
        <f>RANK(TableOverallMaster[[#This Row],[VORP]],TableOverallMaster[VORP])+COUNTIF($AM$2:AM157,AM157)-1</f>
        <v>39</v>
      </c>
      <c r="AI157" s="115" t="str">
        <f>IFERROR(INDEX(TableWRVORP[WIDE RECEIVER],MATCH(TableOverallMaster[[#This Row],[RK]],TableWRVORP[RK],0)),"")</f>
        <v>DeVonta Smith</v>
      </c>
      <c r="AJ157" s="115" t="str">
        <f t="shared" si="2"/>
        <v>WR16</v>
      </c>
      <c r="AK157" s="115">
        <f>IFERROR(INDEX(TableWRVORP[BYE],MATCH(TableOverallMaster[[#This Row],[RK]],TableWRVORP[RK],0)),"")</f>
        <v>5</v>
      </c>
      <c r="AL157" s="116">
        <f>IFERROR(INDEX(TableWRVORP[FPS],MATCH(TableOverallMaster[[#This Row],[RK]],TableWRVORP[RK],0)),"")</f>
        <v>200.62046472114179</v>
      </c>
      <c r="AM157" s="117">
        <f>IFERROR(INDEX(TableWRVORP[VORP],MATCH(TableOverallMaster[[#This Row],[RK]],TableWRVORP[RK],0)),"")</f>
        <v>0.43528060081569037</v>
      </c>
      <c r="AO157">
        <v>156</v>
      </c>
      <c r="AP157" s="118" t="str">
        <f>IFERROR(INDEX(TableOverallMaster[OVERALL PLAYER],MATCH(TableOverallRank[[#This Row],[RK]],TableOverallMaster[OVR RK],0)),"")</f>
        <v>MarShawn Lloyd</v>
      </c>
      <c r="AQ157" s="119" t="str">
        <f>IFERROR(INDEX(TableOverallMaster[POS RK],MATCH(TableOverallRank[[#This Row],[OVERALL PLAYER]],TableOverallMaster[OVERALL PLAYER],0)),"")</f>
        <v>RB52</v>
      </c>
      <c r="AR157" s="120">
        <f>IFERROR(INDEX(TableOverallMaster[BYE],MATCH(TableOverallRank[[#This Row],[OVERALL PLAYER]],TableOverallMaster[OVERALL PLAYER],0)),"")</f>
        <v>10</v>
      </c>
      <c r="AS157" s="119">
        <f>IFERROR(INDEX(TableOverallMaster[Custom],MATCH(TableOverallRank[[#This Row],[OVERALL PLAYER]],TableOverallMaster[OVERALL PLAYER],0)),"")</f>
        <v>96.388395498843764</v>
      </c>
      <c r="AT157" s="121">
        <f>IFERROR(INDEX(TableOverallMaster[VORP],MATCH(TableOverallRank[[#This Row],[OVERALL PLAYER]],TableOverallMaster[OVERALL PLAYER],0)),"")</f>
        <v>-0.15694381815469349</v>
      </c>
      <c r="AV157">
        <v>156</v>
      </c>
      <c r="AW157" s="122" t="str">
        <f>IFERROR(INDEX(TableWRTECalcPts[PLAYER],MATCH(TableWRTERank[[#This Row],[RK]],TableWRTECalcPts[RK],0)),"")</f>
        <v>Cedric Tillman</v>
      </c>
      <c r="AX157" s="122" t="str">
        <f>IFERROR(INDEX(TableWRTECalcPts[POS RK],MATCH(TableWRTERank[[#This Row],[WR and TE COMBINED]],TableWRTECalcPts[PLAYER],0)),"")</f>
        <v>WR113</v>
      </c>
      <c r="AY157" s="122">
        <f>IFERROR(INDEX(TableWRTECalcPts[BYE],MATCH(TableWRTERank[[#This Row],[RK]],TableWRTECalcPts[RK],0)),"")</f>
        <v>10</v>
      </c>
      <c r="AZ157" s="123">
        <f>IFERROR(INDEX(TableWRTECalcPts[Custom],MATCH(TableWRTERank[[#This Row],[RK]],TableWRTECalcPts[RK],0)),"")</f>
        <v>42.801082616668182</v>
      </c>
      <c r="BA157" s="174">
        <f>IFERROR((TableWRTERank[[#This Row],[FPS]]-INDEX(TableWRTERank[FPS],MATCH(WRTEVORPCalc,TableWRTERank[RK],0)))/INDEX(TableWRTERank[FPS],MATCH(WRTEVORPCalc,TableWRTERank[RK],0)),"")</f>
        <v>-0.72724804128694909</v>
      </c>
      <c r="BC157" t="s">
        <v>208</v>
      </c>
      <c r="BD157">
        <v>156</v>
      </c>
      <c r="BE157" s="83">
        <f>RANK(TableWRTEMaster[[#This Row],[VORP]],TableWRTEMaster[VORP])+COUNTIF($BJ$2:BJ157,BJ157)-1</f>
        <v>236</v>
      </c>
      <c r="BF157" s="115" t="str">
        <f>IFERROR(INDEX(TableWRVORP[WIDE RECEIVER],MATCH(TableWRTEMaster[[#This Row],[RK]],TableWRVORP[RK],0)),"")</f>
        <v>Jamison Crowder</v>
      </c>
      <c r="BG157" s="115" t="str">
        <f>_xlfn.CONCAT(TableWRTEMaster[[#This Row],[POS]],TableWRTEMaster[[#This Row],[RK]])</f>
        <v>WR156</v>
      </c>
      <c r="BH157" s="115">
        <f>IFERROR(INDEX(TableWRVORP[BYE],MATCH(TableWRTEMaster[[#This Row],[RK]],TableWRVORP[RK],0)),"")</f>
        <v>14</v>
      </c>
      <c r="BI157" s="116">
        <f>IFERROR(INDEX(TableWRVORP[FPS],MATCH(TableWRTEMaster[[#This Row],[RK]],TableWRVORP[RK],0)),"")</f>
        <v>13.927226789448</v>
      </c>
      <c r="BJ157" s="117">
        <f>IFERROR(INDEX(TableWRVORP[VORP],MATCH(TableWRTEMaster[[#This Row],[RK]],TableWRVORP[RK],0)),"")</f>
        <v>-1.0864775643721014</v>
      </c>
    </row>
    <row r="158" spans="8:62" x14ac:dyDescent="0.2">
      <c r="H158">
        <v>157</v>
      </c>
      <c r="I158" s="112" t="str">
        <f>IFERROR(INDEX(TableRBCalcPts[PLAYER],MATCH(TableRBVORP[[#This Row],[RK]],TableRBCalcPts[RK],0)),"")</f>
        <v/>
      </c>
      <c r="J158" s="112" t="str">
        <f>IFERROR(INDEX(TableRBCalcPts[TM],MATCH(TableRBVORP[[#This Row],[RK]],TableRBCalcPts[RK],0)),"")</f>
        <v/>
      </c>
      <c r="K158" s="112" t="str">
        <f>IFERROR(INDEX(TableRBCalcPts[BYE],MATCH(TableRBVORP[[#This Row],[RK]],TableRBCalcPts[RK],0)),"")</f>
        <v/>
      </c>
      <c r="L158" s="113" t="str">
        <f>IFERROR(INDEX(TableRBCalcPts[Custom],MATCH(TableRBVORP[[#This Row],[RK]],TableRBCalcPts[RK],0)),"")</f>
        <v/>
      </c>
      <c r="M158" s="114" t="e">
        <f>(IFERROR((TableRBVORP[[#This Row],[FPS]]-INDEX(TableRBVORP[FPS],MATCH(RBVORPCalc,TableRBVORP[RK],0)))/INDEX(TableRBVORP[FPS],MATCH(RBVORPCalc,TableRBVORP[RK],0)),""))*0.8</f>
        <v>#VALUE!</v>
      </c>
      <c r="O158">
        <v>157</v>
      </c>
      <c r="P158" s="112" t="str">
        <f>IFERROR(INDEX(TableWRCalcPts[PLAYER],MATCH(TableWRVORP[[#This Row],[RK]],TableWRCalcPts[RK],0)),"")</f>
        <v>Tim Jones</v>
      </c>
      <c r="Q158" s="112" t="str">
        <f>IFERROR(INDEX(TableWRCalcPts[TM],MATCH(TableWRVORP[[#This Row],[RK]],TableWRCalcPts[RK],0)),"")</f>
        <v>JAX</v>
      </c>
      <c r="R158" s="112">
        <f>IFERROR(INDEX(TableWRCalcPts[BYE],MATCH(TableWRVORP[[#This Row],[RK]],TableWRCalcPts[RK],0)),"")</f>
        <v>12</v>
      </c>
      <c r="S158" s="113">
        <f>IFERROR(INDEX(TableWRCalcPts[Custom],MATCH(TableWRVORP[[#This Row],[RK]],TableWRCalcPts[RK],0)),"")</f>
        <v>13.451518795651641</v>
      </c>
      <c r="T158" s="114">
        <f>(IFERROR((TableWRVORP[[#This Row],[FPS]]-INDEX(TableWRVORP[FPS],MATCH(WRVORPCalc,TableWRVORP[RK],0)))/INDEX(TableWRVORP[FPS],MATCH(WRVORPCalc,TableWRVORP[RK],0)),""))*1.2</f>
        <v>-1.0903551152241016</v>
      </c>
      <c r="AF158" t="s">
        <v>208</v>
      </c>
      <c r="AG158">
        <v>17</v>
      </c>
      <c r="AH158" s="83">
        <f>RANK(TableOverallMaster[[#This Row],[VORP]],TableOverallMaster[VORP])+COUNTIF($AM$2:AM158,AM158)-1</f>
        <v>41</v>
      </c>
      <c r="AI158" s="115" t="str">
        <f>IFERROR(INDEX(TableWRVORP[WIDE RECEIVER],MATCH(TableOverallMaster[[#This Row],[RK]],TableWRVORP[RK],0)),"")</f>
        <v>Drake London</v>
      </c>
      <c r="AJ158" s="115" t="str">
        <f t="shared" si="2"/>
        <v>WR17</v>
      </c>
      <c r="AK158" s="115">
        <f>IFERROR(INDEX(TableWRVORP[BYE],MATCH(TableOverallMaster[[#This Row],[RK]],TableWRVORP[RK],0)),"")</f>
        <v>12</v>
      </c>
      <c r="AL158" s="116">
        <f>IFERROR(INDEX(TableWRVORP[FPS],MATCH(TableOverallMaster[[#This Row],[RK]],TableWRVORP[RK],0)),"")</f>
        <v>198.04928813429765</v>
      </c>
      <c r="AM158" s="117">
        <f>IFERROR(INDEX(TableWRVORP[VORP],MATCH(TableOverallMaster[[#This Row],[RK]],TableWRVORP[RK],0)),"")</f>
        <v>0.41432264321359824</v>
      </c>
      <c r="AO158">
        <v>157</v>
      </c>
      <c r="AP158" s="118" t="str">
        <f>IFERROR(INDEX(TableOverallMaster[OVERALL PLAYER],MATCH(TableOverallRank[[#This Row],[RK]],TableOverallMaster[OVR RK],0)),"")</f>
        <v>Demario Douglas</v>
      </c>
      <c r="AQ158" s="119" t="str">
        <f>IFERROR(INDEX(TableOverallMaster[POS RK],MATCH(TableOverallRank[[#This Row],[OVERALL PLAYER]],TableOverallMaster[OVERALL PLAYER],0)),"")</f>
        <v>WR64</v>
      </c>
      <c r="AR158" s="120">
        <f>IFERROR(INDEX(TableOverallMaster[BYE],MATCH(TableOverallRank[[#This Row],[OVERALL PLAYER]],TableOverallMaster[OVERALL PLAYER],0)),"")</f>
        <v>14</v>
      </c>
      <c r="AS158" s="119">
        <f>IFERROR(INDEX(TableOverallMaster[Custom],MATCH(TableOverallRank[[#This Row],[OVERALL PLAYER]],TableOverallMaster[OVERALL PLAYER],0)),"")</f>
        <v>127.43642317391996</v>
      </c>
      <c r="AT158" s="121">
        <f>IFERROR(INDEX(TableOverallMaster[VORP],MATCH(TableOverallRank[[#This Row],[OVERALL PLAYER]],TableOverallMaster[OVERALL PLAYER],0)),"")</f>
        <v>-0.16125098232967358</v>
      </c>
      <c r="AV158">
        <v>157</v>
      </c>
      <c r="AW158" s="122" t="str">
        <f>IFERROR(INDEX(TableWRTECalcPts[PLAYER],MATCH(TableWRTERank[[#This Row],[RK]],TableWRTECalcPts[RK],0)),"")</f>
        <v>Allen Lazard</v>
      </c>
      <c r="AX158" s="122" t="str">
        <f>IFERROR(INDEX(TableWRTECalcPts[POS RK],MATCH(TableWRTERank[[#This Row],[WR and TE COMBINED]],TableWRTECalcPts[PLAYER],0)),"")</f>
        <v>WR114</v>
      </c>
      <c r="AY158" s="122">
        <f>IFERROR(INDEX(TableWRTECalcPts[BYE],MATCH(TableWRTERank[[#This Row],[RK]],TableWRTECalcPts[RK],0)),"")</f>
        <v>12</v>
      </c>
      <c r="AZ158" s="123">
        <f>IFERROR(INDEX(TableWRTECalcPts[Custom],MATCH(TableWRTERank[[#This Row],[RK]],TableWRTECalcPts[RK],0)),"")</f>
        <v>42.460357713573167</v>
      </c>
      <c r="BA158" s="174">
        <f>IFERROR((TableWRTERank[[#This Row],[FPS]]-INDEX(TableWRTERank[FPS],MATCH(WRTEVORPCalc,TableWRTERank[RK],0)))/INDEX(TableWRTERank[FPS],MATCH(WRTEVORPCalc,TableWRTERank[RK],0)),"")</f>
        <v>-0.72941932712880042</v>
      </c>
      <c r="BC158" t="s">
        <v>208</v>
      </c>
      <c r="BD158">
        <v>157</v>
      </c>
      <c r="BE158" s="83">
        <f>RANK(TableWRTEMaster[[#This Row],[VORP]],TableWRTEMaster[VORP])+COUNTIF($BJ$2:BJ158,BJ158)-1</f>
        <v>237</v>
      </c>
      <c r="BF158" s="115" t="str">
        <f>IFERROR(INDEX(TableWRVORP[WIDE RECEIVER],MATCH(TableWRTEMaster[[#This Row],[RK]],TableWRVORP[RK],0)),"")</f>
        <v>Tim Jones</v>
      </c>
      <c r="BG158" s="115" t="str">
        <f>_xlfn.CONCAT(TableWRTEMaster[[#This Row],[POS]],TableWRTEMaster[[#This Row],[RK]])</f>
        <v>WR157</v>
      </c>
      <c r="BH158" s="115">
        <f>IFERROR(INDEX(TableWRVORP[BYE],MATCH(TableWRTEMaster[[#This Row],[RK]],TableWRVORP[RK],0)),"")</f>
        <v>12</v>
      </c>
      <c r="BI158" s="116">
        <f>IFERROR(INDEX(TableWRVORP[FPS],MATCH(TableWRTEMaster[[#This Row],[RK]],TableWRVORP[RK],0)),"")</f>
        <v>13.451518795651641</v>
      </c>
      <c r="BJ158" s="117">
        <f>IFERROR(INDEX(TableWRVORP[VORP],MATCH(TableWRTEMaster[[#This Row],[RK]],TableWRVORP[RK],0)),"")</f>
        <v>-1.0903551152241016</v>
      </c>
    </row>
    <row r="159" spans="8:62" x14ac:dyDescent="0.2">
      <c r="H159">
        <v>158</v>
      </c>
      <c r="I159" s="112" t="str">
        <f>IFERROR(INDEX(TableRBCalcPts[PLAYER],MATCH(TableRBVORP[[#This Row],[RK]],TableRBCalcPts[RK],0)),"")</f>
        <v/>
      </c>
      <c r="J159" s="112" t="str">
        <f>IFERROR(INDEX(TableRBCalcPts[TM],MATCH(TableRBVORP[[#This Row],[RK]],TableRBCalcPts[RK],0)),"")</f>
        <v/>
      </c>
      <c r="K159" s="112" t="str">
        <f>IFERROR(INDEX(TableRBCalcPts[BYE],MATCH(TableRBVORP[[#This Row],[RK]],TableRBCalcPts[RK],0)),"")</f>
        <v/>
      </c>
      <c r="L159" s="113" t="str">
        <f>IFERROR(INDEX(TableRBCalcPts[Custom],MATCH(TableRBVORP[[#This Row],[RK]],TableRBCalcPts[RK],0)),"")</f>
        <v/>
      </c>
      <c r="M159" s="114" t="e">
        <f>(IFERROR((TableRBVORP[[#This Row],[FPS]]-INDEX(TableRBVORP[FPS],MATCH(RBVORPCalc,TableRBVORP[RK],0)))/INDEX(TableRBVORP[FPS],MATCH(RBVORPCalc,TableRBVORP[RK],0)),""))*0.8</f>
        <v>#VALUE!</v>
      </c>
      <c r="O159">
        <v>158</v>
      </c>
      <c r="P159" s="112" t="str">
        <f>IFERROR(INDEX(TableWRCalcPts[PLAYER],MATCH(TableWRVORP[[#This Row],[RK]],TableWRCalcPts[RK],0)),"")</f>
        <v>Marquez Valdes-Scantling</v>
      </c>
      <c r="Q159" s="112" t="str">
        <f>IFERROR(INDEX(TableWRCalcPts[TM],MATCH(TableWRVORP[[#This Row],[RK]],TableWRCalcPts[RK],0)),"")</f>
        <v>BUF</v>
      </c>
      <c r="R159" s="112">
        <f>IFERROR(INDEX(TableWRCalcPts[BYE],MATCH(TableWRVORP[[#This Row],[RK]],TableWRCalcPts[RK],0)),"")</f>
        <v>12</v>
      </c>
      <c r="S159" s="113">
        <f>IFERROR(INDEX(TableWRCalcPts[Custom],MATCH(TableWRVORP[[#This Row],[RK]],TableWRCalcPts[RK],0)),"")</f>
        <v>11.451657861503998</v>
      </c>
      <c r="T159" s="114">
        <f>(IFERROR((TableWRVORP[[#This Row],[FPS]]-INDEX(TableWRVORP[FPS],MATCH(WRVORPCalc,TableWRVORP[RK],0)))/INDEX(TableWRVORP[FPS],MATCH(WRVORPCalc,TableWRVORP[RK],0)),""))*1.2</f>
        <v>-1.1066562128937061</v>
      </c>
      <c r="AF159" t="s">
        <v>208</v>
      </c>
      <c r="AG159">
        <v>18</v>
      </c>
      <c r="AH159" s="83">
        <f>RANK(TableOverallMaster[[#This Row],[VORP]],TableOverallMaster[VORP])+COUNTIF($AM$2:AM159,AM159)-1</f>
        <v>44</v>
      </c>
      <c r="AI159" s="115" t="str">
        <f>IFERROR(INDEX(TableWRVORP[WIDE RECEIVER],MATCH(TableOverallMaster[[#This Row],[RK]],TableWRVORP[RK],0)),"")</f>
        <v>DK Metcalf</v>
      </c>
      <c r="AJ159" s="115" t="str">
        <f t="shared" si="2"/>
        <v>WR18</v>
      </c>
      <c r="AK159" s="115">
        <f>IFERROR(INDEX(TableWRVORP[BYE],MATCH(TableOverallMaster[[#This Row],[RK]],TableWRVORP[RK],0)),"")</f>
        <v>10</v>
      </c>
      <c r="AL159" s="116">
        <f>IFERROR(INDEX(TableWRVORP[FPS],MATCH(TableOverallMaster[[#This Row],[RK]],TableWRVORP[RK],0)),"")</f>
        <v>196.75593147513993</v>
      </c>
      <c r="AM159" s="117">
        <f>IFERROR(INDEX(TableWRVORP[VORP],MATCH(TableOverallMaster[[#This Row],[RK]],TableWRVORP[RK],0)),"")</f>
        <v>0.40378034356537329</v>
      </c>
      <c r="AO159">
        <v>158</v>
      </c>
      <c r="AP159" s="118" t="str">
        <f>IFERROR(INDEX(TableOverallMaster[OVERALL PLAYER],MATCH(TableOverallRank[[#This Row],[RK]],TableOverallMaster[OVR RK],0)),"")</f>
        <v>Chigoziem Okonkwo</v>
      </c>
      <c r="AQ159" s="119" t="str">
        <f>IFERROR(INDEX(TableOverallMaster[POS RK],MATCH(TableOverallRank[[#This Row],[OVERALL PLAYER]],TableOverallMaster[OVERALL PLAYER],0)),"")</f>
        <v>TE14</v>
      </c>
      <c r="AR159" s="120">
        <f>IFERROR(INDEX(TableOverallMaster[BYE],MATCH(TableOverallRank[[#This Row],[OVERALL PLAYER]],TableOverallMaster[OVERALL PLAYER],0)),"")</f>
        <v>5</v>
      </c>
      <c r="AS159" s="119">
        <f>IFERROR(INDEX(TableOverallMaster[Custom],MATCH(TableOverallRank[[#This Row],[OVERALL PLAYER]],TableOverallMaster[OVERALL PLAYER],0)),"")</f>
        <v>110.39226567248875</v>
      </c>
      <c r="AT159" s="121">
        <f>IFERROR(INDEX(TableOverallMaster[VORP],MATCH(TableOverallRank[[#This Row],[OVERALL PLAYER]],TableOverallMaster[OVERALL PLAYER],0)),"")</f>
        <v>-0.16140170302870596</v>
      </c>
      <c r="AV159">
        <v>158</v>
      </c>
      <c r="AW159" s="122" t="str">
        <f>IFERROR(INDEX(TableWRTECalcPts[PLAYER],MATCH(TableWRTERank[[#This Row],[RK]],TableWRTECalcPts[RK],0)),"")</f>
        <v>Tyler Higbee</v>
      </c>
      <c r="AX159" s="122" t="str">
        <f>IFERROR(INDEX(TableWRTECalcPts[POS RK],MATCH(TableWRTERank[[#This Row],[WR and TE COMBINED]],TableWRTECalcPts[PLAYER],0)),"")</f>
        <v>TE44</v>
      </c>
      <c r="AY159" s="122">
        <f>IFERROR(INDEX(TableWRTECalcPts[BYE],MATCH(TableWRTERank[[#This Row],[RK]],TableWRTECalcPts[RK],0)),"")</f>
        <v>6</v>
      </c>
      <c r="AZ159" s="123">
        <f>IFERROR(INDEX(TableWRTECalcPts[Custom],MATCH(TableWRTERank[[#This Row],[RK]],TableWRTECalcPts[RK],0)),"")</f>
        <v>40.797864195877821</v>
      </c>
      <c r="BA159" s="174">
        <f>IFERROR((TableWRTERank[[#This Row],[FPS]]-INDEX(TableWRTERank[FPS],MATCH(WRTEVORPCalc,TableWRTERank[RK],0)))/INDEX(TableWRTERank[FPS],MATCH(WRTEVORPCalc,TableWRTERank[RK],0)),"")</f>
        <v>-0.74001364707533757</v>
      </c>
      <c r="BC159" t="s">
        <v>208</v>
      </c>
      <c r="BD159">
        <v>158</v>
      </c>
      <c r="BE159" s="83">
        <f>RANK(TableWRTEMaster[[#This Row],[VORP]],TableWRTEMaster[VORP])+COUNTIF($BJ$2:BJ159,BJ159)-1</f>
        <v>238</v>
      </c>
      <c r="BF159" s="115" t="str">
        <f>IFERROR(INDEX(TableWRVORP[WIDE RECEIVER],MATCH(TableWRTEMaster[[#This Row],[RK]],TableWRVORP[RK],0)),"")</f>
        <v>Marquez Valdes-Scantling</v>
      </c>
      <c r="BG159" s="115" t="str">
        <f>_xlfn.CONCAT(TableWRTEMaster[[#This Row],[POS]],TableWRTEMaster[[#This Row],[RK]])</f>
        <v>WR158</v>
      </c>
      <c r="BH159" s="115">
        <f>IFERROR(INDEX(TableWRVORP[BYE],MATCH(TableWRTEMaster[[#This Row],[RK]],TableWRVORP[RK],0)),"")</f>
        <v>12</v>
      </c>
      <c r="BI159" s="116">
        <f>IFERROR(INDEX(TableWRVORP[FPS],MATCH(TableWRTEMaster[[#This Row],[RK]],TableWRVORP[RK],0)),"")</f>
        <v>11.451657861503998</v>
      </c>
      <c r="BJ159" s="117">
        <f>IFERROR(INDEX(TableWRVORP[VORP],MATCH(TableWRTEMaster[[#This Row],[RK]],TableWRVORP[RK],0)),"")</f>
        <v>-1.1066562128937061</v>
      </c>
    </row>
    <row r="160" spans="8:62" x14ac:dyDescent="0.2">
      <c r="H160">
        <v>159</v>
      </c>
      <c r="I160" s="112" t="str">
        <f>IFERROR(INDEX(TableRBCalcPts[PLAYER],MATCH(TableRBVORP[[#This Row],[RK]],TableRBCalcPts[RK],0)),"")</f>
        <v/>
      </c>
      <c r="J160" s="112" t="str">
        <f>IFERROR(INDEX(TableRBCalcPts[TM],MATCH(TableRBVORP[[#This Row],[RK]],TableRBCalcPts[RK],0)),"")</f>
        <v/>
      </c>
      <c r="K160" s="112" t="str">
        <f>IFERROR(INDEX(TableRBCalcPts[BYE],MATCH(TableRBVORP[[#This Row],[RK]],TableRBCalcPts[RK],0)),"")</f>
        <v/>
      </c>
      <c r="L160" s="113" t="str">
        <f>IFERROR(INDEX(TableRBCalcPts[Custom],MATCH(TableRBVORP[[#This Row],[RK]],TableRBCalcPts[RK],0)),"")</f>
        <v/>
      </c>
      <c r="M160" s="114" t="e">
        <f>(IFERROR((TableRBVORP[[#This Row],[FPS]]-INDEX(TableRBVORP[FPS],MATCH(RBVORPCalc,TableRBVORP[RK],0)))/INDEX(TableRBVORP[FPS],MATCH(RBVORPCalc,TableRBVORP[RK],0)),""))*0.8</f>
        <v>#VALUE!</v>
      </c>
      <c r="O160">
        <v>159</v>
      </c>
      <c r="P160" s="112" t="str">
        <f>IFERROR(INDEX(TableWRCalcPts[PLAYER],MATCH(TableWRVORP[[#This Row],[RK]],TableWRCalcPts[RK],0)),"")</f>
        <v>Jamari Thrash</v>
      </c>
      <c r="Q160" s="112" t="str">
        <f>IFERROR(INDEX(TableWRCalcPts[TM],MATCH(TableWRVORP[[#This Row],[RK]],TableWRCalcPts[RK],0)),"")</f>
        <v>CLE</v>
      </c>
      <c r="R160" s="112">
        <f>IFERROR(INDEX(TableWRCalcPts[BYE],MATCH(TableWRVORP[[#This Row],[RK]],TableWRCalcPts[RK],0)),"")</f>
        <v>10</v>
      </c>
      <c r="S160" s="113">
        <f>IFERROR(INDEX(TableWRCalcPts[Custom],MATCH(TableWRVORP[[#This Row],[RK]],TableWRCalcPts[RK],0)),"")</f>
        <v>11.41575617028</v>
      </c>
      <c r="T160" s="114">
        <f>(IFERROR((TableWRVORP[[#This Row],[FPS]]-INDEX(TableWRVORP[FPS],MATCH(WRVORPCalc,TableWRVORP[RK],0)))/INDEX(TableWRVORP[FPS],MATCH(WRVORPCalc,TableWRVORP[RK],0)),""))*1.2</f>
        <v>-1.106948851729314</v>
      </c>
      <c r="AF160" t="s">
        <v>208</v>
      </c>
      <c r="AG160">
        <v>19</v>
      </c>
      <c r="AH160" s="83">
        <f>RANK(TableOverallMaster[[#This Row],[VORP]],TableOverallMaster[VORP])+COUNTIF($AM$2:AM160,AM160)-1</f>
        <v>46</v>
      </c>
      <c r="AI160" s="115" t="str">
        <f>IFERROR(INDEX(TableWRVORP[WIDE RECEIVER],MATCH(TableOverallMaster[[#This Row],[RK]],TableWRVORP[RK],0)),"")</f>
        <v>Terry McLaurin</v>
      </c>
      <c r="AJ160" s="115" t="str">
        <f t="shared" si="2"/>
        <v>WR19</v>
      </c>
      <c r="AK160" s="115">
        <f>IFERROR(INDEX(TableWRVORP[BYE],MATCH(TableOverallMaster[[#This Row],[RK]],TableWRVORP[RK],0)),"")</f>
        <v>14</v>
      </c>
      <c r="AL160" s="116">
        <f>IFERROR(INDEX(TableWRVORP[FPS],MATCH(TableOverallMaster[[#This Row],[RK]],TableWRVORP[RK],0)),"")</f>
        <v>196.63586376487206</v>
      </c>
      <c r="AM160" s="117">
        <f>IFERROR(INDEX(TableWRVORP[VORP],MATCH(TableOverallMaster[[#This Row],[RK]],TableWRVORP[RK],0)),"")</f>
        <v>0.40280165777846549</v>
      </c>
      <c r="AO160">
        <v>159</v>
      </c>
      <c r="AP160" s="118" t="str">
        <f>IFERROR(INDEX(TableOverallMaster[OVERALL PLAYER],MATCH(TableOverallRank[[#This Row],[RK]],TableOverallMaster[OVR RK],0)),"")</f>
        <v>Xavier Legette</v>
      </c>
      <c r="AQ160" s="119" t="str">
        <f>IFERROR(INDEX(TableOverallMaster[POS RK],MATCH(TableOverallRank[[#This Row],[OVERALL PLAYER]],TableOverallMaster[OVERALL PLAYER],0)),"")</f>
        <v>WR65</v>
      </c>
      <c r="AR160" s="120">
        <f>IFERROR(INDEX(TableOverallMaster[BYE],MATCH(TableOverallRank[[#This Row],[OVERALL PLAYER]],TableOverallMaster[OVERALL PLAYER],0)),"")</f>
        <v>11</v>
      </c>
      <c r="AS160" s="119">
        <f>IFERROR(INDEX(TableOverallMaster[Custom],MATCH(TableOverallRank[[#This Row],[OVERALL PLAYER]],TableOverallMaster[OVERALL PLAYER],0)),"")</f>
        <v>126.21441605736145</v>
      </c>
      <c r="AT160" s="121">
        <f>IFERROR(INDEX(TableOverallMaster[VORP],MATCH(TableOverallRank[[#This Row],[OVERALL PLAYER]],TableOverallMaster[OVERALL PLAYER],0)),"")</f>
        <v>-0.17121170360775703</v>
      </c>
      <c r="AV160">
        <v>159</v>
      </c>
      <c r="AW160" s="122" t="str">
        <f>IFERROR(INDEX(TableWRTECalcPts[PLAYER],MATCH(TableWRTERank[[#This Row],[RK]],TableWRTECalcPts[RK],0)),"")</f>
        <v>Taysom Hill</v>
      </c>
      <c r="AX160" s="122" t="str">
        <f>IFERROR(INDEX(TableWRTECalcPts[POS RK],MATCH(TableWRTERank[[#This Row],[WR and TE COMBINED]],TableWRTECalcPts[PLAYER],0)),"")</f>
        <v>TE45</v>
      </c>
      <c r="AY160" s="122">
        <f>IFERROR(INDEX(TableWRTECalcPts[BYE],MATCH(TableWRTERank[[#This Row],[RK]],TableWRTECalcPts[RK],0)),"")</f>
        <v>12</v>
      </c>
      <c r="AZ160" s="123">
        <f>IFERROR(INDEX(TableWRTECalcPts[Custom],MATCH(TableWRTERank[[#This Row],[RK]],TableWRTECalcPts[RK],0)),"")</f>
        <v>40.294182781789544</v>
      </c>
      <c r="BA160" s="174">
        <f>IFERROR((TableWRTERank[[#This Row],[FPS]]-INDEX(TableWRTERank[FPS],MATCH(WRTEVORPCalc,TableWRTERank[RK],0)))/INDEX(TableWRTERank[FPS],MATCH(WRTEVORPCalc,TableWRTERank[RK],0)),"")</f>
        <v>-0.74322338112553277</v>
      </c>
      <c r="BC160" t="s">
        <v>208</v>
      </c>
      <c r="BD160">
        <v>159</v>
      </c>
      <c r="BE160" s="83">
        <f>RANK(TableWRTEMaster[[#This Row],[VORP]],TableWRTEMaster[VORP])+COUNTIF($BJ$2:BJ160,BJ160)-1</f>
        <v>239</v>
      </c>
      <c r="BF160" s="115" t="str">
        <f>IFERROR(INDEX(TableWRVORP[WIDE RECEIVER],MATCH(TableWRTEMaster[[#This Row],[RK]],TableWRVORP[RK],0)),"")</f>
        <v>Jamari Thrash</v>
      </c>
      <c r="BG160" s="115" t="str">
        <f>_xlfn.CONCAT(TableWRTEMaster[[#This Row],[POS]],TableWRTEMaster[[#This Row],[RK]])</f>
        <v>WR159</v>
      </c>
      <c r="BH160" s="115">
        <f>IFERROR(INDEX(TableWRVORP[BYE],MATCH(TableWRTEMaster[[#This Row],[RK]],TableWRVORP[RK],0)),"")</f>
        <v>10</v>
      </c>
      <c r="BI160" s="116">
        <f>IFERROR(INDEX(TableWRVORP[FPS],MATCH(TableWRTEMaster[[#This Row],[RK]],TableWRVORP[RK],0)),"")</f>
        <v>11.41575617028</v>
      </c>
      <c r="BJ160" s="117">
        <f>IFERROR(INDEX(TableWRVORP[VORP],MATCH(TableWRTEMaster[[#This Row],[RK]],TableWRVORP[RK],0)),"")</f>
        <v>-1.106948851729314</v>
      </c>
    </row>
    <row r="161" spans="8:62" x14ac:dyDescent="0.2">
      <c r="H161">
        <v>160</v>
      </c>
      <c r="I161" s="112" t="str">
        <f>IFERROR(INDEX(TableRBCalcPts[PLAYER],MATCH(TableRBVORP[[#This Row],[RK]],TableRBCalcPts[RK],0)),"")</f>
        <v/>
      </c>
      <c r="J161" s="112" t="str">
        <f>IFERROR(INDEX(TableRBCalcPts[TM],MATCH(TableRBVORP[[#This Row],[RK]],TableRBCalcPts[RK],0)),"")</f>
        <v/>
      </c>
      <c r="K161" s="112" t="str">
        <f>IFERROR(INDEX(TableRBCalcPts[BYE],MATCH(TableRBVORP[[#This Row],[RK]],TableRBCalcPts[RK],0)),"")</f>
        <v/>
      </c>
      <c r="L161" s="113" t="str">
        <f>IFERROR(INDEX(TableRBCalcPts[Custom],MATCH(TableRBVORP[[#This Row],[RK]],TableRBCalcPts[RK],0)),"")</f>
        <v/>
      </c>
      <c r="M161" s="114" t="e">
        <f>(IFERROR((TableRBVORP[[#This Row],[FPS]]-INDEX(TableRBVORP[FPS],MATCH(RBVORPCalc,TableRBVORP[RK],0)))/INDEX(TableRBVORP[FPS],MATCH(RBVORPCalc,TableRBVORP[RK],0)),""))*0.8</f>
        <v>#VALUE!</v>
      </c>
      <c r="O161">
        <v>160</v>
      </c>
      <c r="P161" s="112" t="str">
        <f>IFERROR(INDEX(TableWRCalcPts[PLAYER],MATCH(TableWRVORP[[#This Row],[RK]],TableWRCalcPts[RK],0)),"")</f>
        <v>Braxton Berrios</v>
      </c>
      <c r="Q161" s="112" t="str">
        <f>IFERROR(INDEX(TableWRCalcPts[TM],MATCH(TableWRVORP[[#This Row],[RK]],TableWRCalcPts[RK],0)),"")</f>
        <v>MIA</v>
      </c>
      <c r="R161" s="112">
        <f>IFERROR(INDEX(TableWRCalcPts[BYE],MATCH(TableWRVORP[[#This Row],[RK]],TableWRCalcPts[RK],0)),"")</f>
        <v>6</v>
      </c>
      <c r="S161" s="113">
        <f>IFERROR(INDEX(TableWRCalcPts[Custom],MATCH(TableWRVORP[[#This Row],[RK]],TableWRCalcPts[RK],0)),"")</f>
        <v>11.404967640175933</v>
      </c>
      <c r="T161" s="114">
        <f>(IFERROR((TableWRVORP[[#This Row],[FPS]]-INDEX(TableWRVORP[FPS],MATCH(WRVORPCalc,TableWRVORP[RK],0)))/INDEX(TableWRVORP[FPS],MATCH(WRVORPCalc,TableWRVORP[RK],0)),""))*1.2</f>
        <v>-1.1070367902854081</v>
      </c>
      <c r="AF161" t="s">
        <v>208</v>
      </c>
      <c r="AG161">
        <v>20</v>
      </c>
      <c r="AH161" s="83">
        <f>RANK(TableOverallMaster[[#This Row],[VORP]],TableOverallMaster[VORP])+COUNTIF($AM$2:AM161,AM161)-1</f>
        <v>48</v>
      </c>
      <c r="AI161" s="115" t="str">
        <f>IFERROR(INDEX(TableWRVORP[WIDE RECEIVER],MATCH(TableOverallMaster[[#This Row],[RK]],TableWRVORP[RK],0)),"")</f>
        <v>Marvin Harrison</v>
      </c>
      <c r="AJ161" s="115" t="str">
        <f t="shared" si="2"/>
        <v>WR20</v>
      </c>
      <c r="AK161" s="115">
        <f>IFERROR(INDEX(TableWRVORP[BYE],MATCH(TableOverallMaster[[#This Row],[RK]],TableWRVORP[RK],0)),"")</f>
        <v>11</v>
      </c>
      <c r="AL161" s="116">
        <f>IFERROR(INDEX(TableWRVORP[FPS],MATCH(TableOverallMaster[[#This Row],[RK]],TableWRVORP[RK],0)),"")</f>
        <v>196.12822049057965</v>
      </c>
      <c r="AM161" s="117">
        <f>IFERROR(INDEX(TableWRVORP[VORP],MATCH(TableOverallMaster[[#This Row],[RK]],TableWRVORP[RK],0)),"")</f>
        <v>0.39866379876324087</v>
      </c>
      <c r="AO161">
        <v>160</v>
      </c>
      <c r="AP161" s="118" t="str">
        <f>IFERROR(INDEX(TableOverallMaster[OVERALL PLAYER],MATCH(TableOverallRank[[#This Row],[RK]],TableOverallMaster[OVR RK],0)),"")</f>
        <v>Wan'Dale Robinson</v>
      </c>
      <c r="AQ161" s="119" t="str">
        <f>IFERROR(INDEX(TableOverallMaster[POS RK],MATCH(TableOverallRank[[#This Row],[OVERALL PLAYER]],TableOverallMaster[OVERALL PLAYER],0)),"")</f>
        <v>WR66</v>
      </c>
      <c r="AR161" s="120">
        <f>IFERROR(INDEX(TableOverallMaster[BYE],MATCH(TableOverallRank[[#This Row],[OVERALL PLAYER]],TableOverallMaster[OVERALL PLAYER],0)),"")</f>
        <v>11</v>
      </c>
      <c r="AS161" s="119">
        <f>IFERROR(INDEX(TableOverallMaster[Custom],MATCH(TableOverallRank[[#This Row],[OVERALL PLAYER]],TableOverallMaster[OVERALL PLAYER],0)),"")</f>
        <v>125.38100715896201</v>
      </c>
      <c r="AT161" s="121">
        <f>IFERROR(INDEX(TableOverallMaster[VORP],MATCH(TableOverallRank[[#This Row],[OVERALL PLAYER]],TableOverallMaster[OVERALL PLAYER],0)),"")</f>
        <v>-0.17800491588544826</v>
      </c>
      <c r="AV161">
        <v>160</v>
      </c>
      <c r="AW161" s="122" t="str">
        <f>IFERROR(INDEX(TableWRTECalcPts[PLAYER],MATCH(TableWRTERank[[#This Row],[RK]],TableWRTECalcPts[RK],0)),"")</f>
        <v>Jeremy Ruckert</v>
      </c>
      <c r="AX161" s="122" t="str">
        <f>IFERROR(INDEX(TableWRTECalcPts[POS RK],MATCH(TableWRTERank[[#This Row],[WR and TE COMBINED]],TableWRTECalcPts[PLAYER],0)),"")</f>
        <v>TE46</v>
      </c>
      <c r="AY161" s="122">
        <f>IFERROR(INDEX(TableWRTECalcPts[BYE],MATCH(TableWRTERank[[#This Row],[RK]],TableWRTECalcPts[RK],0)),"")</f>
        <v>12</v>
      </c>
      <c r="AZ161" s="123">
        <f>IFERROR(INDEX(TableWRTECalcPts[Custom],MATCH(TableWRTERank[[#This Row],[RK]],TableWRTECalcPts[RK],0)),"")</f>
        <v>40.072235990399271</v>
      </c>
      <c r="BA161" s="174">
        <f>IFERROR((TableWRTERank[[#This Row],[FPS]]-INDEX(TableWRTERank[FPS],MATCH(WRTEVORPCalc,TableWRTERank[RK],0)))/INDEX(TableWRTERank[FPS],MATCH(WRTEVORPCalc,TableWRTERank[RK],0)),"")</f>
        <v>-0.74463774773452596</v>
      </c>
      <c r="BC161" t="s">
        <v>208</v>
      </c>
      <c r="BD161">
        <v>160</v>
      </c>
      <c r="BE161" s="83">
        <f>RANK(TableWRTEMaster[[#This Row],[VORP]],TableWRTEMaster[VORP])+COUNTIF($BJ$2:BJ161,BJ161)-1</f>
        <v>240</v>
      </c>
      <c r="BF161" s="115" t="str">
        <f>IFERROR(INDEX(TableWRVORP[WIDE RECEIVER],MATCH(TableWRTEMaster[[#This Row],[RK]],TableWRVORP[RK],0)),"")</f>
        <v>Braxton Berrios</v>
      </c>
      <c r="BG161" s="115" t="str">
        <f>_xlfn.CONCAT(TableWRTEMaster[[#This Row],[POS]],TableWRTEMaster[[#This Row],[RK]])</f>
        <v>WR160</v>
      </c>
      <c r="BH161" s="115">
        <f>IFERROR(INDEX(TableWRVORP[BYE],MATCH(TableWRTEMaster[[#This Row],[RK]],TableWRVORP[RK],0)),"")</f>
        <v>6</v>
      </c>
      <c r="BI161" s="116">
        <f>IFERROR(INDEX(TableWRVORP[FPS],MATCH(TableWRTEMaster[[#This Row],[RK]],TableWRVORP[RK],0)),"")</f>
        <v>11.404967640175933</v>
      </c>
      <c r="BJ161" s="117">
        <f>IFERROR(INDEX(TableWRVORP[VORP],MATCH(TableWRTEMaster[[#This Row],[RK]],TableWRVORP[RK],0)),"")</f>
        <v>-1.1070367902854081</v>
      </c>
    </row>
    <row r="162" spans="8:62" x14ac:dyDescent="0.2">
      <c r="H162">
        <v>161</v>
      </c>
      <c r="I162" s="112" t="str">
        <f>IFERROR(INDEX(TableRBCalcPts[PLAYER],MATCH(TableRBVORP[[#This Row],[RK]],TableRBCalcPts[RK],0)),"")</f>
        <v/>
      </c>
      <c r="J162" s="112" t="str">
        <f>IFERROR(INDEX(TableRBCalcPts[TM],MATCH(TableRBVORP[[#This Row],[RK]],TableRBCalcPts[RK],0)),"")</f>
        <v/>
      </c>
      <c r="K162" s="112" t="str">
        <f>IFERROR(INDEX(TableRBCalcPts[BYE],MATCH(TableRBVORP[[#This Row],[RK]],TableRBCalcPts[RK],0)),"")</f>
        <v/>
      </c>
      <c r="L162" s="113" t="str">
        <f>IFERROR(INDEX(TableRBCalcPts[Custom],MATCH(TableRBVORP[[#This Row],[RK]],TableRBCalcPts[RK],0)),"")</f>
        <v/>
      </c>
      <c r="M162" s="114" t="e">
        <f>(IFERROR((TableRBVORP[[#This Row],[FPS]]-INDEX(TableRBVORP[FPS],MATCH(RBVORPCalc,TableRBVORP[RK],0)))/INDEX(TableRBVORP[FPS],MATCH(RBVORPCalc,TableRBVORP[RK],0)),""))*0.8</f>
        <v>#VALUE!</v>
      </c>
      <c r="O162">
        <v>161</v>
      </c>
      <c r="P162" s="112" t="str">
        <f>IFERROR(INDEX(TableWRCalcPts[PLAYER],MATCH(TableWRVORP[[#This Row],[RK]],TableWRCalcPts[RK],0)),"")</f>
        <v>Ronnie Bell</v>
      </c>
      <c r="Q162" s="112" t="str">
        <f>IFERROR(INDEX(TableWRCalcPts[TM],MATCH(TableWRVORP[[#This Row],[RK]],TableWRCalcPts[RK],0)),"")</f>
        <v>SF</v>
      </c>
      <c r="R162" s="112">
        <f>IFERROR(INDEX(TableWRCalcPts[BYE],MATCH(TableWRVORP[[#This Row],[RK]],TableWRCalcPts[RK],0)),"")</f>
        <v>9</v>
      </c>
      <c r="S162" s="113">
        <f>IFERROR(INDEX(TableWRCalcPts[Custom],MATCH(TableWRVORP[[#This Row],[RK]],TableWRCalcPts[RK],0)),"")</f>
        <v>11.050598875505298</v>
      </c>
      <c r="T162" s="114">
        <f>(IFERROR((TableWRVORP[[#This Row],[FPS]]-INDEX(TableWRVORP[FPS],MATCH(WRVORPCalc,TableWRVORP[RK],0)))/INDEX(TableWRVORP[FPS],MATCH(WRVORPCalc,TableWRVORP[RK],0)),""))*1.2</f>
        <v>-1.1099252910532951</v>
      </c>
      <c r="AF162" t="s">
        <v>208</v>
      </c>
      <c r="AG162">
        <v>21</v>
      </c>
      <c r="AH162" s="83">
        <f>RANK(TableOverallMaster[[#This Row],[VORP]],TableOverallMaster[VORP])+COUNTIF($AM$2:AM162,AM162)-1</f>
        <v>52</v>
      </c>
      <c r="AI162" s="115" t="str">
        <f>IFERROR(INDEX(TableWRVORP[WIDE RECEIVER],MATCH(TableOverallMaster[[#This Row],[RK]],TableWRVORP[RK],0)),"")</f>
        <v>Davante Adams</v>
      </c>
      <c r="AJ162" s="115" t="str">
        <f t="shared" si="2"/>
        <v>WR21</v>
      </c>
      <c r="AK162" s="115">
        <f>IFERROR(INDEX(TableWRVORP[BYE],MATCH(TableOverallMaster[[#This Row],[RK]],TableWRVORP[RK],0)),"")</f>
        <v>10</v>
      </c>
      <c r="AL162" s="116">
        <f>IFERROR(INDEX(TableWRVORP[FPS],MATCH(TableOverallMaster[[#This Row],[RK]],TableWRVORP[RK],0)),"")</f>
        <v>193.52615414390021</v>
      </c>
      <c r="AM162" s="117">
        <f>IFERROR(INDEX(TableWRVORP[VORP],MATCH(TableOverallMaster[[#This Row],[RK]],TableWRVORP[RK],0)),"")</f>
        <v>0.3774540551576982</v>
      </c>
      <c r="AO162">
        <v>161</v>
      </c>
      <c r="AP162" s="118" t="str">
        <f>IFERROR(INDEX(TableOverallMaster[OVERALL PLAYER],MATCH(TableOverallRank[[#This Row],[RK]],TableOverallMaster[OVR RK],0)),"")</f>
        <v>Jalen Tolbert</v>
      </c>
      <c r="AQ162" s="119" t="str">
        <f>IFERROR(INDEX(TableOverallMaster[POS RK],MATCH(TableOverallRank[[#This Row],[OVERALL PLAYER]],TableOverallMaster[OVERALL PLAYER],0)),"")</f>
        <v>WR67</v>
      </c>
      <c r="AR162" s="120">
        <f>IFERROR(INDEX(TableOverallMaster[BYE],MATCH(TableOverallRank[[#This Row],[OVERALL PLAYER]],TableOverallMaster[OVERALL PLAYER],0)),"")</f>
        <v>7</v>
      </c>
      <c r="AS162" s="119">
        <f>IFERROR(INDEX(TableOverallMaster[Custom],MATCH(TableOverallRank[[#This Row],[OVERALL PLAYER]],TableOverallMaster[OVERALL PLAYER],0)),"")</f>
        <v>123.19600289357085</v>
      </c>
      <c r="AT162" s="121">
        <f>IFERROR(INDEX(TableOverallMaster[VORP],MATCH(TableOverallRank[[#This Row],[OVERALL PLAYER]],TableOverallMaster[OVERALL PLAYER],0)),"")</f>
        <v>-0.19581513825164715</v>
      </c>
      <c r="AV162">
        <v>161</v>
      </c>
      <c r="AW162" s="122" t="str">
        <f>IFERROR(INDEX(TableWRTECalcPts[PLAYER],MATCH(TableWRTERank[[#This Row],[RK]],TableWRTECalcPts[RK],0)),"")</f>
        <v>Mack Hollins</v>
      </c>
      <c r="AX162" s="122" t="str">
        <f>IFERROR(INDEX(TableWRTECalcPts[POS RK],MATCH(TableWRTERank[[#This Row],[WR and TE COMBINED]],TableWRTECalcPts[PLAYER],0)),"")</f>
        <v>WR115</v>
      </c>
      <c r="AY162" s="122">
        <f>IFERROR(INDEX(TableWRTECalcPts[BYE],MATCH(TableWRTERank[[#This Row],[RK]],TableWRTECalcPts[RK],0)),"")</f>
        <v>12</v>
      </c>
      <c r="AZ162" s="123">
        <f>IFERROR(INDEX(TableWRTECalcPts[Custom],MATCH(TableWRTERank[[#This Row],[RK]],TableWRTECalcPts[RK],0)),"")</f>
        <v>38.947801670303662</v>
      </c>
      <c r="BA162" s="174">
        <f>IFERROR((TableWRTERank[[#This Row],[FPS]]-INDEX(TableWRTERank[FPS],MATCH(WRTEVORPCalc,TableWRTERank[RK],0)))/INDEX(TableWRTERank[FPS],MATCH(WRTEVORPCalc,TableWRTERank[RK],0)),"")</f>
        <v>-0.75180325955106164</v>
      </c>
      <c r="BC162" t="s">
        <v>208</v>
      </c>
      <c r="BD162">
        <v>161</v>
      </c>
      <c r="BE162" s="83">
        <f>RANK(TableWRTEMaster[[#This Row],[VORP]],TableWRTEMaster[VORP])+COUNTIF($BJ$2:BJ162,BJ162)-1</f>
        <v>241</v>
      </c>
      <c r="BF162" s="115" t="str">
        <f>IFERROR(INDEX(TableWRVORP[WIDE RECEIVER],MATCH(TableWRTEMaster[[#This Row],[RK]],TableWRVORP[RK],0)),"")</f>
        <v>Ronnie Bell</v>
      </c>
      <c r="BG162" s="115" t="str">
        <f>_xlfn.CONCAT(TableWRTEMaster[[#This Row],[POS]],TableWRTEMaster[[#This Row],[RK]])</f>
        <v>WR161</v>
      </c>
      <c r="BH162" s="115">
        <f>IFERROR(INDEX(TableWRVORP[BYE],MATCH(TableWRTEMaster[[#This Row],[RK]],TableWRVORP[RK],0)),"")</f>
        <v>9</v>
      </c>
      <c r="BI162" s="116">
        <f>IFERROR(INDEX(TableWRVORP[FPS],MATCH(TableWRTEMaster[[#This Row],[RK]],TableWRVORP[RK],0)),"")</f>
        <v>11.050598875505298</v>
      </c>
      <c r="BJ162" s="117">
        <f>IFERROR(INDEX(TableWRVORP[VORP],MATCH(TableWRTEMaster[[#This Row],[RK]],TableWRVORP[RK],0)),"")</f>
        <v>-1.1099252910532951</v>
      </c>
    </row>
    <row r="163" spans="8:62" x14ac:dyDescent="0.2">
      <c r="H163">
        <v>162</v>
      </c>
      <c r="I163" s="112" t="str">
        <f>IFERROR(INDEX(TableRBCalcPts[PLAYER],MATCH(TableRBVORP[[#This Row],[RK]],TableRBCalcPts[RK],0)),"")</f>
        <v/>
      </c>
      <c r="J163" s="112" t="str">
        <f>IFERROR(INDEX(TableRBCalcPts[TM],MATCH(TableRBVORP[[#This Row],[RK]],TableRBCalcPts[RK],0)),"")</f>
        <v/>
      </c>
      <c r="K163" s="112" t="str">
        <f>IFERROR(INDEX(TableRBCalcPts[BYE],MATCH(TableRBVORP[[#This Row],[RK]],TableRBCalcPts[RK],0)),"")</f>
        <v/>
      </c>
      <c r="L163" s="113" t="str">
        <f>IFERROR(INDEX(TableRBCalcPts[Custom],MATCH(TableRBVORP[[#This Row],[RK]],TableRBCalcPts[RK],0)),"")</f>
        <v/>
      </c>
      <c r="M163" s="114" t="e">
        <f>(IFERROR((TableRBVORP[[#This Row],[FPS]]-INDEX(TableRBVORP[FPS],MATCH(RBVORPCalc,TableRBVORP[RK],0)))/INDEX(TableRBVORP[FPS],MATCH(RBVORPCalc,TableRBVORP[RK],0)),""))*0.8</f>
        <v>#VALUE!</v>
      </c>
      <c r="O163">
        <v>162</v>
      </c>
      <c r="P163" s="112" t="str">
        <f>IFERROR(INDEX(TableWRCalcPts[PLAYER],MATCH(TableWRVORP[[#This Row],[RK]],TableWRCalcPts[RK],0)),"")</f>
        <v>Gunner Olszewski</v>
      </c>
      <c r="Q163" s="112" t="str">
        <f>IFERROR(INDEX(TableWRCalcPts[TM],MATCH(TableWRVORP[[#This Row],[RK]],TableWRCalcPts[RK],0)),"")</f>
        <v>NYG</v>
      </c>
      <c r="R163" s="112">
        <f>IFERROR(INDEX(TableWRCalcPts[BYE],MATCH(TableWRVORP[[#This Row],[RK]],TableWRCalcPts[RK],0)),"")</f>
        <v>11</v>
      </c>
      <c r="S163" s="113">
        <f>IFERROR(INDEX(TableWRCalcPts[Custom],MATCH(TableWRVORP[[#This Row],[RK]],TableWRCalcPts[RK],0)),"")</f>
        <v>11.028768729912445</v>
      </c>
      <c r="T163" s="114">
        <f>(IFERROR((TableWRVORP[[#This Row],[FPS]]-INDEX(TableWRVORP[FPS],MATCH(WRVORPCalc,TableWRVORP[RK],0)))/INDEX(TableWRVORP[FPS],MATCH(WRVORPCalc,TableWRVORP[RK],0)),""))*1.2</f>
        <v>-1.1101032310937122</v>
      </c>
      <c r="AF163" t="s">
        <v>208</v>
      </c>
      <c r="AG163">
        <v>22</v>
      </c>
      <c r="AH163" s="83">
        <f>RANK(TableOverallMaster[[#This Row],[VORP]],TableOverallMaster[VORP])+COUNTIF($AM$2:AM163,AM163)-1</f>
        <v>56</v>
      </c>
      <c r="AI163" s="115" t="str">
        <f>IFERROR(INDEX(TableWRVORP[WIDE RECEIVER],MATCH(TableOverallMaster[[#This Row],[RK]],TableWRVORP[RK],0)),"")</f>
        <v>DJ Moore</v>
      </c>
      <c r="AJ163" s="115" t="str">
        <f t="shared" si="2"/>
        <v>WR22</v>
      </c>
      <c r="AK163" s="115">
        <f>IFERROR(INDEX(TableWRVORP[BYE],MATCH(TableOverallMaster[[#This Row],[RK]],TableWRVORP[RK],0)),"")</f>
        <v>7</v>
      </c>
      <c r="AL163" s="116">
        <f>IFERROR(INDEX(TableWRVORP[FPS],MATCH(TableOverallMaster[[#This Row],[RK]],TableWRVORP[RK],0)),"")</f>
        <v>192.10939741928462</v>
      </c>
      <c r="AM163" s="117">
        <f>IFERROR(INDEX(TableWRVORP[VORP],MATCH(TableOverallMaster[[#This Row],[RK]],TableWRVORP[RK],0)),"")</f>
        <v>0.36590590731017247</v>
      </c>
      <c r="AO163">
        <v>162</v>
      </c>
      <c r="AP163" s="118" t="str">
        <f>IFERROR(INDEX(TableOverallMaster[OVERALL PLAYER],MATCH(TableOverallRank[[#This Row],[RK]],TableOverallMaster[OVR RK],0)),"")</f>
        <v>Jerry Jeudy</v>
      </c>
      <c r="AQ163" s="119" t="str">
        <f>IFERROR(INDEX(TableOverallMaster[POS RK],MATCH(TableOverallRank[[#This Row],[OVERALL PLAYER]],TableOverallMaster[OVERALL PLAYER],0)),"")</f>
        <v>WR68</v>
      </c>
      <c r="AR163" s="120">
        <f>IFERROR(INDEX(TableOverallMaster[BYE],MATCH(TableOverallRank[[#This Row],[OVERALL PLAYER]],TableOverallMaster[OVERALL PLAYER],0)),"")</f>
        <v>10</v>
      </c>
      <c r="AS163" s="119">
        <f>IFERROR(INDEX(TableOverallMaster[Custom],MATCH(TableOverallRank[[#This Row],[OVERALL PLAYER]],TableOverallMaster[OVERALL PLAYER],0)),"")</f>
        <v>119.45643086477995</v>
      </c>
      <c r="AT163" s="121">
        <f>IFERROR(INDEX(TableOverallMaster[VORP],MATCH(TableOverallRank[[#This Row],[OVERALL PLAYER]],TableOverallMaster[OVERALL PLAYER],0)),"")</f>
        <v>-0.22629682217424602</v>
      </c>
      <c r="AV163">
        <v>162</v>
      </c>
      <c r="AW163" s="122" t="str">
        <f>IFERROR(INDEX(TableWRTECalcPts[PLAYER],MATCH(TableWRTERank[[#This Row],[RK]],TableWRTECalcPts[RK],0)),"")</f>
        <v>Noah Brown</v>
      </c>
      <c r="AX163" s="122" t="str">
        <f>IFERROR(INDEX(TableWRTECalcPts[POS RK],MATCH(TableWRTERank[[#This Row],[WR and TE COMBINED]],TableWRTECalcPts[PLAYER],0)),"")</f>
        <v>WR116</v>
      </c>
      <c r="AY163" s="122">
        <f>IFERROR(INDEX(TableWRTECalcPts[BYE],MATCH(TableWRTERank[[#This Row],[RK]],TableWRTECalcPts[RK],0)),"")</f>
        <v>14</v>
      </c>
      <c r="AZ163" s="123">
        <f>IFERROR(INDEX(TableWRTECalcPts[Custom],MATCH(TableWRTERank[[#This Row],[RK]],TableWRTECalcPts[RK],0)),"")</f>
        <v>38.679942155400006</v>
      </c>
      <c r="BA163" s="174">
        <f>IFERROR((TableWRTERank[[#This Row],[FPS]]-INDEX(TableWRTERank[FPS],MATCH(WRTEVORPCalc,TableWRTERank[RK],0)))/INDEX(TableWRTERank[FPS],MATCH(WRTEVORPCalc,TableWRTERank[RK],0)),"")</f>
        <v>-0.75351020720012529</v>
      </c>
      <c r="BC163" t="s">
        <v>208</v>
      </c>
      <c r="BD163">
        <v>162</v>
      </c>
      <c r="BE163" s="83">
        <f>RANK(TableWRTEMaster[[#This Row],[VORP]],TableWRTEMaster[VORP])+COUNTIF($BJ$2:BJ163,BJ163)-1</f>
        <v>242</v>
      </c>
      <c r="BF163" s="115" t="str">
        <f>IFERROR(INDEX(TableWRVORP[WIDE RECEIVER],MATCH(TableWRTEMaster[[#This Row],[RK]],TableWRVORP[RK],0)),"")</f>
        <v>Gunner Olszewski</v>
      </c>
      <c r="BG163" s="115" t="str">
        <f>_xlfn.CONCAT(TableWRTEMaster[[#This Row],[POS]],TableWRTEMaster[[#This Row],[RK]])</f>
        <v>WR162</v>
      </c>
      <c r="BH163" s="115">
        <f>IFERROR(INDEX(TableWRVORP[BYE],MATCH(TableWRTEMaster[[#This Row],[RK]],TableWRVORP[RK],0)),"")</f>
        <v>11</v>
      </c>
      <c r="BI163" s="116">
        <f>IFERROR(INDEX(TableWRVORP[FPS],MATCH(TableWRTEMaster[[#This Row],[RK]],TableWRVORP[RK],0)),"")</f>
        <v>11.028768729912445</v>
      </c>
      <c r="BJ163" s="117">
        <f>IFERROR(INDEX(TableWRVORP[VORP],MATCH(TableWRTEMaster[[#This Row],[RK]],TableWRVORP[RK],0)),"")</f>
        <v>-1.1101032310937122</v>
      </c>
    </row>
    <row r="164" spans="8:62" x14ac:dyDescent="0.2">
      <c r="H164">
        <v>163</v>
      </c>
      <c r="I164" s="112" t="str">
        <f>IFERROR(INDEX(TableRBCalcPts[PLAYER],MATCH(TableRBVORP[[#This Row],[RK]],TableRBCalcPts[RK],0)),"")</f>
        <v/>
      </c>
      <c r="J164" s="112" t="str">
        <f>IFERROR(INDEX(TableRBCalcPts[TM],MATCH(TableRBVORP[[#This Row],[RK]],TableRBCalcPts[RK],0)),"")</f>
        <v/>
      </c>
      <c r="K164" s="112" t="str">
        <f>IFERROR(INDEX(TableRBCalcPts[BYE],MATCH(TableRBVORP[[#This Row],[RK]],TableRBCalcPts[RK],0)),"")</f>
        <v/>
      </c>
      <c r="L164" s="113" t="str">
        <f>IFERROR(INDEX(TableRBCalcPts[Custom],MATCH(TableRBVORP[[#This Row],[RK]],TableRBCalcPts[RK],0)),"")</f>
        <v/>
      </c>
      <c r="M164" s="114" t="e">
        <f>(IFERROR((TableRBVORP[[#This Row],[FPS]]-INDEX(TableRBVORP[FPS],MATCH(RBVORPCalc,TableRBVORP[RK],0)))/INDEX(TableRBVORP[FPS],MATCH(RBVORPCalc,TableRBVORP[RK],0)),""))*0.8</f>
        <v>#VALUE!</v>
      </c>
      <c r="O164">
        <v>163</v>
      </c>
      <c r="P164" s="112" t="str">
        <f>IFERROR(INDEX(TableWRCalcPts[PLAYER],MATCH(TableWRVORP[[#This Row],[RK]],TableWRCalcPts[RK],0)),"")</f>
        <v>Britain Covey</v>
      </c>
      <c r="Q164" s="112" t="str">
        <f>IFERROR(INDEX(TableWRCalcPts[TM],MATCH(TableWRVORP[[#This Row],[RK]],TableWRCalcPts[RK],0)),"")</f>
        <v>PHI</v>
      </c>
      <c r="R164" s="112">
        <f>IFERROR(INDEX(TableWRCalcPts[BYE],MATCH(TableWRVORP[[#This Row],[RK]],TableWRCalcPts[RK],0)),"")</f>
        <v>5</v>
      </c>
      <c r="S164" s="113">
        <f>IFERROR(INDEX(TableWRCalcPts[Custom],MATCH(TableWRVORP[[#This Row],[RK]],TableWRCalcPts[RK],0)),"")</f>
        <v>10.576269518762009</v>
      </c>
      <c r="T164" s="114">
        <f>(IFERROR((TableWRVORP[[#This Row],[FPS]]-INDEX(TableWRVORP[FPS],MATCH(WRVORPCalc,TableWRVORP[RK],0)))/INDEX(TableWRVORP[FPS],MATCH(WRVORPCalc,TableWRVORP[RK],0)),""))*1.2</f>
        <v>-1.1137916044752973</v>
      </c>
      <c r="AF164" t="s">
        <v>208</v>
      </c>
      <c r="AG164">
        <v>23</v>
      </c>
      <c r="AH164" s="83">
        <f>RANK(TableOverallMaster[[#This Row],[VORP]],TableOverallMaster[VORP])+COUNTIF($AM$2:AM164,AM164)-1</f>
        <v>58</v>
      </c>
      <c r="AI164" s="115" t="str">
        <f>IFERROR(INDEX(TableWRVORP[WIDE RECEIVER],MATCH(TableOverallMaster[[#This Row],[RK]],TableWRVORP[RK],0)),"")</f>
        <v>Garrett Wilson</v>
      </c>
      <c r="AJ164" s="115" t="str">
        <f t="shared" si="2"/>
        <v>WR23</v>
      </c>
      <c r="AK164" s="115">
        <f>IFERROR(INDEX(TableWRVORP[BYE],MATCH(TableOverallMaster[[#This Row],[RK]],TableWRVORP[RK],0)),"")</f>
        <v>12</v>
      </c>
      <c r="AL164" s="116">
        <f>IFERROR(INDEX(TableWRVORP[FPS],MATCH(TableOverallMaster[[#This Row],[RK]],TableWRVORP[RK],0)),"")</f>
        <v>191.61840654680199</v>
      </c>
      <c r="AM164" s="117">
        <f>IFERROR(INDEX(TableWRVORP[VORP],MATCH(TableOverallMaster[[#This Row],[RK]],TableWRVORP[RK],0)),"")</f>
        <v>0.36190378394721234</v>
      </c>
      <c r="AO164">
        <v>163</v>
      </c>
      <c r="AP164" s="118" t="str">
        <f>IFERROR(INDEX(TableOverallMaster[OVERALL PLAYER],MATCH(TableOverallRank[[#This Row],[RK]],TableOverallMaster[OVR RK],0)),"")</f>
        <v>Hunter Henry</v>
      </c>
      <c r="AQ164" s="119" t="str">
        <f>IFERROR(INDEX(TableOverallMaster[POS RK],MATCH(TableOverallRank[[#This Row],[OVERALL PLAYER]],TableOverallMaster[OVERALL PLAYER],0)),"")</f>
        <v>TE15</v>
      </c>
      <c r="AR164" s="120">
        <f>IFERROR(INDEX(TableOverallMaster[BYE],MATCH(TableOverallRank[[#This Row],[OVERALL PLAYER]],TableOverallMaster[OVERALL PLAYER],0)),"")</f>
        <v>14</v>
      </c>
      <c r="AS164" s="119">
        <f>IFERROR(INDEX(TableOverallMaster[Custom],MATCH(TableOverallRank[[#This Row],[OVERALL PLAYER]],TableOverallMaster[OVERALL PLAYER],0)),"")</f>
        <v>101.64388453660112</v>
      </c>
      <c r="AT164" s="121">
        <f>IFERROR(INDEX(TableOverallMaster[VORP],MATCH(TableOverallRank[[#This Row],[OVERALL PLAYER]],TableOverallMaster[OVERALL PLAYER],0)),"")</f>
        <v>-0.22785905379616542</v>
      </c>
      <c r="AV164">
        <v>163</v>
      </c>
      <c r="AW164" s="122" t="str">
        <f>IFERROR(INDEX(TableWRTECalcPts[PLAYER],MATCH(TableWRTERank[[#This Row],[RK]],TableWRTECalcPts[RK],0)),"")</f>
        <v>Austin Hooper</v>
      </c>
      <c r="AX164" s="122" t="str">
        <f>IFERROR(INDEX(TableWRTECalcPts[POS RK],MATCH(TableWRTERank[[#This Row],[WR and TE COMBINED]],TableWRTECalcPts[PLAYER],0)),"")</f>
        <v>TE47</v>
      </c>
      <c r="AY164" s="122">
        <f>IFERROR(INDEX(TableWRTECalcPts[BYE],MATCH(TableWRTERank[[#This Row],[RK]],TableWRTECalcPts[RK],0)),"")</f>
        <v>14</v>
      </c>
      <c r="AZ164" s="123">
        <f>IFERROR(INDEX(TableWRTECalcPts[Custom],MATCH(TableWRTERank[[#This Row],[RK]],TableWRTECalcPts[RK],0)),"")</f>
        <v>35.870510360635265</v>
      </c>
      <c r="BA164" s="174">
        <f>IFERROR((TableWRTERank[[#This Row],[FPS]]-INDEX(TableWRTERank[FPS],MATCH(WRTEVORPCalc,TableWRTERank[RK],0)))/INDEX(TableWRTERank[FPS],MATCH(WRTEVORPCalc,TableWRTERank[RK],0)),"")</f>
        <v>-0.77141344651198296</v>
      </c>
      <c r="BC164" t="s">
        <v>208</v>
      </c>
      <c r="BD164">
        <v>163</v>
      </c>
      <c r="BE164" s="83">
        <f>RANK(TableWRTEMaster[[#This Row],[VORP]],TableWRTEMaster[VORP])+COUNTIF($BJ$2:BJ164,BJ164)-1</f>
        <v>243</v>
      </c>
      <c r="BF164" s="115" t="str">
        <f>IFERROR(INDEX(TableWRVORP[WIDE RECEIVER],MATCH(TableWRTEMaster[[#This Row],[RK]],TableWRVORP[RK],0)),"")</f>
        <v>Britain Covey</v>
      </c>
      <c r="BG164" s="115" t="str">
        <f>_xlfn.CONCAT(TableWRTEMaster[[#This Row],[POS]],TableWRTEMaster[[#This Row],[RK]])</f>
        <v>WR163</v>
      </c>
      <c r="BH164" s="115">
        <f>IFERROR(INDEX(TableWRVORP[BYE],MATCH(TableWRTEMaster[[#This Row],[RK]],TableWRVORP[RK],0)),"")</f>
        <v>5</v>
      </c>
      <c r="BI164" s="116">
        <f>IFERROR(INDEX(TableWRVORP[FPS],MATCH(TableWRTEMaster[[#This Row],[RK]],TableWRVORP[RK],0)),"")</f>
        <v>10.576269518762009</v>
      </c>
      <c r="BJ164" s="117">
        <f>IFERROR(INDEX(TableWRVORP[VORP],MATCH(TableWRTEMaster[[#This Row],[RK]],TableWRVORP[RK],0)),"")</f>
        <v>-1.1137916044752973</v>
      </c>
    </row>
    <row r="165" spans="8:62" x14ac:dyDescent="0.2">
      <c r="H165">
        <v>164</v>
      </c>
      <c r="I165" s="112" t="str">
        <f>IFERROR(INDEX(TableRBCalcPts[PLAYER],MATCH(TableRBVORP[[#This Row],[RK]],TableRBCalcPts[RK],0)),"")</f>
        <v/>
      </c>
      <c r="J165" s="112" t="str">
        <f>IFERROR(INDEX(TableRBCalcPts[TM],MATCH(TableRBVORP[[#This Row],[RK]],TableRBCalcPts[RK],0)),"")</f>
        <v/>
      </c>
      <c r="K165" s="112" t="str">
        <f>IFERROR(INDEX(TableRBCalcPts[BYE],MATCH(TableRBVORP[[#This Row],[RK]],TableRBCalcPts[RK],0)),"")</f>
        <v/>
      </c>
      <c r="L165" s="113" t="str">
        <f>IFERROR(INDEX(TableRBCalcPts[Custom],MATCH(TableRBVORP[[#This Row],[RK]],TableRBCalcPts[RK],0)),"")</f>
        <v/>
      </c>
      <c r="M165" s="114" t="e">
        <f>(IFERROR((TableRBVORP[[#This Row],[FPS]]-INDEX(TableRBVORP[FPS],MATCH(RBVORPCalc,TableRBVORP[RK],0)))/INDEX(TableRBVORP[FPS],MATCH(RBVORPCalc,TableRBVORP[RK],0)),""))*0.8</f>
        <v>#VALUE!</v>
      </c>
      <c r="O165">
        <v>164</v>
      </c>
      <c r="P165" s="112" t="str">
        <f>IFERROR(INDEX(TableWRCalcPts[PLAYER],MATCH(TableWRVORP[[#This Row],[RK]],TableWRCalcPts[RK],0)),"")</f>
        <v>Zach Pascal</v>
      </c>
      <c r="Q165" s="112" t="str">
        <f>IFERROR(INDEX(TableWRCalcPts[TM],MATCH(TableWRVORP[[#This Row],[RK]],TableWRCalcPts[RK],0)),"")</f>
        <v>ARI</v>
      </c>
      <c r="R165" s="112">
        <f>IFERROR(INDEX(TableWRCalcPts[BYE],MATCH(TableWRVORP[[#This Row],[RK]],TableWRCalcPts[RK],0)),"")</f>
        <v>11</v>
      </c>
      <c r="S165" s="113">
        <f>IFERROR(INDEX(TableWRCalcPts[Custom],MATCH(TableWRVORP[[#This Row],[RK]],TableWRCalcPts[RK],0)),"")</f>
        <v>9.377240640284997</v>
      </c>
      <c r="T165" s="114">
        <f>(IFERROR((TableWRVORP[[#This Row],[FPS]]-INDEX(TableWRVORP[FPS],MATCH(WRVORPCalc,TableWRVORP[RK],0)))/INDEX(TableWRVORP[FPS],MATCH(WRVORPCalc,TableWRVORP[RK],0)),""))*1.2</f>
        <v>-1.1235650274783626</v>
      </c>
      <c r="AF165" t="s">
        <v>208</v>
      </c>
      <c r="AG165">
        <v>24</v>
      </c>
      <c r="AH165" s="83">
        <f>RANK(TableOverallMaster[[#This Row],[VORP]],TableOverallMaster[VORP])+COUNTIF($AM$2:AM165,AM165)-1</f>
        <v>59</v>
      </c>
      <c r="AI165" s="115" t="str">
        <f>IFERROR(INDEX(TableWRVORP[WIDE RECEIVER],MATCH(TableOverallMaster[[#This Row],[RK]],TableWRVORP[RK],0)),"")</f>
        <v>Chris Olave</v>
      </c>
      <c r="AJ165" s="115" t="str">
        <f t="shared" si="2"/>
        <v>WR24</v>
      </c>
      <c r="AK165" s="115">
        <f>IFERROR(INDEX(TableWRVORP[BYE],MATCH(TableOverallMaster[[#This Row],[RK]],TableWRVORP[RK],0)),"")</f>
        <v>12</v>
      </c>
      <c r="AL165" s="116">
        <f>IFERROR(INDEX(TableWRVORP[FPS],MATCH(TableOverallMaster[[#This Row],[RK]],TableWRVORP[RK],0)),"")</f>
        <v>191.5147230908091</v>
      </c>
      <c r="AM165" s="117">
        <f>IFERROR(INDEX(TableWRVORP[VORP],MATCH(TableOverallMaster[[#This Row],[RK]],TableWRVORP[RK],0)),"")</f>
        <v>0.36105864811101346</v>
      </c>
      <c r="AO165">
        <v>164</v>
      </c>
      <c r="AP165" s="118" t="str">
        <f>IFERROR(INDEX(TableOverallMaster[OVERALL PLAYER],MATCH(TableOverallRank[[#This Row],[RK]],TableOverallMaster[OVR RK],0)),"")</f>
        <v>Dalvin Cook</v>
      </c>
      <c r="AQ165" s="119" t="str">
        <f>IFERROR(INDEX(TableOverallMaster[POS RK],MATCH(TableOverallRank[[#This Row],[OVERALL PLAYER]],TableOverallMaster[OVERALL PLAYER],0)),"")</f>
        <v>RB53</v>
      </c>
      <c r="AR165" s="120">
        <f>IFERROR(INDEX(TableOverallMaster[BYE],MATCH(TableOverallRank[[#This Row],[OVERALL PLAYER]],TableOverallMaster[OVERALL PLAYER],0)),"")</f>
        <v>7</v>
      </c>
      <c r="AS165" s="119">
        <f>IFERROR(INDEX(TableOverallMaster[Custom],MATCH(TableOverallRank[[#This Row],[OVERALL PLAYER]],TableOverallMaster[OVERALL PLAYER],0)),"")</f>
        <v>85.244686888648587</v>
      </c>
      <c r="AT165" s="121">
        <f>IFERROR(INDEX(TableOverallMaster[VORP],MATCH(TableOverallRank[[#This Row],[OVERALL PLAYER]],TableOverallMaster[OVERALL PLAYER],0)),"")</f>
        <v>-0.23128918590754438</v>
      </c>
      <c r="AV165">
        <v>164</v>
      </c>
      <c r="AW165" s="122" t="str">
        <f>IFERROR(INDEX(TableWRTECalcPts[PLAYER],MATCH(TableWRTERank[[#This Row],[RK]],TableWRTECalcPts[RK],0)),"")</f>
        <v>Zay Jones</v>
      </c>
      <c r="AX165" s="122" t="str">
        <f>IFERROR(INDEX(TableWRTECalcPts[POS RK],MATCH(TableWRTERank[[#This Row],[WR and TE COMBINED]],TableWRTECalcPts[PLAYER],0)),"")</f>
        <v>WR117</v>
      </c>
      <c r="AY165" s="122">
        <f>IFERROR(INDEX(TableWRTECalcPts[BYE],MATCH(TableWRTERank[[#This Row],[RK]],TableWRTECalcPts[RK],0)),"")</f>
        <v>11</v>
      </c>
      <c r="AZ165" s="123">
        <f>IFERROR(INDEX(TableWRTECalcPts[Custom],MATCH(TableWRTERank[[#This Row],[RK]],TableWRTECalcPts[RK],0)),"")</f>
        <v>34.491975864600278</v>
      </c>
      <c r="BA165" s="174">
        <f>IFERROR((TableWRTERank[[#This Row],[FPS]]-INDEX(TableWRTERank[FPS],MATCH(WRTEVORPCalc,TableWRTERank[RK],0)))/INDEX(TableWRTERank[FPS],MATCH(WRTEVORPCalc,TableWRTERank[RK],0)),"")</f>
        <v>-0.78019822392788474</v>
      </c>
      <c r="BC165" t="s">
        <v>208</v>
      </c>
      <c r="BD165">
        <v>164</v>
      </c>
      <c r="BE165" s="83">
        <f>RANK(TableWRTEMaster[[#This Row],[VORP]],TableWRTEMaster[VORP])+COUNTIF($BJ$2:BJ165,BJ165)-1</f>
        <v>244</v>
      </c>
      <c r="BF165" s="115" t="str">
        <f>IFERROR(INDEX(TableWRVORP[WIDE RECEIVER],MATCH(TableWRTEMaster[[#This Row],[RK]],TableWRVORP[RK],0)),"")</f>
        <v>Zach Pascal</v>
      </c>
      <c r="BG165" s="115" t="str">
        <f>_xlfn.CONCAT(TableWRTEMaster[[#This Row],[POS]],TableWRTEMaster[[#This Row],[RK]])</f>
        <v>WR164</v>
      </c>
      <c r="BH165" s="115">
        <f>IFERROR(INDEX(TableWRVORP[BYE],MATCH(TableWRTEMaster[[#This Row],[RK]],TableWRVORP[RK],0)),"")</f>
        <v>11</v>
      </c>
      <c r="BI165" s="116">
        <f>IFERROR(INDEX(TableWRVORP[FPS],MATCH(TableWRTEMaster[[#This Row],[RK]],TableWRVORP[RK],0)),"")</f>
        <v>9.377240640284997</v>
      </c>
      <c r="BJ165" s="117">
        <f>IFERROR(INDEX(TableWRVORP[VORP],MATCH(TableWRTEMaster[[#This Row],[RK]],TableWRVORP[RK],0)),"")</f>
        <v>-1.1235650274783626</v>
      </c>
    </row>
    <row r="166" spans="8:62" x14ac:dyDescent="0.2">
      <c r="H166">
        <v>165</v>
      </c>
      <c r="I166" s="112" t="str">
        <f>IFERROR(INDEX(TableRBCalcPts[PLAYER],MATCH(TableRBVORP[[#This Row],[RK]],TableRBCalcPts[RK],0)),"")</f>
        <v/>
      </c>
      <c r="J166" s="112" t="str">
        <f>IFERROR(INDEX(TableRBCalcPts[TM],MATCH(TableRBVORP[[#This Row],[RK]],TableRBCalcPts[RK],0)),"")</f>
        <v/>
      </c>
      <c r="K166" s="112" t="str">
        <f>IFERROR(INDEX(TableRBCalcPts[BYE],MATCH(TableRBVORP[[#This Row],[RK]],TableRBCalcPts[RK],0)),"")</f>
        <v/>
      </c>
      <c r="L166" s="113" t="str">
        <f>IFERROR(INDEX(TableRBCalcPts[Custom],MATCH(TableRBVORP[[#This Row],[RK]],TableRBCalcPts[RK],0)),"")</f>
        <v/>
      </c>
      <c r="M166" s="114" t="e">
        <f>(IFERROR((TableRBVORP[[#This Row],[FPS]]-INDEX(TableRBVORP[FPS],MATCH(RBVORPCalc,TableRBVORP[RK],0)))/INDEX(TableRBVORP[FPS],MATCH(RBVORPCalc,TableRBVORP[RK],0)),""))*0.8</f>
        <v>#VALUE!</v>
      </c>
      <c r="O166">
        <v>165</v>
      </c>
      <c r="P166" s="112" t="str">
        <f>IFERROR(INDEX(TableWRCalcPts[PLAYER],MATCH(TableWRVORP[[#This Row],[RK]],TableWRCalcPts[RK],0)),"")</f>
        <v>Kameron Johnson</v>
      </c>
      <c r="Q166" s="112" t="str">
        <f>IFERROR(INDEX(TableWRCalcPts[TM],MATCH(TableWRVORP[[#This Row],[RK]],TableWRCalcPts[RK],0)),"")</f>
        <v>TB</v>
      </c>
      <c r="R166" s="112">
        <f>IFERROR(INDEX(TableWRCalcPts[BYE],MATCH(TableWRVORP[[#This Row],[RK]],TableWRCalcPts[RK],0)),"")</f>
        <v>11</v>
      </c>
      <c r="S166" s="113">
        <f>IFERROR(INDEX(TableWRCalcPts[Custom],MATCH(TableWRVORP[[#This Row],[RK]],TableWRCalcPts[RK],0)),"")</f>
        <v>9.0625465750914227</v>
      </c>
      <c r="T166" s="114">
        <f>(IFERROR((TableWRVORP[[#This Row],[FPS]]-INDEX(TableWRVORP[FPS],MATCH(WRVORPCalc,TableWRVORP[RK],0)))/INDEX(TableWRVORP[FPS],MATCH(WRVORPCalc,TableWRVORP[RK],0)),""))*1.2</f>
        <v>-1.1261301351841901</v>
      </c>
      <c r="AF166" t="s">
        <v>208</v>
      </c>
      <c r="AG166">
        <v>25</v>
      </c>
      <c r="AH166" s="83">
        <f>RANK(TableOverallMaster[[#This Row],[VORP]],TableOverallMaster[VORP])+COUNTIF($AM$2:AM166,AM166)-1</f>
        <v>62</v>
      </c>
      <c r="AI166" s="115" t="str">
        <f>IFERROR(INDEX(TableWRVORP[WIDE RECEIVER],MATCH(TableOverallMaster[[#This Row],[RK]],TableWRVORP[RK],0)),"")</f>
        <v>George Pickens</v>
      </c>
      <c r="AJ166" s="115" t="str">
        <f t="shared" si="2"/>
        <v>WR25</v>
      </c>
      <c r="AK166" s="115">
        <f>IFERROR(INDEX(TableWRVORP[BYE],MATCH(TableOverallMaster[[#This Row],[RK]],TableWRVORP[RK],0)),"")</f>
        <v>9</v>
      </c>
      <c r="AL166" s="116">
        <f>IFERROR(INDEX(TableWRVORP[FPS],MATCH(TableOverallMaster[[#This Row],[RK]],TableWRVORP[RK],0)),"")</f>
        <v>189.09560213560073</v>
      </c>
      <c r="AM166" s="117">
        <f>IFERROR(INDEX(TableWRVORP[VORP],MATCH(TableOverallMaster[[#This Row],[RK]],TableWRVORP[RK],0)),"")</f>
        <v>0.3413401135408855</v>
      </c>
      <c r="AO166">
        <v>165</v>
      </c>
      <c r="AP166" s="118" t="str">
        <f>IFERROR(INDEX(TableOverallMaster[OVERALL PLAYER],MATCH(TableOverallRank[[#This Row],[RK]],TableOverallMaster[OVR RK],0)),"")</f>
        <v>Josh Downs</v>
      </c>
      <c r="AQ166" s="119" t="str">
        <f>IFERROR(INDEX(TableOverallMaster[POS RK],MATCH(TableOverallRank[[#This Row],[OVERALL PLAYER]],TableOverallMaster[OVERALL PLAYER],0)),"")</f>
        <v>WR69</v>
      </c>
      <c r="AR166" s="120">
        <f>IFERROR(INDEX(TableOverallMaster[BYE],MATCH(TableOverallRank[[#This Row],[OVERALL PLAYER]],TableOverallMaster[OVERALL PLAYER],0)),"")</f>
        <v>14</v>
      </c>
      <c r="AS166" s="119">
        <f>IFERROR(INDEX(TableOverallMaster[Custom],MATCH(TableOverallRank[[#This Row],[OVERALL PLAYER]],TableOverallMaster[OVERALL PLAYER],0)),"")</f>
        <v>118.20034773366744</v>
      </c>
      <c r="AT166" s="121">
        <f>IFERROR(INDEX(TableOverallMaster[VORP],MATCH(TableOverallRank[[#This Row],[OVERALL PLAYER]],TableOverallMaster[OVERALL PLAYER],0)),"")</f>
        <v>-0.23653530098634123</v>
      </c>
      <c r="AV166">
        <v>165</v>
      </c>
      <c r="AW166" s="122" t="str">
        <f>IFERROR(INDEX(TableWRTECalcPts[PLAYER],MATCH(TableWRTERank[[#This Row],[RK]],TableWRTECalcPts[RK],0)),"")</f>
        <v>Jake Bobo</v>
      </c>
      <c r="AX166" s="122" t="str">
        <f>IFERROR(INDEX(TableWRTECalcPts[POS RK],MATCH(TableWRTERank[[#This Row],[WR and TE COMBINED]],TableWRTECalcPts[PLAYER],0)),"")</f>
        <v>WR118</v>
      </c>
      <c r="AY166" s="122">
        <f>IFERROR(INDEX(TableWRTECalcPts[BYE],MATCH(TableWRTERank[[#This Row],[RK]],TableWRTECalcPts[RK],0)),"")</f>
        <v>10</v>
      </c>
      <c r="AZ166" s="123">
        <f>IFERROR(INDEX(TableWRTECalcPts[Custom],MATCH(TableWRTERank[[#This Row],[RK]],TableWRTECalcPts[RK],0)),"")</f>
        <v>34.341331834367637</v>
      </c>
      <c r="BA166" s="174">
        <f>IFERROR((TableWRTERank[[#This Row],[FPS]]-INDEX(TableWRTERank[FPS],MATCH(WRTEVORPCalc,TableWRTERank[RK],0)))/INDEX(TableWRTERank[FPS],MATCH(WRTEVORPCalc,TableWRTERank[RK],0)),"")</f>
        <v>-0.78115821026006171</v>
      </c>
      <c r="BC166" t="s">
        <v>208</v>
      </c>
      <c r="BD166">
        <v>165</v>
      </c>
      <c r="BE166" s="83">
        <f>RANK(TableWRTEMaster[[#This Row],[VORP]],TableWRTEMaster[VORP])+COUNTIF($BJ$2:BJ166,BJ166)-1</f>
        <v>245</v>
      </c>
      <c r="BF166" s="115" t="str">
        <f>IFERROR(INDEX(TableWRVORP[WIDE RECEIVER],MATCH(TableWRTEMaster[[#This Row],[RK]],TableWRVORP[RK],0)),"")</f>
        <v>Kameron Johnson</v>
      </c>
      <c r="BG166" s="115" t="str">
        <f>_xlfn.CONCAT(TableWRTEMaster[[#This Row],[POS]],TableWRTEMaster[[#This Row],[RK]])</f>
        <v>WR165</v>
      </c>
      <c r="BH166" s="115">
        <f>IFERROR(INDEX(TableWRVORP[BYE],MATCH(TableWRTEMaster[[#This Row],[RK]],TableWRVORP[RK],0)),"")</f>
        <v>11</v>
      </c>
      <c r="BI166" s="116">
        <f>IFERROR(INDEX(TableWRVORP[FPS],MATCH(TableWRTEMaster[[#This Row],[RK]],TableWRVORP[RK],0)),"")</f>
        <v>9.0625465750914227</v>
      </c>
      <c r="BJ166" s="117">
        <f>IFERROR(INDEX(TableWRVORP[VORP],MATCH(TableWRTEMaster[[#This Row],[RK]],TableWRVORP[RK],0)),"")</f>
        <v>-1.1261301351841901</v>
      </c>
    </row>
    <row r="167" spans="8:62" x14ac:dyDescent="0.2">
      <c r="H167">
        <v>166</v>
      </c>
      <c r="I167" s="112" t="str">
        <f>IFERROR(INDEX(TableRBCalcPts[PLAYER],MATCH(TableRBVORP[[#This Row],[RK]],TableRBCalcPts[RK],0)),"")</f>
        <v/>
      </c>
      <c r="J167" s="112" t="str">
        <f>IFERROR(INDEX(TableRBCalcPts[TM],MATCH(TableRBVORP[[#This Row],[RK]],TableRBCalcPts[RK],0)),"")</f>
        <v/>
      </c>
      <c r="K167" s="112" t="str">
        <f>IFERROR(INDEX(TableRBCalcPts[BYE],MATCH(TableRBVORP[[#This Row],[RK]],TableRBCalcPts[RK],0)),"")</f>
        <v/>
      </c>
      <c r="L167" s="113" t="str">
        <f>IFERROR(INDEX(TableRBCalcPts[Custom],MATCH(TableRBVORP[[#This Row],[RK]],TableRBCalcPts[RK],0)),"")</f>
        <v/>
      </c>
      <c r="M167" s="114" t="e">
        <f>(IFERROR((TableRBVORP[[#This Row],[FPS]]-INDEX(TableRBVORP[FPS],MATCH(RBVORPCalc,TableRBVORP[RK],0)))/INDEX(TableRBVORP[FPS],MATCH(RBVORPCalc,TableRBVORP[RK],0)),""))*0.8</f>
        <v>#VALUE!</v>
      </c>
      <c r="O167">
        <v>166</v>
      </c>
      <c r="P167" s="112" t="str">
        <f>IFERROR(INDEX(TableWRCalcPts[PLAYER],MATCH(TableWRVORP[[#This Row],[RK]],TableWRCalcPts[RK],0)),"")</f>
        <v>Danny Gray</v>
      </c>
      <c r="Q167" s="112" t="str">
        <f>IFERROR(INDEX(TableWRCalcPts[TM],MATCH(TableWRVORP[[#This Row],[RK]],TableWRCalcPts[RK],0)),"")</f>
        <v>SF</v>
      </c>
      <c r="R167" s="112">
        <f>IFERROR(INDEX(TableWRCalcPts[BYE],MATCH(TableWRVORP[[#This Row],[RK]],TableWRCalcPts[RK],0)),"")</f>
        <v>9</v>
      </c>
      <c r="S167" s="113">
        <f>IFERROR(INDEX(TableWRCalcPts[Custom],MATCH(TableWRVORP[[#This Row],[RK]],TableWRCalcPts[RK],0)),"")</f>
        <v>8.5978939176899996</v>
      </c>
      <c r="T167" s="114">
        <f>(IFERROR((TableWRVORP[[#This Row],[FPS]]-INDEX(TableWRVORP[FPS],MATCH(WRVORPCalc,TableWRVORP[RK],0)))/INDEX(TableWRVORP[FPS],MATCH(WRVORPCalc,TableWRVORP[RK],0)),""))*1.2</f>
        <v>-1.1299175727111752</v>
      </c>
      <c r="AF167" t="s">
        <v>208</v>
      </c>
      <c r="AG167">
        <v>26</v>
      </c>
      <c r="AH167" s="83">
        <f>RANK(TableOverallMaster[[#This Row],[VORP]],TableOverallMaster[VORP])+COUNTIF($AM$2:AM167,AM167)-1</f>
        <v>63</v>
      </c>
      <c r="AI167" s="115" t="str">
        <f>IFERROR(INDEX(TableWRVORP[WIDE RECEIVER],MATCH(TableOverallMaster[[#This Row],[RK]],TableWRVORP[RK],0)),"")</f>
        <v>Malik Nabers</v>
      </c>
      <c r="AJ167" s="115" t="str">
        <f t="shared" si="2"/>
        <v>WR26</v>
      </c>
      <c r="AK167" s="115">
        <f>IFERROR(INDEX(TableWRVORP[BYE],MATCH(TableOverallMaster[[#This Row],[RK]],TableWRVORP[RK],0)),"")</f>
        <v>11</v>
      </c>
      <c r="AL167" s="116">
        <f>IFERROR(INDEX(TableWRVORP[FPS],MATCH(TableOverallMaster[[#This Row],[RK]],TableWRVORP[RK],0)),"")</f>
        <v>188.23503874057269</v>
      </c>
      <c r="AM167" s="117">
        <f>IFERROR(INDEX(TableWRVORP[VORP],MATCH(TableOverallMaster[[#This Row],[RK]],TableWRVORP[RK],0)),"")</f>
        <v>0.33432556182195938</v>
      </c>
      <c r="AO167">
        <v>166</v>
      </c>
      <c r="AP167" s="118" t="str">
        <f>IFERROR(INDEX(TableOverallMaster[OVERALL PLAYER],MATCH(TableOverallRank[[#This Row],[RK]],TableOverallMaster[OVR RK],0)),"")</f>
        <v>Alexander Mattison</v>
      </c>
      <c r="AQ167" s="119" t="str">
        <f>IFERROR(INDEX(TableOverallMaster[POS RK],MATCH(TableOverallRank[[#This Row],[OVERALL PLAYER]],TableOverallMaster[OVERALL PLAYER],0)),"")</f>
        <v>RB54</v>
      </c>
      <c r="AR167" s="120">
        <f>IFERROR(INDEX(TableOverallMaster[BYE],MATCH(TableOverallRank[[#This Row],[OVERALL PLAYER]],TableOverallMaster[OVERALL PLAYER],0)),"")</f>
        <v>10</v>
      </c>
      <c r="AS167" s="119">
        <f>IFERROR(INDEX(TableOverallMaster[Custom],MATCH(TableOverallRank[[#This Row],[OVERALL PLAYER]],TableOverallMaster[OVERALL PLAYER],0)),"")</f>
        <v>84.163578560068146</v>
      </c>
      <c r="AT167" s="121">
        <f>IFERROR(INDEX(TableOverallMaster[VORP],MATCH(TableOverallRank[[#This Row],[OVERALL PLAYER]],TableOverallMaster[OVERALL PLAYER],0)),"")</f>
        <v>-0.23850181135213375</v>
      </c>
      <c r="AV167">
        <v>166</v>
      </c>
      <c r="AW167" s="122" t="str">
        <f>IFERROR(INDEX(TableWRTECalcPts[PLAYER],MATCH(TableWRTERank[[#This Row],[RK]],TableWRTECalcPts[RK],0)),"")</f>
        <v>Deonte Harty</v>
      </c>
      <c r="AX167" s="122" t="str">
        <f>IFERROR(INDEX(TableWRTECalcPts[POS RK],MATCH(TableWRTERank[[#This Row],[WR and TE COMBINED]],TableWRTECalcPts[PLAYER],0)),"")</f>
        <v>WR119</v>
      </c>
      <c r="AY167" s="122">
        <f>IFERROR(INDEX(TableWRTECalcPts[BYE],MATCH(TableWRTERank[[#This Row],[RK]],TableWRTECalcPts[RK],0)),"")</f>
        <v>14</v>
      </c>
      <c r="AZ167" s="123">
        <f>IFERROR(INDEX(TableWRTECalcPts[Custom],MATCH(TableWRTERank[[#This Row],[RK]],TableWRTECalcPts[RK],0)),"")</f>
        <v>33.714169441945884</v>
      </c>
      <c r="BA167" s="174">
        <f>IFERROR((TableWRTERank[[#This Row],[FPS]]-INDEX(TableWRTERank[FPS],MATCH(WRTEVORPCalc,TableWRTERank[RK],0)))/INDEX(TableWRTERank[FPS],MATCH(WRTEVORPCalc,TableWRTERank[RK],0)),"")</f>
        <v>-0.78515483278702514</v>
      </c>
      <c r="BC167" t="s">
        <v>208</v>
      </c>
      <c r="BD167">
        <v>166</v>
      </c>
      <c r="BE167" s="83">
        <f>RANK(TableWRTEMaster[[#This Row],[VORP]],TableWRTEMaster[VORP])+COUNTIF($BJ$2:BJ167,BJ167)-1</f>
        <v>246</v>
      </c>
      <c r="BF167" s="115" t="str">
        <f>IFERROR(INDEX(TableWRVORP[WIDE RECEIVER],MATCH(TableWRTEMaster[[#This Row],[RK]],TableWRVORP[RK],0)),"")</f>
        <v>Danny Gray</v>
      </c>
      <c r="BG167" s="115" t="str">
        <f>_xlfn.CONCAT(TableWRTEMaster[[#This Row],[POS]],TableWRTEMaster[[#This Row],[RK]])</f>
        <v>WR166</v>
      </c>
      <c r="BH167" s="115">
        <f>IFERROR(INDEX(TableWRVORP[BYE],MATCH(TableWRTEMaster[[#This Row],[RK]],TableWRVORP[RK],0)),"")</f>
        <v>9</v>
      </c>
      <c r="BI167" s="116">
        <f>IFERROR(INDEX(TableWRVORP[FPS],MATCH(TableWRTEMaster[[#This Row],[RK]],TableWRVORP[RK],0)),"")</f>
        <v>8.5978939176899996</v>
      </c>
      <c r="BJ167" s="117">
        <f>IFERROR(INDEX(TableWRVORP[VORP],MATCH(TableWRTEMaster[[#This Row],[RK]],TableWRVORP[RK],0)),"")</f>
        <v>-1.1299175727111752</v>
      </c>
    </row>
    <row r="168" spans="8:62" x14ac:dyDescent="0.2">
      <c r="H168">
        <v>167</v>
      </c>
      <c r="I168" s="112" t="str">
        <f>IFERROR(INDEX(TableRBCalcPts[PLAYER],MATCH(TableRBVORP[[#This Row],[RK]],TableRBCalcPts[RK],0)),"")</f>
        <v/>
      </c>
      <c r="J168" s="112" t="str">
        <f>IFERROR(INDEX(TableRBCalcPts[TM],MATCH(TableRBVORP[[#This Row],[RK]],TableRBCalcPts[RK],0)),"")</f>
        <v/>
      </c>
      <c r="K168" s="112" t="str">
        <f>IFERROR(INDEX(TableRBCalcPts[BYE],MATCH(TableRBVORP[[#This Row],[RK]],TableRBCalcPts[RK],0)),"")</f>
        <v/>
      </c>
      <c r="L168" s="113" t="str">
        <f>IFERROR(INDEX(TableRBCalcPts[Custom],MATCH(TableRBVORP[[#This Row],[RK]],TableRBCalcPts[RK],0)),"")</f>
        <v/>
      </c>
      <c r="M168" s="114" t="e">
        <f>(IFERROR((TableRBVORP[[#This Row],[FPS]]-INDEX(TableRBVORP[FPS],MATCH(RBVORPCalc,TableRBVORP[RK],0)))/INDEX(TableRBVORP[FPS],MATCH(RBVORPCalc,TableRBVORP[RK],0)),""))*0.8</f>
        <v>#VALUE!</v>
      </c>
      <c r="O168">
        <v>167</v>
      </c>
      <c r="P168" s="112" t="str">
        <f>IFERROR(INDEX(TableWRCalcPts[PLAYER],MATCH(TableWRVORP[[#This Row],[RK]],TableWRCalcPts[RK],0)),"")</f>
        <v>River Cracraft</v>
      </c>
      <c r="Q168" s="112" t="str">
        <f>IFERROR(INDEX(TableWRCalcPts[TM],MATCH(TableWRVORP[[#This Row],[RK]],TableWRCalcPts[RK],0)),"")</f>
        <v>MIA</v>
      </c>
      <c r="R168" s="112">
        <f>IFERROR(INDEX(TableWRCalcPts[BYE],MATCH(TableWRVORP[[#This Row],[RK]],TableWRCalcPts[RK],0)),"")</f>
        <v>6</v>
      </c>
      <c r="S168" s="113">
        <f>IFERROR(INDEX(TableWRCalcPts[Custom],MATCH(TableWRVORP[[#This Row],[RK]],TableWRCalcPts[RK],0)),"")</f>
        <v>8.5156327785290653</v>
      </c>
      <c r="T168" s="114">
        <f>(IFERROR((TableWRVORP[[#This Row],[FPS]]-INDEX(TableWRVORP[FPS],MATCH(WRVORPCalc,TableWRVORP[RK],0)))/INDEX(TableWRVORP[FPS],MATCH(WRVORPCalc,TableWRVORP[RK],0)),""))*1.2</f>
        <v>-1.1305880927663343</v>
      </c>
      <c r="AF168" t="s">
        <v>208</v>
      </c>
      <c r="AG168">
        <v>27</v>
      </c>
      <c r="AH168" s="83">
        <f>RANK(TableOverallMaster[[#This Row],[VORP]],TableOverallMaster[VORP])+COUNTIF($AM$2:AM168,AM168)-1</f>
        <v>66</v>
      </c>
      <c r="AI168" s="115" t="str">
        <f>IFERROR(INDEX(TableWRVORP[WIDE RECEIVER],MATCH(TableOverallMaster[[#This Row],[RK]],TableWRVORP[RK],0)),"")</f>
        <v>Christian Kirk</v>
      </c>
      <c r="AJ168" s="115" t="str">
        <f t="shared" si="2"/>
        <v>WR27</v>
      </c>
      <c r="AK168" s="115">
        <f>IFERROR(INDEX(TableWRVORP[BYE],MATCH(TableOverallMaster[[#This Row],[RK]],TableWRVORP[RK],0)),"")</f>
        <v>12</v>
      </c>
      <c r="AL168" s="116">
        <f>IFERROR(INDEX(TableWRVORP[FPS],MATCH(TableOverallMaster[[#This Row],[RK]],TableWRVORP[RK],0)),"")</f>
        <v>185.57758003995784</v>
      </c>
      <c r="AM168" s="117">
        <f>IFERROR(INDEX(TableWRVORP[VORP],MATCH(TableOverallMaster[[#This Row],[RK]],TableWRVORP[RK],0)),"")</f>
        <v>0.31266430873581608</v>
      </c>
      <c r="AO168">
        <v>167</v>
      </c>
      <c r="AP168" s="118" t="str">
        <f>IFERROR(INDEX(TableOverallMaster[OVERALL PLAYER],MATCH(TableOverallRank[[#This Row],[RK]],TableOverallMaster[OVR RK],0)),"")</f>
        <v>Daniel Jones</v>
      </c>
      <c r="AQ168" s="119" t="str">
        <f>IFERROR(INDEX(TableOverallMaster[POS RK],MATCH(TableOverallRank[[#This Row],[OVERALL PLAYER]],TableOverallMaster[OVERALL PLAYER],0)),"")</f>
        <v>QB29</v>
      </c>
      <c r="AR168" s="120">
        <f>IFERROR(INDEX(TableOverallMaster[BYE],MATCH(TableOverallRank[[#This Row],[OVERALL PLAYER]],TableOverallMaster[OVERALL PLAYER],0)),"")</f>
        <v>11</v>
      </c>
      <c r="AS168" s="119">
        <f>IFERROR(INDEX(TableOverallMaster[Custom],MATCH(TableOverallRank[[#This Row],[OVERALL PLAYER]],TableOverallMaster[OVERALL PLAYER],0)),"")</f>
        <v>222.95186959043883</v>
      </c>
      <c r="AT168" s="121">
        <f>IFERROR(INDEX(TableOverallMaster[VORP],MATCH(TableOverallRank[[#This Row],[OVERALL PLAYER]],TableOverallMaster[OVERALL PLAYER],0)),"")</f>
        <v>-0.23898571644600183</v>
      </c>
      <c r="AV168">
        <v>167</v>
      </c>
      <c r="AW168" s="122" t="str">
        <f>IFERROR(INDEX(TableWRTECalcPts[PLAYER],MATCH(TableWRTERank[[#This Row],[RK]],TableWRTECalcPts[RK],0)),"")</f>
        <v>Cade Stover</v>
      </c>
      <c r="AX168" s="122" t="str">
        <f>IFERROR(INDEX(TableWRTECalcPts[POS RK],MATCH(TableWRTERank[[#This Row],[WR and TE COMBINED]],TableWRTECalcPts[PLAYER],0)),"")</f>
        <v>TE48</v>
      </c>
      <c r="AY168" s="122">
        <f>IFERROR(INDEX(TableWRTECalcPts[BYE],MATCH(TableWRTERank[[#This Row],[RK]],TableWRTECalcPts[RK],0)),"")</f>
        <v>14</v>
      </c>
      <c r="AZ168" s="123">
        <f>IFERROR(INDEX(TableWRTECalcPts[Custom],MATCH(TableWRTERank[[#This Row],[RK]],TableWRTECalcPts[RK],0)),"")</f>
        <v>32.672274321811308</v>
      </c>
      <c r="BA168" s="174">
        <f>IFERROR((TableWRTERank[[#This Row],[FPS]]-INDEX(TableWRTERank[FPS],MATCH(WRTEVORPCalc,TableWRTERank[RK],0)))/INDEX(TableWRTERank[FPS],MATCH(WRTEVORPCalc,TableWRTERank[RK],0)),"")</f>
        <v>-0.7917943595797331</v>
      </c>
      <c r="BC168" t="s">
        <v>208</v>
      </c>
      <c r="BD168">
        <v>167</v>
      </c>
      <c r="BE168" s="83">
        <f>RANK(TableWRTEMaster[[#This Row],[VORP]],TableWRTEMaster[VORP])+COUNTIF($BJ$2:BJ168,BJ168)-1</f>
        <v>247</v>
      </c>
      <c r="BF168" s="115" t="str">
        <f>IFERROR(INDEX(TableWRVORP[WIDE RECEIVER],MATCH(TableWRTEMaster[[#This Row],[RK]],TableWRVORP[RK],0)),"")</f>
        <v>River Cracraft</v>
      </c>
      <c r="BG168" s="115" t="str">
        <f>_xlfn.CONCAT(TableWRTEMaster[[#This Row],[POS]],TableWRTEMaster[[#This Row],[RK]])</f>
        <v>WR167</v>
      </c>
      <c r="BH168" s="115">
        <f>IFERROR(INDEX(TableWRVORP[BYE],MATCH(TableWRTEMaster[[#This Row],[RK]],TableWRVORP[RK],0)),"")</f>
        <v>6</v>
      </c>
      <c r="BI168" s="116">
        <f>IFERROR(INDEX(TableWRVORP[FPS],MATCH(TableWRTEMaster[[#This Row],[RK]],TableWRVORP[RK],0)),"")</f>
        <v>8.5156327785290653</v>
      </c>
      <c r="BJ168" s="117">
        <f>IFERROR(INDEX(TableWRVORP[VORP],MATCH(TableWRTEMaster[[#This Row],[RK]],TableWRVORP[RK],0)),"")</f>
        <v>-1.1305880927663343</v>
      </c>
    </row>
    <row r="169" spans="8:62" x14ac:dyDescent="0.2">
      <c r="H169">
        <v>168</v>
      </c>
      <c r="I169" s="112" t="str">
        <f>IFERROR(INDEX(TableRBCalcPts[PLAYER],MATCH(TableRBVORP[[#This Row],[RK]],TableRBCalcPts[RK],0)),"")</f>
        <v/>
      </c>
      <c r="J169" s="112" t="str">
        <f>IFERROR(INDEX(TableRBCalcPts[TM],MATCH(TableRBVORP[[#This Row],[RK]],TableRBCalcPts[RK],0)),"")</f>
        <v/>
      </c>
      <c r="K169" s="112" t="str">
        <f>IFERROR(INDEX(TableRBCalcPts[BYE],MATCH(TableRBVORP[[#This Row],[RK]],TableRBCalcPts[RK],0)),"")</f>
        <v/>
      </c>
      <c r="L169" s="113" t="str">
        <f>IFERROR(INDEX(TableRBCalcPts[Custom],MATCH(TableRBVORP[[#This Row],[RK]],TableRBCalcPts[RK],0)),"")</f>
        <v/>
      </c>
      <c r="M169" s="114" t="e">
        <f>(IFERROR((TableRBVORP[[#This Row],[FPS]]-INDEX(TableRBVORP[FPS],MATCH(RBVORPCalc,TableRBVORP[RK],0)))/INDEX(TableRBVORP[FPS],MATCH(RBVORPCalc,TableRBVORP[RK],0)),""))*0.8</f>
        <v>#VALUE!</v>
      </c>
      <c r="O169">
        <v>168</v>
      </c>
      <c r="P169" s="112" t="str">
        <f>IFERROR(INDEX(TableWRCalcPts[PLAYER],MATCH(TableWRVORP[[#This Row],[RK]],TableWRCalcPts[RK],0)),"")</f>
        <v>Dez Fitzpatrick</v>
      </c>
      <c r="Q169" s="112" t="str">
        <f>IFERROR(INDEX(TableWRCalcPts[TM],MATCH(TableWRVORP[[#This Row],[RK]],TableWRCalcPts[RK],0)),"")</f>
        <v>PIT</v>
      </c>
      <c r="R169" s="112">
        <f>IFERROR(INDEX(TableWRCalcPts[BYE],MATCH(TableWRVORP[[#This Row],[RK]],TableWRCalcPts[RK],0)),"")</f>
        <v>9</v>
      </c>
      <c r="S169" s="113">
        <f>IFERROR(INDEX(TableWRCalcPts[Custom],MATCH(TableWRVORP[[#This Row],[RK]],TableWRCalcPts[RK],0)),"")</f>
        <v>8.4999207711599993</v>
      </c>
      <c r="T169" s="114">
        <f>(IFERROR((TableWRVORP[[#This Row],[FPS]]-INDEX(TableWRVORP[FPS],MATCH(WRVORPCalc,TableWRVORP[RK],0)))/INDEX(TableWRVORP[FPS],MATCH(WRVORPCalc,TableWRVORP[RK],0)),""))*1.2</f>
        <v>-1.1307161631547975</v>
      </c>
      <c r="AF169" t="s">
        <v>208</v>
      </c>
      <c r="AG169">
        <v>28</v>
      </c>
      <c r="AH169" s="83">
        <f>RANK(TableOverallMaster[[#This Row],[VORP]],TableOverallMaster[VORP])+COUNTIF($AM$2:AM169,AM169)-1</f>
        <v>67</v>
      </c>
      <c r="AI169" s="115" t="str">
        <f>IFERROR(INDEX(TableWRVORP[WIDE RECEIVER],MATCH(TableOverallMaster[[#This Row],[RK]],TableWRVORP[RK],0)),"")</f>
        <v>Stefon Diggs</v>
      </c>
      <c r="AJ169" s="115" t="str">
        <f t="shared" si="2"/>
        <v>WR28</v>
      </c>
      <c r="AK169" s="115">
        <f>IFERROR(INDEX(TableWRVORP[BYE],MATCH(TableOverallMaster[[#This Row],[RK]],TableWRVORP[RK],0)),"")</f>
        <v>14</v>
      </c>
      <c r="AL169" s="116">
        <f>IFERROR(INDEX(TableWRVORP[FPS],MATCH(TableOverallMaster[[#This Row],[RK]],TableWRVORP[RK],0)),"")</f>
        <v>185.17442688786917</v>
      </c>
      <c r="AM169" s="117">
        <f>IFERROR(INDEX(TableWRVORP[VORP],MATCH(TableOverallMaster[[#This Row],[RK]],TableWRVORP[RK],0)),"")</f>
        <v>0.30937816078633018</v>
      </c>
      <c r="AO169">
        <v>168</v>
      </c>
      <c r="AP169" s="118" t="str">
        <f>IFERROR(INDEX(TableOverallMaster[OVERALL PLAYER],MATCH(TableOverallRank[[#This Row],[RK]],TableOverallMaster[OVR RK],0)),"")</f>
        <v>Cole Kmet</v>
      </c>
      <c r="AQ169" s="119" t="str">
        <f>IFERROR(INDEX(TableOverallMaster[POS RK],MATCH(TableOverallRank[[#This Row],[OVERALL PLAYER]],TableOverallMaster[OVERALL PLAYER],0)),"")</f>
        <v>TE16</v>
      </c>
      <c r="AR169" s="120">
        <f>IFERROR(INDEX(TableOverallMaster[BYE],MATCH(TableOverallRank[[#This Row],[OVERALL PLAYER]],TableOverallMaster[OVERALL PLAYER],0)),"")</f>
        <v>7</v>
      </c>
      <c r="AS169" s="119">
        <f>IFERROR(INDEX(TableOverallMaster[Custom],MATCH(TableOverallRank[[#This Row],[OVERALL PLAYER]],TableOverallMaster[OVERALL PLAYER],0)),"")</f>
        <v>99.558300157164425</v>
      </c>
      <c r="AT169" s="121">
        <f>IFERROR(INDEX(TableOverallMaster[VORP],MATCH(TableOverallRank[[#This Row],[OVERALL PLAYER]],TableOverallMaster[OVERALL PLAYER],0)),"")</f>
        <v>-0.24370226072856388</v>
      </c>
      <c r="AV169">
        <v>168</v>
      </c>
      <c r="AW169" s="122" t="str">
        <f>IFERROR(INDEX(TableWRTECalcPts[PLAYER],MATCH(TableWRTERank[[#This Row],[RK]],TableWRTECalcPts[RK],0)),"")</f>
        <v>JuJu Smith-Schuster</v>
      </c>
      <c r="AX169" s="122" t="str">
        <f>IFERROR(INDEX(TableWRTECalcPts[POS RK],MATCH(TableWRTERank[[#This Row],[WR and TE COMBINED]],TableWRTECalcPts[PLAYER],0)),"")</f>
        <v>WR120</v>
      </c>
      <c r="AY169" s="122">
        <f>IFERROR(INDEX(TableWRTECalcPts[BYE],MATCH(TableWRTERank[[#This Row],[RK]],TableWRTECalcPts[RK],0)),"")</f>
        <v>6</v>
      </c>
      <c r="AZ169" s="123">
        <f>IFERROR(INDEX(TableWRTECalcPts[Custom],MATCH(TableWRTERank[[#This Row],[RK]],TableWRTECalcPts[RK],0)),"")</f>
        <v>32.587761034751999</v>
      </c>
      <c r="BA169" s="174">
        <f>IFERROR((TableWRTERank[[#This Row],[FPS]]-INDEX(TableWRTERank[FPS],MATCH(WRTEVORPCalc,TableWRTERank[RK],0)))/INDEX(TableWRTERank[FPS],MATCH(WRTEVORPCalc,TableWRTERank[RK],0)),"")</f>
        <v>-0.79233292456859461</v>
      </c>
      <c r="BC169" t="s">
        <v>208</v>
      </c>
      <c r="BD169">
        <v>168</v>
      </c>
      <c r="BE169" s="83">
        <f>RANK(TableWRTEMaster[[#This Row],[VORP]],TableWRTEMaster[VORP])+COUNTIF($BJ$2:BJ169,BJ169)-1</f>
        <v>248</v>
      </c>
      <c r="BF169" s="115" t="str">
        <f>IFERROR(INDEX(TableWRVORP[WIDE RECEIVER],MATCH(TableWRTEMaster[[#This Row],[RK]],TableWRVORP[RK],0)),"")</f>
        <v>Dez Fitzpatrick</v>
      </c>
      <c r="BG169" s="115" t="str">
        <f>_xlfn.CONCAT(TableWRTEMaster[[#This Row],[POS]],TableWRTEMaster[[#This Row],[RK]])</f>
        <v>WR168</v>
      </c>
      <c r="BH169" s="115">
        <f>IFERROR(INDEX(TableWRVORP[BYE],MATCH(TableWRTEMaster[[#This Row],[RK]],TableWRVORP[RK],0)),"")</f>
        <v>9</v>
      </c>
      <c r="BI169" s="116">
        <f>IFERROR(INDEX(TableWRVORP[FPS],MATCH(TableWRTEMaster[[#This Row],[RK]],TableWRVORP[RK],0)),"")</f>
        <v>8.4999207711599993</v>
      </c>
      <c r="BJ169" s="117">
        <f>IFERROR(INDEX(TableWRVORP[VORP],MATCH(TableWRTEMaster[[#This Row],[RK]],TableWRVORP[RK],0)),"")</f>
        <v>-1.1307161631547975</v>
      </c>
    </row>
    <row r="170" spans="8:62" x14ac:dyDescent="0.2">
      <c r="H170">
        <v>169</v>
      </c>
      <c r="I170" s="112" t="str">
        <f>IFERROR(INDEX(TableRBCalcPts[PLAYER],MATCH(TableRBVORP[[#This Row],[RK]],TableRBCalcPts[RK],0)),"")</f>
        <v/>
      </c>
      <c r="J170" s="112" t="str">
        <f>IFERROR(INDEX(TableRBCalcPts[TM],MATCH(TableRBVORP[[#This Row],[RK]],TableRBCalcPts[RK],0)),"")</f>
        <v/>
      </c>
      <c r="K170" s="112" t="str">
        <f>IFERROR(INDEX(TableRBCalcPts[BYE],MATCH(TableRBVORP[[#This Row],[RK]],TableRBCalcPts[RK],0)),"")</f>
        <v/>
      </c>
      <c r="L170" s="113" t="str">
        <f>IFERROR(INDEX(TableRBCalcPts[Custom],MATCH(TableRBVORP[[#This Row],[RK]],TableRBCalcPts[RK],0)),"")</f>
        <v/>
      </c>
      <c r="M170" s="114" t="e">
        <f>(IFERROR((TableRBVORP[[#This Row],[FPS]]-INDEX(TableRBVORP[FPS],MATCH(RBVORPCalc,TableRBVORP[RK],0)))/INDEX(TableRBVORP[FPS],MATCH(RBVORPCalc,TableRBVORP[RK],0)),""))*0.8</f>
        <v>#VALUE!</v>
      </c>
      <c r="O170">
        <v>169</v>
      </c>
      <c r="P170" s="112" t="str">
        <f>IFERROR(INDEX(TableWRCalcPts[PLAYER],MATCH(TableWRVORP[[#This Row],[RK]],TableWRCalcPts[RK],0)),"")</f>
        <v>Charlie Jones</v>
      </c>
      <c r="Q170" s="112" t="str">
        <f>IFERROR(INDEX(TableWRCalcPts[TM],MATCH(TableWRVORP[[#This Row],[RK]],TableWRCalcPts[RK],0)),"")</f>
        <v>CIN</v>
      </c>
      <c r="R170" s="112">
        <f>IFERROR(INDEX(TableWRCalcPts[BYE],MATCH(TableWRVORP[[#This Row],[RK]],TableWRCalcPts[RK],0)),"")</f>
        <v>12</v>
      </c>
      <c r="S170" s="113">
        <f>IFERROR(INDEX(TableWRCalcPts[Custom],MATCH(TableWRVORP[[#This Row],[RK]],TableWRCalcPts[RK],0)),"")</f>
        <v>8.4220852091870988</v>
      </c>
      <c r="T170" s="114">
        <f>(IFERROR((TableWRVORP[[#This Row],[FPS]]-INDEX(TableWRVORP[FPS],MATCH(WRVORPCalc,TableWRVORP[RK],0)))/INDEX(TableWRVORP[FPS],MATCH(WRVORPCalc,TableWRVORP[RK],0)),""))*1.2</f>
        <v>-1.131350609818675</v>
      </c>
      <c r="AF170" t="s">
        <v>208</v>
      </c>
      <c r="AG170">
        <v>29</v>
      </c>
      <c r="AH170" s="83">
        <f>RANK(TableOverallMaster[[#This Row],[VORP]],TableOverallMaster[VORP])+COUNTIF($AM$2:AM170,AM170)-1</f>
        <v>68</v>
      </c>
      <c r="AI170" s="115" t="str">
        <f>IFERROR(INDEX(TableWRVORP[WIDE RECEIVER],MATCH(TableOverallMaster[[#This Row],[RK]],TableWRVORP[RK],0)),"")</f>
        <v>Amari Cooper</v>
      </c>
      <c r="AJ170" s="115" t="str">
        <f t="shared" si="2"/>
        <v>WR29</v>
      </c>
      <c r="AK170" s="115">
        <f>IFERROR(INDEX(TableWRVORP[BYE],MATCH(TableOverallMaster[[#This Row],[RK]],TableWRVORP[RK],0)),"")</f>
        <v>10</v>
      </c>
      <c r="AL170" s="116">
        <f>IFERROR(INDEX(TableWRVORP[FPS],MATCH(TableOverallMaster[[#This Row],[RK]],TableWRVORP[RK],0)),"")</f>
        <v>183.56746715999992</v>
      </c>
      <c r="AM170" s="117">
        <f>IFERROR(INDEX(TableWRVORP[VORP],MATCH(TableOverallMaster[[#This Row],[RK]],TableWRVORP[RK],0)),"")</f>
        <v>0.29627964627072839</v>
      </c>
      <c r="AO170">
        <v>169</v>
      </c>
      <c r="AP170" s="118" t="str">
        <f>IFERROR(INDEX(TableOverallMaster[OVERALL PLAYER],MATCH(TableOverallRank[[#This Row],[RK]],TableOverallMaster[OVR RK],0)),"")</f>
        <v>Roschon Johnson</v>
      </c>
      <c r="AQ170" s="119" t="str">
        <f>IFERROR(INDEX(TableOverallMaster[POS RK],MATCH(TableOverallRank[[#This Row],[OVERALL PLAYER]],TableOverallMaster[OVERALL PLAYER],0)),"")</f>
        <v>RB55</v>
      </c>
      <c r="AR170" s="120">
        <f>IFERROR(INDEX(TableOverallMaster[BYE],MATCH(TableOverallRank[[#This Row],[OVERALL PLAYER]],TableOverallMaster[OVERALL PLAYER],0)),"")</f>
        <v>7</v>
      </c>
      <c r="AS170" s="119">
        <f>IFERROR(INDEX(TableOverallMaster[Custom],MATCH(TableOverallRank[[#This Row],[OVERALL PLAYER]],TableOverallMaster[OVERALL PLAYER],0)),"")</f>
        <v>82.993553055914475</v>
      </c>
      <c r="AT170" s="121">
        <f>IFERROR(INDEX(TableOverallMaster[VORP],MATCH(TableOverallRank[[#This Row],[OVERALL PLAYER]],TableOverallMaster[OVERALL PLAYER],0)),"")</f>
        <v>-0.24630764865722421</v>
      </c>
      <c r="AV170">
        <v>169</v>
      </c>
      <c r="AW170" s="122" t="str">
        <f>IFERROR(INDEX(TableWRTECalcPts[PLAYER],MATCH(TableWRTERank[[#This Row],[RK]],TableWRTECalcPts[RK],0)),"")</f>
        <v>John Metchie</v>
      </c>
      <c r="AX170" s="122" t="str">
        <f>IFERROR(INDEX(TableWRTECalcPts[POS RK],MATCH(TableWRTERank[[#This Row],[WR and TE COMBINED]],TableWRTECalcPts[PLAYER],0)),"")</f>
        <v>WR121</v>
      </c>
      <c r="AY170" s="122">
        <f>IFERROR(INDEX(TableWRTECalcPts[BYE],MATCH(TableWRTERank[[#This Row],[RK]],TableWRTECalcPts[RK],0)),"")</f>
        <v>14</v>
      </c>
      <c r="AZ170" s="123">
        <f>IFERROR(INDEX(TableWRTECalcPts[Custom],MATCH(TableWRTERank[[#This Row],[RK]],TableWRTECalcPts[RK],0)),"")</f>
        <v>31.120723425792004</v>
      </c>
      <c r="BA170" s="174">
        <f>IFERROR((TableWRTERank[[#This Row],[FPS]]-INDEX(TableWRTERank[FPS],MATCH(WRTEVORPCalc,TableWRTERank[RK],0)))/INDEX(TableWRTERank[FPS],MATCH(WRTEVORPCalc,TableWRTERank[RK],0)),"")</f>
        <v>-0.80168169233069131</v>
      </c>
      <c r="BC170" t="s">
        <v>208</v>
      </c>
      <c r="BD170">
        <v>169</v>
      </c>
      <c r="BE170" s="83">
        <f>RANK(TableWRTEMaster[[#This Row],[VORP]],TableWRTEMaster[VORP])+COUNTIF($BJ$2:BJ170,BJ170)-1</f>
        <v>249</v>
      </c>
      <c r="BF170" s="115" t="str">
        <f>IFERROR(INDEX(TableWRVORP[WIDE RECEIVER],MATCH(TableWRTEMaster[[#This Row],[RK]],TableWRVORP[RK],0)),"")</f>
        <v>Charlie Jones</v>
      </c>
      <c r="BG170" s="115" t="str">
        <f>_xlfn.CONCAT(TableWRTEMaster[[#This Row],[POS]],TableWRTEMaster[[#This Row],[RK]])</f>
        <v>WR169</v>
      </c>
      <c r="BH170" s="115">
        <f>IFERROR(INDEX(TableWRVORP[BYE],MATCH(TableWRTEMaster[[#This Row],[RK]],TableWRVORP[RK],0)),"")</f>
        <v>12</v>
      </c>
      <c r="BI170" s="116">
        <f>IFERROR(INDEX(TableWRVORP[FPS],MATCH(TableWRTEMaster[[#This Row],[RK]],TableWRVORP[RK],0)),"")</f>
        <v>8.4220852091870988</v>
      </c>
      <c r="BJ170" s="117">
        <f>IFERROR(INDEX(TableWRVORP[VORP],MATCH(TableWRTEMaster[[#This Row],[RK]],TableWRVORP[RK],0)),"")</f>
        <v>-1.131350609818675</v>
      </c>
    </row>
    <row r="171" spans="8:62" x14ac:dyDescent="0.2">
      <c r="H171">
        <v>170</v>
      </c>
      <c r="I171" s="112" t="str">
        <f>IFERROR(INDEX(TableRBCalcPts[PLAYER],MATCH(TableRBVORP[[#This Row],[RK]],TableRBCalcPts[RK],0)),"")</f>
        <v/>
      </c>
      <c r="J171" s="112" t="str">
        <f>IFERROR(INDEX(TableRBCalcPts[TM],MATCH(TableRBVORP[[#This Row],[RK]],TableRBCalcPts[RK],0)),"")</f>
        <v/>
      </c>
      <c r="K171" s="112" t="str">
        <f>IFERROR(INDEX(TableRBCalcPts[BYE],MATCH(TableRBVORP[[#This Row],[RK]],TableRBCalcPts[RK],0)),"")</f>
        <v/>
      </c>
      <c r="L171" s="113" t="str">
        <f>IFERROR(INDEX(TableRBCalcPts[Custom],MATCH(TableRBVORP[[#This Row],[RK]],TableRBCalcPts[RK],0)),"")</f>
        <v/>
      </c>
      <c r="M171" s="114" t="e">
        <f>(IFERROR((TableRBVORP[[#This Row],[FPS]]-INDEX(TableRBVORP[FPS],MATCH(RBVORPCalc,TableRBVORP[RK],0)))/INDEX(TableRBVORP[FPS],MATCH(RBVORPCalc,TableRBVORP[RK],0)),""))*0.8</f>
        <v>#VALUE!</v>
      </c>
      <c r="O171">
        <v>170</v>
      </c>
      <c r="P171" s="112" t="str">
        <f>IFERROR(INDEX(TableWRCalcPts[PLAYER],MATCH(TableWRVORP[[#This Row],[RK]],TableWRCalcPts[RK],0)),"")</f>
        <v>Jalen Guyton</v>
      </c>
      <c r="Q171" s="112" t="str">
        <f>IFERROR(INDEX(TableWRCalcPts[TM],MATCH(TableWRVORP[[#This Row],[RK]],TableWRCalcPts[RK],0)),"")</f>
        <v>LV</v>
      </c>
      <c r="R171" s="112">
        <f>IFERROR(INDEX(TableWRCalcPts[BYE],MATCH(TableWRVORP[[#This Row],[RK]],TableWRCalcPts[RK],0)),"")</f>
        <v>10</v>
      </c>
      <c r="S171" s="113">
        <f>IFERROR(INDEX(TableWRCalcPts[Custom],MATCH(TableWRVORP[[#This Row],[RK]],TableWRCalcPts[RK],0)),"")</f>
        <v>7.7891903186564804</v>
      </c>
      <c r="T171" s="114">
        <f>(IFERROR((TableWRVORP[[#This Row],[FPS]]-INDEX(TableWRVORP[FPS],MATCH(WRVORPCalc,TableWRVORP[RK],0)))/INDEX(TableWRVORP[FPS],MATCH(WRVORPCalc,TableWRVORP[RK],0)),""))*1.2</f>
        <v>-1.1365094092376606</v>
      </c>
      <c r="AF171" t="s">
        <v>208</v>
      </c>
      <c r="AG171">
        <v>30</v>
      </c>
      <c r="AH171" s="83">
        <f>RANK(TableOverallMaster[[#This Row],[VORP]],TableOverallMaster[VORP])+COUNTIF($AM$2:AM171,AM171)-1</f>
        <v>70</v>
      </c>
      <c r="AI171" s="115" t="str">
        <f>IFERROR(INDEX(TableWRVORP[WIDE RECEIVER],MATCH(TableOverallMaster[[#This Row],[RK]],TableWRVORP[RK],0)),"")</f>
        <v>Calvin Ridley</v>
      </c>
      <c r="AJ171" s="115" t="str">
        <f t="shared" si="2"/>
        <v>WR30</v>
      </c>
      <c r="AK171" s="115">
        <f>IFERROR(INDEX(TableWRVORP[BYE],MATCH(TableOverallMaster[[#This Row],[RK]],TableWRVORP[RK],0)),"")</f>
        <v>5</v>
      </c>
      <c r="AL171" s="116">
        <f>IFERROR(INDEX(TableWRVORP[FPS],MATCH(TableOverallMaster[[#This Row],[RK]],TableWRVORP[RK],0)),"")</f>
        <v>182.91329454254475</v>
      </c>
      <c r="AM171" s="117">
        <f>IFERROR(INDEX(TableWRVORP[VORP],MATCH(TableOverallMaster[[#This Row],[RK]],TableWRVORP[RK],0)),"")</f>
        <v>0.29094740963975357</v>
      </c>
      <c r="AO171">
        <v>170</v>
      </c>
      <c r="AP171" s="118" t="str">
        <f>IFERROR(INDEX(TableOverallMaster[OVERALL PLAYER],MATCH(TableOverallRank[[#This Row],[RK]],TableOverallMaster[OVR RK],0)),"")</f>
        <v>Dontayvion Wicks</v>
      </c>
      <c r="AQ171" s="119" t="str">
        <f>IFERROR(INDEX(TableOverallMaster[POS RK],MATCH(TableOverallRank[[#This Row],[OVERALL PLAYER]],TableOverallMaster[OVERALL PLAYER],0)),"")</f>
        <v>WR70</v>
      </c>
      <c r="AR171" s="120">
        <f>IFERROR(INDEX(TableOverallMaster[BYE],MATCH(TableOverallRank[[#This Row],[OVERALL PLAYER]],TableOverallMaster[OVERALL PLAYER],0)),"")</f>
        <v>10</v>
      </c>
      <c r="AS171" s="119">
        <f>IFERROR(INDEX(TableOverallMaster[Custom],MATCH(TableOverallRank[[#This Row],[OVERALL PLAYER]],TableOverallMaster[OVERALL PLAYER],0)),"")</f>
        <v>116.82642108095868</v>
      </c>
      <c r="AT171" s="121">
        <f>IFERROR(INDEX(TableOverallMaster[VORP],MATCH(TableOverallRank[[#This Row],[OVERALL PLAYER]],TableOverallMaster[OVERALL PLAYER],0)),"")</f>
        <v>-0.24773433596635294</v>
      </c>
      <c r="AV171">
        <v>170</v>
      </c>
      <c r="AW171" s="122" t="str">
        <f>IFERROR(INDEX(TableWRTECalcPts[PLAYER],MATCH(TableWRTERank[[#This Row],[RK]],TableWRTECalcPts[RK],0)),"")</f>
        <v>Devaughn Vele</v>
      </c>
      <c r="AX171" s="122" t="str">
        <f>IFERROR(INDEX(TableWRTECalcPts[POS RK],MATCH(TableWRTERank[[#This Row],[WR and TE COMBINED]],TableWRTECalcPts[PLAYER],0)),"")</f>
        <v>WR122</v>
      </c>
      <c r="AY171" s="122">
        <f>IFERROR(INDEX(TableWRTECalcPts[BYE],MATCH(TableWRTERank[[#This Row],[RK]],TableWRTECalcPts[RK],0)),"")</f>
        <v>14</v>
      </c>
      <c r="AZ171" s="123">
        <f>IFERROR(INDEX(TableWRTECalcPts[Custom],MATCH(TableWRTERank[[#This Row],[RK]],TableWRTECalcPts[RK],0)),"")</f>
        <v>30.025220415601204</v>
      </c>
      <c r="BA171" s="174">
        <f>IFERROR((TableWRTERank[[#This Row],[FPS]]-INDEX(TableWRTERank[FPS],MATCH(WRTEVORPCalc,TableWRTERank[RK],0)))/INDEX(TableWRTERank[FPS],MATCH(WRTEVORPCalc,TableWRTERank[RK],0)),"")</f>
        <v>-0.80866283798258243</v>
      </c>
      <c r="BC171" t="s">
        <v>208</v>
      </c>
      <c r="BD171">
        <v>170</v>
      </c>
      <c r="BE171" s="83">
        <f>RANK(TableWRTEMaster[[#This Row],[VORP]],TableWRTEMaster[VORP])+COUNTIF($BJ$2:BJ171,BJ171)-1</f>
        <v>250</v>
      </c>
      <c r="BF171" s="115" t="str">
        <f>IFERROR(INDEX(TableWRVORP[WIDE RECEIVER],MATCH(TableWRTEMaster[[#This Row],[RK]],TableWRVORP[RK],0)),"")</f>
        <v>Jalen Guyton</v>
      </c>
      <c r="BG171" s="115" t="str">
        <f>_xlfn.CONCAT(TableWRTEMaster[[#This Row],[POS]],TableWRTEMaster[[#This Row],[RK]])</f>
        <v>WR170</v>
      </c>
      <c r="BH171" s="115">
        <f>IFERROR(INDEX(TableWRVORP[BYE],MATCH(TableWRTEMaster[[#This Row],[RK]],TableWRVORP[RK],0)),"")</f>
        <v>10</v>
      </c>
      <c r="BI171" s="116">
        <f>IFERROR(INDEX(TableWRVORP[FPS],MATCH(TableWRTEMaster[[#This Row],[RK]],TableWRVORP[RK],0)),"")</f>
        <v>7.7891903186564804</v>
      </c>
      <c r="BJ171" s="117">
        <f>IFERROR(INDEX(TableWRVORP[VORP],MATCH(TableWRTEMaster[[#This Row],[RK]],TableWRVORP[RK],0)),"")</f>
        <v>-1.1365094092376606</v>
      </c>
    </row>
    <row r="172" spans="8:62" x14ac:dyDescent="0.2">
      <c r="H172">
        <v>171</v>
      </c>
      <c r="I172" s="112" t="str">
        <f>IFERROR(INDEX(TableRBCalcPts[PLAYER],MATCH(TableRBVORP[[#This Row],[RK]],TableRBCalcPts[RK],0)),"")</f>
        <v/>
      </c>
      <c r="J172" s="112" t="str">
        <f>IFERROR(INDEX(TableRBCalcPts[TM],MATCH(TableRBVORP[[#This Row],[RK]],TableRBCalcPts[RK],0)),"")</f>
        <v/>
      </c>
      <c r="K172" s="112" t="str">
        <f>IFERROR(INDEX(TableRBCalcPts[BYE],MATCH(TableRBVORP[[#This Row],[RK]],TableRBCalcPts[RK],0)),"")</f>
        <v/>
      </c>
      <c r="L172" s="113" t="str">
        <f>IFERROR(INDEX(TableRBCalcPts[Custom],MATCH(TableRBVORP[[#This Row],[RK]],TableRBCalcPts[RK],0)),"")</f>
        <v/>
      </c>
      <c r="M172" s="114" t="e">
        <f>(IFERROR((TableRBVORP[[#This Row],[FPS]]-INDEX(TableRBVORP[FPS],MATCH(RBVORPCalc,TableRBVORP[RK],0)))/INDEX(TableRBVORP[FPS],MATCH(RBVORPCalc,TableRBVORP[RK],0)),""))*0.8</f>
        <v>#VALUE!</v>
      </c>
      <c r="O172">
        <v>171</v>
      </c>
      <c r="P172" s="112" t="str">
        <f>IFERROR(INDEX(TableWRCalcPts[PLAYER],MATCH(TableWRVORP[[#This Row],[RK]],TableWRCalcPts[RK],0)),"")</f>
        <v>Kyle Philips</v>
      </c>
      <c r="Q172" s="112" t="str">
        <f>IFERROR(INDEX(TableWRCalcPts[TM],MATCH(TableWRVORP[[#This Row],[RK]],TableWRCalcPts[RK],0)),"")</f>
        <v>TEN</v>
      </c>
      <c r="R172" s="112">
        <f>IFERROR(INDEX(TableWRCalcPts[BYE],MATCH(TableWRVORP[[#This Row],[RK]],TableWRCalcPts[RK],0)),"")</f>
        <v>5</v>
      </c>
      <c r="S172" s="113">
        <f>IFERROR(INDEX(TableWRCalcPts[Custom],MATCH(TableWRVORP[[#This Row],[RK]],TableWRCalcPts[RK],0)),"")</f>
        <v>7.6127953092598748</v>
      </c>
      <c r="T172" s="114">
        <f>(IFERROR((TableWRVORP[[#This Row],[FPS]]-INDEX(TableWRVORP[FPS],MATCH(WRVORPCalc,TableWRVORP[RK],0)))/INDEX(TableWRVORP[FPS],MATCH(WRVORPCalc,TableWRVORP[RK],0)),""))*1.2</f>
        <v>-1.137947225351525</v>
      </c>
      <c r="AF172" t="s">
        <v>208</v>
      </c>
      <c r="AG172">
        <v>31</v>
      </c>
      <c r="AH172" s="83">
        <f>RANK(TableOverallMaster[[#This Row],[VORP]],TableOverallMaster[VORP])+COUNTIF($AM$2:AM172,AM172)-1</f>
        <v>72</v>
      </c>
      <c r="AI172" s="115" t="str">
        <f>IFERROR(INDEX(TableWRVORP[WIDE RECEIVER],MATCH(TableOverallMaster[[#This Row],[RK]],TableWRVORP[RK],0)),"")</f>
        <v>Tank Dell</v>
      </c>
      <c r="AJ172" s="115" t="str">
        <f t="shared" si="2"/>
        <v>WR31</v>
      </c>
      <c r="AK172" s="115">
        <f>IFERROR(INDEX(TableWRVORP[BYE],MATCH(TableOverallMaster[[#This Row],[RK]],TableWRVORP[RK],0)),"")</f>
        <v>14</v>
      </c>
      <c r="AL172" s="116">
        <f>IFERROR(INDEX(TableWRVORP[FPS],MATCH(TableOverallMaster[[#This Row],[RK]],TableWRVORP[RK],0)),"")</f>
        <v>181.86577234960347</v>
      </c>
      <c r="AM172" s="117">
        <f>IFERROR(INDEX(TableWRVORP[VORP],MATCH(TableOverallMaster[[#This Row],[RK]],TableWRVORP[RK],0)),"")</f>
        <v>0.28240893514552984</v>
      </c>
      <c r="AO172">
        <v>171</v>
      </c>
      <c r="AP172" s="118" t="str">
        <f>IFERROR(INDEX(TableOverallMaster[OVERALL PLAYER],MATCH(TableOverallRank[[#This Row],[RK]],TableOverallMaster[OVR RK],0)),"")</f>
        <v>Dalton Schultz</v>
      </c>
      <c r="AQ172" s="119" t="str">
        <f>IFERROR(INDEX(TableOverallMaster[POS RK],MATCH(TableOverallRank[[#This Row],[OVERALL PLAYER]],TableOverallMaster[OVERALL PLAYER],0)),"")</f>
        <v>TE17</v>
      </c>
      <c r="AR172" s="120">
        <f>IFERROR(INDEX(TableOverallMaster[BYE],MATCH(TableOverallRank[[#This Row],[OVERALL PLAYER]],TableOverallMaster[OVERALL PLAYER],0)),"")</f>
        <v>14</v>
      </c>
      <c r="AS172" s="119">
        <f>IFERROR(INDEX(TableOverallMaster[Custom],MATCH(TableOverallRank[[#This Row],[OVERALL PLAYER]],TableOverallMaster[OVERALL PLAYER],0)),"")</f>
        <v>98.459944410737833</v>
      </c>
      <c r="AT172" s="121">
        <f>IFERROR(INDEX(TableOverallMaster[VORP],MATCH(TableOverallRank[[#This Row],[OVERALL PLAYER]],TableOverallMaster[OVERALL PLAYER],0)),"")</f>
        <v>-0.25204595449017786</v>
      </c>
      <c r="AV172">
        <v>171</v>
      </c>
      <c r="AW172" s="122" t="str">
        <f>IFERROR(INDEX(TableWRTECalcPts[PLAYER],MATCH(TableWRTERank[[#This Row],[RK]],TableWRTECalcPts[RK],0)),"")</f>
        <v>Robert Woods</v>
      </c>
      <c r="AX172" s="122" t="str">
        <f>IFERROR(INDEX(TableWRTECalcPts[POS RK],MATCH(TableWRTERank[[#This Row],[WR and TE COMBINED]],TableWRTECalcPts[PLAYER],0)),"")</f>
        <v>WR123</v>
      </c>
      <c r="AY172" s="122">
        <f>IFERROR(INDEX(TableWRTECalcPts[BYE],MATCH(TableWRTERank[[#This Row],[RK]],TableWRTECalcPts[RK],0)),"")</f>
        <v>14</v>
      </c>
      <c r="AZ172" s="123">
        <f>IFERROR(INDEX(TableWRTECalcPts[Custom],MATCH(TableWRTERank[[#This Row],[RK]],TableWRTECalcPts[RK],0)),"")</f>
        <v>29.421431565209236</v>
      </c>
      <c r="BA172" s="174">
        <f>IFERROR((TableWRTERank[[#This Row],[FPS]]-INDEX(TableWRTERank[FPS],MATCH(WRTEVORPCalc,TableWRTERank[RK],0)))/INDEX(TableWRTERank[FPS],MATCH(WRTEVORPCalc,TableWRTERank[RK],0)),"")</f>
        <v>-0.81251051148814413</v>
      </c>
      <c r="BC172" t="s">
        <v>208</v>
      </c>
      <c r="BD172">
        <v>171</v>
      </c>
      <c r="BE172" s="83">
        <f>RANK(TableWRTEMaster[[#This Row],[VORP]],TableWRTEMaster[VORP])+COUNTIF($BJ$2:BJ172,BJ172)-1</f>
        <v>251</v>
      </c>
      <c r="BF172" s="115" t="str">
        <f>IFERROR(INDEX(TableWRVORP[WIDE RECEIVER],MATCH(TableWRTEMaster[[#This Row],[RK]],TableWRVORP[RK],0)),"")</f>
        <v>Kyle Philips</v>
      </c>
      <c r="BG172" s="115" t="str">
        <f>_xlfn.CONCAT(TableWRTEMaster[[#This Row],[POS]],TableWRTEMaster[[#This Row],[RK]])</f>
        <v>WR171</v>
      </c>
      <c r="BH172" s="115">
        <f>IFERROR(INDEX(TableWRVORP[BYE],MATCH(TableWRTEMaster[[#This Row],[RK]],TableWRVORP[RK],0)),"")</f>
        <v>5</v>
      </c>
      <c r="BI172" s="116">
        <f>IFERROR(INDEX(TableWRVORP[FPS],MATCH(TableWRTEMaster[[#This Row],[RK]],TableWRVORP[RK],0)),"")</f>
        <v>7.6127953092598748</v>
      </c>
      <c r="BJ172" s="117">
        <f>IFERROR(INDEX(TableWRVORP[VORP],MATCH(TableWRTEMaster[[#This Row],[RK]],TableWRVORP[RK],0)),"")</f>
        <v>-1.137947225351525</v>
      </c>
    </row>
    <row r="173" spans="8:62" x14ac:dyDescent="0.2">
      <c r="H173">
        <v>172</v>
      </c>
      <c r="I173" s="112" t="str">
        <f>IFERROR(INDEX(TableRBCalcPts[PLAYER],MATCH(TableRBVORP[[#This Row],[RK]],TableRBCalcPts[RK],0)),"")</f>
        <v/>
      </c>
      <c r="J173" s="112" t="str">
        <f>IFERROR(INDEX(TableRBCalcPts[TM],MATCH(TableRBVORP[[#This Row],[RK]],TableRBCalcPts[RK],0)),"")</f>
        <v/>
      </c>
      <c r="K173" s="112" t="str">
        <f>IFERROR(INDEX(TableRBCalcPts[BYE],MATCH(TableRBVORP[[#This Row],[RK]],TableRBCalcPts[RK],0)),"")</f>
        <v/>
      </c>
      <c r="L173" s="113" t="str">
        <f>IFERROR(INDEX(TableRBCalcPts[Custom],MATCH(TableRBVORP[[#This Row],[RK]],TableRBCalcPts[RK],0)),"")</f>
        <v/>
      </c>
      <c r="M173" s="114" t="e">
        <f>(IFERROR((TableRBVORP[[#This Row],[FPS]]-INDEX(TableRBVORP[FPS],MATCH(RBVORPCalc,TableRBVORP[RK],0)))/INDEX(TableRBVORP[FPS],MATCH(RBVORPCalc,TableRBVORP[RK],0)),""))*0.8</f>
        <v>#VALUE!</v>
      </c>
      <c r="O173">
        <v>172</v>
      </c>
      <c r="P173" s="112" t="str">
        <f>IFERROR(INDEX(TableWRCalcPts[PLAYER],MATCH(TableWRVORP[[#This Row],[RK]],TableWRCalcPts[RK],0)),"")</f>
        <v>Devin Duvernay</v>
      </c>
      <c r="Q173" s="112" t="str">
        <f>IFERROR(INDEX(TableWRCalcPts[TM],MATCH(TableWRVORP[[#This Row],[RK]],TableWRCalcPts[RK],0)),"")</f>
        <v>JAX</v>
      </c>
      <c r="R173" s="112">
        <f>IFERROR(INDEX(TableWRCalcPts[BYE],MATCH(TableWRVORP[[#This Row],[RK]],TableWRCalcPts[RK],0)),"")</f>
        <v>12</v>
      </c>
      <c r="S173" s="113">
        <f>IFERROR(INDEX(TableWRCalcPts[Custom],MATCH(TableWRVORP[[#This Row],[RK]],TableWRCalcPts[RK],0)),"")</f>
        <v>7.2324387178669536</v>
      </c>
      <c r="T173" s="114">
        <f>(IFERROR((TableWRVORP[[#This Row],[FPS]]-INDEX(TableWRVORP[FPS],MATCH(WRVORPCalc,TableWRVORP[RK],0)))/INDEX(TableWRVORP[FPS],MATCH(WRVORPCalc,TableWRVORP[RK],0)),""))*1.2</f>
        <v>-1.1410475558993669</v>
      </c>
      <c r="AF173" t="s">
        <v>208</v>
      </c>
      <c r="AG173">
        <v>32</v>
      </c>
      <c r="AH173" s="83">
        <f>RANK(TableOverallMaster[[#This Row],[VORP]],TableOverallMaster[VORP])+COUNTIF($AM$2:AM173,AM173)-1</f>
        <v>73</v>
      </c>
      <c r="AI173" s="115" t="str">
        <f>IFERROR(INDEX(TableWRVORP[WIDE RECEIVER],MATCH(TableOverallMaster[[#This Row],[RK]],TableWRVORP[RK],0)),"")</f>
        <v>Brian Thomas</v>
      </c>
      <c r="AJ173" s="115" t="str">
        <f t="shared" si="2"/>
        <v>WR32</v>
      </c>
      <c r="AK173" s="115">
        <f>IFERROR(INDEX(TableWRVORP[BYE],MATCH(TableOverallMaster[[#This Row],[RK]],TableWRVORP[RK],0)),"")</f>
        <v>12</v>
      </c>
      <c r="AL173" s="116">
        <f>IFERROR(INDEX(TableWRVORP[FPS],MATCH(TableOverallMaster[[#This Row],[RK]],TableWRVORP[RK],0)),"")</f>
        <v>181.1515057352</v>
      </c>
      <c r="AM173" s="117">
        <f>IFERROR(INDEX(TableWRVORP[VORP],MATCH(TableOverallMaster[[#This Row],[RK]],TableWRVORP[RK],0)),"")</f>
        <v>0.27658686539821953</v>
      </c>
      <c r="AO173">
        <v>172</v>
      </c>
      <c r="AP173" s="118" t="str">
        <f>IFERROR(INDEX(TableOverallMaster[OVERALL PLAYER],MATCH(TableOverallRank[[#This Row],[RK]],TableOverallMaster[OVR RK],0)),"")</f>
        <v>Jamaal Williams</v>
      </c>
      <c r="AQ173" s="119" t="str">
        <f>IFERROR(INDEX(TableOverallMaster[POS RK],MATCH(TableOverallRank[[#This Row],[OVERALL PLAYER]],TableOverallMaster[OVERALL PLAYER],0)),"")</f>
        <v>RB56</v>
      </c>
      <c r="AR173" s="120">
        <f>IFERROR(INDEX(TableOverallMaster[BYE],MATCH(TableOverallRank[[#This Row],[OVERALL PLAYER]],TableOverallMaster[OVERALL PLAYER],0)),"")</f>
        <v>12</v>
      </c>
      <c r="AS173" s="119">
        <f>IFERROR(INDEX(TableOverallMaster[Custom],MATCH(TableOverallRank[[#This Row],[OVERALL PLAYER]],TableOverallMaster[OVERALL PLAYER],0)),"")</f>
        <v>81.878602195123278</v>
      </c>
      <c r="AT173" s="121">
        <f>IFERROR(INDEX(TableOverallMaster[VORP],MATCH(TableOverallRank[[#This Row],[OVERALL PLAYER]],TableOverallMaster[OVERALL PLAYER],0)),"")</f>
        <v>-0.25374605490701102</v>
      </c>
      <c r="AV173">
        <v>172</v>
      </c>
      <c r="AW173" s="122" t="str">
        <f>IFERROR(INDEX(TableWRTECalcPts[PLAYER],MATCH(TableWRTERank[[#This Row],[RK]],TableWRTECalcPts[RK],0)),"")</f>
        <v>Tim Patrick</v>
      </c>
      <c r="AX173" s="122" t="str">
        <f>IFERROR(INDEX(TableWRTECalcPts[POS RK],MATCH(TableWRTERank[[#This Row],[WR and TE COMBINED]],TableWRTECalcPts[PLAYER],0)),"")</f>
        <v>WR124</v>
      </c>
      <c r="AY173" s="122">
        <f>IFERROR(INDEX(TableWRTECalcPts[BYE],MATCH(TableWRTERank[[#This Row],[RK]],TableWRTECalcPts[RK],0)),"")</f>
        <v>5</v>
      </c>
      <c r="AZ173" s="123">
        <f>IFERROR(INDEX(TableWRTECalcPts[Custom],MATCH(TableWRTERank[[#This Row],[RK]],TableWRTECalcPts[RK],0)),"")</f>
        <v>29.408646755318752</v>
      </c>
      <c r="BA173" s="174">
        <f>IFERROR((TableWRTERank[[#This Row],[FPS]]-INDEX(TableWRTERank[FPS],MATCH(WRTEVORPCalc,TableWRTERank[RK],0)))/INDEX(TableWRTERank[FPS],MATCH(WRTEVORPCalc,TableWRTERank[RK],0)),"")</f>
        <v>-0.81259198330442117</v>
      </c>
      <c r="BC173" t="s">
        <v>208</v>
      </c>
      <c r="BD173">
        <v>172</v>
      </c>
      <c r="BE173" s="83">
        <f>RANK(TableWRTEMaster[[#This Row],[VORP]],TableWRTEMaster[VORP])+COUNTIF($BJ$2:BJ173,BJ173)-1</f>
        <v>252</v>
      </c>
      <c r="BF173" s="115" t="str">
        <f>IFERROR(INDEX(TableWRVORP[WIDE RECEIVER],MATCH(TableWRTEMaster[[#This Row],[RK]],TableWRVORP[RK],0)),"")</f>
        <v>Devin Duvernay</v>
      </c>
      <c r="BG173" s="115" t="str">
        <f>_xlfn.CONCAT(TableWRTEMaster[[#This Row],[POS]],TableWRTEMaster[[#This Row],[RK]])</f>
        <v>WR172</v>
      </c>
      <c r="BH173" s="115">
        <f>IFERROR(INDEX(TableWRVORP[BYE],MATCH(TableWRTEMaster[[#This Row],[RK]],TableWRVORP[RK],0)),"")</f>
        <v>12</v>
      </c>
      <c r="BI173" s="116">
        <f>IFERROR(INDEX(TableWRVORP[FPS],MATCH(TableWRTEMaster[[#This Row],[RK]],TableWRVORP[RK],0)),"")</f>
        <v>7.2324387178669536</v>
      </c>
      <c r="BJ173" s="117">
        <f>IFERROR(INDEX(TableWRVORP[VORP],MATCH(TableWRTEMaster[[#This Row],[RK]],TableWRVORP[RK],0)),"")</f>
        <v>-1.1410475558993669</v>
      </c>
    </row>
    <row r="174" spans="8:62" x14ac:dyDescent="0.2">
      <c r="H174">
        <v>173</v>
      </c>
      <c r="I174" s="112" t="str">
        <f>IFERROR(INDEX(TableRBCalcPts[PLAYER],MATCH(TableRBVORP[[#This Row],[RK]],TableRBCalcPts[RK],0)),"")</f>
        <v/>
      </c>
      <c r="J174" s="112" t="str">
        <f>IFERROR(INDEX(TableRBCalcPts[TM],MATCH(TableRBVORP[[#This Row],[RK]],TableRBCalcPts[RK],0)),"")</f>
        <v/>
      </c>
      <c r="K174" s="112" t="str">
        <f>IFERROR(INDEX(TableRBCalcPts[BYE],MATCH(TableRBVORP[[#This Row],[RK]],TableRBCalcPts[RK],0)),"")</f>
        <v/>
      </c>
      <c r="L174" s="113" t="str">
        <f>IFERROR(INDEX(TableRBCalcPts[Custom],MATCH(TableRBVORP[[#This Row],[RK]],TableRBCalcPts[RK],0)),"")</f>
        <v/>
      </c>
      <c r="M174" s="114" t="e">
        <f>(IFERROR((TableRBVORP[[#This Row],[FPS]]-INDEX(TableRBVORP[FPS],MATCH(RBVORPCalc,TableRBVORP[RK],0)))/INDEX(TableRBVORP[FPS],MATCH(RBVORPCalc,TableRBVORP[RK],0)),""))*0.8</f>
        <v>#VALUE!</v>
      </c>
      <c r="O174">
        <v>173</v>
      </c>
      <c r="P174" s="112" t="str">
        <f>IFERROR(INDEX(TableWRCalcPts[PLAYER],MATCH(TableWRVORP[[#This Row],[RK]],TableWRCalcPts[RK],0)),"")</f>
        <v>Jha'Quan Jackson</v>
      </c>
      <c r="Q174" s="112" t="str">
        <f>IFERROR(INDEX(TableWRCalcPts[TM],MATCH(TableWRVORP[[#This Row],[RK]],TableWRCalcPts[RK],0)),"")</f>
        <v>TEN</v>
      </c>
      <c r="R174" s="112">
        <f>IFERROR(INDEX(TableWRCalcPts[BYE],MATCH(TableWRVORP[[#This Row],[RK]],TableWRCalcPts[RK],0)),"")</f>
        <v>5</v>
      </c>
      <c r="S174" s="113">
        <f>IFERROR(INDEX(TableWRCalcPts[Custom],MATCH(TableWRVORP[[#This Row],[RK]],TableWRCalcPts[RK],0)),"")</f>
        <v>6.8794944646427991</v>
      </c>
      <c r="T174" s="114">
        <f>(IFERROR((TableWRVORP[[#This Row],[FPS]]-INDEX(TableWRVORP[FPS],MATCH(WRVORPCalc,TableWRVORP[RK],0)))/INDEX(TableWRVORP[FPS],MATCH(WRVORPCalc,TableWRVORP[RK],0)),""))*1.2</f>
        <v>-1.1439244453097723</v>
      </c>
      <c r="AF174" t="s">
        <v>208</v>
      </c>
      <c r="AG174">
        <v>33</v>
      </c>
      <c r="AH174" s="83">
        <f>RANK(TableOverallMaster[[#This Row],[VORP]],TableOverallMaster[VORP])+COUNTIF($AM$2:AM174,AM174)-1</f>
        <v>77</v>
      </c>
      <c r="AI174" s="115" t="str">
        <f>IFERROR(INDEX(TableWRVORP[WIDE RECEIVER],MATCH(TableOverallMaster[[#This Row],[RK]],TableWRVORP[RK],0)),"")</f>
        <v>Khalil Shakir</v>
      </c>
      <c r="AJ174" s="115" t="str">
        <f t="shared" si="2"/>
        <v>WR33</v>
      </c>
      <c r="AK174" s="115">
        <f>IFERROR(INDEX(TableWRVORP[BYE],MATCH(TableOverallMaster[[#This Row],[RK]],TableWRVORP[RK],0)),"")</f>
        <v>12</v>
      </c>
      <c r="AL174" s="116">
        <f>IFERROR(INDEX(TableWRVORP[FPS],MATCH(TableOverallMaster[[#This Row],[RK]],TableWRVORP[RK],0)),"")</f>
        <v>177.32419603379708</v>
      </c>
      <c r="AM174" s="117">
        <f>IFERROR(INDEX(TableWRVORP[VORP],MATCH(TableOverallMaster[[#This Row],[RK]],TableWRVORP[RK],0)),"")</f>
        <v>0.24539002156318312</v>
      </c>
      <c r="AO174">
        <v>173</v>
      </c>
      <c r="AP174" s="118" t="str">
        <f>IFERROR(INDEX(TableOverallMaster[OVERALL PLAYER],MATCH(TableOverallRank[[#This Row],[RK]],TableOverallMaster[OVR RK],0)),"")</f>
        <v>Josh Reynolds</v>
      </c>
      <c r="AQ174" s="119" t="str">
        <f>IFERROR(INDEX(TableOverallMaster[POS RK],MATCH(TableOverallRank[[#This Row],[OVERALL PLAYER]],TableOverallMaster[OVERALL PLAYER],0)),"")</f>
        <v>WR71</v>
      </c>
      <c r="AR174" s="120">
        <f>IFERROR(INDEX(TableOverallMaster[BYE],MATCH(TableOverallRank[[#This Row],[OVERALL PLAYER]],TableOverallMaster[OVERALL PLAYER],0)),"")</f>
        <v>14</v>
      </c>
      <c r="AS174" s="119">
        <f>IFERROR(INDEX(TableOverallMaster[Custom],MATCH(TableOverallRank[[#This Row],[OVERALL PLAYER]],TableOverallMaster[OVERALL PLAYER],0)),"")</f>
        <v>115.87277082752136</v>
      </c>
      <c r="AT174" s="121">
        <f>IFERROR(INDEX(TableOverallMaster[VORP],MATCH(TableOverallRank[[#This Row],[OVERALL PLAYER]],TableOverallMaster[OVERALL PLAYER],0)),"")</f>
        <v>-0.25550764942954657</v>
      </c>
      <c r="AV174">
        <v>173</v>
      </c>
      <c r="AW174" s="122" t="str">
        <f>IFERROR(INDEX(TableWRTECalcPts[PLAYER],MATCH(TableWRTERank[[#This Row],[RK]],TableWRTECalcPts[RK],0)),"")</f>
        <v>Treylon Burks</v>
      </c>
      <c r="AX174" s="122" t="str">
        <f>IFERROR(INDEX(TableWRTECalcPts[POS RK],MATCH(TableWRTERank[[#This Row],[WR and TE COMBINED]],TableWRTECalcPts[PLAYER],0)),"")</f>
        <v>WR125</v>
      </c>
      <c r="AY174" s="122">
        <f>IFERROR(INDEX(TableWRTECalcPts[BYE],MATCH(TableWRTERank[[#This Row],[RK]],TableWRTECalcPts[RK],0)),"")</f>
        <v>5</v>
      </c>
      <c r="AZ174" s="123">
        <f>IFERROR(INDEX(TableWRTECalcPts[Custom],MATCH(TableWRTERank[[#This Row],[RK]],TableWRTECalcPts[RK],0)),"")</f>
        <v>28.738155331311248</v>
      </c>
      <c r="BA174" s="174">
        <f>IFERROR((TableWRTERank[[#This Row],[FPS]]-INDEX(TableWRTERank[FPS],MATCH(WRTEVORPCalc,TableWRTERank[RK],0)))/INDEX(TableWRTERank[FPS],MATCH(WRTEVORPCalc,TableWRTERank[RK],0)),"")</f>
        <v>-0.81686472217030981</v>
      </c>
      <c r="BC174" t="s">
        <v>208</v>
      </c>
      <c r="BD174">
        <v>173</v>
      </c>
      <c r="BE174" s="83">
        <f>RANK(TableWRTEMaster[[#This Row],[VORP]],TableWRTEMaster[VORP])+COUNTIF($BJ$2:BJ174,BJ174)-1</f>
        <v>253</v>
      </c>
      <c r="BF174" s="115" t="str">
        <f>IFERROR(INDEX(TableWRVORP[WIDE RECEIVER],MATCH(TableWRTEMaster[[#This Row],[RK]],TableWRVORP[RK],0)),"")</f>
        <v>Jha'Quan Jackson</v>
      </c>
      <c r="BG174" s="115" t="str">
        <f>_xlfn.CONCAT(TableWRTEMaster[[#This Row],[POS]],TableWRTEMaster[[#This Row],[RK]])</f>
        <v>WR173</v>
      </c>
      <c r="BH174" s="115">
        <f>IFERROR(INDEX(TableWRVORP[BYE],MATCH(TableWRTEMaster[[#This Row],[RK]],TableWRVORP[RK],0)),"")</f>
        <v>5</v>
      </c>
      <c r="BI174" s="116">
        <f>IFERROR(INDEX(TableWRVORP[FPS],MATCH(TableWRTEMaster[[#This Row],[RK]],TableWRVORP[RK],0)),"")</f>
        <v>6.8794944646427991</v>
      </c>
      <c r="BJ174" s="117">
        <f>IFERROR(INDEX(TableWRVORP[VORP],MATCH(TableWRTEMaster[[#This Row],[RK]],TableWRVORP[RK],0)),"")</f>
        <v>-1.1439244453097723</v>
      </c>
    </row>
    <row r="175" spans="8:62" x14ac:dyDescent="0.2">
      <c r="H175">
        <v>174</v>
      </c>
      <c r="I175" s="112" t="str">
        <f>IFERROR(INDEX(TableRBCalcPts[PLAYER],MATCH(TableRBVORP[[#This Row],[RK]],TableRBCalcPts[RK],0)),"")</f>
        <v/>
      </c>
      <c r="J175" s="112" t="str">
        <f>IFERROR(INDEX(TableRBCalcPts[TM],MATCH(TableRBVORP[[#This Row],[RK]],TableRBCalcPts[RK],0)),"")</f>
        <v/>
      </c>
      <c r="K175" s="112" t="str">
        <f>IFERROR(INDEX(TableRBCalcPts[BYE],MATCH(TableRBVORP[[#This Row],[RK]],TableRBCalcPts[RK],0)),"")</f>
        <v/>
      </c>
      <c r="L175" s="113" t="str">
        <f>IFERROR(INDEX(TableRBCalcPts[Custom],MATCH(TableRBVORP[[#This Row],[RK]],TableRBCalcPts[RK],0)),"")</f>
        <v/>
      </c>
      <c r="M175" s="114" t="e">
        <f>(IFERROR((TableRBVORP[[#This Row],[FPS]]-INDEX(TableRBVORP[FPS],MATCH(RBVORPCalc,TableRBVORP[RK],0)))/INDEX(TableRBVORP[FPS],MATCH(RBVORPCalc,TableRBVORP[RK],0)),""))*0.8</f>
        <v>#VALUE!</v>
      </c>
      <c r="O175">
        <v>174</v>
      </c>
      <c r="P175" s="112" t="str">
        <f>IFERROR(INDEX(TableWRCalcPts[PLAYER],MATCH(TableWRVORP[[#This Row],[RK]],TableWRCalcPts[RK],0)),"")</f>
        <v>Stanley Morgan</v>
      </c>
      <c r="Q175" s="112" t="str">
        <f>IFERROR(INDEX(TableWRCalcPts[TM],MATCH(TableWRVORP[[#This Row],[RK]],TableWRCalcPts[RK],0)),"")</f>
        <v>NO</v>
      </c>
      <c r="R175" s="112">
        <f>IFERROR(INDEX(TableWRCalcPts[BYE],MATCH(TableWRVORP[[#This Row],[RK]],TableWRCalcPts[RK],0)),"")</f>
        <v>12</v>
      </c>
      <c r="S175" s="113">
        <f>IFERROR(INDEX(TableWRCalcPts[Custom],MATCH(TableWRVORP[[#This Row],[RK]],TableWRCalcPts[RK],0)),"")</f>
        <v>6.7321870722144546</v>
      </c>
      <c r="T175" s="114">
        <f>(IFERROR((TableWRVORP[[#This Row],[FPS]]-INDEX(TableWRVORP[FPS],MATCH(WRVORPCalc,TableWRVORP[RK],0)))/INDEX(TableWRVORP[FPS],MATCH(WRVORPCalc,TableWRVORP[RK],0)),""))*1.2</f>
        <v>-1.1451251648950331</v>
      </c>
      <c r="AF175" t="s">
        <v>208</v>
      </c>
      <c r="AG175">
        <v>34</v>
      </c>
      <c r="AH175" s="83">
        <f>RANK(TableOverallMaster[[#This Row],[VORP]],TableOverallMaster[VORP])+COUNTIF($AM$2:AM175,AM175)-1</f>
        <v>79</v>
      </c>
      <c r="AI175" s="115" t="str">
        <f>IFERROR(INDEX(TableWRVORP[WIDE RECEIVER],MATCH(TableOverallMaster[[#This Row],[RK]],TableWRVORP[RK],0)),"")</f>
        <v>Zay Flowers</v>
      </c>
      <c r="AJ175" s="115" t="str">
        <f t="shared" si="2"/>
        <v>WR34</v>
      </c>
      <c r="AK175" s="115">
        <f>IFERROR(INDEX(TableWRVORP[BYE],MATCH(TableOverallMaster[[#This Row],[RK]],TableWRVORP[RK],0)),"")</f>
        <v>14</v>
      </c>
      <c r="AL175" s="116">
        <f>IFERROR(INDEX(TableWRVORP[FPS],MATCH(TableOverallMaster[[#This Row],[RK]],TableWRVORP[RK],0)),"")</f>
        <v>176.12076560183124</v>
      </c>
      <c r="AM175" s="117">
        <f>IFERROR(INDEX(TableWRVORP[VORP],MATCH(TableOverallMaster[[#This Row],[RK]],TableWRVORP[RK],0)),"")</f>
        <v>0.23558072098878563</v>
      </c>
      <c r="AO175">
        <v>174</v>
      </c>
      <c r="AP175" s="118" t="str">
        <f>IFERROR(INDEX(TableOverallMaster[OVERALL PLAYER],MATCH(TableOverallRank[[#This Row],[RK]],TableOverallMaster[OVR RK],0)),"")</f>
        <v>Greg Dortch</v>
      </c>
      <c r="AQ175" s="119" t="str">
        <f>IFERROR(INDEX(TableOverallMaster[POS RK],MATCH(TableOverallRank[[#This Row],[OVERALL PLAYER]],TableOverallMaster[OVERALL PLAYER],0)),"")</f>
        <v>WR72</v>
      </c>
      <c r="AR175" s="120">
        <f>IFERROR(INDEX(TableOverallMaster[BYE],MATCH(TableOverallRank[[#This Row],[OVERALL PLAYER]],TableOverallMaster[OVERALL PLAYER],0)),"")</f>
        <v>11</v>
      </c>
      <c r="AS175" s="119">
        <f>IFERROR(INDEX(TableOverallMaster[Custom],MATCH(TableOverallRank[[#This Row],[OVERALL PLAYER]],TableOverallMaster[OVERALL PLAYER],0)),"")</f>
        <v>114.91314586095427</v>
      </c>
      <c r="AT175" s="121">
        <f>IFERROR(INDEX(TableOverallMaster[VORP],MATCH(TableOverallRank[[#This Row],[OVERALL PLAYER]],TableOverallMaster[OVERALL PLAYER],0)),"")</f>
        <v>-0.263329663470172</v>
      </c>
      <c r="AV175">
        <v>174</v>
      </c>
      <c r="AW175" s="122" t="str">
        <f>IFERROR(INDEX(TableWRTECalcPts[PLAYER],MATCH(TableWRTERank[[#This Row],[RK]],TableWRTECalcPts[RK],0)),"")</f>
        <v>KhaDarel Hodge</v>
      </c>
      <c r="AX175" s="122" t="str">
        <f>IFERROR(INDEX(TableWRTECalcPts[POS RK],MATCH(TableWRTERank[[#This Row],[WR and TE COMBINED]],TableWRTECalcPts[PLAYER],0)),"")</f>
        <v>WR126</v>
      </c>
      <c r="AY175" s="122">
        <f>IFERROR(INDEX(TableWRTECalcPts[BYE],MATCH(TableWRTERank[[#This Row],[RK]],TableWRTECalcPts[RK],0)),"")</f>
        <v>12</v>
      </c>
      <c r="AZ175" s="123">
        <f>IFERROR(INDEX(TableWRTECalcPts[Custom],MATCH(TableWRTERank[[#This Row],[RK]],TableWRTECalcPts[RK],0)),"")</f>
        <v>28.719195128877054</v>
      </c>
      <c r="BA175" s="174">
        <f>IFERROR((TableWRTERank[[#This Row],[FPS]]-INDEX(TableWRTERank[FPS],MATCH(WRTEVORPCalc,TableWRTERank[RK],0)))/INDEX(TableWRTERank[FPS],MATCH(WRTEVORPCalc,TableWRTERank[RK],0)),"")</f>
        <v>-0.81698554697275316</v>
      </c>
      <c r="BC175" t="s">
        <v>208</v>
      </c>
      <c r="BD175">
        <v>174</v>
      </c>
      <c r="BE175" s="83">
        <f>RANK(TableWRTEMaster[[#This Row],[VORP]],TableWRTEMaster[VORP])+COUNTIF($BJ$2:BJ175,BJ175)-1</f>
        <v>254</v>
      </c>
      <c r="BF175" s="115" t="str">
        <f>IFERROR(INDEX(TableWRVORP[WIDE RECEIVER],MATCH(TableWRTEMaster[[#This Row],[RK]],TableWRVORP[RK],0)),"")</f>
        <v>Stanley Morgan</v>
      </c>
      <c r="BG175" s="115" t="str">
        <f>_xlfn.CONCAT(TableWRTEMaster[[#This Row],[POS]],TableWRTEMaster[[#This Row],[RK]])</f>
        <v>WR174</v>
      </c>
      <c r="BH175" s="115">
        <f>IFERROR(INDEX(TableWRVORP[BYE],MATCH(TableWRTEMaster[[#This Row],[RK]],TableWRVORP[RK],0)),"")</f>
        <v>12</v>
      </c>
      <c r="BI175" s="116">
        <f>IFERROR(INDEX(TableWRVORP[FPS],MATCH(TableWRTEMaster[[#This Row],[RK]],TableWRVORP[RK],0)),"")</f>
        <v>6.7321870722144546</v>
      </c>
      <c r="BJ175" s="117">
        <f>IFERROR(INDEX(TableWRVORP[VORP],MATCH(TableWRTEMaster[[#This Row],[RK]],TableWRVORP[RK],0)),"")</f>
        <v>-1.1451251648950331</v>
      </c>
    </row>
    <row r="176" spans="8:62" x14ac:dyDescent="0.2">
      <c r="H176">
        <v>175</v>
      </c>
      <c r="I176" s="112" t="str">
        <f>IFERROR(INDEX(TableRBCalcPts[PLAYER],MATCH(TableRBVORP[[#This Row],[RK]],TableRBCalcPts[RK],0)),"")</f>
        <v/>
      </c>
      <c r="J176" s="112" t="str">
        <f>IFERROR(INDEX(TableRBCalcPts[TM],MATCH(TableRBVORP[[#This Row],[RK]],TableRBCalcPts[RK],0)),"")</f>
        <v/>
      </c>
      <c r="K176" s="112" t="str">
        <f>IFERROR(INDEX(TableRBCalcPts[BYE],MATCH(TableRBVORP[[#This Row],[RK]],TableRBCalcPts[RK],0)),"")</f>
        <v/>
      </c>
      <c r="L176" s="113" t="str">
        <f>IFERROR(INDEX(TableRBCalcPts[Custom],MATCH(TableRBVORP[[#This Row],[RK]],TableRBCalcPts[RK],0)),"")</f>
        <v/>
      </c>
      <c r="M176" s="114" t="e">
        <f>(IFERROR((TableRBVORP[[#This Row],[FPS]]-INDEX(TableRBVORP[FPS],MATCH(RBVORPCalc,TableRBVORP[RK],0)))/INDEX(TableRBVORP[FPS],MATCH(RBVORPCalc,TableRBVORP[RK],0)),""))*0.8</f>
        <v>#VALUE!</v>
      </c>
      <c r="O176">
        <v>175</v>
      </c>
      <c r="P176" s="112" t="str">
        <f>IFERROR(INDEX(TableWRCalcPts[PLAYER],MATCH(TableWRVORP[[#This Row],[RK]],TableWRCalcPts[RK],0)),"")</f>
        <v>David Bell</v>
      </c>
      <c r="Q176" s="112" t="str">
        <f>IFERROR(INDEX(TableWRCalcPts[TM],MATCH(TableWRVORP[[#This Row],[RK]],TableWRCalcPts[RK],0)),"")</f>
        <v>CLE</v>
      </c>
      <c r="R176" s="112">
        <f>IFERROR(INDEX(TableWRCalcPts[BYE],MATCH(TableWRVORP[[#This Row],[RK]],TableWRCalcPts[RK],0)),"")</f>
        <v>10</v>
      </c>
      <c r="S176" s="113">
        <f>IFERROR(INDEX(TableWRCalcPts[Custom],MATCH(TableWRVORP[[#This Row],[RK]],TableWRCalcPts[RK],0)),"")</f>
        <v>6.426609524515027</v>
      </c>
      <c r="T176" s="114">
        <f>(IFERROR((TableWRVORP[[#This Row],[FPS]]-INDEX(TableWRVORP[FPS],MATCH(WRVORPCalc,TableWRVORP[RK],0)))/INDEX(TableWRVORP[FPS],MATCH(WRVORPCalc,TableWRVORP[RK],0)),""))*1.2</f>
        <v>-1.1476159628128442</v>
      </c>
      <c r="AF176" t="s">
        <v>208</v>
      </c>
      <c r="AG176">
        <v>35</v>
      </c>
      <c r="AH176" s="83">
        <f>RANK(TableOverallMaster[[#This Row],[VORP]],TableOverallMaster[VORP])+COUNTIF($AM$2:AM176,AM176)-1</f>
        <v>82</v>
      </c>
      <c r="AI176" s="115" t="str">
        <f>IFERROR(INDEX(TableWRVORP[WIDE RECEIVER],MATCH(TableOverallMaster[[#This Row],[RK]],TableWRVORP[RK],0)),"")</f>
        <v>Jordan Addison</v>
      </c>
      <c r="AJ176" s="115" t="str">
        <f t="shared" si="2"/>
        <v>WR35</v>
      </c>
      <c r="AK176" s="115">
        <f>IFERROR(INDEX(TableWRVORP[BYE],MATCH(TableOverallMaster[[#This Row],[RK]],TableWRVORP[RK],0)),"")</f>
        <v>6</v>
      </c>
      <c r="AL176" s="116">
        <f>IFERROR(INDEX(TableWRVORP[FPS],MATCH(TableOverallMaster[[#This Row],[RK]],TableWRVORP[RK],0)),"")</f>
        <v>173.55431512473601</v>
      </c>
      <c r="AM176" s="117">
        <f>IFERROR(INDEX(TableWRVORP[VORP],MATCH(TableOverallMaster[[#This Row],[RK]],TableWRVORP[RK],0)),"")</f>
        <v>0.21466128645362212</v>
      </c>
      <c r="AO176">
        <v>175</v>
      </c>
      <c r="AP176" s="118" t="str">
        <f>IFERROR(INDEX(TableOverallMaster[OVERALL PLAYER],MATCH(TableOverallRank[[#This Row],[RK]],TableOverallMaster[OVR RK],0)),"")</f>
        <v>Mike Gesicki</v>
      </c>
      <c r="AQ176" s="119" t="str">
        <f>IFERROR(INDEX(TableOverallMaster[POS RK],MATCH(TableOverallRank[[#This Row],[OVERALL PLAYER]],TableOverallMaster[OVERALL PLAYER],0)),"")</f>
        <v>TE18</v>
      </c>
      <c r="AR176" s="120">
        <f>IFERROR(INDEX(TableOverallMaster[BYE],MATCH(TableOverallRank[[#This Row],[OVERALL PLAYER]],TableOverallMaster[OVERALL PLAYER],0)),"")</f>
        <v>12</v>
      </c>
      <c r="AS176" s="119">
        <f>IFERROR(INDEX(TableOverallMaster[Custom],MATCH(TableOverallRank[[#This Row],[OVERALL PLAYER]],TableOverallMaster[OVERALL PLAYER],0)),"")</f>
        <v>96.879813101035438</v>
      </c>
      <c r="AT176" s="121">
        <f>IFERROR(INDEX(TableOverallMaster[VORP],MATCH(TableOverallRank[[#This Row],[OVERALL PLAYER]],TableOverallMaster[OVERALL PLAYER],0)),"")</f>
        <v>-0.26404947137820634</v>
      </c>
      <c r="AV176">
        <v>175</v>
      </c>
      <c r="AW176" s="122" t="str">
        <f>IFERROR(INDEX(TableWRTECalcPts[PLAYER],MATCH(TableWRTERank[[#This Row],[RK]],TableWRTECalcPts[RK],0)),"")</f>
        <v>Gerald Everett</v>
      </c>
      <c r="AX176" s="122" t="str">
        <f>IFERROR(INDEX(TableWRTECalcPts[POS RK],MATCH(TableWRTERank[[#This Row],[WR and TE COMBINED]],TableWRTECalcPts[PLAYER],0)),"")</f>
        <v>TE49</v>
      </c>
      <c r="AY176" s="122">
        <f>IFERROR(INDEX(TableWRTECalcPts[BYE],MATCH(TableWRTERank[[#This Row],[RK]],TableWRTECalcPts[RK],0)),"")</f>
        <v>7</v>
      </c>
      <c r="AZ176" s="123">
        <f>IFERROR(INDEX(TableWRTECalcPts[Custom],MATCH(TableWRTERank[[#This Row],[RK]],TableWRTECalcPts[RK],0)),"")</f>
        <v>28.159483725102589</v>
      </c>
      <c r="BA176" s="174">
        <f>IFERROR((TableWRTERank[[#This Row],[FPS]]-INDEX(TableWRTERank[FPS],MATCH(WRTEVORPCalc,TableWRTERank[RK],0)))/INDEX(TableWRTERank[FPS],MATCH(WRTEVORPCalc,TableWRTERank[RK],0)),"")</f>
        <v>-0.82055233482858347</v>
      </c>
      <c r="BC176" t="s">
        <v>208</v>
      </c>
      <c r="BD176">
        <v>175</v>
      </c>
      <c r="BE176" s="83">
        <f>RANK(TableWRTEMaster[[#This Row],[VORP]],TableWRTEMaster[VORP])+COUNTIF($BJ$2:BJ176,BJ176)-1</f>
        <v>255</v>
      </c>
      <c r="BF176" s="115" t="str">
        <f>IFERROR(INDEX(TableWRVORP[WIDE RECEIVER],MATCH(TableWRTEMaster[[#This Row],[RK]],TableWRVORP[RK],0)),"")</f>
        <v>David Bell</v>
      </c>
      <c r="BG176" s="115" t="str">
        <f>_xlfn.CONCAT(TableWRTEMaster[[#This Row],[POS]],TableWRTEMaster[[#This Row],[RK]])</f>
        <v>WR175</v>
      </c>
      <c r="BH176" s="115">
        <f>IFERROR(INDEX(TableWRVORP[BYE],MATCH(TableWRTEMaster[[#This Row],[RK]],TableWRVORP[RK],0)),"")</f>
        <v>10</v>
      </c>
      <c r="BI176" s="116">
        <f>IFERROR(INDEX(TableWRVORP[FPS],MATCH(TableWRTEMaster[[#This Row],[RK]],TableWRVORP[RK],0)),"")</f>
        <v>6.426609524515027</v>
      </c>
      <c r="BJ176" s="117">
        <f>IFERROR(INDEX(TableWRVORP[VORP],MATCH(TableWRTEMaster[[#This Row],[RK]],TableWRVORP[RK],0)),"")</f>
        <v>-1.1476159628128442</v>
      </c>
    </row>
    <row r="177" spans="15:62" x14ac:dyDescent="0.2">
      <c r="O177">
        <v>176</v>
      </c>
      <c r="P177" s="112" t="str">
        <f>IFERROR(INDEX(TableWRCalcPts[PLAYER],MATCH(TableWRVORP[[#This Row],[RK]],TableWRCalcPts[RK],0)),"")</f>
        <v/>
      </c>
      <c r="Q177" s="112" t="str">
        <f>IFERROR(INDEX(TableWRCalcPts[TM],MATCH(TableWRVORP[[#This Row],[RK]],TableWRCalcPts[RK],0)),"")</f>
        <v/>
      </c>
      <c r="R177" s="112" t="str">
        <f>IFERROR(INDEX(TableWRCalcPts[BYE],MATCH(TableWRVORP[[#This Row],[RK]],TableWRCalcPts[RK],0)),"")</f>
        <v/>
      </c>
      <c r="S177" s="113" t="str">
        <f>IFERROR(INDEX(TableWRCalcPts[Custom],MATCH(TableWRVORP[[#This Row],[RK]],TableWRCalcPts[RK],0)),"")</f>
        <v/>
      </c>
      <c r="T177" s="114" t="e">
        <f>(IFERROR((TableWRVORP[[#This Row],[FPS]]-INDEX(TableWRVORP[FPS],MATCH(WRVORPCalc,TableWRVORP[RK],0)))/INDEX(TableWRVORP[FPS],MATCH(WRVORPCalc,TableWRVORP[RK],0)),""))*1.2</f>
        <v>#VALUE!</v>
      </c>
      <c r="AF177" t="s">
        <v>208</v>
      </c>
      <c r="AG177">
        <v>36</v>
      </c>
      <c r="AH177" s="83">
        <f>RANK(TableOverallMaster[[#This Row],[VORP]],TableOverallMaster[VORP])+COUNTIF($AM$2:AM177,AM177)-1</f>
        <v>83</v>
      </c>
      <c r="AI177" s="115" t="str">
        <f>IFERROR(INDEX(TableWRVORP[WIDE RECEIVER],MATCH(TableOverallMaster[[#This Row],[RK]],TableWRVORP[RK],0)),"")</f>
        <v>Michael Pittman</v>
      </c>
      <c r="AJ177" s="115" t="str">
        <f t="shared" si="2"/>
        <v>WR36</v>
      </c>
      <c r="AK177" s="115">
        <f>IFERROR(INDEX(TableWRVORP[BYE],MATCH(TableOverallMaster[[#This Row],[RK]],TableWRVORP[RK],0)),"")</f>
        <v>14</v>
      </c>
      <c r="AL177" s="116">
        <f>IFERROR(INDEX(TableWRVORP[FPS],MATCH(TableOverallMaster[[#This Row],[RK]],TableWRVORP[RK],0)),"")</f>
        <v>173.37018571044479</v>
      </c>
      <c r="AM177" s="117">
        <f>IFERROR(INDEX(TableWRVORP[VORP],MATCH(TableOverallMaster[[#This Row],[RK]],TableWRVORP[RK],0)),"")</f>
        <v>0.21316042631132051</v>
      </c>
      <c r="AO177">
        <v>176</v>
      </c>
      <c r="AP177" s="118" t="str">
        <f>IFERROR(INDEX(TableOverallMaster[OVERALL PLAYER],MATCH(TableOverallRank[[#This Row],[RK]],TableOverallMaster[OVR RK],0)),"")</f>
        <v>Cordarrelle Patterson</v>
      </c>
      <c r="AQ177" s="119" t="str">
        <f>IFERROR(INDEX(TableOverallMaster[POS RK],MATCH(TableOverallRank[[#This Row],[OVERALL PLAYER]],TableOverallMaster[OVERALL PLAYER],0)),"")</f>
        <v>RB57</v>
      </c>
      <c r="AR177" s="120">
        <f>IFERROR(INDEX(TableOverallMaster[BYE],MATCH(TableOverallRank[[#This Row],[OVERALL PLAYER]],TableOverallMaster[OVERALL PLAYER],0)),"")</f>
        <v>9</v>
      </c>
      <c r="AS177" s="119">
        <f>IFERROR(INDEX(TableOverallMaster[Custom],MATCH(TableOverallRank[[#This Row],[OVERALL PLAYER]],TableOverallMaster[OVERALL PLAYER],0)),"")</f>
        <v>79.44702930055405</v>
      </c>
      <c r="AT177" s="121">
        <f>IFERROR(INDEX(TableOverallMaster[VORP],MATCH(TableOverallRank[[#This Row],[OVERALL PLAYER]],TableOverallMaster[OVERALL PLAYER],0)),"")</f>
        <v>-0.26996831873211002</v>
      </c>
      <c r="AV177">
        <v>176</v>
      </c>
      <c r="AW177" s="122" t="str">
        <f>IFERROR(INDEX(TableWRTECalcPts[PLAYER],MATCH(TableWRTERank[[#This Row],[RK]],TableWRTECalcPts[RK],0)),"")</f>
        <v>Anthony Gould</v>
      </c>
      <c r="AX177" s="122" t="str">
        <f>IFERROR(INDEX(TableWRTECalcPts[POS RK],MATCH(TableWRTERank[[#This Row],[WR and TE COMBINED]],TableWRTECalcPts[PLAYER],0)),"")</f>
        <v>WR127</v>
      </c>
      <c r="AY177" s="122">
        <f>IFERROR(INDEX(TableWRTECalcPts[BYE],MATCH(TableWRTERank[[#This Row],[RK]],TableWRTECalcPts[RK],0)),"")</f>
        <v>14</v>
      </c>
      <c r="AZ177" s="123">
        <f>IFERROR(INDEX(TableWRTECalcPts[Custom],MATCH(TableWRTERank[[#This Row],[RK]],TableWRTECalcPts[RK],0)),"")</f>
        <v>28.099560916257602</v>
      </c>
      <c r="BA177" s="174">
        <f>IFERROR((TableWRTERank[[#This Row],[FPS]]-INDEX(TableWRTERank[FPS],MATCH(WRTEVORPCalc,TableWRTERank[RK],0)))/INDEX(TableWRTERank[FPS],MATCH(WRTEVORPCalc,TableWRTERank[RK],0)),"")</f>
        <v>-0.82093419581164406</v>
      </c>
      <c r="BC177" t="s">
        <v>208</v>
      </c>
      <c r="BD177">
        <v>176</v>
      </c>
      <c r="BE177" s="83" t="e">
        <f>RANK(TableWRTEMaster[[#This Row],[VORP]],TableWRTEMaster[VORP])+COUNTIF($BJ$2:BJ177,BJ177)-1</f>
        <v>#VALUE!</v>
      </c>
      <c r="BF177" s="115" t="str">
        <f>IFERROR(INDEX(TableWRVORP[WIDE RECEIVER],MATCH(TableWRTEMaster[[#This Row],[RK]],TableWRVORP[RK],0)),"")</f>
        <v/>
      </c>
      <c r="BG177" s="115" t="str">
        <f>_xlfn.CONCAT(TableWRTEMaster[[#This Row],[POS]],TableWRTEMaster[[#This Row],[RK]])</f>
        <v>WR176</v>
      </c>
      <c r="BH177" s="115" t="str">
        <f>IFERROR(INDEX(TableWRVORP[BYE],MATCH(TableWRTEMaster[[#This Row],[RK]],TableWRVORP[RK],0)),"")</f>
        <v/>
      </c>
      <c r="BI177" s="116" t="str">
        <f>IFERROR(INDEX(TableWRVORP[FPS],MATCH(TableWRTEMaster[[#This Row],[RK]],TableWRVORP[RK],0)),"")</f>
        <v/>
      </c>
      <c r="BJ177" s="117" t="str">
        <f>IFERROR(INDEX(TableWRVORP[VORP],MATCH(TableWRTEMaster[[#This Row],[RK]],TableWRVORP[RK],0)),"")</f>
        <v/>
      </c>
    </row>
    <row r="178" spans="15:62" x14ac:dyDescent="0.2">
      <c r="O178">
        <v>177</v>
      </c>
      <c r="P178" s="112" t="str">
        <f>IFERROR(INDEX(TableWRCalcPts[PLAYER],MATCH(TableWRVORP[[#This Row],[RK]],TableWRCalcPts[RK],0)),"")</f>
        <v/>
      </c>
      <c r="Q178" s="112" t="str">
        <f>IFERROR(INDEX(TableWRCalcPts[TM],MATCH(TableWRVORP[[#This Row],[RK]],TableWRCalcPts[RK],0)),"")</f>
        <v/>
      </c>
      <c r="R178" s="112" t="str">
        <f>IFERROR(INDEX(TableWRCalcPts[BYE],MATCH(TableWRVORP[[#This Row],[RK]],TableWRCalcPts[RK],0)),"")</f>
        <v/>
      </c>
      <c r="S178" s="113" t="str">
        <f>IFERROR(INDEX(TableWRCalcPts[Custom],MATCH(TableWRVORP[[#This Row],[RK]],TableWRCalcPts[RK],0)),"")</f>
        <v/>
      </c>
      <c r="T178" s="114" t="e">
        <f>(IFERROR((TableWRVORP[[#This Row],[FPS]]-INDEX(TableWRVORP[FPS],MATCH(WRVORPCalc,TableWRVORP[RK],0)))/INDEX(TableWRVORP[FPS],MATCH(WRVORPCalc,TableWRVORP[RK],0)),""))*1.2</f>
        <v>#VALUE!</v>
      </c>
      <c r="AF178" t="s">
        <v>208</v>
      </c>
      <c r="AG178">
        <v>37</v>
      </c>
      <c r="AH178" s="83">
        <f>RANK(TableOverallMaster[[#This Row],[VORP]],TableOverallMaster[VORP])+COUNTIF($AM$2:AM178,AM178)-1</f>
        <v>84</v>
      </c>
      <c r="AI178" s="115" t="str">
        <f>IFERROR(INDEX(TableWRVORP[WIDE RECEIVER],MATCH(TableOverallMaster[[#This Row],[RK]],TableWRVORP[RK],0)),"")</f>
        <v>Joshua Palmer</v>
      </c>
      <c r="AJ178" s="115" t="str">
        <f t="shared" si="2"/>
        <v>WR37</v>
      </c>
      <c r="AK178" s="115">
        <f>IFERROR(INDEX(TableWRVORP[BYE],MATCH(TableOverallMaster[[#This Row],[RK]],TableWRVORP[RK],0)),"")</f>
        <v>5</v>
      </c>
      <c r="AL178" s="116">
        <f>IFERROR(INDEX(TableWRVORP[FPS],MATCH(TableOverallMaster[[#This Row],[RK]],TableWRVORP[RK],0)),"")</f>
        <v>172.74939155380375</v>
      </c>
      <c r="AM178" s="117">
        <f>IFERROR(INDEX(TableWRVORP[VORP],MATCH(TableOverallMaster[[#This Row],[RK]],TableWRVORP[RK],0)),"")</f>
        <v>0.20810026137318272</v>
      </c>
      <c r="AO178">
        <v>177</v>
      </c>
      <c r="AP178" s="118" t="str">
        <f>IFERROR(INDEX(TableOverallMaster[OVERALL PLAYER],MATCH(TableOverallRank[[#This Row],[RK]],TableOverallMaster[OVR RK],0)),"")</f>
        <v>Marvin Mims</v>
      </c>
      <c r="AQ178" s="119" t="str">
        <f>IFERROR(INDEX(TableOverallMaster[POS RK],MATCH(TableOverallRank[[#This Row],[OVERALL PLAYER]],TableOverallMaster[OVERALL PLAYER],0)),"")</f>
        <v>WR73</v>
      </c>
      <c r="AR178" s="120">
        <f>IFERROR(INDEX(TableOverallMaster[BYE],MATCH(TableOverallRank[[#This Row],[OVERALL PLAYER]],TableOverallMaster[OVERALL PLAYER],0)),"")</f>
        <v>14</v>
      </c>
      <c r="AS178" s="119">
        <f>IFERROR(INDEX(TableOverallMaster[Custom],MATCH(TableOverallRank[[#This Row],[OVERALL PLAYER]],TableOverallMaster[OVERALL PLAYER],0)),"")</f>
        <v>113.95181857055516</v>
      </c>
      <c r="AT178" s="121">
        <f>IFERROR(INDEX(TableOverallMaster[VORP],MATCH(TableOverallRank[[#This Row],[OVERALL PLAYER]],TableOverallMaster[OVERALL PLAYER],0)),"")</f>
        <v>-0.27116555334915055</v>
      </c>
      <c r="AV178">
        <v>177</v>
      </c>
      <c r="AW178" s="122" t="str">
        <f>IFERROR(INDEX(TableWRTECalcPts[PLAYER],MATCH(TableWRTERank[[#This Row],[RK]],TableWRTECalcPts[RK],0)),"")</f>
        <v>Charlie Woerner</v>
      </c>
      <c r="AX178" s="122" t="str">
        <f>IFERROR(INDEX(TableWRTECalcPts[POS RK],MATCH(TableWRTERank[[#This Row],[WR and TE COMBINED]],TableWRTECalcPts[PLAYER],0)),"")</f>
        <v>TE50</v>
      </c>
      <c r="AY178" s="122">
        <f>IFERROR(INDEX(TableWRTECalcPts[BYE],MATCH(TableWRTERank[[#This Row],[RK]],TableWRTECalcPts[RK],0)),"")</f>
        <v>12</v>
      </c>
      <c r="AZ178" s="123">
        <f>IFERROR(INDEX(TableWRTECalcPts[Custom],MATCH(TableWRTERank[[#This Row],[RK]],TableWRTECalcPts[RK],0)),"")</f>
        <v>27.714480291641177</v>
      </c>
      <c r="BA178" s="174">
        <f>IFERROR((TableWRTERank[[#This Row],[FPS]]-INDEX(TableWRTERank[FPS],MATCH(WRTEVORPCalc,TableWRTERank[RK],0)))/INDEX(TableWRTERank[FPS],MATCH(WRTEVORPCalc,TableWRTERank[RK],0)),"")</f>
        <v>-0.82338814062344357</v>
      </c>
      <c r="BC178" t="s">
        <v>208</v>
      </c>
      <c r="BD178">
        <v>177</v>
      </c>
      <c r="BE178" s="83" t="e">
        <f>RANK(TableWRTEMaster[[#This Row],[VORP]],TableWRTEMaster[VORP])+COUNTIF($BJ$2:BJ178,BJ178)-1</f>
        <v>#VALUE!</v>
      </c>
      <c r="BF178" s="115" t="str">
        <f>IFERROR(INDEX(TableWRVORP[WIDE RECEIVER],MATCH(TableWRTEMaster[[#This Row],[RK]],TableWRVORP[RK],0)),"")</f>
        <v/>
      </c>
      <c r="BG178" s="115" t="str">
        <f>_xlfn.CONCAT(TableWRTEMaster[[#This Row],[POS]],TableWRTEMaster[[#This Row],[RK]])</f>
        <v>WR177</v>
      </c>
      <c r="BH178" s="115" t="str">
        <f>IFERROR(INDEX(TableWRVORP[BYE],MATCH(TableWRTEMaster[[#This Row],[RK]],TableWRVORP[RK],0)),"")</f>
        <v/>
      </c>
      <c r="BI178" s="116" t="str">
        <f>IFERROR(INDEX(TableWRVORP[FPS],MATCH(TableWRTEMaster[[#This Row],[RK]],TableWRVORP[RK],0)),"")</f>
        <v/>
      </c>
      <c r="BJ178" s="117" t="str">
        <f>IFERROR(INDEX(TableWRVORP[VORP],MATCH(TableWRTEMaster[[#This Row],[RK]],TableWRVORP[RK],0)),"")</f>
        <v/>
      </c>
    </row>
    <row r="179" spans="15:62" x14ac:dyDescent="0.2">
      <c r="O179">
        <v>178</v>
      </c>
      <c r="P179" s="112" t="str">
        <f>IFERROR(INDEX(TableWRCalcPts[PLAYER],MATCH(TableWRVORP[[#This Row],[RK]],TableWRCalcPts[RK],0)),"")</f>
        <v/>
      </c>
      <c r="Q179" s="112" t="str">
        <f>IFERROR(INDEX(TableWRCalcPts[TM],MATCH(TableWRVORP[[#This Row],[RK]],TableWRCalcPts[RK],0)),"")</f>
        <v/>
      </c>
      <c r="R179" s="112" t="str">
        <f>IFERROR(INDEX(TableWRCalcPts[BYE],MATCH(TableWRVORP[[#This Row],[RK]],TableWRCalcPts[RK],0)),"")</f>
        <v/>
      </c>
      <c r="S179" s="113" t="str">
        <f>IFERROR(INDEX(TableWRCalcPts[Custom],MATCH(TableWRVORP[[#This Row],[RK]],TableWRCalcPts[RK],0)),"")</f>
        <v/>
      </c>
      <c r="T179" s="114" t="e">
        <f>(IFERROR((TableWRVORP[[#This Row],[FPS]]-INDEX(TableWRVORP[FPS],MATCH(WRVORPCalc,TableWRVORP[RK],0)))/INDEX(TableWRVORP[FPS],MATCH(WRVORPCalc,TableWRVORP[RK],0)),""))*1.2</f>
        <v>#VALUE!</v>
      </c>
      <c r="AF179" t="s">
        <v>208</v>
      </c>
      <c r="AG179">
        <v>38</v>
      </c>
      <c r="AH179" s="83">
        <f>RANK(TableOverallMaster[[#This Row],[VORP]],TableOverallMaster[VORP])+COUNTIF($AM$2:AM179,AM179)-1</f>
        <v>86</v>
      </c>
      <c r="AI179" s="115" t="str">
        <f>IFERROR(INDEX(TableWRVORP[WIDE RECEIVER],MATCH(TableOverallMaster[[#This Row],[RK]],TableWRVORP[RK],0)),"")</f>
        <v>Diontae Johnson</v>
      </c>
      <c r="AJ179" s="115" t="str">
        <f t="shared" si="2"/>
        <v>WR38</v>
      </c>
      <c r="AK179" s="115">
        <f>IFERROR(INDEX(TableWRVORP[BYE],MATCH(TableOverallMaster[[#This Row],[RK]],TableWRVORP[RK],0)),"")</f>
        <v>11</v>
      </c>
      <c r="AL179" s="116">
        <f>IFERROR(INDEX(TableWRVORP[FPS],MATCH(TableOverallMaster[[#This Row],[RK]],TableWRVORP[RK],0)),"")</f>
        <v>171.49062820982402</v>
      </c>
      <c r="AM179" s="117">
        <f>IFERROR(INDEX(TableWRVORP[VORP],MATCH(TableOverallMaster[[#This Row],[RK]],TableWRVORP[RK],0)),"")</f>
        <v>0.19783993583615886</v>
      </c>
      <c r="AO179">
        <v>178</v>
      </c>
      <c r="AP179" s="118" t="str">
        <f>IFERROR(INDEX(TableOverallMaster[OVERALL PLAYER],MATCH(TableOverallRank[[#This Row],[RK]],TableOverallMaster[OVR RK],0)),"")</f>
        <v>Luke Musgrave</v>
      </c>
      <c r="AQ179" s="119" t="str">
        <f>IFERROR(INDEX(TableOverallMaster[POS RK],MATCH(TableOverallRank[[#This Row],[OVERALL PLAYER]],TableOverallMaster[OVERALL PLAYER],0)),"")</f>
        <v>TE19</v>
      </c>
      <c r="AR179" s="120">
        <f>IFERROR(INDEX(TableOverallMaster[BYE],MATCH(TableOverallRank[[#This Row],[OVERALL PLAYER]],TableOverallMaster[OVERALL PLAYER],0)),"")</f>
        <v>10</v>
      </c>
      <c r="AS179" s="119">
        <f>IFERROR(INDEX(TableOverallMaster[Custom],MATCH(TableOverallRank[[#This Row],[OVERALL PLAYER]],TableOverallMaster[OVERALL PLAYER],0)),"")</f>
        <v>95.806678079854066</v>
      </c>
      <c r="AT179" s="121">
        <f>IFERROR(INDEX(TableOverallMaster[VORP],MATCH(TableOverallRank[[#This Row],[OVERALL PLAYER]],TableOverallMaster[OVERALL PLAYER],0)),"")</f>
        <v>-0.27220157511211157</v>
      </c>
      <c r="AV179">
        <v>178</v>
      </c>
      <c r="AW179" s="122" t="str">
        <f>IFERROR(INDEX(TableWRTECalcPts[PLAYER],MATCH(TableWRTERank[[#This Row],[RK]],TableWRTECalcPts[RK],0)),"")</f>
        <v>Xavier Gipson</v>
      </c>
      <c r="AX179" s="122" t="str">
        <f>IFERROR(INDEX(TableWRTECalcPts[POS RK],MATCH(TableWRTERank[[#This Row],[WR and TE COMBINED]],TableWRTECalcPts[PLAYER],0)),"")</f>
        <v>WR128</v>
      </c>
      <c r="AY179" s="122">
        <f>IFERROR(INDEX(TableWRTECalcPts[BYE],MATCH(TableWRTERank[[#This Row],[RK]],TableWRTECalcPts[RK],0)),"")</f>
        <v>12</v>
      </c>
      <c r="AZ179" s="123">
        <f>IFERROR(INDEX(TableWRTECalcPts[Custom],MATCH(TableWRTERank[[#This Row],[RK]],TableWRTECalcPts[RK],0)),"")</f>
        <v>27.628995709029127</v>
      </c>
      <c r="BA179" s="174">
        <f>IFERROR((TableWRTERank[[#This Row],[FPS]]-INDEX(TableWRTERank[FPS],MATCH(WRTEVORPCalc,TableWRTERank[RK],0)))/INDEX(TableWRTERank[FPS],MATCH(WRTEVORPCalc,TableWRTERank[RK],0)),"")</f>
        <v>-0.82393289523995683</v>
      </c>
      <c r="BC179" t="s">
        <v>208</v>
      </c>
      <c r="BD179">
        <v>178</v>
      </c>
      <c r="BE179" s="83" t="e">
        <f>RANK(TableWRTEMaster[[#This Row],[VORP]],TableWRTEMaster[VORP])+COUNTIF($BJ$2:BJ179,BJ179)-1</f>
        <v>#VALUE!</v>
      </c>
      <c r="BF179" s="115" t="str">
        <f>IFERROR(INDEX(TableWRVORP[WIDE RECEIVER],MATCH(TableWRTEMaster[[#This Row],[RK]],TableWRVORP[RK],0)),"")</f>
        <v/>
      </c>
      <c r="BG179" s="115" t="str">
        <f>_xlfn.CONCAT(TableWRTEMaster[[#This Row],[POS]],TableWRTEMaster[[#This Row],[RK]])</f>
        <v>WR178</v>
      </c>
      <c r="BH179" s="115" t="str">
        <f>IFERROR(INDEX(TableWRVORP[BYE],MATCH(TableWRTEMaster[[#This Row],[RK]],TableWRVORP[RK],0)),"")</f>
        <v/>
      </c>
      <c r="BI179" s="116" t="str">
        <f>IFERROR(INDEX(TableWRVORP[FPS],MATCH(TableWRTEMaster[[#This Row],[RK]],TableWRVORP[RK],0)),"")</f>
        <v/>
      </c>
      <c r="BJ179" s="117" t="str">
        <f>IFERROR(INDEX(TableWRVORP[VORP],MATCH(TableWRTEMaster[[#This Row],[RK]],TableWRVORP[RK],0)),"")</f>
        <v/>
      </c>
    </row>
    <row r="180" spans="15:62" x14ac:dyDescent="0.2">
      <c r="O180">
        <v>179</v>
      </c>
      <c r="P180" s="112" t="str">
        <f>IFERROR(INDEX(TableWRCalcPts[PLAYER],MATCH(TableWRVORP[[#This Row],[RK]],TableWRCalcPts[RK],0)),"")</f>
        <v/>
      </c>
      <c r="Q180" s="112" t="str">
        <f>IFERROR(INDEX(TableWRCalcPts[TM],MATCH(TableWRVORP[[#This Row],[RK]],TableWRCalcPts[RK],0)),"")</f>
        <v/>
      </c>
      <c r="R180" s="112" t="str">
        <f>IFERROR(INDEX(TableWRCalcPts[BYE],MATCH(TableWRVORP[[#This Row],[RK]],TableWRCalcPts[RK],0)),"")</f>
        <v/>
      </c>
      <c r="S180" s="113" t="str">
        <f>IFERROR(INDEX(TableWRCalcPts[Custom],MATCH(TableWRVORP[[#This Row],[RK]],TableWRCalcPts[RK],0)),"")</f>
        <v/>
      </c>
      <c r="T180" s="114" t="e">
        <f>(IFERROR((TableWRVORP[[#This Row],[FPS]]-INDEX(TableWRVORP[FPS],MATCH(WRVORPCalc,TableWRVORP[RK],0)))/INDEX(TableWRVORP[FPS],MATCH(WRVORPCalc,TableWRVORP[RK],0)),""))*1.2</f>
        <v>#VALUE!</v>
      </c>
      <c r="AF180" t="s">
        <v>208</v>
      </c>
      <c r="AG180">
        <v>39</v>
      </c>
      <c r="AH180" s="83">
        <f>RANK(TableOverallMaster[[#This Row],[VORP]],TableOverallMaster[VORP])+COUNTIF($AM$2:AM180,AM180)-1</f>
        <v>90</v>
      </c>
      <c r="AI180" s="115" t="str">
        <f>IFERROR(INDEX(TableWRVORP[WIDE RECEIVER],MATCH(TableOverallMaster[[#This Row],[RK]],TableWRVORP[RK],0)),"")</f>
        <v>DeAndre Hopkins</v>
      </c>
      <c r="AJ180" s="115" t="str">
        <f t="shared" si="2"/>
        <v>WR39</v>
      </c>
      <c r="AK180" s="115">
        <f>IFERROR(INDEX(TableWRVORP[BYE],MATCH(TableOverallMaster[[#This Row],[RK]],TableWRVORP[RK],0)),"")</f>
        <v>5</v>
      </c>
      <c r="AL180" s="116">
        <f>IFERROR(INDEX(TableWRVORP[FPS],MATCH(TableOverallMaster[[#This Row],[RK]],TableWRVORP[RK],0)),"")</f>
        <v>170.19671371216654</v>
      </c>
      <c r="AM180" s="117">
        <f>IFERROR(INDEX(TableWRVORP[VORP],MATCH(TableOverallMaster[[#This Row],[RK]],TableWRVORP[RK],0)),"")</f>
        <v>0.18729308918183304</v>
      </c>
      <c r="AO180">
        <v>179</v>
      </c>
      <c r="AP180" s="118" t="str">
        <f>IFERROR(INDEX(TableOverallMaster[OVERALL PLAYER],MATCH(TableOverallRank[[#This Row],[RK]],TableOverallMaster[OVR RK],0)),"")</f>
        <v>Ray Davis</v>
      </c>
      <c r="AQ180" s="119" t="str">
        <f>IFERROR(INDEX(TableOverallMaster[POS RK],MATCH(TableOverallRank[[#This Row],[OVERALL PLAYER]],TableOverallMaster[OVERALL PLAYER],0)),"")</f>
        <v>RB58</v>
      </c>
      <c r="AR180" s="120">
        <f>IFERROR(INDEX(TableOverallMaster[BYE],MATCH(TableOverallRank[[#This Row],[OVERALL PLAYER]],TableOverallMaster[OVERALL PLAYER],0)),"")</f>
        <v>12</v>
      </c>
      <c r="AS180" s="119">
        <f>IFERROR(INDEX(TableOverallMaster[Custom],MATCH(TableOverallRank[[#This Row],[OVERALL PLAYER]],TableOverallMaster[OVERALL PLAYER],0)),"")</f>
        <v>78.474181064928302</v>
      </c>
      <c r="AT180" s="121">
        <f>IFERROR(INDEX(TableOverallMaster[VORP],MATCH(TableOverallRank[[#This Row],[OVERALL PLAYER]],TableOverallMaster[OVERALL PLAYER],0)),"")</f>
        <v>-0.2764586858419551</v>
      </c>
      <c r="AV180">
        <v>179</v>
      </c>
      <c r="AW180" s="122" t="str">
        <f>IFERROR(INDEX(TableWRTECalcPts[PLAYER],MATCH(TableWRTERank[[#This Row],[RK]],TableWRTECalcPts[RK],0)),"")</f>
        <v>Jared Wiley</v>
      </c>
      <c r="AX180" s="122" t="str">
        <f>IFERROR(INDEX(TableWRTECalcPts[POS RK],MATCH(TableWRTERank[[#This Row],[WR and TE COMBINED]],TableWRTECalcPts[PLAYER],0)),"")</f>
        <v>TE51</v>
      </c>
      <c r="AY180" s="122">
        <f>IFERROR(INDEX(TableWRTECalcPts[BYE],MATCH(TableWRTERank[[#This Row],[RK]],TableWRTECalcPts[RK],0)),"")</f>
        <v>6</v>
      </c>
      <c r="AZ180" s="123">
        <f>IFERROR(INDEX(TableWRTECalcPts[Custom],MATCH(TableWRTERank[[#This Row],[RK]],TableWRTECalcPts[RK],0)),"")</f>
        <v>25.838048037454413</v>
      </c>
      <c r="BA180" s="174">
        <f>IFERROR((TableWRTERank[[#This Row],[FPS]]-INDEX(TableWRTERank[FPS],MATCH(WRTEVORPCalc,TableWRTERank[RK],0)))/INDEX(TableWRTERank[FPS],MATCH(WRTEVORPCalc,TableWRTERank[RK],0)),"")</f>
        <v>-0.83534579546375509</v>
      </c>
      <c r="BC180" t="s">
        <v>208</v>
      </c>
      <c r="BD180">
        <v>179</v>
      </c>
      <c r="BE180" s="83" t="e">
        <f>RANK(TableWRTEMaster[[#This Row],[VORP]],TableWRTEMaster[VORP])+COUNTIF($BJ$2:BJ180,BJ180)-1</f>
        <v>#VALUE!</v>
      </c>
      <c r="BF180" s="115" t="str">
        <f>IFERROR(INDEX(TableWRVORP[WIDE RECEIVER],MATCH(TableWRTEMaster[[#This Row],[RK]],TableWRVORP[RK],0)),"")</f>
        <v/>
      </c>
      <c r="BG180" s="115" t="str">
        <f>_xlfn.CONCAT(TableWRTEMaster[[#This Row],[POS]],TableWRTEMaster[[#This Row],[RK]])</f>
        <v>WR179</v>
      </c>
      <c r="BH180" s="115" t="str">
        <f>IFERROR(INDEX(TableWRVORP[BYE],MATCH(TableWRTEMaster[[#This Row],[RK]],TableWRVORP[RK],0)),"")</f>
        <v/>
      </c>
      <c r="BI180" s="116" t="str">
        <f>IFERROR(INDEX(TableWRVORP[FPS],MATCH(TableWRTEMaster[[#This Row],[RK]],TableWRVORP[RK],0)),"")</f>
        <v/>
      </c>
      <c r="BJ180" s="117" t="str">
        <f>IFERROR(INDEX(TableWRVORP[VORP],MATCH(TableWRTEMaster[[#This Row],[RK]],TableWRVORP[RK],0)),"")</f>
        <v/>
      </c>
    </row>
    <row r="181" spans="15:62" x14ac:dyDescent="0.2">
      <c r="O181">
        <v>180</v>
      </c>
      <c r="P181" s="112" t="str">
        <f>IFERROR(INDEX(TableWRCalcPts[PLAYER],MATCH(TableWRVORP[[#This Row],[RK]],TableWRCalcPts[RK],0)),"")</f>
        <v/>
      </c>
      <c r="Q181" s="112" t="str">
        <f>IFERROR(INDEX(TableWRCalcPts[TM],MATCH(TableWRVORP[[#This Row],[RK]],TableWRCalcPts[RK],0)),"")</f>
        <v/>
      </c>
      <c r="R181" s="112" t="str">
        <f>IFERROR(INDEX(TableWRCalcPts[BYE],MATCH(TableWRVORP[[#This Row],[RK]],TableWRCalcPts[RK],0)),"")</f>
        <v/>
      </c>
      <c r="S181" s="113" t="str">
        <f>IFERROR(INDEX(TableWRCalcPts[Custom],MATCH(TableWRVORP[[#This Row],[RK]],TableWRCalcPts[RK],0)),"")</f>
        <v/>
      </c>
      <c r="T181" s="114" t="e">
        <f>(IFERROR((TableWRVORP[[#This Row],[FPS]]-INDEX(TableWRVORP[FPS],MATCH(WRVORPCalc,TableWRVORP[RK],0)))/INDEX(TableWRVORP[FPS],MATCH(WRVORPCalc,TableWRVORP[RK],0)),""))*1.2</f>
        <v>#VALUE!</v>
      </c>
      <c r="AF181" t="s">
        <v>208</v>
      </c>
      <c r="AG181">
        <v>40</v>
      </c>
      <c r="AH181" s="83">
        <f>RANK(TableOverallMaster[[#This Row],[VORP]],TableOverallMaster[VORP])+COUNTIF($AM$2:AM181,AM181)-1</f>
        <v>91</v>
      </c>
      <c r="AI181" s="115" t="str">
        <f>IFERROR(INDEX(TableWRVORP[WIDE RECEIVER],MATCH(TableOverallMaster[[#This Row],[RK]],TableWRVORP[RK],0)),"")</f>
        <v>Marquise Brown</v>
      </c>
      <c r="AJ181" s="115" t="str">
        <f t="shared" si="2"/>
        <v>WR40</v>
      </c>
      <c r="AK181" s="115">
        <f>IFERROR(INDEX(TableWRVORP[BYE],MATCH(TableOverallMaster[[#This Row],[RK]],TableWRVORP[RK],0)),"")</f>
        <v>6</v>
      </c>
      <c r="AL181" s="116">
        <f>IFERROR(INDEX(TableWRVORP[FPS],MATCH(TableOverallMaster[[#This Row],[RK]],TableWRVORP[RK],0)),"")</f>
        <v>169.58278297902092</v>
      </c>
      <c r="AM181" s="117">
        <f>IFERROR(INDEX(TableWRVORP[VORP],MATCH(TableOverallMaster[[#This Row],[RK]],TableWRVORP[RK],0)),"")</f>
        <v>0.18228886880205744</v>
      </c>
      <c r="AO181">
        <v>180</v>
      </c>
      <c r="AP181" s="118" t="str">
        <f>IFERROR(INDEX(TableOverallMaster[OVERALL PLAYER],MATCH(TableOverallRank[[#This Row],[RK]],TableOverallMaster[OVR RK],0)),"")</f>
        <v>Cade Otton</v>
      </c>
      <c r="AQ181" s="119" t="str">
        <f>IFERROR(INDEX(TableOverallMaster[POS RK],MATCH(TableOverallRank[[#This Row],[OVERALL PLAYER]],TableOverallMaster[OVERALL PLAYER],0)),"")</f>
        <v>TE20</v>
      </c>
      <c r="AR181" s="120">
        <f>IFERROR(INDEX(TableOverallMaster[BYE],MATCH(TableOverallRank[[#This Row],[OVERALL PLAYER]],TableOverallMaster[OVERALL PLAYER],0)),"")</f>
        <v>11</v>
      </c>
      <c r="AS181" s="119">
        <f>IFERROR(INDEX(TableOverallMaster[Custom],MATCH(TableOverallRank[[#This Row],[OVERALL PLAYER]],TableOverallMaster[OVERALL PLAYER],0)),"")</f>
        <v>93.69854319917674</v>
      </c>
      <c r="AT181" s="121">
        <f>IFERROR(INDEX(TableOverallMaster[VORP],MATCH(TableOverallRank[[#This Row],[OVERALL PLAYER]],TableOverallMaster[OVERALL PLAYER],0)),"")</f>
        <v>-0.28821608763209844</v>
      </c>
      <c r="AV181">
        <v>180</v>
      </c>
      <c r="AW181" s="122" t="str">
        <f>IFERROR(INDEX(TableWRTECalcPts[PLAYER],MATCH(TableWRTERank[[#This Row],[RK]],TableWRTECalcPts[RK],0)),"")</f>
        <v>Johnny Wilson</v>
      </c>
      <c r="AX181" s="122" t="str">
        <f>IFERROR(INDEX(TableWRTECalcPts[POS RK],MATCH(TableWRTERank[[#This Row],[WR and TE COMBINED]],TableWRTECalcPts[PLAYER],0)),"")</f>
        <v>WR129</v>
      </c>
      <c r="AY181" s="122">
        <f>IFERROR(INDEX(TableWRTECalcPts[BYE],MATCH(TableWRTERank[[#This Row],[RK]],TableWRTECalcPts[RK],0)),"")</f>
        <v>5</v>
      </c>
      <c r="AZ181" s="123">
        <f>IFERROR(INDEX(TableWRTECalcPts[Custom],MATCH(TableWRTERank[[#This Row],[RK]],TableWRTECalcPts[RK],0)),"")</f>
        <v>25.767407778456288</v>
      </c>
      <c r="BA181" s="174">
        <f>IFERROR((TableWRTERank[[#This Row],[FPS]]-INDEX(TableWRTERank[FPS],MATCH(WRTEVORPCalc,TableWRTERank[RK],0)))/INDEX(TableWRTERank[FPS],MATCH(WRTEVORPCalc,TableWRTERank[RK],0)),"")</f>
        <v>-0.835795953913678</v>
      </c>
      <c r="BC181" t="s">
        <v>208</v>
      </c>
      <c r="BD181">
        <v>180</v>
      </c>
      <c r="BE181" s="83" t="e">
        <f>RANK(TableWRTEMaster[[#This Row],[VORP]],TableWRTEMaster[VORP])+COUNTIF($BJ$2:BJ181,BJ181)-1</f>
        <v>#VALUE!</v>
      </c>
      <c r="BF181" s="115" t="str">
        <f>IFERROR(INDEX(TableWRVORP[WIDE RECEIVER],MATCH(TableWRTEMaster[[#This Row],[RK]],TableWRVORP[RK],0)),"")</f>
        <v/>
      </c>
      <c r="BG181" s="115" t="str">
        <f>_xlfn.CONCAT(TableWRTEMaster[[#This Row],[POS]],TableWRTEMaster[[#This Row],[RK]])</f>
        <v>WR180</v>
      </c>
      <c r="BH181" s="115" t="str">
        <f>IFERROR(INDEX(TableWRVORP[BYE],MATCH(TableWRTEMaster[[#This Row],[RK]],TableWRVORP[RK],0)),"")</f>
        <v/>
      </c>
      <c r="BI181" s="116" t="str">
        <f>IFERROR(INDEX(TableWRVORP[FPS],MATCH(TableWRTEMaster[[#This Row],[RK]],TableWRVORP[RK],0)),"")</f>
        <v/>
      </c>
      <c r="BJ181" s="117" t="str">
        <f>IFERROR(INDEX(TableWRVORP[VORP],MATCH(TableWRTEMaster[[#This Row],[RK]],TableWRVORP[RK],0)),"")</f>
        <v/>
      </c>
    </row>
    <row r="182" spans="15:62" x14ac:dyDescent="0.2">
      <c r="O182">
        <v>181</v>
      </c>
      <c r="P182" s="112" t="str">
        <f>IFERROR(INDEX(TableWRCalcPts[PLAYER],MATCH(TableWRVORP[[#This Row],[RK]],TableWRCalcPts[RK],0)),"")</f>
        <v/>
      </c>
      <c r="Q182" s="112" t="str">
        <f>IFERROR(INDEX(TableWRCalcPts[TM],MATCH(TableWRVORP[[#This Row],[RK]],TableWRCalcPts[RK],0)),"")</f>
        <v/>
      </c>
      <c r="R182" s="112" t="str">
        <f>IFERROR(INDEX(TableWRCalcPts[BYE],MATCH(TableWRVORP[[#This Row],[RK]],TableWRCalcPts[RK],0)),"")</f>
        <v/>
      </c>
      <c r="S182" s="113" t="str">
        <f>IFERROR(INDEX(TableWRCalcPts[Custom],MATCH(TableWRVORP[[#This Row],[RK]],TableWRCalcPts[RK],0)),"")</f>
        <v/>
      </c>
      <c r="T182" s="114" t="e">
        <f>(IFERROR((TableWRVORP[[#This Row],[FPS]]-INDEX(TableWRVORP[FPS],MATCH(WRVORPCalc,TableWRVORP[RK],0)))/INDEX(TableWRVORP[FPS],MATCH(WRVORPCalc,TableWRVORP[RK],0)),""))*1.2</f>
        <v>#VALUE!</v>
      </c>
      <c r="AF182" t="s">
        <v>208</v>
      </c>
      <c r="AG182">
        <v>41</v>
      </c>
      <c r="AH182" s="83">
        <f>RANK(TableOverallMaster[[#This Row],[VORP]],TableOverallMaster[VORP])+COUNTIF($AM$2:AM182,AM182)-1</f>
        <v>94</v>
      </c>
      <c r="AI182" s="115" t="str">
        <f>IFERROR(INDEX(TableWRVORP[WIDE RECEIVER],MATCH(TableOverallMaster[[#This Row],[RK]],TableWRVORP[RK],0)),"")</f>
        <v>Chris Godwin</v>
      </c>
      <c r="AJ182" s="115" t="str">
        <f t="shared" si="2"/>
        <v>WR41</v>
      </c>
      <c r="AK182" s="115">
        <f>IFERROR(INDEX(TableWRVORP[BYE],MATCH(TableOverallMaster[[#This Row],[RK]],TableWRVORP[RK],0)),"")</f>
        <v>11</v>
      </c>
      <c r="AL182" s="116">
        <f>IFERROR(INDEX(TableWRVORP[FPS],MATCH(TableOverallMaster[[#This Row],[RK]],TableWRVORP[RK],0)),"")</f>
        <v>167.29208694718784</v>
      </c>
      <c r="AM182" s="117">
        <f>IFERROR(INDEX(TableWRVORP[VORP],MATCH(TableOverallMaster[[#This Row],[RK]],TableWRVORP[RK],0)),"")</f>
        <v>0.16361714062901747</v>
      </c>
      <c r="AO182">
        <v>181</v>
      </c>
      <c r="AP182" s="118" t="str">
        <f>IFERROR(INDEX(TableOverallMaster[OVERALL PLAYER],MATCH(TableOverallRank[[#This Row],[RK]],TableOverallMaster[OVR RK],0)),"")</f>
        <v>Russell Wilson</v>
      </c>
      <c r="AQ182" s="119" t="str">
        <f>IFERROR(INDEX(TableOverallMaster[POS RK],MATCH(TableOverallRank[[#This Row],[OVERALL PLAYER]],TableOverallMaster[OVERALL PLAYER],0)),"")</f>
        <v>QB30</v>
      </c>
      <c r="AR182" s="120">
        <f>IFERROR(INDEX(TableOverallMaster[BYE],MATCH(TableOverallRank[[#This Row],[OVERALL PLAYER]],TableOverallMaster[OVERALL PLAYER],0)),"")</f>
        <v>9</v>
      </c>
      <c r="AS182" s="119">
        <f>IFERROR(INDEX(TableOverallMaster[Custom],MATCH(TableOverallRank[[#This Row],[OVERALL PLAYER]],TableOverallMaster[OVERALL PLAYER],0)),"")</f>
        <v>209.11725262807195</v>
      </c>
      <c r="AT182" s="121">
        <f>IFERROR(INDEX(TableOverallMaster[VORP],MATCH(TableOverallRank[[#This Row],[OVERALL PLAYER]],TableOverallMaster[OVERALL PLAYER],0)),"")</f>
        <v>-0.29043374442504899</v>
      </c>
      <c r="AV182">
        <v>181</v>
      </c>
      <c r="AW182" s="122" t="str">
        <f>IFERROR(INDEX(TableWRTECalcPts[PLAYER],MATCH(TableWRTERank[[#This Row],[RK]],TableWRTECalcPts[RK],0)),"")</f>
        <v>Alec Pierce</v>
      </c>
      <c r="AX182" s="122" t="str">
        <f>IFERROR(INDEX(TableWRTECalcPts[POS RK],MATCH(TableWRTERank[[#This Row],[WR and TE COMBINED]],TableWRTECalcPts[PLAYER],0)),"")</f>
        <v>WR130</v>
      </c>
      <c r="AY182" s="122">
        <f>IFERROR(INDEX(TableWRTECalcPts[BYE],MATCH(TableWRTERank[[#This Row],[RK]],TableWRTECalcPts[RK],0)),"")</f>
        <v>14</v>
      </c>
      <c r="AZ182" s="123">
        <f>IFERROR(INDEX(TableWRTECalcPts[Custom],MATCH(TableWRTERank[[#This Row],[RK]],TableWRTECalcPts[RK],0)),"")</f>
        <v>25.049826099296304</v>
      </c>
      <c r="BA182" s="174">
        <f>IFERROR((TableWRTERank[[#This Row],[FPS]]-INDEX(TableWRTERank[FPS],MATCH(WRTEVORPCalc,TableWRTERank[RK],0)))/INDEX(TableWRTERank[FPS],MATCH(WRTEVORPCalc,TableWRTERank[RK],0)),"")</f>
        <v>-0.84036877769667429</v>
      </c>
      <c r="BC182" t="s">
        <v>208</v>
      </c>
      <c r="BD182">
        <v>181</v>
      </c>
      <c r="BE182" s="83" t="e">
        <f>RANK(TableWRTEMaster[[#This Row],[VORP]],TableWRTEMaster[VORP])+COUNTIF($BJ$2:BJ182,BJ182)-1</f>
        <v>#VALUE!</v>
      </c>
      <c r="BF182" s="115" t="str">
        <f>IFERROR(INDEX(TableWRVORP[WIDE RECEIVER],MATCH(TableWRTEMaster[[#This Row],[RK]],TableWRVORP[RK],0)),"")</f>
        <v/>
      </c>
      <c r="BG182" s="115" t="str">
        <f>_xlfn.CONCAT(TableWRTEMaster[[#This Row],[POS]],TableWRTEMaster[[#This Row],[RK]])</f>
        <v>WR181</v>
      </c>
      <c r="BH182" s="115" t="str">
        <f>IFERROR(INDEX(TableWRVORP[BYE],MATCH(TableWRTEMaster[[#This Row],[RK]],TableWRVORP[RK],0)),"")</f>
        <v/>
      </c>
      <c r="BI182" s="116" t="str">
        <f>IFERROR(INDEX(TableWRVORP[FPS],MATCH(TableWRTEMaster[[#This Row],[RK]],TableWRVORP[RK],0)),"")</f>
        <v/>
      </c>
      <c r="BJ182" s="117" t="str">
        <f>IFERROR(INDEX(TableWRVORP[VORP],MATCH(TableWRTEMaster[[#This Row],[RK]],TableWRVORP[RK],0)),"")</f>
        <v/>
      </c>
    </row>
    <row r="183" spans="15:62" x14ac:dyDescent="0.2">
      <c r="O183">
        <v>182</v>
      </c>
      <c r="P183" s="112" t="str">
        <f>IFERROR(INDEX(TableWRCalcPts[PLAYER],MATCH(TableWRVORP[[#This Row],[RK]],TableWRCalcPts[RK],0)),"")</f>
        <v/>
      </c>
      <c r="Q183" s="112" t="str">
        <f>IFERROR(INDEX(TableWRCalcPts[TM],MATCH(TableWRVORP[[#This Row],[RK]],TableWRCalcPts[RK],0)),"")</f>
        <v/>
      </c>
      <c r="R183" s="112" t="str">
        <f>IFERROR(INDEX(TableWRCalcPts[BYE],MATCH(TableWRVORP[[#This Row],[RK]],TableWRCalcPts[RK],0)),"")</f>
        <v/>
      </c>
      <c r="S183" s="113" t="str">
        <f>IFERROR(INDEX(TableWRCalcPts[Custom],MATCH(TableWRVORP[[#This Row],[RK]],TableWRCalcPts[RK],0)),"")</f>
        <v/>
      </c>
      <c r="T183" s="114" t="e">
        <f>(IFERROR((TableWRVORP[[#This Row],[FPS]]-INDEX(TableWRVORP[FPS],MATCH(WRVORPCalc,TableWRVORP[RK],0)))/INDEX(TableWRVORP[FPS],MATCH(WRVORPCalc,TableWRVORP[RK],0)),""))*1.2</f>
        <v>#VALUE!</v>
      </c>
      <c r="AF183" t="s">
        <v>208</v>
      </c>
      <c r="AG183">
        <v>42</v>
      </c>
      <c r="AH183" s="83">
        <f>RANK(TableOverallMaster[[#This Row],[VORP]],TableOverallMaster[VORP])+COUNTIF($AM$2:AM183,AM183)-1</f>
        <v>96</v>
      </c>
      <c r="AI183" s="115" t="str">
        <f>IFERROR(INDEX(TableWRVORP[WIDE RECEIVER],MATCH(TableOverallMaster[[#This Row],[RK]],TableWRVORP[RK],0)),"")</f>
        <v>Courtland Sutton</v>
      </c>
      <c r="AJ183" s="115" t="str">
        <f t="shared" si="2"/>
        <v>WR42</v>
      </c>
      <c r="AK183" s="115">
        <f>IFERROR(INDEX(TableWRVORP[BYE],MATCH(TableOverallMaster[[#This Row],[RK]],TableWRVORP[RK],0)),"")</f>
        <v>14</v>
      </c>
      <c r="AL183" s="116">
        <f>IFERROR(INDEX(TableWRVORP[FPS],MATCH(TableOverallMaster[[#This Row],[RK]],TableWRVORP[RK],0)),"")</f>
        <v>165.59548838461149</v>
      </c>
      <c r="AM183" s="117">
        <f>IFERROR(INDEX(TableWRVORP[VORP],MATCH(TableOverallMaster[[#This Row],[RK]],TableWRVORP[RK],0)),"")</f>
        <v>0.14978796960895593</v>
      </c>
      <c r="AO183">
        <v>182</v>
      </c>
      <c r="AP183" s="118" t="str">
        <f>IFERROR(INDEX(TableOverallMaster[OVERALL PLAYER],MATCH(TableOverallRank[[#This Row],[RK]],TableOverallMaster[OVR RK],0)),"")</f>
        <v>Tyler Conklin</v>
      </c>
      <c r="AQ183" s="119" t="str">
        <f>IFERROR(INDEX(TableOverallMaster[POS RK],MATCH(TableOverallRank[[#This Row],[OVERALL PLAYER]],TableOverallMaster[OVERALL PLAYER],0)),"")</f>
        <v>TE21</v>
      </c>
      <c r="AR183" s="120">
        <f>IFERROR(INDEX(TableOverallMaster[BYE],MATCH(TableOverallRank[[#This Row],[OVERALL PLAYER]],TableOverallMaster[OVERALL PLAYER],0)),"")</f>
        <v>12</v>
      </c>
      <c r="AS183" s="119">
        <f>IFERROR(INDEX(TableOverallMaster[Custom],MATCH(TableOverallRank[[#This Row],[OVERALL PLAYER]],TableOverallMaster[OVERALL PLAYER],0)),"")</f>
        <v>92.077826494206874</v>
      </c>
      <c r="AT183" s="121">
        <f>IFERROR(INDEX(TableOverallMaster[VORP],MATCH(TableOverallRank[[#This Row],[OVERALL PLAYER]],TableOverallMaster[OVERALL PLAYER],0)),"")</f>
        <v>-0.30052791274394924</v>
      </c>
      <c r="AV183">
        <v>182</v>
      </c>
      <c r="AW183" s="122" t="str">
        <f>IFERROR(INDEX(TableWRTECalcPts[PLAYER],MATCH(TableWRTERank[[#This Row],[RK]],TableWRTECalcPts[RK],0)),"")</f>
        <v>Justin Watson</v>
      </c>
      <c r="AX183" s="122" t="str">
        <f>IFERROR(INDEX(TableWRTECalcPts[POS RK],MATCH(TableWRTERank[[#This Row],[WR and TE COMBINED]],TableWRTECalcPts[PLAYER],0)),"")</f>
        <v>WR131</v>
      </c>
      <c r="AY183" s="122">
        <f>IFERROR(INDEX(TableWRTECalcPts[BYE],MATCH(TableWRTERank[[#This Row],[RK]],TableWRTECalcPts[RK],0)),"")</f>
        <v>6</v>
      </c>
      <c r="AZ183" s="123">
        <f>IFERROR(INDEX(TableWRTECalcPts[Custom],MATCH(TableWRTERank[[#This Row],[RK]],TableWRTECalcPts[RK],0)),"")</f>
        <v>24.945080751359992</v>
      </c>
      <c r="BA183" s="174">
        <f>IFERROR((TableWRTERank[[#This Row],[FPS]]-INDEX(TableWRTERank[FPS],MATCH(WRTEVORPCalc,TableWRTERank[RK],0)))/INDEX(TableWRTERank[FPS],MATCH(WRTEVORPCalc,TableWRTERank[RK],0)),"")</f>
        <v>-0.8410362724671121</v>
      </c>
      <c r="BC183" t="s">
        <v>208</v>
      </c>
      <c r="BD183">
        <v>182</v>
      </c>
      <c r="BE183" s="83" t="e">
        <f>RANK(TableWRTEMaster[[#This Row],[VORP]],TableWRTEMaster[VORP])+COUNTIF($BJ$2:BJ183,BJ183)-1</f>
        <v>#VALUE!</v>
      </c>
      <c r="BF183" s="115" t="str">
        <f>IFERROR(INDEX(TableWRVORP[WIDE RECEIVER],MATCH(TableWRTEMaster[[#This Row],[RK]],TableWRVORP[RK],0)),"")</f>
        <v/>
      </c>
      <c r="BG183" s="115" t="str">
        <f>_xlfn.CONCAT(TableWRTEMaster[[#This Row],[POS]],TableWRTEMaster[[#This Row],[RK]])</f>
        <v>WR182</v>
      </c>
      <c r="BH183" s="115" t="str">
        <f>IFERROR(INDEX(TableWRVORP[BYE],MATCH(TableWRTEMaster[[#This Row],[RK]],TableWRVORP[RK],0)),"")</f>
        <v/>
      </c>
      <c r="BI183" s="116" t="str">
        <f>IFERROR(INDEX(TableWRVORP[FPS],MATCH(TableWRTEMaster[[#This Row],[RK]],TableWRVORP[RK],0)),"")</f>
        <v/>
      </c>
      <c r="BJ183" s="117" t="str">
        <f>IFERROR(INDEX(TableWRVORP[VORP],MATCH(TableWRTEMaster[[#This Row],[RK]],TableWRVORP[RK],0)),"")</f>
        <v/>
      </c>
    </row>
    <row r="184" spans="15:62" x14ac:dyDescent="0.2">
      <c r="O184">
        <v>183</v>
      </c>
      <c r="P184" s="112" t="str">
        <f>IFERROR(INDEX(TableWRCalcPts[PLAYER],MATCH(TableWRVORP[[#This Row],[RK]],TableWRCalcPts[RK],0)),"")</f>
        <v/>
      </c>
      <c r="Q184" s="112" t="str">
        <f>IFERROR(INDEX(TableWRCalcPts[TM],MATCH(TableWRVORP[[#This Row],[RK]],TableWRCalcPts[RK],0)),"")</f>
        <v/>
      </c>
      <c r="R184" s="112" t="str">
        <f>IFERROR(INDEX(TableWRCalcPts[BYE],MATCH(TableWRVORP[[#This Row],[RK]],TableWRCalcPts[RK],0)),"")</f>
        <v/>
      </c>
      <c r="S184" s="113" t="str">
        <f>IFERROR(INDEX(TableWRCalcPts[Custom],MATCH(TableWRVORP[[#This Row],[RK]],TableWRCalcPts[RK],0)),"")</f>
        <v/>
      </c>
      <c r="T184" s="114" t="e">
        <f>(IFERROR((TableWRVORP[[#This Row],[FPS]]-INDEX(TableWRVORP[FPS],MATCH(WRVORPCalc,TableWRVORP[RK],0)))/INDEX(TableWRVORP[FPS],MATCH(WRVORPCalc,TableWRVORP[RK],0)),""))*1.2</f>
        <v>#VALUE!</v>
      </c>
      <c r="AF184" t="s">
        <v>208</v>
      </c>
      <c r="AG184">
        <v>43</v>
      </c>
      <c r="AH184" s="83">
        <f>RANK(TableOverallMaster[[#This Row],[VORP]],TableOverallMaster[VORP])+COUNTIF($AM$2:AM184,AM184)-1</f>
        <v>98</v>
      </c>
      <c r="AI184" s="115" t="str">
        <f>IFERROR(INDEX(TableWRVORP[WIDE RECEIVER],MATCH(TableOverallMaster[[#This Row],[RK]],TableWRVORP[RK],0)),"")</f>
        <v>Jameson Williams</v>
      </c>
      <c r="AJ184" s="115" t="str">
        <f t="shared" si="2"/>
        <v>WR43</v>
      </c>
      <c r="AK184" s="115">
        <f>IFERROR(INDEX(TableWRVORP[BYE],MATCH(TableOverallMaster[[#This Row],[RK]],TableWRVORP[RK],0)),"")</f>
        <v>5</v>
      </c>
      <c r="AL184" s="116">
        <f>IFERROR(INDEX(TableWRVORP[FPS],MATCH(TableOverallMaster[[#This Row],[RK]],TableWRVORP[RK],0)),"")</f>
        <v>164.89881363257362</v>
      </c>
      <c r="AM184" s="117">
        <f>IFERROR(INDEX(TableWRVORP[VORP],MATCH(TableOverallMaster[[#This Row],[RK]],TableWRVORP[RK],0)),"")</f>
        <v>0.14410929316550761</v>
      </c>
      <c r="AO184">
        <v>183</v>
      </c>
      <c r="AP184" s="118" t="str">
        <f>IFERROR(INDEX(TableOverallMaster[OVERALL PLAYER],MATCH(TableOverallRank[[#This Row],[RK]],TableOverallMaster[OVR RK],0)),"")</f>
        <v>Juwan Johnson</v>
      </c>
      <c r="AQ184" s="119" t="str">
        <f>IFERROR(INDEX(TableOverallMaster[POS RK],MATCH(TableOverallRank[[#This Row],[OVERALL PLAYER]],TableOverallMaster[OVERALL PLAYER],0)),"")</f>
        <v>TE22</v>
      </c>
      <c r="AR184" s="120">
        <f>IFERROR(INDEX(TableOverallMaster[BYE],MATCH(TableOverallRank[[#This Row],[OVERALL PLAYER]],TableOverallMaster[OVERALL PLAYER],0)),"")</f>
        <v>12</v>
      </c>
      <c r="AS184" s="119">
        <f>IFERROR(INDEX(TableOverallMaster[Custom],MATCH(TableOverallRank[[#This Row],[OVERALL PLAYER]],TableOverallMaster[OVERALL PLAYER],0)),"")</f>
        <v>91.985181995682751</v>
      </c>
      <c r="AT184" s="121">
        <f>IFERROR(INDEX(TableOverallMaster[VORP],MATCH(TableOverallRank[[#This Row],[OVERALL PLAYER]],TableOverallMaster[OVERALL PLAYER],0)),"")</f>
        <v>-0.3012316895729944</v>
      </c>
      <c r="AV184">
        <v>183</v>
      </c>
      <c r="AW184" s="122" t="str">
        <f>IFERROR(INDEX(TableWRTECalcPts[PLAYER],MATCH(TableWRTERank[[#This Row],[RK]],TableWRTECalcPts[RK],0)),"")</f>
        <v>Adam Trautman</v>
      </c>
      <c r="AX184" s="122" t="str">
        <f>IFERROR(INDEX(TableWRTECalcPts[POS RK],MATCH(TableWRTERank[[#This Row],[WR and TE COMBINED]],TableWRTECalcPts[PLAYER],0)),"")</f>
        <v>TE52</v>
      </c>
      <c r="AY184" s="122">
        <f>IFERROR(INDEX(TableWRTECalcPts[BYE],MATCH(TableWRTERank[[#This Row],[RK]],TableWRTECalcPts[RK],0)),"")</f>
        <v>14</v>
      </c>
      <c r="AZ184" s="123">
        <f>IFERROR(INDEX(TableWRTECalcPts[Custom],MATCH(TableWRTERank[[#This Row],[RK]],TableWRTECalcPts[RK],0)),"")</f>
        <v>24.53739429731975</v>
      </c>
      <c r="BA184" s="174">
        <f>IFERROR((TableWRTERank[[#This Row],[FPS]]-INDEX(TableWRTERank[FPS],MATCH(WRTEVORPCalc,TableWRTERank[RK],0)))/INDEX(TableWRTERank[FPS],MATCH(WRTEVORPCalc,TableWRTERank[RK],0)),"")</f>
        <v>-0.84363427401478686</v>
      </c>
      <c r="BC184" t="s">
        <v>208</v>
      </c>
      <c r="BD184">
        <v>183</v>
      </c>
      <c r="BE184" s="83" t="e">
        <f>RANK(TableWRTEMaster[[#This Row],[VORP]],TableWRTEMaster[VORP])+COUNTIF($BJ$2:BJ184,BJ184)-1</f>
        <v>#VALUE!</v>
      </c>
      <c r="BF184" s="115" t="str">
        <f>IFERROR(INDEX(TableWRVORP[WIDE RECEIVER],MATCH(TableWRTEMaster[[#This Row],[RK]],TableWRVORP[RK],0)),"")</f>
        <v/>
      </c>
      <c r="BG184" s="115" t="str">
        <f>_xlfn.CONCAT(TableWRTEMaster[[#This Row],[POS]],TableWRTEMaster[[#This Row],[RK]])</f>
        <v>WR183</v>
      </c>
      <c r="BH184" s="115" t="str">
        <f>IFERROR(INDEX(TableWRVORP[BYE],MATCH(TableWRTEMaster[[#This Row],[RK]],TableWRVORP[RK],0)),"")</f>
        <v/>
      </c>
      <c r="BI184" s="116" t="str">
        <f>IFERROR(INDEX(TableWRVORP[FPS],MATCH(TableWRTEMaster[[#This Row],[RK]],TableWRVORP[RK],0)),"")</f>
        <v/>
      </c>
      <c r="BJ184" s="117" t="str">
        <f>IFERROR(INDEX(TableWRVORP[VORP],MATCH(TableWRTEMaster[[#This Row],[RK]],TableWRVORP[RK],0)),"")</f>
        <v/>
      </c>
    </row>
    <row r="185" spans="15:62" x14ac:dyDescent="0.2">
      <c r="O185">
        <v>184</v>
      </c>
      <c r="P185" s="112" t="str">
        <f>IFERROR(INDEX(TableWRCalcPts[PLAYER],MATCH(TableWRVORP[[#This Row],[RK]],TableWRCalcPts[RK],0)),"")</f>
        <v/>
      </c>
      <c r="Q185" s="112" t="str">
        <f>IFERROR(INDEX(TableWRCalcPts[TM],MATCH(TableWRVORP[[#This Row],[RK]],TableWRCalcPts[RK],0)),"")</f>
        <v/>
      </c>
      <c r="R185" s="112" t="str">
        <f>IFERROR(INDEX(TableWRCalcPts[BYE],MATCH(TableWRVORP[[#This Row],[RK]],TableWRCalcPts[RK],0)),"")</f>
        <v/>
      </c>
      <c r="S185" s="113" t="str">
        <f>IFERROR(INDEX(TableWRCalcPts[Custom],MATCH(TableWRVORP[[#This Row],[RK]],TableWRCalcPts[RK],0)),"")</f>
        <v/>
      </c>
      <c r="T185" s="114" t="e">
        <f>(IFERROR((TableWRVORP[[#This Row],[FPS]]-INDEX(TableWRVORP[FPS],MATCH(WRVORPCalc,TableWRVORP[RK],0)))/INDEX(TableWRVORP[FPS],MATCH(WRVORPCalc,TableWRVORP[RK],0)),""))*1.2</f>
        <v>#VALUE!</v>
      </c>
      <c r="AF185" t="s">
        <v>208</v>
      </c>
      <c r="AG185">
        <v>44</v>
      </c>
      <c r="AH185" s="83">
        <f>RANK(TableOverallMaster[[#This Row],[VORP]],TableOverallMaster[VORP])+COUNTIF($AM$2:AM185,AM185)-1</f>
        <v>103</v>
      </c>
      <c r="AI185" s="115" t="str">
        <f>IFERROR(INDEX(TableWRVORP[WIDE RECEIVER],MATCH(TableOverallMaster[[#This Row],[RK]],TableWRVORP[RK],0)),"")</f>
        <v>Jaxon Smith-Njigba</v>
      </c>
      <c r="AJ185" s="115" t="str">
        <f t="shared" si="2"/>
        <v>WR44</v>
      </c>
      <c r="AK185" s="115">
        <f>IFERROR(INDEX(TableWRVORP[BYE],MATCH(TableOverallMaster[[#This Row],[RK]],TableWRVORP[RK],0)),"")</f>
        <v>10</v>
      </c>
      <c r="AL185" s="116">
        <f>IFERROR(INDEX(TableWRVORP[FPS],MATCH(TableOverallMaster[[#This Row],[RK]],TableWRVORP[RK],0)),"")</f>
        <v>163.8453388368572</v>
      </c>
      <c r="AM185" s="117">
        <f>IFERROR(INDEX(TableWRVORP[VORP],MATCH(TableOverallMaster[[#This Row],[RK]],TableWRVORP[RK],0)),"")</f>
        <v>0.13552229831790868</v>
      </c>
      <c r="AO185">
        <v>184</v>
      </c>
      <c r="AP185" s="118" t="str">
        <f>IFERROR(INDEX(TableOverallMaster[OVERALL PLAYER],MATCH(TableOverallRank[[#This Row],[RK]],TableOverallMaster[OVR RK],0)),"")</f>
        <v>Jaylen Wright</v>
      </c>
      <c r="AQ185" s="119" t="str">
        <f>IFERROR(INDEX(TableOverallMaster[POS RK],MATCH(TableOverallRank[[#This Row],[OVERALL PLAYER]],TableOverallMaster[OVERALL PLAYER],0)),"")</f>
        <v>RB59</v>
      </c>
      <c r="AR185" s="120">
        <f>IFERROR(INDEX(TableOverallMaster[BYE],MATCH(TableOverallRank[[#This Row],[OVERALL PLAYER]],TableOverallMaster[OVERALL PLAYER],0)),"")</f>
        <v>6</v>
      </c>
      <c r="AS185" s="119">
        <f>IFERROR(INDEX(TableOverallMaster[Custom],MATCH(TableOverallRank[[#This Row],[OVERALL PLAYER]],TableOverallMaster[OVERALL PLAYER],0)),"")</f>
        <v>74.368530788872704</v>
      </c>
      <c r="AT185" s="121">
        <f>IFERROR(INDEX(TableOverallMaster[VORP],MATCH(TableOverallRank[[#This Row],[OVERALL PLAYER]],TableOverallMaster[OVERALL PLAYER],0)),"")</f>
        <v>-0.30384957430781939</v>
      </c>
      <c r="AV185">
        <v>184</v>
      </c>
      <c r="AW185" s="122" t="str">
        <f>IFERROR(INDEX(TableWRTECalcPts[PLAYER],MATCH(TableWRTERank[[#This Row],[RK]],TableWRTECalcPts[RK],0)),"")</f>
        <v>Brandon Powell</v>
      </c>
      <c r="AX185" s="122" t="str">
        <f>IFERROR(INDEX(TableWRTECalcPts[POS RK],MATCH(TableWRTERank[[#This Row],[WR and TE COMBINED]],TableWRTECalcPts[PLAYER],0)),"")</f>
        <v>WR132</v>
      </c>
      <c r="AY185" s="122">
        <f>IFERROR(INDEX(TableWRTECalcPts[BYE],MATCH(TableWRTERank[[#This Row],[RK]],TableWRTECalcPts[RK],0)),"")</f>
        <v>6</v>
      </c>
      <c r="AZ185" s="123">
        <f>IFERROR(INDEX(TableWRTECalcPts[Custom],MATCH(TableWRTERank[[#This Row],[RK]],TableWRTECalcPts[RK],0)),"")</f>
        <v>24.407091129565359</v>
      </c>
      <c r="BA185" s="174">
        <f>IFERROR((TableWRTERank[[#This Row],[FPS]]-INDEX(TableWRTERank[FPS],MATCH(WRTEVORPCalc,TableWRTERank[RK],0)))/INDEX(TableWRTERank[FPS],MATCH(WRTEVORPCalc,TableWRTERank[RK],0)),"")</f>
        <v>-0.84446463722194753</v>
      </c>
      <c r="BC185" t="s">
        <v>208</v>
      </c>
      <c r="BD185">
        <v>184</v>
      </c>
      <c r="BE185" s="83" t="e">
        <f>RANK(TableWRTEMaster[[#This Row],[VORP]],TableWRTEMaster[VORP])+COUNTIF($BJ$2:BJ185,BJ185)-1</f>
        <v>#VALUE!</v>
      </c>
      <c r="BF185" s="115" t="str">
        <f>IFERROR(INDEX(TableWRVORP[WIDE RECEIVER],MATCH(TableWRTEMaster[[#This Row],[RK]],TableWRVORP[RK],0)),"")</f>
        <v/>
      </c>
      <c r="BG185" s="115" t="str">
        <f>_xlfn.CONCAT(TableWRTEMaster[[#This Row],[POS]],TableWRTEMaster[[#This Row],[RK]])</f>
        <v>WR184</v>
      </c>
      <c r="BH185" s="115" t="str">
        <f>IFERROR(INDEX(TableWRVORP[BYE],MATCH(TableWRTEMaster[[#This Row],[RK]],TableWRVORP[RK],0)),"")</f>
        <v/>
      </c>
      <c r="BI185" s="116" t="str">
        <f>IFERROR(INDEX(TableWRVORP[FPS],MATCH(TableWRTEMaster[[#This Row],[RK]],TableWRVORP[RK],0)),"")</f>
        <v/>
      </c>
      <c r="BJ185" s="117" t="str">
        <f>IFERROR(INDEX(TableWRVORP[VORP],MATCH(TableWRTEMaster[[#This Row],[RK]],TableWRVORP[RK],0)),"")</f>
        <v/>
      </c>
    </row>
    <row r="186" spans="15:62" x14ac:dyDescent="0.2">
      <c r="O186">
        <v>185</v>
      </c>
      <c r="P186" s="112" t="str">
        <f>IFERROR(INDEX(TableWRCalcPts[PLAYER],MATCH(TableWRVORP[[#This Row],[RK]],TableWRCalcPts[RK],0)),"")</f>
        <v/>
      </c>
      <c r="Q186" s="112" t="str">
        <f>IFERROR(INDEX(TableWRCalcPts[TM],MATCH(TableWRVORP[[#This Row],[RK]],TableWRCalcPts[RK],0)),"")</f>
        <v/>
      </c>
      <c r="R186" s="112" t="str">
        <f>IFERROR(INDEX(TableWRCalcPts[BYE],MATCH(TableWRVORP[[#This Row],[RK]],TableWRCalcPts[RK],0)),"")</f>
        <v/>
      </c>
      <c r="S186" s="113" t="str">
        <f>IFERROR(INDEX(TableWRCalcPts[Custom],MATCH(TableWRVORP[[#This Row],[RK]],TableWRCalcPts[RK],0)),"")</f>
        <v/>
      </c>
      <c r="T186" s="114" t="e">
        <f>(IFERROR((TableWRVORP[[#This Row],[FPS]]-INDEX(TableWRVORP[FPS],MATCH(WRVORPCalc,TableWRVORP[RK],0)))/INDEX(TableWRVORP[FPS],MATCH(WRVORPCalc,TableWRVORP[RK],0)),""))*1.2</f>
        <v>#VALUE!</v>
      </c>
      <c r="AF186" t="s">
        <v>208</v>
      </c>
      <c r="AG186">
        <v>45</v>
      </c>
      <c r="AH186" s="83">
        <f>RANK(TableOverallMaster[[#This Row],[VORP]],TableOverallMaster[VORP])+COUNTIF($AM$2:AM186,AM186)-1</f>
        <v>104</v>
      </c>
      <c r="AI186" s="115" t="str">
        <f>IFERROR(INDEX(TableWRVORP[WIDE RECEIVER],MATCH(TableOverallMaster[[#This Row],[RK]],TableWRVORP[RK],0)),"")</f>
        <v>Xavier Worthy</v>
      </c>
      <c r="AJ186" s="115" t="str">
        <f t="shared" si="2"/>
        <v>WR45</v>
      </c>
      <c r="AK186" s="115">
        <f>IFERROR(INDEX(TableWRVORP[BYE],MATCH(TableOverallMaster[[#This Row],[RK]],TableWRVORP[RK],0)),"")</f>
        <v>6</v>
      </c>
      <c r="AL186" s="116">
        <f>IFERROR(INDEX(TableWRVORP[FPS],MATCH(TableOverallMaster[[#This Row],[RK]],TableWRVORP[RK],0)),"")</f>
        <v>163.43310093245475</v>
      </c>
      <c r="AM186" s="117">
        <f>IFERROR(INDEX(TableWRVORP[VORP],MATCH(TableOverallMaster[[#This Row],[RK]],TableWRVORP[RK],0)),"")</f>
        <v>0.13216209950206378</v>
      </c>
      <c r="AO186">
        <v>185</v>
      </c>
      <c r="AP186" s="118" t="str">
        <f>IFERROR(INDEX(TableOverallMaster[OVERALL PLAYER],MATCH(TableOverallRank[[#This Row],[RK]],TableOverallMaster[OVR RK],0)),"")</f>
        <v>Michael Wilson</v>
      </c>
      <c r="AQ186" s="119" t="str">
        <f>IFERROR(INDEX(TableOverallMaster[POS RK],MATCH(TableOverallRank[[#This Row],[OVERALL PLAYER]],TableOverallMaster[OVERALL PLAYER],0)),"")</f>
        <v>WR74</v>
      </c>
      <c r="AR186" s="120">
        <f>IFERROR(INDEX(TableOverallMaster[BYE],MATCH(TableOverallRank[[#This Row],[OVERALL PLAYER]],TableOverallMaster[OVERALL PLAYER],0)),"")</f>
        <v>11</v>
      </c>
      <c r="AS186" s="119">
        <f>IFERROR(INDEX(TableOverallMaster[Custom],MATCH(TableOverallRank[[#This Row],[OVERALL PLAYER]],TableOverallMaster[OVERALL PLAYER],0)),"")</f>
        <v>109.27077006195002</v>
      </c>
      <c r="AT186" s="121">
        <f>IFERROR(INDEX(TableOverallMaster[VORP],MATCH(TableOverallRank[[#This Row],[OVERALL PLAYER]],TableOverallMaster[OVERALL PLAYER],0)),"")</f>
        <v>-0.30932132089878345</v>
      </c>
      <c r="AV186">
        <v>185</v>
      </c>
      <c r="AW186" s="122" t="str">
        <f>IFERROR(INDEX(TableWRTECalcPts[PLAYER],MATCH(TableWRTERank[[#This Row],[RK]],TableWRTECalcPts[RK],0)),"")</f>
        <v>Luke Schoonmaker</v>
      </c>
      <c r="AX186" s="122" t="str">
        <f>IFERROR(INDEX(TableWRTECalcPts[POS RK],MATCH(TableWRTERank[[#This Row],[WR and TE COMBINED]],TableWRTECalcPts[PLAYER],0)),"")</f>
        <v>TE53</v>
      </c>
      <c r="AY186" s="122">
        <f>IFERROR(INDEX(TableWRTECalcPts[BYE],MATCH(TableWRTERank[[#This Row],[RK]],TableWRTECalcPts[RK],0)),"")</f>
        <v>7</v>
      </c>
      <c r="AZ186" s="123">
        <f>IFERROR(INDEX(TableWRTECalcPts[Custom],MATCH(TableWRTERank[[#This Row],[RK]],TableWRTECalcPts[RK],0)),"")</f>
        <v>24.051614582192396</v>
      </c>
      <c r="BA186" s="174">
        <f>IFERROR((TableWRTERank[[#This Row],[FPS]]-INDEX(TableWRTERank[FPS],MATCH(WRTEVORPCalc,TableWRTERank[RK],0)))/INDEX(TableWRTERank[FPS],MATCH(WRTEVORPCalc,TableWRTERank[RK],0)),"")</f>
        <v>-0.84672992862686092</v>
      </c>
      <c r="BC186" t="s">
        <v>208</v>
      </c>
      <c r="BD186">
        <v>185</v>
      </c>
      <c r="BE186" s="83" t="e">
        <f>RANK(TableWRTEMaster[[#This Row],[VORP]],TableWRTEMaster[VORP])+COUNTIF($BJ$2:BJ186,BJ186)-1</f>
        <v>#VALUE!</v>
      </c>
      <c r="BF186" s="115" t="str">
        <f>IFERROR(INDEX(TableWRVORP[WIDE RECEIVER],MATCH(TableWRTEMaster[[#This Row],[RK]],TableWRVORP[RK],0)),"")</f>
        <v/>
      </c>
      <c r="BG186" s="115" t="str">
        <f>_xlfn.CONCAT(TableWRTEMaster[[#This Row],[POS]],TableWRTEMaster[[#This Row],[RK]])</f>
        <v>WR185</v>
      </c>
      <c r="BH186" s="115" t="str">
        <f>IFERROR(INDEX(TableWRVORP[BYE],MATCH(TableWRTEMaster[[#This Row],[RK]],TableWRVORP[RK],0)),"")</f>
        <v/>
      </c>
      <c r="BI186" s="116" t="str">
        <f>IFERROR(INDEX(TableWRVORP[FPS],MATCH(TableWRTEMaster[[#This Row],[RK]],TableWRVORP[RK],0)),"")</f>
        <v/>
      </c>
      <c r="BJ186" s="117" t="str">
        <f>IFERROR(INDEX(TableWRVORP[VORP],MATCH(TableWRTEMaster[[#This Row],[RK]],TableWRVORP[RK],0)),"")</f>
        <v/>
      </c>
    </row>
    <row r="187" spans="15:62" x14ac:dyDescent="0.2">
      <c r="O187">
        <v>186</v>
      </c>
      <c r="P187" s="112" t="str">
        <f>IFERROR(INDEX(TableWRCalcPts[PLAYER],MATCH(TableWRVORP[[#This Row],[RK]],TableWRCalcPts[RK],0)),"")</f>
        <v/>
      </c>
      <c r="Q187" s="112" t="str">
        <f>IFERROR(INDEX(TableWRCalcPts[TM],MATCH(TableWRVORP[[#This Row],[RK]],TableWRCalcPts[RK],0)),"")</f>
        <v/>
      </c>
      <c r="R187" s="112" t="str">
        <f>IFERROR(INDEX(TableWRCalcPts[BYE],MATCH(TableWRVORP[[#This Row],[RK]],TableWRCalcPts[RK],0)),"")</f>
        <v/>
      </c>
      <c r="S187" s="113" t="str">
        <f>IFERROR(INDEX(TableWRCalcPts[Custom],MATCH(TableWRVORP[[#This Row],[RK]],TableWRCalcPts[RK],0)),"")</f>
        <v/>
      </c>
      <c r="T187" s="114" t="e">
        <f>(IFERROR((TableWRVORP[[#This Row],[FPS]]-INDEX(TableWRVORP[FPS],MATCH(WRVORPCalc,TableWRVORP[RK],0)))/INDEX(TableWRVORP[FPS],MATCH(WRVORPCalc,TableWRVORP[RK],0)),""))*1.2</f>
        <v>#VALUE!</v>
      </c>
      <c r="AF187" t="s">
        <v>208</v>
      </c>
      <c r="AG187">
        <v>46</v>
      </c>
      <c r="AH187" s="83">
        <f>RANK(TableOverallMaster[[#This Row],[VORP]],TableOverallMaster[VORP])+COUNTIF($AM$2:AM187,AM187)-1</f>
        <v>105</v>
      </c>
      <c r="AI187" s="115" t="str">
        <f>IFERROR(INDEX(TableWRVORP[WIDE RECEIVER],MATCH(TableOverallMaster[[#This Row],[RK]],TableWRVORP[RK],0)),"")</f>
        <v>Ladd McConkey</v>
      </c>
      <c r="AJ187" s="115" t="str">
        <f t="shared" si="2"/>
        <v>WR46</v>
      </c>
      <c r="AK187" s="115">
        <f>IFERROR(INDEX(TableWRVORP[BYE],MATCH(TableOverallMaster[[#This Row],[RK]],TableWRVORP[RK],0)),"")</f>
        <v>5</v>
      </c>
      <c r="AL187" s="116">
        <f>IFERROR(INDEX(TableWRVORP[FPS],MATCH(TableOverallMaster[[#This Row],[RK]],TableWRVORP[RK],0)),"")</f>
        <v>163.29882840022213</v>
      </c>
      <c r="AM187" s="117">
        <f>IFERROR(INDEX(TableWRVORP[VORP],MATCH(TableOverallMaster[[#This Row],[RK]],TableWRVORP[RK],0)),"")</f>
        <v>0.13106762856916274</v>
      </c>
      <c r="AO187">
        <v>186</v>
      </c>
      <c r="AP187" s="118" t="str">
        <f>IFERROR(INDEX(TableOverallMaster[OVERALL PLAYER],MATCH(TableOverallRank[[#This Row],[RK]],TableOverallMaster[OVR RK],0)),"")</f>
        <v>Jalen McMillan</v>
      </c>
      <c r="AQ187" s="119" t="str">
        <f>IFERROR(INDEX(TableOverallMaster[POS RK],MATCH(TableOverallRank[[#This Row],[OVERALL PLAYER]],TableOverallMaster[OVERALL PLAYER],0)),"")</f>
        <v>WR75</v>
      </c>
      <c r="AR187" s="120">
        <f>IFERROR(INDEX(TableOverallMaster[BYE],MATCH(TableOverallRank[[#This Row],[OVERALL PLAYER]],TableOverallMaster[OVERALL PLAYER],0)),"")</f>
        <v>11</v>
      </c>
      <c r="AS187" s="119">
        <f>IFERROR(INDEX(TableOverallMaster[Custom],MATCH(TableOverallRank[[#This Row],[OVERALL PLAYER]],TableOverallMaster[OVERALL PLAYER],0)),"")</f>
        <v>109.11603627591739</v>
      </c>
      <c r="AT187" s="121">
        <f>IFERROR(INDEX(TableOverallMaster[VORP],MATCH(TableOverallRank[[#This Row],[OVERALL PLAYER]],TableOverallMaster[OVERALL PLAYER],0)),"")</f>
        <v>-0.3105825738768464</v>
      </c>
      <c r="AV187">
        <v>186</v>
      </c>
      <c r="AW187" s="122" t="str">
        <f>IFERROR(INDEX(TableWRTECalcPts[PLAYER],MATCH(TableWRTERank[[#This Row],[RK]],TableWRTECalcPts[RK],0)),"")</f>
        <v>Brenton Strange</v>
      </c>
      <c r="AX187" s="122" t="str">
        <f>IFERROR(INDEX(TableWRTECalcPts[POS RK],MATCH(TableWRTERank[[#This Row],[WR and TE COMBINED]],TableWRTECalcPts[PLAYER],0)),"")</f>
        <v>TE54</v>
      </c>
      <c r="AY187" s="122">
        <f>IFERROR(INDEX(TableWRTECalcPts[BYE],MATCH(TableWRTERank[[#This Row],[RK]],TableWRTECalcPts[RK],0)),"")</f>
        <v>12</v>
      </c>
      <c r="AZ187" s="123">
        <f>IFERROR(INDEX(TableWRTECalcPts[Custom],MATCH(TableWRTERank[[#This Row],[RK]],TableWRTECalcPts[RK],0)),"")</f>
        <v>23.035335255416182</v>
      </c>
      <c r="BA187" s="174">
        <f>IFERROR((TableWRTERank[[#This Row],[FPS]]-INDEX(TableWRTERank[FPS],MATCH(WRTEVORPCalc,TableWRTERank[RK],0)))/INDEX(TableWRTERank[FPS],MATCH(WRTEVORPCalc,TableWRTERank[RK],0)),"")</f>
        <v>-0.85320621754367076</v>
      </c>
      <c r="BC187" t="s">
        <v>208</v>
      </c>
      <c r="BD187">
        <v>186</v>
      </c>
      <c r="BE187" s="83" t="e">
        <f>RANK(TableWRTEMaster[[#This Row],[VORP]],TableWRTEMaster[VORP])+COUNTIF($BJ$2:BJ187,BJ187)-1</f>
        <v>#VALUE!</v>
      </c>
      <c r="BF187" s="115" t="str">
        <f>IFERROR(INDEX(TableWRVORP[WIDE RECEIVER],MATCH(TableWRTEMaster[[#This Row],[RK]],TableWRVORP[RK],0)),"")</f>
        <v/>
      </c>
      <c r="BG187" s="115" t="str">
        <f>_xlfn.CONCAT(TableWRTEMaster[[#This Row],[POS]],TableWRTEMaster[[#This Row],[RK]])</f>
        <v>WR186</v>
      </c>
      <c r="BH187" s="115" t="str">
        <f>IFERROR(INDEX(TableWRVORP[BYE],MATCH(TableWRTEMaster[[#This Row],[RK]],TableWRVORP[RK],0)),"")</f>
        <v/>
      </c>
      <c r="BI187" s="116" t="str">
        <f>IFERROR(INDEX(TableWRVORP[FPS],MATCH(TableWRTEMaster[[#This Row],[RK]],TableWRVORP[RK],0)),"")</f>
        <v/>
      </c>
      <c r="BJ187" s="117" t="str">
        <f>IFERROR(INDEX(TableWRVORP[VORP],MATCH(TableWRTEMaster[[#This Row],[RK]],TableWRVORP[RK],0)),"")</f>
        <v/>
      </c>
    </row>
    <row r="188" spans="15:62" x14ac:dyDescent="0.2">
      <c r="O188">
        <v>187</v>
      </c>
      <c r="P188" s="112" t="str">
        <f>IFERROR(INDEX(TableWRCalcPts[PLAYER],MATCH(TableWRVORP[[#This Row],[RK]],TableWRCalcPts[RK],0)),"")</f>
        <v/>
      </c>
      <c r="Q188" s="112" t="str">
        <f>IFERROR(INDEX(TableWRCalcPts[TM],MATCH(TableWRVORP[[#This Row],[RK]],TableWRCalcPts[RK],0)),"")</f>
        <v/>
      </c>
      <c r="R188" s="112" t="str">
        <f>IFERROR(INDEX(TableWRCalcPts[BYE],MATCH(TableWRVORP[[#This Row],[RK]],TableWRCalcPts[RK],0)),"")</f>
        <v/>
      </c>
      <c r="S188" s="113" t="str">
        <f>IFERROR(INDEX(TableWRCalcPts[Custom],MATCH(TableWRVORP[[#This Row],[RK]],TableWRCalcPts[RK],0)),"")</f>
        <v/>
      </c>
      <c r="T188" s="114" t="e">
        <f>(IFERROR((TableWRVORP[[#This Row],[FPS]]-INDEX(TableWRVORP[FPS],MATCH(WRVORPCalc,TableWRVORP[RK],0)))/INDEX(TableWRVORP[FPS],MATCH(WRVORPCalc,TableWRVORP[RK],0)),""))*1.2</f>
        <v>#VALUE!</v>
      </c>
      <c r="AF188" t="s">
        <v>208</v>
      </c>
      <c r="AG188">
        <v>47</v>
      </c>
      <c r="AH188" s="83">
        <f>RANK(TableOverallMaster[[#This Row],[VORP]],TableOverallMaster[VORP])+COUNTIF($AM$2:AM188,AM188)-1</f>
        <v>106</v>
      </c>
      <c r="AI188" s="115" t="str">
        <f>IFERROR(INDEX(TableWRVORP[WIDE RECEIVER],MATCH(TableOverallMaster[[#This Row],[RK]],TableWRVORP[RK],0)),"")</f>
        <v>Tyler Lockett</v>
      </c>
      <c r="AJ188" s="115" t="str">
        <f t="shared" si="2"/>
        <v>WR47</v>
      </c>
      <c r="AK188" s="115">
        <f>IFERROR(INDEX(TableWRVORP[BYE],MATCH(TableOverallMaster[[#This Row],[RK]],TableWRVORP[RK],0)),"")</f>
        <v>10</v>
      </c>
      <c r="AL188" s="116">
        <f>IFERROR(INDEX(TableWRVORP[FPS],MATCH(TableOverallMaster[[#This Row],[RK]],TableWRVORP[RK],0)),"")</f>
        <v>162.31493454865003</v>
      </c>
      <c r="AM188" s="117">
        <f>IFERROR(INDEX(TableWRVORP[VORP],MATCH(TableOverallMaster[[#This Row],[RK]],TableWRVORP[RK],0)),"")</f>
        <v>0.12304779604123946</v>
      </c>
      <c r="AO188">
        <v>187</v>
      </c>
      <c r="AP188" s="118" t="str">
        <f>IFERROR(INDEX(TableOverallMaster[OVERALL PLAYER],MATCH(TableOverallRank[[#This Row],[RK]],TableOverallMaster[OVR RK],0)),"")</f>
        <v>Samaje Perine</v>
      </c>
      <c r="AQ188" s="119" t="str">
        <f>IFERROR(INDEX(TableOverallMaster[POS RK],MATCH(TableOverallRank[[#This Row],[OVERALL PLAYER]],TableOverallMaster[OVERALL PLAYER],0)),"")</f>
        <v>RB60</v>
      </c>
      <c r="AR188" s="120">
        <f>IFERROR(INDEX(TableOverallMaster[BYE],MATCH(TableOverallRank[[#This Row],[OVERALL PLAYER]],TableOverallMaster[OVERALL PLAYER],0)),"")</f>
        <v>6</v>
      </c>
      <c r="AS188" s="119">
        <f>IFERROR(INDEX(TableOverallMaster[Custom],MATCH(TableOverallRank[[#This Row],[OVERALL PLAYER]],TableOverallMaster[OVERALL PLAYER],0)),"")</f>
        <v>71.651809288191984</v>
      </c>
      <c r="AT188" s="121">
        <f>IFERROR(INDEX(TableOverallMaster[VORP],MATCH(TableOverallRank[[#This Row],[OVERALL PLAYER]],TableOverallMaster[OVERALL PLAYER],0)),"")</f>
        <v>-0.3219742100206916</v>
      </c>
      <c r="AV188">
        <v>187</v>
      </c>
      <c r="AW188" s="122" t="str">
        <f>IFERROR(INDEX(TableWRTECalcPts[PLAYER],MATCH(TableWRTERank[[#This Row],[RK]],TableWRTECalcPts[RK],0)),"")</f>
        <v>David Moore</v>
      </c>
      <c r="AX188" s="122" t="str">
        <f>IFERROR(INDEX(TableWRTECalcPts[POS RK],MATCH(TableWRTERank[[#This Row],[WR and TE COMBINED]],TableWRTECalcPts[PLAYER],0)),"")</f>
        <v>WR133</v>
      </c>
      <c r="AY188" s="122">
        <f>IFERROR(INDEX(TableWRTECalcPts[BYE],MATCH(TableWRTERank[[#This Row],[RK]],TableWRTECalcPts[RK],0)),"")</f>
        <v>11</v>
      </c>
      <c r="AZ188" s="123">
        <f>IFERROR(INDEX(TableWRTECalcPts[Custom],MATCH(TableWRTERank[[#This Row],[RK]],TableWRTECalcPts[RK],0)),"")</f>
        <v>22.838399236688442</v>
      </c>
      <c r="BA188" s="174">
        <f>IFERROR((TableWRTERank[[#This Row],[FPS]]-INDEX(TableWRTERank[FPS],MATCH(WRTEVORPCalc,TableWRTERank[RK],0)))/INDEX(TableWRTERank[FPS],MATCH(WRTEVORPCalc,TableWRTERank[RK],0)),"")</f>
        <v>-0.85446120180026586</v>
      </c>
      <c r="BC188" t="s">
        <v>208</v>
      </c>
      <c r="BD188">
        <v>187</v>
      </c>
      <c r="BE188" s="83" t="e">
        <f>RANK(TableWRTEMaster[[#This Row],[VORP]],TableWRTEMaster[VORP])+COUNTIF($BJ$2:BJ188,BJ188)-1</f>
        <v>#VALUE!</v>
      </c>
      <c r="BF188" s="115" t="str">
        <f>IFERROR(INDEX(TableWRVORP[WIDE RECEIVER],MATCH(TableWRTEMaster[[#This Row],[RK]],TableWRVORP[RK],0)),"")</f>
        <v/>
      </c>
      <c r="BG188" s="115" t="str">
        <f>_xlfn.CONCAT(TableWRTEMaster[[#This Row],[POS]],TableWRTEMaster[[#This Row],[RK]])</f>
        <v>WR187</v>
      </c>
      <c r="BH188" s="115" t="str">
        <f>IFERROR(INDEX(TableWRVORP[BYE],MATCH(TableWRTEMaster[[#This Row],[RK]],TableWRVORP[RK],0)),"")</f>
        <v/>
      </c>
      <c r="BI188" s="116" t="str">
        <f>IFERROR(INDEX(TableWRVORP[FPS],MATCH(TableWRTEMaster[[#This Row],[RK]],TableWRVORP[RK],0)),"")</f>
        <v/>
      </c>
      <c r="BJ188" s="117" t="str">
        <f>IFERROR(INDEX(TableWRVORP[VORP],MATCH(TableWRTEMaster[[#This Row],[RK]],TableWRVORP[RK],0)),"")</f>
        <v/>
      </c>
    </row>
    <row r="189" spans="15:62" x14ac:dyDescent="0.2">
      <c r="O189">
        <v>188</v>
      </c>
      <c r="P189" s="112" t="str">
        <f>IFERROR(INDEX(TableWRCalcPts[PLAYER],MATCH(TableWRVORP[[#This Row],[RK]],TableWRCalcPts[RK],0)),"")</f>
        <v/>
      </c>
      <c r="Q189" s="112" t="str">
        <f>IFERROR(INDEX(TableWRCalcPts[TM],MATCH(TableWRVORP[[#This Row],[RK]],TableWRCalcPts[RK],0)),"")</f>
        <v/>
      </c>
      <c r="R189" s="112" t="str">
        <f>IFERROR(INDEX(TableWRCalcPts[BYE],MATCH(TableWRVORP[[#This Row],[RK]],TableWRCalcPts[RK],0)),"")</f>
        <v/>
      </c>
      <c r="S189" s="113" t="str">
        <f>IFERROR(INDEX(TableWRCalcPts[Custom],MATCH(TableWRVORP[[#This Row],[RK]],TableWRCalcPts[RK],0)),"")</f>
        <v/>
      </c>
      <c r="T189" s="114" t="e">
        <f>(IFERROR((TableWRVORP[[#This Row],[FPS]]-INDEX(TableWRVORP[FPS],MATCH(WRVORPCalc,TableWRVORP[RK],0)))/INDEX(TableWRVORP[FPS],MATCH(WRVORPCalc,TableWRVORP[RK],0)),""))*1.2</f>
        <v>#VALUE!</v>
      </c>
      <c r="AF189" t="s">
        <v>208</v>
      </c>
      <c r="AG189">
        <v>48</v>
      </c>
      <c r="AH189" s="83">
        <f>RANK(TableOverallMaster[[#This Row],[VORP]],TableOverallMaster[VORP])+COUNTIF($AM$2:AM189,AM189)-1</f>
        <v>110</v>
      </c>
      <c r="AI189" s="115" t="str">
        <f>IFERROR(INDEX(TableWRVORP[WIDE RECEIVER],MATCH(TableOverallMaster[[#This Row],[RK]],TableWRVORP[RK],0)),"")</f>
        <v>Jakobi Meyers</v>
      </c>
      <c r="AJ189" s="115" t="str">
        <f t="shared" si="2"/>
        <v>WR48</v>
      </c>
      <c r="AK189" s="115">
        <f>IFERROR(INDEX(TableWRVORP[BYE],MATCH(TableOverallMaster[[#This Row],[RK]],TableWRVORP[RK],0)),"")</f>
        <v>10</v>
      </c>
      <c r="AL189" s="116">
        <f>IFERROR(INDEX(TableWRVORP[FPS],MATCH(TableOverallMaster[[#This Row],[RK]],TableWRVORP[RK],0)),"")</f>
        <v>159.5175566273596</v>
      </c>
      <c r="AM189" s="117">
        <f>IFERROR(INDEX(TableWRVORP[VORP],MATCH(TableOverallMaster[[#This Row],[RK]],TableWRVORP[RK],0)),"")</f>
        <v>0.10024604521190696</v>
      </c>
      <c r="AO189">
        <v>188</v>
      </c>
      <c r="AP189" s="118" t="str">
        <f>IFERROR(INDEX(TableOverallMaster[OVERALL PLAYER],MATCH(TableOverallRank[[#This Row],[RK]],TableOverallMaster[OVR RK],0)),"")</f>
        <v>Drake Maye</v>
      </c>
      <c r="AQ189" s="119" t="str">
        <f>IFERROR(INDEX(TableOverallMaster[POS RK],MATCH(TableOverallRank[[#This Row],[OVERALL PLAYER]],TableOverallMaster[OVERALL PLAYER],0)),"")</f>
        <v>QB31</v>
      </c>
      <c r="AR189" s="120">
        <f>IFERROR(INDEX(TableOverallMaster[BYE],MATCH(TableOverallRank[[#This Row],[OVERALL PLAYER]],TableOverallMaster[OVERALL PLAYER],0)),"")</f>
        <v>14</v>
      </c>
      <c r="AS189" s="119">
        <f>IFERROR(INDEX(TableOverallMaster[Custom],MATCH(TableOverallRank[[#This Row],[OVERALL PLAYER]],TableOverallMaster[OVERALL PLAYER],0)),"")</f>
        <v>196.96135361153011</v>
      </c>
      <c r="AT189" s="121">
        <f>IFERROR(INDEX(TableOverallMaster[VORP],MATCH(TableOverallRank[[#This Row],[OVERALL PLAYER]],TableOverallMaster[OVERALL PLAYER],0)),"")</f>
        <v>-0.32471020360010294</v>
      </c>
      <c r="AV189">
        <v>188</v>
      </c>
      <c r="AW189" s="122" t="str">
        <f>IFERROR(INDEX(TableWRTECalcPts[PLAYER],MATCH(TableWRTERank[[#This Row],[RK]],TableWRTECalcPts[RK],0)),"")</f>
        <v>Casey Washington</v>
      </c>
      <c r="AX189" s="122" t="str">
        <f>IFERROR(INDEX(TableWRTECalcPts[POS RK],MATCH(TableWRTERank[[#This Row],[WR and TE COMBINED]],TableWRTECalcPts[PLAYER],0)),"")</f>
        <v>WR134</v>
      </c>
      <c r="AY189" s="122">
        <f>IFERROR(INDEX(TableWRTECalcPts[BYE],MATCH(TableWRTERank[[#This Row],[RK]],TableWRTECalcPts[RK],0)),"")</f>
        <v>12</v>
      </c>
      <c r="AZ189" s="123">
        <f>IFERROR(INDEX(TableWRTECalcPts[Custom],MATCH(TableWRTERank[[#This Row],[RK]],TableWRTECalcPts[RK],0)),"")</f>
        <v>22.563065964479041</v>
      </c>
      <c r="BA189" s="174">
        <f>IFERROR((TableWRTERank[[#This Row],[FPS]]-INDEX(TableWRTERank[FPS],MATCH(WRTEVORPCalc,TableWRTERank[RK],0)))/INDEX(TableWRTERank[FPS],MATCH(WRTEVORPCalc,TableWRTERank[RK],0)),"")</f>
        <v>-0.85621577632742374</v>
      </c>
      <c r="BC189" t="s">
        <v>208</v>
      </c>
      <c r="BD189">
        <v>188</v>
      </c>
      <c r="BE189" s="83" t="e">
        <f>RANK(TableWRTEMaster[[#This Row],[VORP]],TableWRTEMaster[VORP])+COUNTIF($BJ$2:BJ189,BJ189)-1</f>
        <v>#VALUE!</v>
      </c>
      <c r="BF189" s="115" t="str">
        <f>IFERROR(INDEX(TableWRVORP[WIDE RECEIVER],MATCH(TableWRTEMaster[[#This Row],[RK]],TableWRVORP[RK],0)),"")</f>
        <v/>
      </c>
      <c r="BG189" s="115" t="str">
        <f>_xlfn.CONCAT(TableWRTEMaster[[#This Row],[POS]],TableWRTEMaster[[#This Row],[RK]])</f>
        <v>WR188</v>
      </c>
      <c r="BH189" s="115" t="str">
        <f>IFERROR(INDEX(TableWRVORP[BYE],MATCH(TableWRTEMaster[[#This Row],[RK]],TableWRVORP[RK],0)),"")</f>
        <v/>
      </c>
      <c r="BI189" s="116" t="str">
        <f>IFERROR(INDEX(TableWRVORP[FPS],MATCH(TableWRTEMaster[[#This Row],[RK]],TableWRVORP[RK],0)),"")</f>
        <v/>
      </c>
      <c r="BJ189" s="117" t="str">
        <f>IFERROR(INDEX(TableWRVORP[VORP],MATCH(TableWRTEMaster[[#This Row],[RK]],TableWRVORP[RK],0)),"")</f>
        <v/>
      </c>
    </row>
    <row r="190" spans="15:62" x14ac:dyDescent="0.2">
      <c r="O190">
        <v>189</v>
      </c>
      <c r="P190" s="112" t="str">
        <f>IFERROR(INDEX(TableWRCalcPts[PLAYER],MATCH(TableWRVORP[[#This Row],[RK]],TableWRCalcPts[RK],0)),"")</f>
        <v/>
      </c>
      <c r="Q190" s="112" t="str">
        <f>IFERROR(INDEX(TableWRCalcPts[TM],MATCH(TableWRVORP[[#This Row],[RK]],TableWRCalcPts[RK],0)),"")</f>
        <v/>
      </c>
      <c r="R190" s="112" t="str">
        <f>IFERROR(INDEX(TableWRCalcPts[BYE],MATCH(TableWRVORP[[#This Row],[RK]],TableWRCalcPts[RK],0)),"")</f>
        <v/>
      </c>
      <c r="S190" s="113" t="str">
        <f>IFERROR(INDEX(TableWRCalcPts[Custom],MATCH(TableWRVORP[[#This Row],[RK]],TableWRCalcPts[RK],0)),"")</f>
        <v/>
      </c>
      <c r="T190" s="114" t="e">
        <f>(IFERROR((TableWRVORP[[#This Row],[FPS]]-INDEX(TableWRVORP[FPS],MATCH(WRVORPCalc,TableWRVORP[RK],0)))/INDEX(TableWRVORP[FPS],MATCH(WRVORPCalc,TableWRVORP[RK],0)),""))*1.2</f>
        <v>#VALUE!</v>
      </c>
      <c r="AF190" t="s">
        <v>208</v>
      </c>
      <c r="AG190">
        <v>49</v>
      </c>
      <c r="AH190" s="83">
        <f>RANK(TableOverallMaster[[#This Row],[VORP]],TableOverallMaster[VORP])+COUNTIF($AM$2:AM190,AM190)-1</f>
        <v>111</v>
      </c>
      <c r="AI190" s="115" t="str">
        <f>IFERROR(INDEX(TableWRVORP[WIDE RECEIVER],MATCH(TableOverallMaster[[#This Row],[RK]],TableWRVORP[RK],0)),"")</f>
        <v>Romeo Doubs</v>
      </c>
      <c r="AJ190" s="115" t="str">
        <f t="shared" si="2"/>
        <v>WR49</v>
      </c>
      <c r="AK190" s="115">
        <f>IFERROR(INDEX(TableWRVORP[BYE],MATCH(TableOverallMaster[[#This Row],[RK]],TableWRVORP[RK],0)),"")</f>
        <v>10</v>
      </c>
      <c r="AL190" s="116">
        <f>IFERROR(INDEX(TableWRVORP[FPS],MATCH(TableOverallMaster[[#This Row],[RK]],TableWRVORP[RK],0)),"")</f>
        <v>159.42435883867063</v>
      </c>
      <c r="AM190" s="117">
        <f>IFERROR(INDEX(TableWRVORP[VORP],MATCH(TableOverallMaster[[#This Row],[RK]],TableWRVORP[RK],0)),"")</f>
        <v>9.9486379262105532E-2</v>
      </c>
      <c r="AO190">
        <v>189</v>
      </c>
      <c r="AP190" s="118" t="str">
        <f>IFERROR(INDEX(TableOverallMaster[OVERALL PLAYER],MATCH(TableOverallRank[[#This Row],[RK]],TableOverallMaster[OVR RK],0)),"")</f>
        <v>Khalil Herbert</v>
      </c>
      <c r="AQ190" s="119" t="str">
        <f>IFERROR(INDEX(TableOverallMaster[POS RK],MATCH(TableOverallRank[[#This Row],[OVERALL PLAYER]],TableOverallMaster[OVERALL PLAYER],0)),"")</f>
        <v>RB61</v>
      </c>
      <c r="AR190" s="120">
        <f>IFERROR(INDEX(TableOverallMaster[BYE],MATCH(TableOverallRank[[#This Row],[OVERALL PLAYER]],TableOverallMaster[OVERALL PLAYER],0)),"")</f>
        <v>7</v>
      </c>
      <c r="AS190" s="119">
        <f>IFERROR(INDEX(TableOverallMaster[Custom],MATCH(TableOverallRank[[#This Row],[OVERALL PLAYER]],TableOverallMaster[OVERALL PLAYER],0)),"")</f>
        <v>70.334534427318147</v>
      </c>
      <c r="AT190" s="121">
        <f>IFERROR(INDEX(TableOverallMaster[VORP],MATCH(TableOverallRank[[#This Row],[OVERALL PLAYER]],TableOverallMaster[OVERALL PLAYER],0)),"")</f>
        <v>-0.33076242293875491</v>
      </c>
      <c r="AV190">
        <v>189</v>
      </c>
      <c r="AW190" s="122" t="str">
        <f>IFERROR(INDEX(TableWRTECalcPts[PLAYER],MATCH(TableWRTERank[[#This Row],[RK]],TableWRTECalcPts[RK],0)),"")</f>
        <v>DJ Turner</v>
      </c>
      <c r="AX190" s="122" t="str">
        <f>IFERROR(INDEX(TableWRTECalcPts[POS RK],MATCH(TableWRTERank[[#This Row],[WR and TE COMBINED]],TableWRTECalcPts[PLAYER],0)),"")</f>
        <v>WR135</v>
      </c>
      <c r="AY190" s="122">
        <f>IFERROR(INDEX(TableWRTECalcPts[BYE],MATCH(TableWRTERank[[#This Row],[RK]],TableWRTECalcPts[RK],0)),"")</f>
        <v>10</v>
      </c>
      <c r="AZ190" s="123">
        <f>IFERROR(INDEX(TableWRTECalcPts[Custom],MATCH(TableWRTERank[[#This Row],[RK]],TableWRTECalcPts[RK],0)),"")</f>
        <v>22.294969913999999</v>
      </c>
      <c r="BA190" s="174">
        <f>IFERROR((TableWRTERank[[#This Row],[FPS]]-INDEX(TableWRTERank[FPS],MATCH(WRTEVORPCalc,TableWRTERank[RK],0)))/INDEX(TableWRTERank[FPS],MATCH(WRTEVORPCalc,TableWRTERank[RK],0)),"")</f>
        <v>-0.8579242313108244</v>
      </c>
      <c r="BC190" t="s">
        <v>208</v>
      </c>
      <c r="BD190">
        <v>189</v>
      </c>
      <c r="BE190" s="83" t="e">
        <f>RANK(TableWRTEMaster[[#This Row],[VORP]],TableWRTEMaster[VORP])+COUNTIF($BJ$2:BJ190,BJ190)-1</f>
        <v>#VALUE!</v>
      </c>
      <c r="BF190" s="115" t="str">
        <f>IFERROR(INDEX(TableWRVORP[WIDE RECEIVER],MATCH(TableWRTEMaster[[#This Row],[RK]],TableWRVORP[RK],0)),"")</f>
        <v/>
      </c>
      <c r="BG190" s="115" t="str">
        <f>_xlfn.CONCAT(TableWRTEMaster[[#This Row],[POS]],TableWRTEMaster[[#This Row],[RK]])</f>
        <v>WR189</v>
      </c>
      <c r="BH190" s="115" t="str">
        <f>IFERROR(INDEX(TableWRVORP[BYE],MATCH(TableWRTEMaster[[#This Row],[RK]],TableWRVORP[RK],0)),"")</f>
        <v/>
      </c>
      <c r="BI190" s="116" t="str">
        <f>IFERROR(INDEX(TableWRVORP[FPS],MATCH(TableWRTEMaster[[#This Row],[RK]],TableWRVORP[RK],0)),"")</f>
        <v/>
      </c>
      <c r="BJ190" s="117" t="str">
        <f>IFERROR(INDEX(TableWRVORP[VORP],MATCH(TableWRTEMaster[[#This Row],[RK]],TableWRVORP[RK],0)),"")</f>
        <v/>
      </c>
    </row>
    <row r="191" spans="15:62" x14ac:dyDescent="0.2">
      <c r="O191">
        <v>190</v>
      </c>
      <c r="P191" s="112" t="str">
        <f>IFERROR(INDEX(TableWRCalcPts[PLAYER],MATCH(TableWRVORP[[#This Row],[RK]],TableWRCalcPts[RK],0)),"")</f>
        <v/>
      </c>
      <c r="Q191" s="112" t="str">
        <f>IFERROR(INDEX(TableWRCalcPts[TM],MATCH(TableWRVORP[[#This Row],[RK]],TableWRCalcPts[RK],0)),"")</f>
        <v/>
      </c>
      <c r="R191" s="112" t="str">
        <f>IFERROR(INDEX(TableWRCalcPts[BYE],MATCH(TableWRVORP[[#This Row],[RK]],TableWRCalcPts[RK],0)),"")</f>
        <v/>
      </c>
      <c r="S191" s="113" t="str">
        <f>IFERROR(INDEX(TableWRCalcPts[Custom],MATCH(TableWRVORP[[#This Row],[RK]],TableWRCalcPts[RK],0)),"")</f>
        <v/>
      </c>
      <c r="T191" s="114" t="e">
        <f>(IFERROR((TableWRVORP[[#This Row],[FPS]]-INDEX(TableWRVORP[FPS],MATCH(WRVORPCalc,TableWRVORP[RK],0)))/INDEX(TableWRVORP[FPS],MATCH(WRVORPCalc,TableWRVORP[RK],0)),""))*1.2</f>
        <v>#VALUE!</v>
      </c>
      <c r="AF191" t="s">
        <v>208</v>
      </c>
      <c r="AG191">
        <v>50</v>
      </c>
      <c r="AH191" s="83">
        <f>RANK(TableOverallMaster[[#This Row],[VORP]],TableOverallMaster[VORP])+COUNTIF($AM$2:AM191,AM191)-1</f>
        <v>112</v>
      </c>
      <c r="AI191" s="115" t="str">
        <f>IFERROR(INDEX(TableWRVORP[WIDE RECEIVER],MATCH(TableOverallMaster[[#This Row],[RK]],TableWRVORP[RK],0)),"")</f>
        <v>Mike Williams</v>
      </c>
      <c r="AJ191" s="115" t="str">
        <f t="shared" si="2"/>
        <v>WR50</v>
      </c>
      <c r="AK191" s="115">
        <f>IFERROR(INDEX(TableWRVORP[BYE],MATCH(TableOverallMaster[[#This Row],[RK]],TableWRVORP[RK],0)),"")</f>
        <v>12</v>
      </c>
      <c r="AL191" s="116">
        <f>IFERROR(INDEX(TableWRVORP[FPS],MATCH(TableOverallMaster[[#This Row],[RK]],TableWRVORP[RK],0)),"")</f>
        <v>158.6684307713081</v>
      </c>
      <c r="AM191" s="117">
        <f>IFERROR(INDEX(TableWRVORP[VORP],MATCH(TableOverallMaster[[#This Row],[RK]],TableWRVORP[RK],0)),"")</f>
        <v>9.3324722195423551E-2</v>
      </c>
      <c r="AO191">
        <v>190</v>
      </c>
      <c r="AP191" s="118" t="str">
        <f>IFERROR(INDEX(TableOverallMaster[OVERALL PLAYER],MATCH(TableOverallRank[[#This Row],[RK]],TableOverallMaster[OVR RK],0)),"")</f>
        <v>Braelon Allen</v>
      </c>
      <c r="AQ191" s="119" t="str">
        <f>IFERROR(INDEX(TableOverallMaster[POS RK],MATCH(TableOverallRank[[#This Row],[OVERALL PLAYER]],TableOverallMaster[OVERALL PLAYER],0)),"")</f>
        <v>RB62</v>
      </c>
      <c r="AR191" s="120">
        <f>IFERROR(INDEX(TableOverallMaster[BYE],MATCH(TableOverallRank[[#This Row],[OVERALL PLAYER]],TableOverallMaster[OVERALL PLAYER],0)),"")</f>
        <v>12</v>
      </c>
      <c r="AS191" s="119">
        <f>IFERROR(INDEX(TableOverallMaster[Custom],MATCH(TableOverallRank[[#This Row],[OVERALL PLAYER]],TableOverallMaster[OVERALL PLAYER],0)),"")</f>
        <v>70.252975679571662</v>
      </c>
      <c r="AT191" s="121">
        <f>IFERROR(INDEX(TableOverallMaster[VORP],MATCH(TableOverallRank[[#This Row],[OVERALL PLAYER]],TableOverallMaster[OVERALL PLAYER],0)),"")</f>
        <v>-0.33130654297157119</v>
      </c>
      <c r="AV191">
        <v>190</v>
      </c>
      <c r="AW191" s="122" t="str">
        <f>IFERROR(INDEX(TableWRTECalcPts[PLAYER],MATCH(TableWRTERank[[#This Row],[RK]],TableWRTECalcPts[RK],0)),"")</f>
        <v>Ko Kieft</v>
      </c>
      <c r="AX191" s="122" t="str">
        <f>IFERROR(INDEX(TableWRTECalcPts[POS RK],MATCH(TableWRTERank[[#This Row],[WR and TE COMBINED]],TableWRTECalcPts[PLAYER],0)),"")</f>
        <v>TE55</v>
      </c>
      <c r="AY191" s="122">
        <f>IFERROR(INDEX(TableWRTECalcPts[BYE],MATCH(TableWRTERank[[#This Row],[RK]],TableWRTECalcPts[RK],0)),"")</f>
        <v>11</v>
      </c>
      <c r="AZ191" s="123">
        <f>IFERROR(INDEX(TableWRTECalcPts[Custom],MATCH(TableWRTERank[[#This Row],[RK]],TableWRTECalcPts[RK],0)),"")</f>
        <v>22.234463133326038</v>
      </c>
      <c r="BA191" s="174">
        <f>IFERROR((TableWRTERank[[#This Row],[FPS]]-INDEX(TableWRTERank[FPS],MATCH(WRTEVORPCalc,TableWRTERank[RK],0)))/INDEX(TableWRTERank[FPS],MATCH(WRTEVORPCalc,TableWRTERank[RK],0)),"")</f>
        <v>-0.85830981368246795</v>
      </c>
      <c r="BC191" t="s">
        <v>208</v>
      </c>
      <c r="BD191">
        <v>190</v>
      </c>
      <c r="BE191" s="83" t="e">
        <f>RANK(TableWRTEMaster[[#This Row],[VORP]],TableWRTEMaster[VORP])+COUNTIF($BJ$2:BJ191,BJ191)-1</f>
        <v>#VALUE!</v>
      </c>
      <c r="BF191" s="115" t="str">
        <f>IFERROR(INDEX(TableWRVORP[WIDE RECEIVER],MATCH(TableWRTEMaster[[#This Row],[RK]],TableWRVORP[RK],0)),"")</f>
        <v/>
      </c>
      <c r="BG191" s="115" t="str">
        <f>_xlfn.CONCAT(TableWRTEMaster[[#This Row],[POS]],TableWRTEMaster[[#This Row],[RK]])</f>
        <v>WR190</v>
      </c>
      <c r="BH191" s="115" t="str">
        <f>IFERROR(INDEX(TableWRVORP[BYE],MATCH(TableWRTEMaster[[#This Row],[RK]],TableWRVORP[RK],0)),"")</f>
        <v/>
      </c>
      <c r="BI191" s="116" t="str">
        <f>IFERROR(INDEX(TableWRVORP[FPS],MATCH(TableWRTEMaster[[#This Row],[RK]],TableWRVORP[RK],0)),"")</f>
        <v/>
      </c>
      <c r="BJ191" s="117" t="str">
        <f>IFERROR(INDEX(TableWRVORP[VORP],MATCH(TableWRTEMaster[[#This Row],[RK]],TableWRVORP[RK],0)),"")</f>
        <v/>
      </c>
    </row>
    <row r="192" spans="15:62" x14ac:dyDescent="0.2">
      <c r="O192">
        <v>191</v>
      </c>
      <c r="P192" s="112" t="str">
        <f>IFERROR(INDEX(TableWRCalcPts[PLAYER],MATCH(TableWRVORP[[#This Row],[RK]],TableWRCalcPts[RK],0)),"")</f>
        <v/>
      </c>
      <c r="Q192" s="112" t="str">
        <f>IFERROR(INDEX(TableWRCalcPts[TM],MATCH(TableWRVORP[[#This Row],[RK]],TableWRCalcPts[RK],0)),"")</f>
        <v/>
      </c>
      <c r="R192" s="112" t="str">
        <f>IFERROR(INDEX(TableWRCalcPts[BYE],MATCH(TableWRVORP[[#This Row],[RK]],TableWRCalcPts[RK],0)),"")</f>
        <v/>
      </c>
      <c r="S192" s="113" t="str">
        <f>IFERROR(INDEX(TableWRCalcPts[Custom],MATCH(TableWRVORP[[#This Row],[RK]],TableWRCalcPts[RK],0)),"")</f>
        <v/>
      </c>
      <c r="T192" s="114" t="e">
        <f>(IFERROR((TableWRVORP[[#This Row],[FPS]]-INDEX(TableWRVORP[FPS],MATCH(WRVORPCalc,TableWRVORP[RK],0)))/INDEX(TableWRVORP[FPS],MATCH(WRVORPCalc,TableWRVORP[RK],0)),""))*1.2</f>
        <v>#VALUE!</v>
      </c>
      <c r="AF192" t="s">
        <v>208</v>
      </c>
      <c r="AG192">
        <v>51</v>
      </c>
      <c r="AH192" s="83">
        <f>RANK(TableOverallMaster[[#This Row],[VORP]],TableOverallMaster[VORP])+COUNTIF($AM$2:AM192,AM192)-1</f>
        <v>116</v>
      </c>
      <c r="AI192" s="115" t="str">
        <f>IFERROR(INDEX(TableWRVORP[WIDE RECEIVER],MATCH(TableOverallMaster[[#This Row],[RK]],TableWRVORP[RK],0)),"")</f>
        <v>Keenan Allen</v>
      </c>
      <c r="AJ192" s="115" t="str">
        <f t="shared" si="2"/>
        <v>WR51</v>
      </c>
      <c r="AK192" s="115">
        <f>IFERROR(INDEX(TableWRVORP[BYE],MATCH(TableOverallMaster[[#This Row],[RK]],TableWRVORP[RK],0)),"")</f>
        <v>7</v>
      </c>
      <c r="AL192" s="116">
        <f>IFERROR(INDEX(TableWRVORP[FPS],MATCH(TableOverallMaster[[#This Row],[RK]],TableWRVORP[RK],0)),"")</f>
        <v>156.9230989893536</v>
      </c>
      <c r="AM192" s="117">
        <f>IFERROR(INDEX(TableWRVORP[VORP],MATCH(TableOverallMaster[[#This Row],[RK]],TableWRVORP[RK],0)),"")</f>
        <v>7.9098321070371791E-2</v>
      </c>
      <c r="AO192">
        <v>191</v>
      </c>
      <c r="AP192" s="118" t="str">
        <f>IFERROR(INDEX(TableOverallMaster[OVERALL PLAYER],MATCH(TableOverallRank[[#This Row],[RK]],TableOverallMaster[OVR RK],0)),"")</f>
        <v>Kenneth Gainwell</v>
      </c>
      <c r="AQ192" s="119" t="str">
        <f>IFERROR(INDEX(TableOverallMaster[POS RK],MATCH(TableOverallRank[[#This Row],[OVERALL PLAYER]],TableOverallMaster[OVERALL PLAYER],0)),"")</f>
        <v>RB63</v>
      </c>
      <c r="AR192" s="120">
        <f>IFERROR(INDEX(TableOverallMaster[BYE],MATCH(TableOverallRank[[#This Row],[OVERALL PLAYER]],TableOverallMaster[OVERALL PLAYER],0)),"")</f>
        <v>5</v>
      </c>
      <c r="AS192" s="119">
        <f>IFERROR(INDEX(TableOverallMaster[Custom],MATCH(TableOverallRank[[#This Row],[OVERALL PLAYER]],TableOverallMaster[OVERALL PLAYER],0)),"")</f>
        <v>69.800925458603601</v>
      </c>
      <c r="AT192" s="121">
        <f>IFERROR(INDEX(TableOverallMaster[VORP],MATCH(TableOverallRank[[#This Row],[OVERALL PLAYER]],TableOverallMaster[OVERALL PLAYER],0)),"")</f>
        <v>-0.33432240071662034</v>
      </c>
      <c r="AV192">
        <v>191</v>
      </c>
      <c r="AW192" s="122" t="str">
        <f>IFERROR(INDEX(TableWRTECalcPts[PLAYER],MATCH(TableWRTERank[[#This Row],[RK]],TableWRTECalcPts[RK],0)),"")</f>
        <v>Parker Washington</v>
      </c>
      <c r="AX192" s="122" t="str">
        <f>IFERROR(INDEX(TableWRTECalcPts[POS RK],MATCH(TableWRTERank[[#This Row],[WR and TE COMBINED]],TableWRTECalcPts[PLAYER],0)),"")</f>
        <v>WR136</v>
      </c>
      <c r="AY192" s="122">
        <f>IFERROR(INDEX(TableWRTECalcPts[BYE],MATCH(TableWRTERank[[#This Row],[RK]],TableWRTECalcPts[RK],0)),"")</f>
        <v>12</v>
      </c>
      <c r="AZ192" s="123">
        <f>IFERROR(INDEX(TableWRTECalcPts[Custom],MATCH(TableWRTERank[[#This Row],[RK]],TableWRTECalcPts[RK],0)),"")</f>
        <v>22.072144527232805</v>
      </c>
      <c r="BA192" s="174">
        <f>IFERROR((TableWRTERank[[#This Row],[FPS]]-INDEX(TableWRTERank[FPS],MATCH(WRTEVORPCalc,TableWRTERank[RK],0)))/INDEX(TableWRTERank[FPS],MATCH(WRTEVORPCalc,TableWRTERank[RK],0)),"")</f>
        <v>-0.85934419681113816</v>
      </c>
      <c r="BC192" t="s">
        <v>208</v>
      </c>
      <c r="BD192">
        <v>191</v>
      </c>
      <c r="BE192" s="83" t="e">
        <f>RANK(TableWRTEMaster[[#This Row],[VORP]],TableWRTEMaster[VORP])+COUNTIF($BJ$2:BJ192,BJ192)-1</f>
        <v>#VALUE!</v>
      </c>
      <c r="BF192" s="115" t="str">
        <f>IFERROR(INDEX(TableWRVORP[WIDE RECEIVER],MATCH(TableWRTEMaster[[#This Row],[RK]],TableWRVORP[RK],0)),"")</f>
        <v/>
      </c>
      <c r="BG192" s="115" t="str">
        <f>_xlfn.CONCAT(TableWRTEMaster[[#This Row],[POS]],TableWRTEMaster[[#This Row],[RK]])</f>
        <v>WR191</v>
      </c>
      <c r="BH192" s="115" t="str">
        <f>IFERROR(INDEX(TableWRVORP[BYE],MATCH(TableWRTEMaster[[#This Row],[RK]],TableWRVORP[RK],0)),"")</f>
        <v/>
      </c>
      <c r="BI192" s="116" t="str">
        <f>IFERROR(INDEX(TableWRVORP[FPS],MATCH(TableWRTEMaster[[#This Row],[RK]],TableWRVORP[RK],0)),"")</f>
        <v/>
      </c>
      <c r="BJ192" s="117" t="str">
        <f>IFERROR(INDEX(TableWRVORP[VORP],MATCH(TableWRTEMaster[[#This Row],[RK]],TableWRVORP[RK],0)),"")</f>
        <v/>
      </c>
    </row>
    <row r="193" spans="15:62" x14ac:dyDescent="0.2">
      <c r="O193">
        <v>192</v>
      </c>
      <c r="P193" s="112" t="str">
        <f>IFERROR(INDEX(TableWRCalcPts[PLAYER],MATCH(TableWRVORP[[#This Row],[RK]],TableWRCalcPts[RK],0)),"")</f>
        <v/>
      </c>
      <c r="Q193" s="112" t="str">
        <f>IFERROR(INDEX(TableWRCalcPts[TM],MATCH(TableWRVORP[[#This Row],[RK]],TableWRCalcPts[RK],0)),"")</f>
        <v/>
      </c>
      <c r="R193" s="112" t="str">
        <f>IFERROR(INDEX(TableWRCalcPts[BYE],MATCH(TableWRVORP[[#This Row],[RK]],TableWRCalcPts[RK],0)),"")</f>
        <v/>
      </c>
      <c r="S193" s="113" t="str">
        <f>IFERROR(INDEX(TableWRCalcPts[Custom],MATCH(TableWRVORP[[#This Row],[RK]],TableWRCalcPts[RK],0)),"")</f>
        <v/>
      </c>
      <c r="T193" s="114" t="e">
        <f>(IFERROR((TableWRVORP[[#This Row],[FPS]]-INDEX(TableWRVORP[FPS],MATCH(WRVORPCalc,TableWRVORP[RK],0)))/INDEX(TableWRVORP[FPS],MATCH(WRVORPCalc,TableWRVORP[RK],0)),""))*1.2</f>
        <v>#VALUE!</v>
      </c>
      <c r="AF193" t="s">
        <v>208</v>
      </c>
      <c r="AG193">
        <v>52</v>
      </c>
      <c r="AH193" s="83">
        <f>RANK(TableOverallMaster[[#This Row],[VORP]],TableOverallMaster[VORP])+COUNTIF($AM$2:AM193,AM193)-1</f>
        <v>117</v>
      </c>
      <c r="AI193" s="115" t="str">
        <f>IFERROR(INDEX(TableWRVORP[WIDE RECEIVER],MATCH(TableOverallMaster[[#This Row],[RK]],TableWRVORP[RK],0)),"")</f>
        <v>Christian Watson</v>
      </c>
      <c r="AJ193" s="115" t="str">
        <f t="shared" si="2"/>
        <v>WR52</v>
      </c>
      <c r="AK193" s="115">
        <f>IFERROR(INDEX(TableWRVORP[BYE],MATCH(TableOverallMaster[[#This Row],[RK]],TableWRVORP[RK],0)),"")</f>
        <v>10</v>
      </c>
      <c r="AL193" s="116">
        <f>IFERROR(INDEX(TableWRVORP[FPS],MATCH(TableOverallMaster[[#This Row],[RK]],TableWRVORP[RK],0)),"")</f>
        <v>155.86557059484923</v>
      </c>
      <c r="AM193" s="117">
        <f>IFERROR(INDEX(TableWRVORP[VORP],MATCH(TableOverallMaster[[#This Row],[RK]],TableWRVORP[RK],0)),"")</f>
        <v>7.0478284870433103E-2</v>
      </c>
      <c r="AO193">
        <v>192</v>
      </c>
      <c r="AP193" s="118" t="str">
        <f>IFERROR(INDEX(TableOverallMaster[OVERALL PLAYER],MATCH(TableOverallRank[[#This Row],[RK]],TableOverallMaster[OVR RK],0)),"")</f>
        <v>Rashod Bateman</v>
      </c>
      <c r="AQ193" s="119" t="str">
        <f>IFERROR(INDEX(TableOverallMaster[POS RK],MATCH(TableOverallRank[[#This Row],[OVERALL PLAYER]],TableOverallMaster[OVERALL PLAYER],0)),"")</f>
        <v>WR76</v>
      </c>
      <c r="AR193" s="120">
        <f>IFERROR(INDEX(TableOverallMaster[BYE],MATCH(TableOverallRank[[#This Row],[OVERALL PLAYER]],TableOverallMaster[OVERALL PLAYER],0)),"")</f>
        <v>14</v>
      </c>
      <c r="AS193" s="119">
        <f>IFERROR(INDEX(TableOverallMaster[Custom],MATCH(TableOverallRank[[#This Row],[OVERALL PLAYER]],TableOverallMaster[OVERALL PLAYER],0)),"")</f>
        <v>104.43680487103371</v>
      </c>
      <c r="AT193" s="121">
        <f>IFERROR(INDEX(TableOverallMaster[VORP],MATCH(TableOverallRank[[#This Row],[OVERALL PLAYER]],TableOverallMaster[OVERALL PLAYER],0)),"")</f>
        <v>-0.3487235300039781</v>
      </c>
      <c r="AV193">
        <v>192</v>
      </c>
      <c r="AW193" s="122" t="str">
        <f>IFERROR(INDEX(TableWRTECalcPts[PLAYER],MATCH(TableWRTERank[[#This Row],[RK]],TableWRTECalcPts[RK],0)),"")</f>
        <v>KaVontae Turpin</v>
      </c>
      <c r="AX193" s="122" t="str">
        <f>IFERROR(INDEX(TableWRTECalcPts[POS RK],MATCH(TableWRTERank[[#This Row],[WR and TE COMBINED]],TableWRTECalcPts[PLAYER],0)),"")</f>
        <v>WR137</v>
      </c>
      <c r="AY193" s="122">
        <f>IFERROR(INDEX(TableWRTECalcPts[BYE],MATCH(TableWRTERank[[#This Row],[RK]],TableWRTECalcPts[RK],0)),"")</f>
        <v>7</v>
      </c>
      <c r="AZ193" s="123">
        <f>IFERROR(INDEX(TableWRTECalcPts[Custom],MATCH(TableWRTERank[[#This Row],[RK]],TableWRTECalcPts[RK],0)),"")</f>
        <v>21.958836132368511</v>
      </c>
      <c r="BA193" s="174">
        <f>IFERROR((TableWRTERank[[#This Row],[FPS]]-INDEX(TableWRTERank[FPS],MATCH(WRTEVORPCalc,TableWRTERank[RK],0)))/INDEX(TableWRTERank[FPS],MATCH(WRTEVORPCalc,TableWRTERank[RK],0)),"")</f>
        <v>-0.86006626001020858</v>
      </c>
      <c r="BC193" t="s">
        <v>208</v>
      </c>
      <c r="BD193">
        <v>192</v>
      </c>
      <c r="BE193" s="83" t="e">
        <f>RANK(TableWRTEMaster[[#This Row],[VORP]],TableWRTEMaster[VORP])+COUNTIF($BJ$2:BJ193,BJ193)-1</f>
        <v>#VALUE!</v>
      </c>
      <c r="BF193" s="115" t="str">
        <f>IFERROR(INDEX(TableWRVORP[WIDE RECEIVER],MATCH(TableWRTEMaster[[#This Row],[RK]],TableWRVORP[RK],0)),"")</f>
        <v/>
      </c>
      <c r="BG193" s="115" t="str">
        <f>_xlfn.CONCAT(TableWRTEMaster[[#This Row],[POS]],TableWRTEMaster[[#This Row],[RK]])</f>
        <v>WR192</v>
      </c>
      <c r="BH193" s="115" t="str">
        <f>IFERROR(INDEX(TableWRVORP[BYE],MATCH(TableWRTEMaster[[#This Row],[RK]],TableWRVORP[RK],0)),"")</f>
        <v/>
      </c>
      <c r="BI193" s="116" t="str">
        <f>IFERROR(INDEX(TableWRVORP[FPS],MATCH(TableWRTEMaster[[#This Row],[RK]],TableWRVORP[RK],0)),"")</f>
        <v/>
      </c>
      <c r="BJ193" s="117" t="str">
        <f>IFERROR(INDEX(TableWRVORP[VORP],MATCH(TableWRTEMaster[[#This Row],[RK]],TableWRVORP[RK],0)),"")</f>
        <v/>
      </c>
    </row>
    <row r="194" spans="15:62" x14ac:dyDescent="0.2">
      <c r="O194">
        <v>193</v>
      </c>
      <c r="P194" s="112" t="str">
        <f>IFERROR(INDEX(TableWRCalcPts[PLAYER],MATCH(TableWRVORP[[#This Row],[RK]],TableWRCalcPts[RK],0)),"")</f>
        <v/>
      </c>
      <c r="Q194" s="112" t="str">
        <f>IFERROR(INDEX(TableWRCalcPts[TM],MATCH(TableWRVORP[[#This Row],[RK]],TableWRCalcPts[RK],0)),"")</f>
        <v/>
      </c>
      <c r="R194" s="112" t="str">
        <f>IFERROR(INDEX(TableWRCalcPts[BYE],MATCH(TableWRVORP[[#This Row],[RK]],TableWRCalcPts[RK],0)),"")</f>
        <v/>
      </c>
      <c r="S194" s="113" t="str">
        <f>IFERROR(INDEX(TableWRCalcPts[Custom],MATCH(TableWRVORP[[#This Row],[RK]],TableWRCalcPts[RK],0)),"")</f>
        <v/>
      </c>
      <c r="T194" s="114" t="e">
        <f>(IFERROR((TableWRVORP[[#This Row],[FPS]]-INDEX(TableWRVORP[FPS],MATCH(WRVORPCalc,TableWRVORP[RK],0)))/INDEX(TableWRVORP[FPS],MATCH(WRVORPCalc,TableWRVORP[RK],0)),""))*1.2</f>
        <v>#VALUE!</v>
      </c>
      <c r="AF194" t="s">
        <v>208</v>
      </c>
      <c r="AG194">
        <v>53</v>
      </c>
      <c r="AH194" s="83">
        <f>RANK(TableOverallMaster[[#This Row],[VORP]],TableOverallMaster[VORP])+COUNTIF($AM$2:AM194,AM194)-1</f>
        <v>121</v>
      </c>
      <c r="AI194" s="115" t="str">
        <f>IFERROR(INDEX(TableWRVORP[WIDE RECEIVER],MATCH(TableOverallMaster[[#This Row],[RK]],TableWRVORP[RK],0)),"")</f>
        <v>Curtis Samuel</v>
      </c>
      <c r="AJ194" s="115" t="str">
        <f t="shared" ref="AJ194:AJ257" si="3">CONCATENATE(AF194,AG194)</f>
        <v>WR53</v>
      </c>
      <c r="AK194" s="115">
        <f>IFERROR(INDEX(TableWRVORP[BYE],MATCH(TableOverallMaster[[#This Row],[RK]],TableWRVORP[RK],0)),"")</f>
        <v>12</v>
      </c>
      <c r="AL194" s="116">
        <f>IFERROR(INDEX(TableWRVORP[FPS],MATCH(TableOverallMaster[[#This Row],[RK]],TableWRVORP[RK],0)),"")</f>
        <v>152.29973704531247</v>
      </c>
      <c r="AM194" s="117">
        <f>IFERROR(INDEX(TableWRVORP[VORP],MATCH(TableOverallMaster[[#This Row],[RK]],TableWRVORP[RK],0)),"")</f>
        <v>4.1412763377397084E-2</v>
      </c>
      <c r="AO194">
        <v>193</v>
      </c>
      <c r="AP194" s="118" t="str">
        <f>IFERROR(INDEX(TableOverallMaster[OVERALL PLAYER],MATCH(TableOverallRank[[#This Row],[RK]],TableOverallMaster[OVR RK],0)),"")</f>
        <v>Jonnu Smith</v>
      </c>
      <c r="AQ194" s="119" t="str">
        <f>IFERROR(INDEX(TableOverallMaster[POS RK],MATCH(TableOverallRank[[#This Row],[OVERALL PLAYER]],TableOverallMaster[OVERALL PLAYER],0)),"")</f>
        <v>TE23</v>
      </c>
      <c r="AR194" s="120">
        <f>IFERROR(INDEX(TableOverallMaster[BYE],MATCH(TableOverallRank[[#This Row],[OVERALL PLAYER]],TableOverallMaster[OVERALL PLAYER],0)),"")</f>
        <v>6</v>
      </c>
      <c r="AS194" s="119">
        <f>IFERROR(INDEX(TableOverallMaster[Custom],MATCH(TableOverallRank[[#This Row],[OVERALL PLAYER]],TableOverallMaster[OVERALL PLAYER],0)),"")</f>
        <v>85.626365410456145</v>
      </c>
      <c r="AT194" s="121">
        <f>IFERROR(INDEX(TableOverallMaster[VORP],MATCH(TableOverallRank[[#This Row],[OVERALL PLAYER]],TableOverallMaster[OVERALL PLAYER],0)),"")</f>
        <v>-0.3495366385351279</v>
      </c>
      <c r="AV194">
        <v>193</v>
      </c>
      <c r="AW194" s="122" t="str">
        <f>IFERROR(INDEX(TableWRTECalcPts[PLAYER],MATCH(TableWRTERank[[#This Row],[RK]],TableWRTECalcPts[RK],0)),"")</f>
        <v>Pharaoh Brown</v>
      </c>
      <c r="AX194" s="122" t="str">
        <f>IFERROR(INDEX(TableWRTECalcPts[POS RK],MATCH(TableWRTERank[[#This Row],[WR and TE COMBINED]],TableWRTECalcPts[PLAYER],0)),"")</f>
        <v>TE56</v>
      </c>
      <c r="AY194" s="122">
        <f>IFERROR(INDEX(TableWRTECalcPts[BYE],MATCH(TableWRTERank[[#This Row],[RK]],TableWRTECalcPts[RK],0)),"")</f>
        <v>10</v>
      </c>
      <c r="AZ194" s="123">
        <f>IFERROR(INDEX(TableWRTECalcPts[Custom],MATCH(TableWRTERank[[#This Row],[RK]],TableWRTECalcPts[RK],0)),"")</f>
        <v>21.431073332560469</v>
      </c>
      <c r="BA194" s="174">
        <f>IFERROR((TableWRTERank[[#This Row],[FPS]]-INDEX(TableWRTERank[FPS],MATCH(WRTEVORPCalc,TableWRTERank[RK],0)))/INDEX(TableWRTERank[FPS],MATCH(WRTEVORPCalc,TableWRTERank[RK],0)),"")</f>
        <v>-0.86342945384978387</v>
      </c>
      <c r="BC194" t="s">
        <v>208</v>
      </c>
      <c r="BD194">
        <v>193</v>
      </c>
      <c r="BE194" s="83" t="e">
        <f>RANK(TableWRTEMaster[[#This Row],[VORP]],TableWRTEMaster[VORP])+COUNTIF($BJ$2:BJ194,BJ194)-1</f>
        <v>#VALUE!</v>
      </c>
      <c r="BF194" s="115" t="str">
        <f>IFERROR(INDEX(TableWRVORP[WIDE RECEIVER],MATCH(TableWRTEMaster[[#This Row],[RK]],TableWRVORP[RK],0)),"")</f>
        <v/>
      </c>
      <c r="BG194" s="115" t="str">
        <f>_xlfn.CONCAT(TableWRTEMaster[[#This Row],[POS]],TableWRTEMaster[[#This Row],[RK]])</f>
        <v>WR193</v>
      </c>
      <c r="BH194" s="115" t="str">
        <f>IFERROR(INDEX(TableWRVORP[BYE],MATCH(TableWRTEMaster[[#This Row],[RK]],TableWRVORP[RK],0)),"")</f>
        <v/>
      </c>
      <c r="BI194" s="116" t="str">
        <f>IFERROR(INDEX(TableWRVORP[FPS],MATCH(TableWRTEMaster[[#This Row],[RK]],TableWRVORP[RK],0)),"")</f>
        <v/>
      </c>
      <c r="BJ194" s="117" t="str">
        <f>IFERROR(INDEX(TableWRVORP[VORP],MATCH(TableWRTEMaster[[#This Row],[RK]],TableWRVORP[RK],0)),"")</f>
        <v/>
      </c>
    </row>
    <row r="195" spans="15:62" x14ac:dyDescent="0.2">
      <c r="O195">
        <v>194</v>
      </c>
      <c r="P195" s="112" t="str">
        <f>IFERROR(INDEX(TableWRCalcPts[PLAYER],MATCH(TableWRVORP[[#This Row],[RK]],TableWRCalcPts[RK],0)),"")</f>
        <v/>
      </c>
      <c r="Q195" s="112" t="str">
        <f>IFERROR(INDEX(TableWRCalcPts[TM],MATCH(TableWRVORP[[#This Row],[RK]],TableWRCalcPts[RK],0)),"")</f>
        <v/>
      </c>
      <c r="R195" s="112" t="str">
        <f>IFERROR(INDEX(TableWRCalcPts[BYE],MATCH(TableWRVORP[[#This Row],[RK]],TableWRCalcPts[RK],0)),"")</f>
        <v/>
      </c>
      <c r="S195" s="113" t="str">
        <f>IFERROR(INDEX(TableWRCalcPts[Custom],MATCH(TableWRVORP[[#This Row],[RK]],TableWRCalcPts[RK],0)),"")</f>
        <v/>
      </c>
      <c r="T195" s="114" t="e">
        <f>(IFERROR((TableWRVORP[[#This Row],[FPS]]-INDEX(TableWRVORP[FPS],MATCH(WRVORPCalc,TableWRVORP[RK],0)))/INDEX(TableWRVORP[FPS],MATCH(WRVORPCalc,TableWRVORP[RK],0)),""))*1.2</f>
        <v>#VALUE!</v>
      </c>
      <c r="AF195" t="s">
        <v>208</v>
      </c>
      <c r="AG195">
        <v>54</v>
      </c>
      <c r="AH195" s="83">
        <f>RANK(TableOverallMaster[[#This Row],[VORP]],TableOverallMaster[VORP])+COUNTIF($AM$2:AM195,AM195)-1</f>
        <v>122</v>
      </c>
      <c r="AI195" s="115" t="str">
        <f>IFERROR(INDEX(TableWRVORP[WIDE RECEIVER],MATCH(TableOverallMaster[[#This Row],[RK]],TableWRVORP[RK],0)),"")</f>
        <v>Adonai Mitchell</v>
      </c>
      <c r="AJ195" s="115" t="str">
        <f t="shared" si="3"/>
        <v>WR54</v>
      </c>
      <c r="AK195" s="115">
        <f>IFERROR(INDEX(TableWRVORP[BYE],MATCH(TableOverallMaster[[#This Row],[RK]],TableWRVORP[RK],0)),"")</f>
        <v>14</v>
      </c>
      <c r="AL195" s="116">
        <f>IFERROR(INDEX(TableWRVORP[FPS],MATCH(TableOverallMaster[[#This Row],[RK]],TableWRVORP[RK],0)),"")</f>
        <v>151.99119359423997</v>
      </c>
      <c r="AM195" s="117">
        <f>IFERROR(INDEX(TableWRVORP[VORP],MATCH(TableOverallMaster[[#This Row],[RK]],TableWRVORP[RK],0)),"")</f>
        <v>3.8897790038316761E-2</v>
      </c>
      <c r="AO195">
        <v>194</v>
      </c>
      <c r="AP195" s="118" t="str">
        <f>IFERROR(INDEX(TableOverallMaster[OVERALL PLAYER],MATCH(TableOverallRank[[#This Row],[RK]],TableOverallMaster[OVR RK],0)),"")</f>
        <v>Tyrone Tracy</v>
      </c>
      <c r="AQ195" s="119" t="str">
        <f>IFERROR(INDEX(TableOverallMaster[POS RK],MATCH(TableOverallRank[[#This Row],[OVERALL PLAYER]],TableOverallMaster[OVERALL PLAYER],0)),"")</f>
        <v>RB64</v>
      </c>
      <c r="AR195" s="120">
        <f>IFERROR(INDEX(TableOverallMaster[BYE],MATCH(TableOverallRank[[#This Row],[OVERALL PLAYER]],TableOverallMaster[OVERALL PLAYER],0)),"")</f>
        <v>11</v>
      </c>
      <c r="AS195" s="119">
        <f>IFERROR(INDEX(TableOverallMaster[Custom],MATCH(TableOverallRank[[#This Row],[OVERALL PLAYER]],TableOverallMaster[OVERALL PLAYER],0)),"")</f>
        <v>66.263362703752577</v>
      </c>
      <c r="AT195" s="121">
        <f>IFERROR(INDEX(TableOverallMaster[VORP],MATCH(TableOverallRank[[#This Row],[OVERALL PLAYER]],TableOverallMaster[OVERALL PLAYER],0)),"")</f>
        <v>-0.35792328738352158</v>
      </c>
      <c r="AV195">
        <v>194</v>
      </c>
      <c r="AW195" s="122" t="str">
        <f>IFERROR(INDEX(TableWRTECalcPts[PLAYER],MATCH(TableWRTERank[[#This Row],[RK]],TableWRTECalcPts[RK],0)),"")</f>
        <v>Tyler Scott</v>
      </c>
      <c r="AX195" s="122" t="str">
        <f>IFERROR(INDEX(TableWRTECalcPts[POS RK],MATCH(TableWRTERank[[#This Row],[WR and TE COMBINED]],TableWRTECalcPts[PLAYER],0)),"")</f>
        <v>WR138</v>
      </c>
      <c r="AY195" s="122">
        <f>IFERROR(INDEX(TableWRTECalcPts[BYE],MATCH(TableWRTERank[[#This Row],[RK]],TableWRTECalcPts[RK],0)),"")</f>
        <v>7</v>
      </c>
      <c r="AZ195" s="123">
        <f>IFERROR(INDEX(TableWRTECalcPts[Custom],MATCH(TableWRTERank[[#This Row],[RK]],TableWRTECalcPts[RK],0)),"")</f>
        <v>21.409501478856473</v>
      </c>
      <c r="BA195" s="174">
        <f>IFERROR((TableWRTERank[[#This Row],[FPS]]-INDEX(TableWRTERank[FPS],MATCH(WRTEVORPCalc,TableWRTERank[RK],0)))/INDEX(TableWRTERank[FPS],MATCH(WRTEVORPCalc,TableWRTERank[RK],0)),"")</f>
        <v>-0.86356692152562586</v>
      </c>
      <c r="BC195" t="s">
        <v>208</v>
      </c>
      <c r="BD195">
        <v>194</v>
      </c>
      <c r="BE195" s="83" t="e">
        <f>RANK(TableWRTEMaster[[#This Row],[VORP]],TableWRTEMaster[VORP])+COUNTIF($BJ$2:BJ195,BJ195)-1</f>
        <v>#VALUE!</v>
      </c>
      <c r="BF195" s="115" t="str">
        <f>IFERROR(INDEX(TableWRVORP[WIDE RECEIVER],MATCH(TableWRTEMaster[[#This Row],[RK]],TableWRVORP[RK],0)),"")</f>
        <v/>
      </c>
      <c r="BG195" s="115" t="str">
        <f>_xlfn.CONCAT(TableWRTEMaster[[#This Row],[POS]],TableWRTEMaster[[#This Row],[RK]])</f>
        <v>WR194</v>
      </c>
      <c r="BH195" s="115" t="str">
        <f>IFERROR(INDEX(TableWRVORP[BYE],MATCH(TableWRTEMaster[[#This Row],[RK]],TableWRVORP[RK],0)),"")</f>
        <v/>
      </c>
      <c r="BI195" s="116" t="str">
        <f>IFERROR(INDEX(TableWRVORP[FPS],MATCH(TableWRTEMaster[[#This Row],[RK]],TableWRVORP[RK],0)),"")</f>
        <v/>
      </c>
      <c r="BJ195" s="117" t="str">
        <f>IFERROR(INDEX(TableWRVORP[VORP],MATCH(TableWRTEMaster[[#This Row],[RK]],TableWRVORP[RK],0)),"")</f>
        <v/>
      </c>
    </row>
    <row r="196" spans="15:62" x14ac:dyDescent="0.2">
      <c r="O196">
        <v>195</v>
      </c>
      <c r="P196" s="112" t="str">
        <f>IFERROR(INDEX(TableWRCalcPts[PLAYER],MATCH(TableWRVORP[[#This Row],[RK]],TableWRCalcPts[RK],0)),"")</f>
        <v/>
      </c>
      <c r="Q196" s="112" t="str">
        <f>IFERROR(INDEX(TableWRCalcPts[TM],MATCH(TableWRVORP[[#This Row],[RK]],TableWRCalcPts[RK],0)),"")</f>
        <v/>
      </c>
      <c r="R196" s="112" t="str">
        <f>IFERROR(INDEX(TableWRCalcPts[BYE],MATCH(TableWRVORP[[#This Row],[RK]],TableWRCalcPts[RK],0)),"")</f>
        <v/>
      </c>
      <c r="S196" s="113" t="str">
        <f>IFERROR(INDEX(TableWRCalcPts[Custom],MATCH(TableWRVORP[[#This Row],[RK]],TableWRCalcPts[RK],0)),"")</f>
        <v/>
      </c>
      <c r="T196" s="114" t="e">
        <f>(IFERROR((TableWRVORP[[#This Row],[FPS]]-INDEX(TableWRVORP[FPS],MATCH(WRVORPCalc,TableWRVORP[RK],0)))/INDEX(TableWRVORP[FPS],MATCH(WRVORPCalc,TableWRVORP[RK],0)),""))*1.2</f>
        <v>#VALUE!</v>
      </c>
      <c r="AF196" t="s">
        <v>208</v>
      </c>
      <c r="AG196">
        <v>55</v>
      </c>
      <c r="AH196" s="83">
        <f>RANK(TableOverallMaster[[#This Row],[VORP]],TableOverallMaster[VORP])+COUNTIF($AM$2:AM196,AM196)-1</f>
        <v>123</v>
      </c>
      <c r="AI196" s="115" t="str">
        <f>IFERROR(INDEX(TableWRVORP[WIDE RECEIVER],MATCH(TableOverallMaster[[#This Row],[RK]],TableWRVORP[RK],0)),"")</f>
        <v>Rome Odunze</v>
      </c>
      <c r="AJ196" s="115" t="str">
        <f t="shared" si="3"/>
        <v>WR55</v>
      </c>
      <c r="AK196" s="115">
        <f>IFERROR(INDEX(TableWRVORP[BYE],MATCH(TableOverallMaster[[#This Row],[RK]],TableWRVORP[RK],0)),"")</f>
        <v>7</v>
      </c>
      <c r="AL196" s="116">
        <f>IFERROR(INDEX(TableWRVORP[FPS],MATCH(TableOverallMaster[[#This Row],[RK]],TableWRVORP[RK],0)),"")</f>
        <v>151.03909567844491</v>
      </c>
      <c r="AM196" s="117">
        <f>IFERROR(INDEX(TableWRVORP[VORP],MATCH(TableOverallMaster[[#This Row],[RK]],TableWRVORP[RK],0)),"")</f>
        <v>3.1137129858704253E-2</v>
      </c>
      <c r="AO196">
        <v>195</v>
      </c>
      <c r="AP196" s="118" t="str">
        <f>IFERROR(INDEX(TableOverallMaster[OVERALL PLAYER],MATCH(TableOverallRank[[#This Row],[RK]],TableOverallMaster[OVR RK],0)),"")</f>
        <v>Malachi Corley</v>
      </c>
      <c r="AQ196" s="119" t="str">
        <f>IFERROR(INDEX(TableOverallMaster[POS RK],MATCH(TableOverallRank[[#This Row],[OVERALL PLAYER]],TableOverallMaster[OVERALL PLAYER],0)),"")</f>
        <v>WR77</v>
      </c>
      <c r="AR196" s="120">
        <f>IFERROR(INDEX(TableOverallMaster[BYE],MATCH(TableOverallRank[[#This Row],[OVERALL PLAYER]],TableOverallMaster[OVERALL PLAYER],0)),"")</f>
        <v>12</v>
      </c>
      <c r="AS196" s="119">
        <f>IFERROR(INDEX(TableOverallMaster[Custom],MATCH(TableOverallRank[[#This Row],[OVERALL PLAYER]],TableOverallMaster[OVERALL PLAYER],0)),"")</f>
        <v>103.06146196052893</v>
      </c>
      <c r="AT196" s="121">
        <f>IFERROR(INDEX(TableOverallMaster[VORP],MATCH(TableOverallRank[[#This Row],[OVERALL PLAYER]],TableOverallMaster[OVERALL PLAYER],0)),"")</f>
        <v>-0.35993410906501272</v>
      </c>
      <c r="AV196">
        <v>195</v>
      </c>
      <c r="AW196" s="122" t="str">
        <f>IFERROR(INDEX(TableWRTECalcPts[PLAYER],MATCH(TableWRTERank[[#This Row],[RK]],TableWRTECalcPts[RK],0)),"")</f>
        <v>Tutu Atwell</v>
      </c>
      <c r="AX196" s="122" t="str">
        <f>IFERROR(INDEX(TableWRTECalcPts[POS RK],MATCH(TableWRTERank[[#This Row],[WR and TE COMBINED]],TableWRTECalcPts[PLAYER],0)),"")</f>
        <v>WR139</v>
      </c>
      <c r="AY196" s="122">
        <f>IFERROR(INDEX(TableWRTECalcPts[BYE],MATCH(TableWRTERank[[#This Row],[RK]],TableWRTECalcPts[RK],0)),"")</f>
        <v>6</v>
      </c>
      <c r="AZ196" s="123">
        <f>IFERROR(INDEX(TableWRTECalcPts[Custom],MATCH(TableWRTERank[[#This Row],[RK]],TableWRTECalcPts[RK],0)),"")</f>
        <v>21.022461117950055</v>
      </c>
      <c r="BA196" s="174">
        <f>IFERROR((TableWRTERank[[#This Row],[FPS]]-INDEX(TableWRTERank[FPS],MATCH(WRTEVORPCalc,TableWRTERank[RK],0)))/INDEX(TableWRTERank[FPS],MATCH(WRTEVORPCalc,TableWRTERank[RK],0)),"")</f>
        <v>-0.86603335485124266</v>
      </c>
      <c r="BC196" t="s">
        <v>208</v>
      </c>
      <c r="BD196">
        <v>195</v>
      </c>
      <c r="BE196" s="83" t="e">
        <f>RANK(TableWRTEMaster[[#This Row],[VORP]],TableWRTEMaster[VORP])+COUNTIF($BJ$2:BJ196,BJ196)-1</f>
        <v>#VALUE!</v>
      </c>
      <c r="BF196" s="115" t="str">
        <f>IFERROR(INDEX(TableWRVORP[WIDE RECEIVER],MATCH(TableWRTEMaster[[#This Row],[RK]],TableWRVORP[RK],0)),"")</f>
        <v/>
      </c>
      <c r="BG196" s="115" t="str">
        <f>_xlfn.CONCAT(TableWRTEMaster[[#This Row],[POS]],TableWRTEMaster[[#This Row],[RK]])</f>
        <v>WR195</v>
      </c>
      <c r="BH196" s="115" t="str">
        <f>IFERROR(INDEX(TableWRVORP[BYE],MATCH(TableWRTEMaster[[#This Row],[RK]],TableWRVORP[RK],0)),"")</f>
        <v/>
      </c>
      <c r="BI196" s="116" t="str">
        <f>IFERROR(INDEX(TableWRVORP[FPS],MATCH(TableWRTEMaster[[#This Row],[RK]],TableWRVORP[RK],0)),"")</f>
        <v/>
      </c>
      <c r="BJ196" s="117" t="str">
        <f>IFERROR(INDEX(TableWRVORP[VORP],MATCH(TableWRTEMaster[[#This Row],[RK]],TableWRVORP[RK],0)),"")</f>
        <v/>
      </c>
    </row>
    <row r="197" spans="15:62" x14ac:dyDescent="0.2">
      <c r="O197">
        <v>196</v>
      </c>
      <c r="P197" s="112" t="str">
        <f>IFERROR(INDEX(TableWRCalcPts[PLAYER],MATCH(TableWRVORP[[#This Row],[RK]],TableWRCalcPts[RK],0)),"")</f>
        <v/>
      </c>
      <c r="Q197" s="112" t="str">
        <f>IFERROR(INDEX(TableWRCalcPts[TM],MATCH(TableWRVORP[[#This Row],[RK]],TableWRCalcPts[RK],0)),"")</f>
        <v/>
      </c>
      <c r="R197" s="112" t="str">
        <f>IFERROR(INDEX(TableWRCalcPts[BYE],MATCH(TableWRVORP[[#This Row],[RK]],TableWRCalcPts[RK],0)),"")</f>
        <v/>
      </c>
      <c r="S197" s="113" t="str">
        <f>IFERROR(INDEX(TableWRCalcPts[Custom],MATCH(TableWRVORP[[#This Row],[RK]],TableWRCalcPts[RK],0)),"")</f>
        <v/>
      </c>
      <c r="T197" s="114" t="e">
        <f>(IFERROR((TableWRVORP[[#This Row],[FPS]]-INDEX(TableWRVORP[FPS],MATCH(WRVORPCalc,TableWRVORP[RK],0)))/INDEX(TableWRVORP[FPS],MATCH(WRVORPCalc,TableWRVORP[RK],0)),""))*1.2</f>
        <v>#VALUE!</v>
      </c>
      <c r="AF197" t="s">
        <v>208</v>
      </c>
      <c r="AG197">
        <v>56</v>
      </c>
      <c r="AH197" s="83">
        <f>RANK(TableOverallMaster[[#This Row],[VORP]],TableOverallMaster[VORP])+COUNTIF($AM$2:AM197,AM197)-1</f>
        <v>127</v>
      </c>
      <c r="AI197" s="115" t="str">
        <f>IFERROR(INDEX(TableWRVORP[WIDE RECEIVER],MATCH(TableOverallMaster[[#This Row],[RK]],TableWRVORP[RK],0)),"")</f>
        <v>Keon Coleman</v>
      </c>
      <c r="AJ197" s="115" t="str">
        <f t="shared" si="3"/>
        <v>WR56</v>
      </c>
      <c r="AK197" s="115">
        <f>IFERROR(INDEX(TableWRVORP[BYE],MATCH(TableOverallMaster[[#This Row],[RK]],TableWRVORP[RK],0)),"")</f>
        <v>12</v>
      </c>
      <c r="AL197" s="116">
        <f>IFERROR(INDEX(TableWRVORP[FPS],MATCH(TableOverallMaster[[#This Row],[RK]],TableWRVORP[RK],0)),"")</f>
        <v>147.77140943565098</v>
      </c>
      <c r="AM197" s="117">
        <f>IFERROR(INDEX(TableWRVORP[VORP],MATCH(TableOverallMaster[[#This Row],[RK]],TableWRVORP[RK],0)),"")</f>
        <v>4.5018415304637124E-3</v>
      </c>
      <c r="AO197">
        <v>196</v>
      </c>
      <c r="AP197" s="118" t="str">
        <f>IFERROR(INDEX(TableOverallMaster[OVERALL PLAYER],MATCH(TableOverallRank[[#This Row],[RK]],TableOverallMaster[OVR RK],0)),"")</f>
        <v>Pat Freiermuth</v>
      </c>
      <c r="AQ197" s="119" t="str">
        <f>IFERROR(INDEX(TableOverallMaster[POS RK],MATCH(TableOverallRank[[#This Row],[OVERALL PLAYER]],TableOverallMaster[OVERALL PLAYER],0)),"")</f>
        <v>TE24</v>
      </c>
      <c r="AR197" s="120">
        <f>IFERROR(INDEX(TableOverallMaster[BYE],MATCH(TableOverallRank[[#This Row],[OVERALL PLAYER]],TableOverallMaster[OVERALL PLAYER],0)),"")</f>
        <v>9</v>
      </c>
      <c r="AS197" s="119">
        <f>IFERROR(INDEX(TableOverallMaster[Custom],MATCH(TableOverallRank[[#This Row],[OVERALL PLAYER]],TableOverallMaster[OVERALL PLAYER],0)),"")</f>
        <v>84.255051648368294</v>
      </c>
      <c r="AT197" s="121">
        <f>IFERROR(INDEX(TableOverallMaster[VORP],MATCH(TableOverallRank[[#This Row],[OVERALL PLAYER]],TableOverallMaster[OVERALL PLAYER],0)),"")</f>
        <v>-0.35995386639520216</v>
      </c>
      <c r="AV197">
        <v>196</v>
      </c>
      <c r="AW197" s="122" t="str">
        <f>IFERROR(INDEX(TableWRTECalcPts[PLAYER],MATCH(TableWRTERank[[#This Row],[RK]],TableWRTECalcPts[RK],0)),"")</f>
        <v>Jordan Akins</v>
      </c>
      <c r="AX197" s="122" t="str">
        <f>IFERROR(INDEX(TableWRTECalcPts[POS RK],MATCH(TableWRTERank[[#This Row],[WR and TE COMBINED]],TableWRTECalcPts[PLAYER],0)),"")</f>
        <v>TE57</v>
      </c>
      <c r="AY197" s="122">
        <f>IFERROR(INDEX(TableWRTECalcPts[BYE],MATCH(TableWRTERank[[#This Row],[RK]],TableWRTECalcPts[RK],0)),"")</f>
        <v>10</v>
      </c>
      <c r="AZ197" s="123">
        <f>IFERROR(INDEX(TableWRTECalcPts[Custom],MATCH(TableWRTERank[[#This Row],[RK]],TableWRTECalcPts[RK],0)),"")</f>
        <v>20.366298459374043</v>
      </c>
      <c r="BA197" s="174">
        <f>IFERROR((TableWRTERank[[#This Row],[FPS]]-INDEX(TableWRTERank[FPS],MATCH(WRTEVORPCalc,TableWRTERank[RK],0)))/INDEX(TableWRTERank[FPS],MATCH(WRTEVORPCalc,TableWRTERank[RK],0)),"")</f>
        <v>-0.87021478296986865</v>
      </c>
      <c r="BC197" t="s">
        <v>208</v>
      </c>
      <c r="BD197">
        <v>196</v>
      </c>
      <c r="BE197" s="83" t="e">
        <f>RANK(TableWRTEMaster[[#This Row],[VORP]],TableWRTEMaster[VORP])+COUNTIF($BJ$2:BJ197,BJ197)-1</f>
        <v>#VALUE!</v>
      </c>
      <c r="BF197" s="115" t="str">
        <f>IFERROR(INDEX(TableWRVORP[WIDE RECEIVER],MATCH(TableWRTEMaster[[#This Row],[RK]],TableWRVORP[RK],0)),"")</f>
        <v/>
      </c>
      <c r="BG197" s="115" t="str">
        <f>_xlfn.CONCAT(TableWRTEMaster[[#This Row],[POS]],TableWRTEMaster[[#This Row],[RK]])</f>
        <v>WR196</v>
      </c>
      <c r="BH197" s="115" t="str">
        <f>IFERROR(INDEX(TableWRVORP[BYE],MATCH(TableWRTEMaster[[#This Row],[RK]],TableWRVORP[RK],0)),"")</f>
        <v/>
      </c>
      <c r="BI197" s="116" t="str">
        <f>IFERROR(INDEX(TableWRVORP[FPS],MATCH(TableWRTEMaster[[#This Row],[RK]],TableWRVORP[RK],0)),"")</f>
        <v/>
      </c>
      <c r="BJ197" s="117" t="str">
        <f>IFERROR(INDEX(TableWRVORP[VORP],MATCH(TableWRTEMaster[[#This Row],[RK]],TableWRVORP[RK],0)),"")</f>
        <v/>
      </c>
    </row>
    <row r="198" spans="15:62" x14ac:dyDescent="0.2">
      <c r="O198">
        <v>197</v>
      </c>
      <c r="P198" s="112" t="str">
        <f>IFERROR(INDEX(TableWRCalcPts[PLAYER],MATCH(TableWRVORP[[#This Row],[RK]],TableWRCalcPts[RK],0)),"")</f>
        <v/>
      </c>
      <c r="Q198" s="112" t="str">
        <f>IFERROR(INDEX(TableWRCalcPts[TM],MATCH(TableWRVORP[[#This Row],[RK]],TableWRCalcPts[RK],0)),"")</f>
        <v/>
      </c>
      <c r="R198" s="112" t="str">
        <f>IFERROR(INDEX(TableWRCalcPts[BYE],MATCH(TableWRVORP[[#This Row],[RK]],TableWRCalcPts[RK],0)),"")</f>
        <v/>
      </c>
      <c r="S198" s="113" t="str">
        <f>IFERROR(INDEX(TableWRCalcPts[Custom],MATCH(TableWRVORP[[#This Row],[RK]],TableWRCalcPts[RK],0)),"")</f>
        <v/>
      </c>
      <c r="T198" s="114" t="e">
        <f>(IFERROR((TableWRVORP[[#This Row],[FPS]]-INDEX(TableWRVORP[FPS],MATCH(WRVORPCalc,TableWRVORP[RK],0)))/INDEX(TableWRVORP[FPS],MATCH(WRVORPCalc,TableWRVORP[RK],0)),""))*1.2</f>
        <v>#VALUE!</v>
      </c>
      <c r="AF198" t="s">
        <v>208</v>
      </c>
      <c r="AG198">
        <v>57</v>
      </c>
      <c r="AH198" s="83">
        <f>RANK(TableOverallMaster[[#This Row],[VORP]],TableOverallMaster[VORP])+COUNTIF($AM$2:AM198,AM198)-1</f>
        <v>131</v>
      </c>
      <c r="AI198" s="115" t="str">
        <f>IFERROR(INDEX(TableWRVORP[WIDE RECEIVER],MATCH(TableOverallMaster[[#This Row],[RK]],TableWRVORP[RK],0)),"")</f>
        <v>Darnell Mooney</v>
      </c>
      <c r="AJ198" s="115" t="str">
        <f t="shared" si="3"/>
        <v>WR57</v>
      </c>
      <c r="AK198" s="115">
        <f>IFERROR(INDEX(TableWRVORP[BYE],MATCH(TableOverallMaster[[#This Row],[RK]],TableWRVORP[RK],0)),"")</f>
        <v>12</v>
      </c>
      <c r="AL198" s="116">
        <f>IFERROR(INDEX(TableWRVORP[FPS],MATCH(TableOverallMaster[[#This Row],[RK]],TableWRVORP[RK],0)),"")</f>
        <v>147.21911184250882</v>
      </c>
      <c r="AM198" s="117">
        <f>IFERROR(INDEX(TableWRVORP[VORP],MATCH(TableOverallMaster[[#This Row],[RK]],TableWRVORP[RK],0)),"")</f>
        <v>0</v>
      </c>
      <c r="AO198">
        <v>197</v>
      </c>
      <c r="AP198" s="118" t="str">
        <f>IFERROR(INDEX(TableOverallMaster[OVERALL PLAYER],MATCH(TableOverallRank[[#This Row],[RK]],TableOverallMaster[OVR RK],0)),"")</f>
        <v>Elijah Moore</v>
      </c>
      <c r="AQ198" s="119" t="str">
        <f>IFERROR(INDEX(TableOverallMaster[POS RK],MATCH(TableOverallRank[[#This Row],[OVERALL PLAYER]],TableOverallMaster[OVERALL PLAYER],0)),"")</f>
        <v>WR78</v>
      </c>
      <c r="AR198" s="120">
        <f>IFERROR(INDEX(TableOverallMaster[BYE],MATCH(TableOverallRank[[#This Row],[OVERALL PLAYER]],TableOverallMaster[OVERALL PLAYER],0)),"")</f>
        <v>10</v>
      </c>
      <c r="AS198" s="119">
        <f>IFERROR(INDEX(TableOverallMaster[Custom],MATCH(TableOverallRank[[#This Row],[OVERALL PLAYER]],TableOverallMaster[OVERALL PLAYER],0)),"")</f>
        <v>102.86910659024997</v>
      </c>
      <c r="AT198" s="121">
        <f>IFERROR(INDEX(TableOverallMaster[VORP],MATCH(TableOverallRank[[#This Row],[OVERALL PLAYER]],TableOverallMaster[OVERALL PLAYER],0)),"")</f>
        <v>-0.36150201992553793</v>
      </c>
      <c r="AV198">
        <v>197</v>
      </c>
      <c r="AW198" s="122" t="str">
        <f>IFERROR(INDEX(TableWRTECalcPts[PLAYER],MATCH(TableWRTERank[[#This Row],[RK]],TableWRTECalcPts[RK],0)),"")</f>
        <v>Grant Calcaterra</v>
      </c>
      <c r="AX198" s="122" t="str">
        <f>IFERROR(INDEX(TableWRTECalcPts[POS RK],MATCH(TableWRTERank[[#This Row],[WR and TE COMBINED]],TableWRTECalcPts[PLAYER],0)),"")</f>
        <v>TE58</v>
      </c>
      <c r="AY198" s="122">
        <f>IFERROR(INDEX(TableWRTECalcPts[BYE],MATCH(TableWRTERank[[#This Row],[RK]],TableWRTECalcPts[RK],0)),"")</f>
        <v>5</v>
      </c>
      <c r="AZ198" s="123">
        <f>IFERROR(INDEX(TableWRTECalcPts[Custom],MATCH(TableWRTERank[[#This Row],[RK]],TableWRTECalcPts[RK],0)),"")</f>
        <v>20.360312945280004</v>
      </c>
      <c r="BA198" s="174">
        <f>IFERROR((TableWRTERank[[#This Row],[FPS]]-INDEX(TableWRTERank[FPS],MATCH(WRTEVORPCalc,TableWRTERank[RK],0)))/INDEX(TableWRTERank[FPS],MATCH(WRTEVORPCalc,TableWRTERank[RK],0)),"")</f>
        <v>-0.87025292594647674</v>
      </c>
      <c r="BC198" t="s">
        <v>208</v>
      </c>
      <c r="BD198">
        <v>197</v>
      </c>
      <c r="BE198" s="83" t="e">
        <f>RANK(TableWRTEMaster[[#This Row],[VORP]],TableWRTEMaster[VORP])+COUNTIF($BJ$2:BJ198,BJ198)-1</f>
        <v>#VALUE!</v>
      </c>
      <c r="BF198" s="115" t="str">
        <f>IFERROR(INDEX(TableWRVORP[WIDE RECEIVER],MATCH(TableWRTEMaster[[#This Row],[RK]],TableWRVORP[RK],0)),"")</f>
        <v/>
      </c>
      <c r="BG198" s="115" t="str">
        <f>_xlfn.CONCAT(TableWRTEMaster[[#This Row],[POS]],TableWRTEMaster[[#This Row],[RK]])</f>
        <v>WR197</v>
      </c>
      <c r="BH198" s="115" t="str">
        <f>IFERROR(INDEX(TableWRVORP[BYE],MATCH(TableWRTEMaster[[#This Row],[RK]],TableWRVORP[RK],0)),"")</f>
        <v/>
      </c>
      <c r="BI198" s="116" t="str">
        <f>IFERROR(INDEX(TableWRVORP[FPS],MATCH(TableWRTEMaster[[#This Row],[RK]],TableWRVORP[RK],0)),"")</f>
        <v/>
      </c>
      <c r="BJ198" s="117" t="str">
        <f>IFERROR(INDEX(TableWRVORP[VORP],MATCH(TableWRTEMaster[[#This Row],[RK]],TableWRVORP[RK],0)),"")</f>
        <v/>
      </c>
    </row>
    <row r="199" spans="15:62" x14ac:dyDescent="0.2">
      <c r="O199">
        <v>198</v>
      </c>
      <c r="P199" s="112" t="str">
        <f>IFERROR(INDEX(TableWRCalcPts[PLAYER],MATCH(TableWRVORP[[#This Row],[RK]],TableWRCalcPts[RK],0)),"")</f>
        <v/>
      </c>
      <c r="Q199" s="112" t="str">
        <f>IFERROR(INDEX(TableWRCalcPts[TM],MATCH(TableWRVORP[[#This Row],[RK]],TableWRCalcPts[RK],0)),"")</f>
        <v/>
      </c>
      <c r="R199" s="112" t="str">
        <f>IFERROR(INDEX(TableWRCalcPts[BYE],MATCH(TableWRVORP[[#This Row],[RK]],TableWRCalcPts[RK],0)),"")</f>
        <v/>
      </c>
      <c r="S199" s="113" t="str">
        <f>IFERROR(INDEX(TableWRCalcPts[Custom],MATCH(TableWRVORP[[#This Row],[RK]],TableWRCalcPts[RK],0)),"")</f>
        <v/>
      </c>
      <c r="T199" s="114" t="e">
        <f>(IFERROR((TableWRVORP[[#This Row],[FPS]]-INDEX(TableWRVORP[FPS],MATCH(WRVORPCalc,TableWRVORP[RK],0)))/INDEX(TableWRVORP[FPS],MATCH(WRVORPCalc,TableWRVORP[RK],0)),""))*1.2</f>
        <v>#VALUE!</v>
      </c>
      <c r="AF199" t="s">
        <v>208</v>
      </c>
      <c r="AG199">
        <v>58</v>
      </c>
      <c r="AH199" s="83">
        <f>RANK(TableOverallMaster[[#This Row],[VORP]],TableOverallMaster[VORP])+COUNTIF($AM$2:AM199,AM199)-1</f>
        <v>133</v>
      </c>
      <c r="AI199" s="115" t="str">
        <f>IFERROR(INDEX(TableWRVORP[WIDE RECEIVER],MATCH(TableOverallMaster[[#This Row],[RK]],TableWRVORP[RK],0)),"")</f>
        <v>Rashid Shaheed</v>
      </c>
      <c r="AJ199" s="115" t="str">
        <f t="shared" si="3"/>
        <v>WR58</v>
      </c>
      <c r="AK199" s="115">
        <f>IFERROR(INDEX(TableWRVORP[BYE],MATCH(TableOverallMaster[[#This Row],[RK]],TableWRVORP[RK],0)),"")</f>
        <v>12</v>
      </c>
      <c r="AL199" s="116">
        <f>IFERROR(INDEX(TableWRVORP[FPS],MATCH(TableOverallMaster[[#This Row],[RK]],TableWRVORP[RK],0)),"")</f>
        <v>146.61073300360175</v>
      </c>
      <c r="AM199" s="117">
        <f>IFERROR(INDEX(TableWRVORP[VORP],MATCH(TableOverallMaster[[#This Row],[RK]],TableWRVORP[RK],0)),"")</f>
        <v>-4.9589662480064379E-3</v>
      </c>
      <c r="AO199">
        <v>198</v>
      </c>
      <c r="AP199" s="118" t="str">
        <f>IFERROR(INDEX(TableOverallMaster[OVERALL PLAYER],MATCH(TableOverallRank[[#This Row],[RK]],TableOverallMaster[OVR RK],0)),"")</f>
        <v>Audric Estime</v>
      </c>
      <c r="AQ199" s="119" t="str">
        <f>IFERROR(INDEX(TableOverallMaster[POS RK],MATCH(TableOverallRank[[#This Row],[OVERALL PLAYER]],TableOverallMaster[OVERALL PLAYER],0)),"")</f>
        <v>RB65</v>
      </c>
      <c r="AR199" s="120">
        <f>IFERROR(INDEX(TableOverallMaster[BYE],MATCH(TableOverallRank[[#This Row],[OVERALL PLAYER]],TableOverallMaster[OVERALL PLAYER],0)),"")</f>
        <v>14</v>
      </c>
      <c r="AS199" s="119">
        <f>IFERROR(INDEX(TableOverallMaster[Custom],MATCH(TableOverallRank[[#This Row],[OVERALL PLAYER]],TableOverallMaster[OVERALL PLAYER],0)),"")</f>
        <v>64.324957412268304</v>
      </c>
      <c r="AT199" s="121">
        <f>IFERROR(INDEX(TableOverallMaster[VORP],MATCH(TableOverallRank[[#This Row],[OVERALL PLAYER]],TableOverallMaster[OVERALL PLAYER],0)),"")</f>
        <v>-0.37085537842165461</v>
      </c>
      <c r="AV199">
        <v>198</v>
      </c>
      <c r="AW199" s="122" t="str">
        <f>IFERROR(INDEX(TableWRTECalcPts[PLAYER],MATCH(TableWRTERank[[#This Row],[RK]],TableWRTECalcPts[RK],0)),"")</f>
        <v>Skyy Moore</v>
      </c>
      <c r="AX199" s="122" t="str">
        <f>IFERROR(INDEX(TableWRTECalcPts[POS RK],MATCH(TableWRTERank[[#This Row],[WR and TE COMBINED]],TableWRTECalcPts[PLAYER],0)),"")</f>
        <v>WR140</v>
      </c>
      <c r="AY199" s="122">
        <f>IFERROR(INDEX(TableWRTECalcPts[BYE],MATCH(TableWRTERank[[#This Row],[RK]],TableWRTECalcPts[RK],0)),"")</f>
        <v>6</v>
      </c>
      <c r="AZ199" s="123">
        <f>IFERROR(INDEX(TableWRTECalcPts[Custom],MATCH(TableWRTERank[[#This Row],[RK]],TableWRTECalcPts[RK],0)),"")</f>
        <v>19.594242808998718</v>
      </c>
      <c r="BA199" s="174">
        <f>IFERROR((TableWRTERank[[#This Row],[FPS]]-INDEX(TableWRTERank[FPS],MATCH(WRTEVORPCalc,TableWRTERank[RK],0)))/INDEX(TableWRTERank[FPS],MATCH(WRTEVORPCalc,TableWRTERank[RK],0)),"")</f>
        <v>-0.87513474475591324</v>
      </c>
      <c r="BC199" t="s">
        <v>208</v>
      </c>
      <c r="BD199">
        <v>198</v>
      </c>
      <c r="BE199" s="83" t="e">
        <f>RANK(TableWRTEMaster[[#This Row],[VORP]],TableWRTEMaster[VORP])+COUNTIF($BJ$2:BJ199,BJ199)-1</f>
        <v>#VALUE!</v>
      </c>
      <c r="BF199" s="115" t="str">
        <f>IFERROR(INDEX(TableWRVORP[WIDE RECEIVER],MATCH(TableWRTEMaster[[#This Row],[RK]],TableWRVORP[RK],0)),"")</f>
        <v/>
      </c>
      <c r="BG199" s="115" t="str">
        <f>_xlfn.CONCAT(TableWRTEMaster[[#This Row],[POS]],TableWRTEMaster[[#This Row],[RK]])</f>
        <v>WR198</v>
      </c>
      <c r="BH199" s="115" t="str">
        <f>IFERROR(INDEX(TableWRVORP[BYE],MATCH(TableWRTEMaster[[#This Row],[RK]],TableWRVORP[RK],0)),"")</f>
        <v/>
      </c>
      <c r="BI199" s="116" t="str">
        <f>IFERROR(INDEX(TableWRVORP[FPS],MATCH(TableWRTEMaster[[#This Row],[RK]],TableWRVORP[RK],0)),"")</f>
        <v/>
      </c>
      <c r="BJ199" s="117" t="str">
        <f>IFERROR(INDEX(TableWRVORP[VORP],MATCH(TableWRTEMaster[[#This Row],[RK]],TableWRVORP[RK],0)),"")</f>
        <v/>
      </c>
    </row>
    <row r="200" spans="15:62" x14ac:dyDescent="0.2">
      <c r="O200">
        <v>199</v>
      </c>
      <c r="P200" s="112" t="str">
        <f>IFERROR(INDEX(TableWRCalcPts[PLAYER],MATCH(TableWRVORP[[#This Row],[RK]],TableWRCalcPts[RK],0)),"")</f>
        <v/>
      </c>
      <c r="Q200" s="112" t="str">
        <f>IFERROR(INDEX(TableWRCalcPts[TM],MATCH(TableWRVORP[[#This Row],[RK]],TableWRCalcPts[RK],0)),"")</f>
        <v/>
      </c>
      <c r="R200" s="112" t="str">
        <f>IFERROR(INDEX(TableWRCalcPts[BYE],MATCH(TableWRVORP[[#This Row],[RK]],TableWRCalcPts[RK],0)),"")</f>
        <v/>
      </c>
      <c r="S200" s="113" t="str">
        <f>IFERROR(INDEX(TableWRCalcPts[Custom],MATCH(TableWRVORP[[#This Row],[RK]],TableWRCalcPts[RK],0)),"")</f>
        <v/>
      </c>
      <c r="T200" s="114" t="e">
        <f>(IFERROR((TableWRVORP[[#This Row],[FPS]]-INDEX(TableWRVORP[FPS],MATCH(WRVORPCalc,TableWRVORP[RK],0)))/INDEX(TableWRVORP[FPS],MATCH(WRVORPCalc,TableWRVORP[RK],0)),""))*1.2</f>
        <v>#VALUE!</v>
      </c>
      <c r="AF200" t="s">
        <v>208</v>
      </c>
      <c r="AG200">
        <v>59</v>
      </c>
      <c r="AH200" s="83">
        <f>RANK(TableOverallMaster[[#This Row],[VORP]],TableOverallMaster[VORP])+COUNTIF($AM$2:AM200,AM200)-1</f>
        <v>136</v>
      </c>
      <c r="AI200" s="115" t="str">
        <f>IFERROR(INDEX(TableWRVORP[WIDE RECEIVER],MATCH(TableOverallMaster[[#This Row],[RK]],TableWRVORP[RK],0)),"")</f>
        <v>Jayden Reed</v>
      </c>
      <c r="AJ200" s="115" t="str">
        <f t="shared" si="3"/>
        <v>WR59</v>
      </c>
      <c r="AK200" s="115">
        <f>IFERROR(INDEX(TableWRVORP[BYE],MATCH(TableOverallMaster[[#This Row],[RK]],TableWRVORP[RK],0)),"")</f>
        <v>10</v>
      </c>
      <c r="AL200" s="116">
        <f>IFERROR(INDEX(TableWRVORP[FPS],MATCH(TableOverallMaster[[#This Row],[RK]],TableWRVORP[RK],0)),"")</f>
        <v>145.49022396972001</v>
      </c>
      <c r="AM200" s="117">
        <f>IFERROR(INDEX(TableWRVORP[VORP],MATCH(TableOverallMaster[[#This Row],[RK]],TableWRVORP[RK],0)),"")</f>
        <v>-1.4092364920432369E-2</v>
      </c>
      <c r="AO200">
        <v>199</v>
      </c>
      <c r="AP200" s="118" t="str">
        <f>IFERROR(INDEX(TableOverallMaster[OVERALL PLAYER],MATCH(TableOverallRank[[#This Row],[RK]],TableOverallMaster[OVR RK],0)),"")</f>
        <v>Roman Wilson</v>
      </c>
      <c r="AQ200" s="119" t="str">
        <f>IFERROR(INDEX(TableOverallMaster[POS RK],MATCH(TableOverallRank[[#This Row],[OVERALL PLAYER]],TableOverallMaster[OVERALL PLAYER],0)),"")</f>
        <v>WR79</v>
      </c>
      <c r="AR200" s="120">
        <f>IFERROR(INDEX(TableOverallMaster[BYE],MATCH(TableOverallRank[[#This Row],[OVERALL PLAYER]],TableOverallMaster[OVERALL PLAYER],0)),"")</f>
        <v>9</v>
      </c>
      <c r="AS200" s="119">
        <f>IFERROR(INDEX(TableOverallMaster[Custom],MATCH(TableOverallRank[[#This Row],[OVERALL PLAYER]],TableOverallMaster[OVERALL PLAYER],0)),"")</f>
        <v>100.98603118800001</v>
      </c>
      <c r="AT200" s="121">
        <f>IFERROR(INDEX(TableOverallMaster[VORP],MATCH(TableOverallRank[[#This Row],[OVERALL PLAYER]],TableOverallMaster[OVERALL PLAYER],0)),"")</f>
        <v>-0.37685118522356875</v>
      </c>
      <c r="AV200">
        <v>199</v>
      </c>
      <c r="AW200" s="122" t="str">
        <f>IFERROR(INDEX(TableWRTECalcPts[PLAYER],MATCH(TableWRTERank[[#This Row],[RK]],TableWRTECalcPts[RK],0)),"")</f>
        <v>Bub Means</v>
      </c>
      <c r="AX200" s="122" t="str">
        <f>IFERROR(INDEX(TableWRTECalcPts[POS RK],MATCH(TableWRTERank[[#This Row],[WR and TE COMBINED]],TableWRTECalcPts[PLAYER],0)),"")</f>
        <v>WR141</v>
      </c>
      <c r="AY200" s="122">
        <f>IFERROR(INDEX(TableWRTECalcPts[BYE],MATCH(TableWRTERank[[#This Row],[RK]],TableWRTECalcPts[RK],0)),"")</f>
        <v>12</v>
      </c>
      <c r="AZ200" s="123">
        <f>IFERROR(INDEX(TableWRTECalcPts[Custom],MATCH(TableWRTERank[[#This Row],[RK]],TableWRTECalcPts[RK],0)),"")</f>
        <v>19.239112264455407</v>
      </c>
      <c r="BA200" s="174">
        <f>IFERROR((TableWRTERank[[#This Row],[FPS]]-INDEX(TableWRTERank[FPS],MATCH(WRTEVORPCalc,TableWRTERank[RK],0)))/INDEX(TableWRTERank[FPS],MATCH(WRTEVORPCalc,TableWRTERank[RK],0)),"")</f>
        <v>-0.87739783124114401</v>
      </c>
      <c r="BC200" t="s">
        <v>208</v>
      </c>
      <c r="BD200">
        <v>199</v>
      </c>
      <c r="BE200" s="83" t="e">
        <f>RANK(TableWRTEMaster[[#This Row],[VORP]],TableWRTEMaster[VORP])+COUNTIF($BJ$2:BJ200,BJ200)-1</f>
        <v>#VALUE!</v>
      </c>
      <c r="BF200" s="115" t="str">
        <f>IFERROR(INDEX(TableWRVORP[WIDE RECEIVER],MATCH(TableWRTEMaster[[#This Row],[RK]],TableWRVORP[RK],0)),"")</f>
        <v/>
      </c>
      <c r="BG200" s="115" t="str">
        <f>_xlfn.CONCAT(TableWRTEMaster[[#This Row],[POS]],TableWRTEMaster[[#This Row],[RK]])</f>
        <v>WR199</v>
      </c>
      <c r="BH200" s="115" t="str">
        <f>IFERROR(INDEX(TableWRVORP[BYE],MATCH(TableWRTEMaster[[#This Row],[RK]],TableWRVORP[RK],0)),"")</f>
        <v/>
      </c>
      <c r="BI200" s="116" t="str">
        <f>IFERROR(INDEX(TableWRVORP[FPS],MATCH(TableWRTEMaster[[#This Row],[RK]],TableWRVORP[RK],0)),"")</f>
        <v/>
      </c>
      <c r="BJ200" s="117" t="str">
        <f>IFERROR(INDEX(TableWRVORP[VORP],MATCH(TableWRTEMaster[[#This Row],[RK]],TableWRVORP[RK],0)),"")</f>
        <v/>
      </c>
    </row>
    <row r="201" spans="15:62" x14ac:dyDescent="0.2">
      <c r="O201">
        <v>200</v>
      </c>
      <c r="P201" s="112" t="str">
        <f>IFERROR(INDEX(TableWRCalcPts[PLAYER],MATCH(TableWRVORP[[#This Row],[RK]],TableWRCalcPts[RK],0)),"")</f>
        <v/>
      </c>
      <c r="Q201" s="112" t="str">
        <f>IFERROR(INDEX(TableWRCalcPts[TM],MATCH(TableWRVORP[[#This Row],[RK]],TableWRCalcPts[RK],0)),"")</f>
        <v/>
      </c>
      <c r="R201" s="112" t="str">
        <f>IFERROR(INDEX(TableWRCalcPts[BYE],MATCH(TableWRVORP[[#This Row],[RK]],TableWRCalcPts[RK],0)),"")</f>
        <v/>
      </c>
      <c r="S201" s="113" t="str">
        <f>IFERROR(INDEX(TableWRCalcPts[Custom],MATCH(TableWRVORP[[#This Row],[RK]],TableWRCalcPts[RK],0)),"")</f>
        <v/>
      </c>
      <c r="T201" s="114" t="e">
        <f>(IFERROR((TableWRVORP[[#This Row],[FPS]]-INDEX(TableWRVORP[FPS],MATCH(WRVORPCalc,TableWRVORP[RK],0)))/INDEX(TableWRVORP[FPS],MATCH(WRVORPCalc,TableWRVORP[RK],0)),""))*1.2</f>
        <v>#VALUE!</v>
      </c>
      <c r="AF201" t="s">
        <v>208</v>
      </c>
      <c r="AG201">
        <v>60</v>
      </c>
      <c r="AH201" s="83">
        <f>RANK(TableOverallMaster[[#This Row],[VORP]],TableOverallMaster[VORP])+COUNTIF($AM$2:AM201,AM201)-1</f>
        <v>138</v>
      </c>
      <c r="AI201" s="115" t="str">
        <f>IFERROR(INDEX(TableWRVORP[WIDE RECEIVER],MATCH(TableOverallMaster[[#This Row],[RK]],TableWRVORP[RK],0)),"")</f>
        <v>Brandin Cooks</v>
      </c>
      <c r="AJ201" s="115" t="str">
        <f t="shared" si="3"/>
        <v>WR60</v>
      </c>
      <c r="AK201" s="115">
        <f>IFERROR(INDEX(TableWRVORP[BYE],MATCH(TableOverallMaster[[#This Row],[RK]],TableWRVORP[RK],0)),"")</f>
        <v>7</v>
      </c>
      <c r="AL201" s="116">
        <f>IFERROR(INDEX(TableWRVORP[FPS],MATCH(TableOverallMaster[[#This Row],[RK]],TableWRVORP[RK],0)),"")</f>
        <v>143.24353207428095</v>
      </c>
      <c r="AM201" s="117">
        <f>IFERROR(INDEX(TableWRVORP[VORP],MATCH(TableOverallMaster[[#This Row],[RK]],TableWRVORP[RK],0)),"")</f>
        <v>-3.2405410290594711E-2</v>
      </c>
      <c r="AO201">
        <v>200</v>
      </c>
      <c r="AP201" s="118" t="str">
        <f>IFERROR(INDEX(TableOverallMaster[OVERALL PLAYER],MATCH(TableOverallRank[[#This Row],[RK]],TableOverallMaster[OVR RK],0)),"")</f>
        <v>Tank Bigsby</v>
      </c>
      <c r="AQ201" s="119" t="str">
        <f>IFERROR(INDEX(TableOverallMaster[POS RK],MATCH(TableOverallRank[[#This Row],[OVERALL PLAYER]],TableOverallMaster[OVERALL PLAYER],0)),"")</f>
        <v>RB66</v>
      </c>
      <c r="AR201" s="120">
        <f>IFERROR(INDEX(TableOverallMaster[BYE],MATCH(TableOverallRank[[#This Row],[OVERALL PLAYER]],TableOverallMaster[OVERALL PLAYER],0)),"")</f>
        <v>12</v>
      </c>
      <c r="AS201" s="119">
        <f>IFERROR(INDEX(TableOverallMaster[Custom],MATCH(TableOverallRank[[#This Row],[OVERALL PLAYER]],TableOverallMaster[OVERALL PLAYER],0)),"")</f>
        <v>63.249476038763987</v>
      </c>
      <c r="AT201" s="121">
        <f>IFERROR(INDEX(TableOverallMaster[VORP],MATCH(TableOverallRank[[#This Row],[OVERALL PLAYER]],TableOverallMaster[OVERALL PLAYER],0)),"")</f>
        <v>-0.37803046357700115</v>
      </c>
      <c r="AV201">
        <v>200</v>
      </c>
      <c r="AW201" s="122" t="str">
        <f>IFERROR(INDEX(TableWRTECalcPts[PLAYER],MATCH(TableWRTERank[[#This Row],[RK]],TableWRTECalcPts[RK],0)),"")</f>
        <v>Nick Westbrook-Ikhine</v>
      </c>
      <c r="AX201" s="122" t="str">
        <f>IFERROR(INDEX(TableWRTECalcPts[POS RK],MATCH(TableWRTERank[[#This Row],[WR and TE COMBINED]],TableWRTECalcPts[PLAYER],0)),"")</f>
        <v>WR142</v>
      </c>
      <c r="AY201" s="122">
        <f>IFERROR(INDEX(TableWRTECalcPts[BYE],MATCH(TableWRTERank[[#This Row],[RK]],TableWRTECalcPts[RK],0)),"")</f>
        <v>5</v>
      </c>
      <c r="AZ201" s="123">
        <f>IFERROR(INDEX(TableWRTECalcPts[Custom],MATCH(TableWRTERank[[#This Row],[RK]],TableWRTECalcPts[RK],0)),"")</f>
        <v>18.661396136836288</v>
      </c>
      <c r="BA201" s="174">
        <f>IFERROR((TableWRTERank[[#This Row],[FPS]]-INDEX(TableWRTERank[FPS],MATCH(WRTEVORPCalc,TableWRTERank[RK],0)))/INDEX(TableWRTERank[FPS],MATCH(WRTEVORPCalc,TableWRTERank[RK],0)),"")</f>
        <v>-0.88107935506612467</v>
      </c>
      <c r="BC201" t="s">
        <v>208</v>
      </c>
      <c r="BD201">
        <v>200</v>
      </c>
      <c r="BE201" s="83" t="e">
        <f>RANK(TableWRTEMaster[[#This Row],[VORP]],TableWRTEMaster[VORP])+COUNTIF($BJ$2:BJ201,BJ201)-1</f>
        <v>#VALUE!</v>
      </c>
      <c r="BF201" s="115" t="str">
        <f>IFERROR(INDEX(TableWRVORP[WIDE RECEIVER],MATCH(TableWRTEMaster[[#This Row],[RK]],TableWRVORP[RK],0)),"")</f>
        <v/>
      </c>
      <c r="BG201" s="115" t="str">
        <f>_xlfn.CONCAT(TableWRTEMaster[[#This Row],[POS]],TableWRTEMaster[[#This Row],[RK]])</f>
        <v>WR200</v>
      </c>
      <c r="BH201" s="115" t="str">
        <f>IFERROR(INDEX(TableWRVORP[BYE],MATCH(TableWRTEMaster[[#This Row],[RK]],TableWRVORP[RK],0)),"")</f>
        <v/>
      </c>
      <c r="BI201" s="116" t="str">
        <f>IFERROR(INDEX(TableWRVORP[FPS],MATCH(TableWRTEMaster[[#This Row],[RK]],TableWRVORP[RK],0)),"")</f>
        <v/>
      </c>
      <c r="BJ201" s="117" t="str">
        <f>IFERROR(INDEX(TableWRVORP[VORP],MATCH(TableWRTEMaster[[#This Row],[RK]],TableWRVORP[RK],0)),"")</f>
        <v/>
      </c>
    </row>
    <row r="202" spans="15:62" x14ac:dyDescent="0.2">
      <c r="O202">
        <v>201</v>
      </c>
      <c r="P202" s="112" t="str">
        <f>IFERROR(INDEX(TableWRCalcPts[PLAYER],MATCH(TableWRVORP[[#This Row],[RK]],TableWRCalcPts[RK],0)),"")</f>
        <v/>
      </c>
      <c r="Q202" s="112" t="str">
        <f>IFERROR(INDEX(TableWRCalcPts[TM],MATCH(TableWRVORP[[#This Row],[RK]],TableWRCalcPts[RK],0)),"")</f>
        <v/>
      </c>
      <c r="R202" s="112" t="str">
        <f>IFERROR(INDEX(TableWRCalcPts[BYE],MATCH(TableWRVORP[[#This Row],[RK]],TableWRCalcPts[RK],0)),"")</f>
        <v/>
      </c>
      <c r="S202" s="113" t="str">
        <f>IFERROR(INDEX(TableWRCalcPts[Custom],MATCH(TableWRVORP[[#This Row],[RK]],TableWRCalcPts[RK],0)),"")</f>
        <v/>
      </c>
      <c r="T202" s="114" t="e">
        <f>(IFERROR((TableWRVORP[[#This Row],[FPS]]-INDEX(TableWRVORP[FPS],MATCH(WRVORPCalc,TableWRVORP[RK],0)))/INDEX(TableWRVORP[FPS],MATCH(WRVORPCalc,TableWRVORP[RK],0)),""))*1.2</f>
        <v>#VALUE!</v>
      </c>
      <c r="AF202" t="s">
        <v>208</v>
      </c>
      <c r="AG202">
        <v>61</v>
      </c>
      <c r="AH202" s="83">
        <f>RANK(TableOverallMaster[[#This Row],[VORP]],TableOverallMaster[VORP])+COUNTIF($AM$2:AM202,AM202)-1</f>
        <v>147</v>
      </c>
      <c r="AI202" s="115" t="str">
        <f>IFERROR(INDEX(TableWRVORP[WIDE RECEIVER],MATCH(TableOverallMaster[[#This Row],[RK]],TableWRVORP[RK],0)),"")</f>
        <v>Adam Thielen</v>
      </c>
      <c r="AJ202" s="115" t="str">
        <f t="shared" si="3"/>
        <v>WR61</v>
      </c>
      <c r="AK202" s="115">
        <f>IFERROR(INDEX(TableWRVORP[BYE],MATCH(TableOverallMaster[[#This Row],[RK]],TableWRVORP[RK],0)),"")</f>
        <v>11</v>
      </c>
      <c r="AL202" s="116">
        <f>IFERROR(INDEX(TableWRVORP[FPS],MATCH(TableOverallMaster[[#This Row],[RK]],TableWRVORP[RK],0)),"")</f>
        <v>136.73499170173079</v>
      </c>
      <c r="AM202" s="117">
        <f>IFERROR(INDEX(TableWRVORP[VORP],MATCH(TableOverallMaster[[#This Row],[RK]],TableWRVORP[RK],0)),"")</f>
        <v>-8.5457275291759699E-2</v>
      </c>
      <c r="AO202">
        <v>201</v>
      </c>
      <c r="AP202" s="118" t="str">
        <f>IFERROR(INDEX(TableOverallMaster[OVERALL PLAYER],MATCH(TableOverallRank[[#This Row],[RK]],TableOverallMaster[OVR RK],0)),"")</f>
        <v>Van Jefferson</v>
      </c>
      <c r="AQ202" s="119" t="str">
        <f>IFERROR(INDEX(TableOverallMaster[POS RK],MATCH(TableOverallRank[[#This Row],[OVERALL PLAYER]],TableOverallMaster[OVERALL PLAYER],0)),"")</f>
        <v>WR80</v>
      </c>
      <c r="AR202" s="120">
        <f>IFERROR(INDEX(TableOverallMaster[BYE],MATCH(TableOverallRank[[#This Row],[OVERALL PLAYER]],TableOverallMaster[OVERALL PLAYER],0)),"")</f>
        <v>9</v>
      </c>
      <c r="AS202" s="119">
        <f>IFERROR(INDEX(TableOverallMaster[Custom],MATCH(TableOverallRank[[#This Row],[OVERALL PLAYER]],TableOverallMaster[OVERALL PLAYER],0)),"")</f>
        <v>100.70653692455998</v>
      </c>
      <c r="AT202" s="121">
        <f>IFERROR(INDEX(TableOverallMaster[VORP],MATCH(TableOverallRank[[#This Row],[OVERALL PLAYER]],TableOverallMaster[OVERALL PLAYER],0)),"")</f>
        <v>-0.37912937527600449</v>
      </c>
      <c r="AV202">
        <v>201</v>
      </c>
      <c r="AW202" s="122" t="str">
        <f>IFERROR(INDEX(TableWRTECalcPts[PLAYER],MATCH(TableWRTERank[[#This Row],[RK]],TableWRTECalcPts[RK],0)),"")</f>
        <v>James Mitchell</v>
      </c>
      <c r="AX202" s="122" t="str">
        <f>IFERROR(INDEX(TableWRTECalcPts[POS RK],MATCH(TableWRTERank[[#This Row],[WR and TE COMBINED]],TableWRTECalcPts[PLAYER],0)),"")</f>
        <v>TE59</v>
      </c>
      <c r="AY202" s="122">
        <f>IFERROR(INDEX(TableWRTECalcPts[BYE],MATCH(TableWRTERank[[#This Row],[RK]],TableWRTECalcPts[RK],0)),"")</f>
        <v>5</v>
      </c>
      <c r="AZ202" s="123">
        <f>IFERROR(INDEX(TableWRTECalcPts[Custom],MATCH(TableWRTERank[[#This Row],[RK]],TableWRTECalcPts[RK],0)),"")</f>
        <v>18.454743522522669</v>
      </c>
      <c r="BA202" s="174">
        <f>IFERROR((TableWRTERank[[#This Row],[FPS]]-INDEX(TableWRTERank[FPS],MATCH(WRTEVORPCalc,TableWRTERank[RK],0)))/INDEX(TableWRTERank[FPS],MATCH(WRTEVORPCalc,TableWRTERank[RK],0)),"")</f>
        <v>-0.88239625879568739</v>
      </c>
      <c r="BC202" t="s">
        <v>10</v>
      </c>
      <c r="BD202">
        <v>1</v>
      </c>
      <c r="BE202" s="83">
        <f>RANK(TableWRTEMaster[[#This Row],[VORP]],TableWRTEMaster[VORP])+COUNTIF($BJ$2:BJ202,BJ202)-1</f>
        <v>9</v>
      </c>
      <c r="BF202" s="115" t="str">
        <f>IFERROR(INDEX(TableTEVORP[TIGHT END],MATCH(TableWRTEMaster[[#This Row],[RK]],TableTEVORP[RK],0)),"")</f>
        <v>Travis Kelce</v>
      </c>
      <c r="BG202" s="115" t="str">
        <f>_xlfn.CONCAT(TableWRTEMaster[[#This Row],[POS]],TableWRTEMaster[[#This Row],[RK]])</f>
        <v>TE1</v>
      </c>
      <c r="BH202" s="115">
        <f>IFERROR(INDEX(TableTEVORP[BYE],MATCH(TableWRTEMaster[[#This Row],[RK]],TableTEVORP[RK],0)),"")</f>
        <v>6</v>
      </c>
      <c r="BI202" s="116">
        <f>IFERROR(INDEX(TableTEVORP[FPS],MATCH(TableWRTEMaster[[#This Row],[RK]],TableTEVORP[RK],0)),"")</f>
        <v>200.94815106912</v>
      </c>
      <c r="BJ202" s="117">
        <f>IFERROR(INDEX(TableTEVORP[VORP],MATCH(TableWRTEMaster[[#This Row],[RK]],TableTEVORP[RK],0)),"")</f>
        <v>0.52650891110472542</v>
      </c>
    </row>
    <row r="203" spans="15:62" x14ac:dyDescent="0.2">
      <c r="O203">
        <v>202</v>
      </c>
      <c r="P203" s="112" t="str">
        <f>IFERROR(INDEX(TableWRCalcPts[PLAYER],MATCH(TableWRVORP[[#This Row],[RK]],TableWRCalcPts[RK],0)),"")</f>
        <v/>
      </c>
      <c r="Q203" s="112" t="str">
        <f>IFERROR(INDEX(TableWRCalcPts[TM],MATCH(TableWRVORP[[#This Row],[RK]],TableWRCalcPts[RK],0)),"")</f>
        <v/>
      </c>
      <c r="R203" s="112" t="str">
        <f>IFERROR(INDEX(TableWRCalcPts[BYE],MATCH(TableWRVORP[[#This Row],[RK]],TableWRCalcPts[RK],0)),"")</f>
        <v/>
      </c>
      <c r="S203" s="113" t="str">
        <f>IFERROR(INDEX(TableWRCalcPts[Custom],MATCH(TableWRVORP[[#This Row],[RK]],TableWRCalcPts[RK],0)),"")</f>
        <v/>
      </c>
      <c r="T203" s="114" t="e">
        <f>(IFERROR((TableWRVORP[[#This Row],[FPS]]-INDEX(TableWRVORP[FPS],MATCH(WRVORPCalc,TableWRVORP[RK],0)))/INDEX(TableWRVORP[FPS],MATCH(WRVORPCalc,TableWRVORP[RK],0)),""))*1.2</f>
        <v>#VALUE!</v>
      </c>
      <c r="AF203" t="s">
        <v>208</v>
      </c>
      <c r="AG203">
        <v>62</v>
      </c>
      <c r="AH203" s="83">
        <f>RANK(TableOverallMaster[[#This Row],[VORP]],TableOverallMaster[VORP])+COUNTIF($AM$2:AM203,AM203)-1</f>
        <v>151</v>
      </c>
      <c r="AI203" s="115" t="str">
        <f>IFERROR(INDEX(TableWRVORP[WIDE RECEIVER],MATCH(TableOverallMaster[[#This Row],[RK]],TableWRVORP[RK],0)),"")</f>
        <v>Gabe Davis</v>
      </c>
      <c r="AJ203" s="115" t="str">
        <f t="shared" si="3"/>
        <v>WR62</v>
      </c>
      <c r="AK203" s="115">
        <f>IFERROR(INDEX(TableWRVORP[BYE],MATCH(TableOverallMaster[[#This Row],[RK]],TableWRVORP[RK],0)),"")</f>
        <v>12</v>
      </c>
      <c r="AL203" s="116">
        <f>IFERROR(INDEX(TableWRVORP[FPS],MATCH(TableOverallMaster[[#This Row],[RK]],TableWRVORP[RK],0)),"")</f>
        <v>132.40466047325438</v>
      </c>
      <c r="AM203" s="117">
        <f>IFERROR(INDEX(TableWRVORP[VORP],MATCH(TableOverallMaster[[#This Row],[RK]],TableWRVORP[RK],0)),"")</f>
        <v>-0.12075430574613891</v>
      </c>
      <c r="AO203">
        <v>202</v>
      </c>
      <c r="AP203" s="118" t="str">
        <f>IFERROR(INDEX(TableOverallMaster[OVERALL PLAYER],MATCH(TableOverallRank[[#This Row],[RK]],TableOverallMaster[OVR RK],0)),"")</f>
        <v>Andrei Iosivas</v>
      </c>
      <c r="AQ203" s="119" t="str">
        <f>IFERROR(INDEX(TableOverallMaster[POS RK],MATCH(TableOverallRank[[#This Row],[OVERALL PLAYER]],TableOverallMaster[OVERALL PLAYER],0)),"")</f>
        <v>WR81</v>
      </c>
      <c r="AR203" s="120">
        <f>IFERROR(INDEX(TableOverallMaster[BYE],MATCH(TableOverallRank[[#This Row],[OVERALL PLAYER]],TableOverallMaster[OVERALL PLAYER],0)),"")</f>
        <v>12</v>
      </c>
      <c r="AS203" s="119">
        <f>IFERROR(INDEX(TableOverallMaster[Custom],MATCH(TableOverallRank[[#This Row],[OVERALL PLAYER]],TableOverallMaster[OVERALL PLAYER],0)),"")</f>
        <v>100.65472719338064</v>
      </c>
      <c r="AT203" s="121">
        <f>IFERROR(INDEX(TableOverallMaster[VORP],MATCH(TableOverallRank[[#This Row],[OVERALL PLAYER]],TableOverallMaster[OVERALL PLAYER],0)),"")</f>
        <v>-0.37955168238434872</v>
      </c>
      <c r="AV203">
        <v>202</v>
      </c>
      <c r="AW203" s="122" t="str">
        <f>IFERROR(INDEX(TableWRTECalcPts[PLAYER],MATCH(TableWRTERank[[#This Row],[RK]],TableWRTECalcPts[RK],0)),"")</f>
        <v>Elijah Higgins</v>
      </c>
      <c r="AX203" s="122" t="str">
        <f>IFERROR(INDEX(TableWRTECalcPts[POS RK],MATCH(TableWRTERank[[#This Row],[WR and TE COMBINED]],TableWRTECalcPts[PLAYER],0)),"")</f>
        <v>TE60</v>
      </c>
      <c r="AY203" s="122">
        <f>IFERROR(INDEX(TableWRTECalcPts[BYE],MATCH(TableWRTERank[[#This Row],[RK]],TableWRTECalcPts[RK],0)),"")</f>
        <v>11</v>
      </c>
      <c r="AZ203" s="123">
        <f>IFERROR(INDEX(TableWRTECalcPts[Custom],MATCH(TableWRTERank[[#This Row],[RK]],TableWRTECalcPts[RK],0)),"")</f>
        <v>18.331703037823868</v>
      </c>
      <c r="BA203" s="174">
        <f>IFERROR((TableWRTERank[[#This Row],[FPS]]-INDEX(TableWRTERank[FPS],MATCH(WRTEVORPCalc,TableWRTERank[RK],0)))/INDEX(TableWRTERank[FPS],MATCH(WRTEVORPCalc,TableWRTERank[RK],0)),"")</f>
        <v>-0.88318034020557046</v>
      </c>
      <c r="BC203" t="s">
        <v>10</v>
      </c>
      <c r="BD203">
        <v>2</v>
      </c>
      <c r="BE203" s="83">
        <f>RANK(TableWRTEMaster[[#This Row],[VORP]],TableWRTEMaster[VORP])+COUNTIF($BJ$2:BJ203,BJ203)-1</f>
        <v>22</v>
      </c>
      <c r="BF203" s="115" t="str">
        <f>IFERROR(INDEX(TableTEVORP[TIGHT END],MATCH(TableWRTEMaster[[#This Row],[RK]],TableTEVORP[RK],0)),"")</f>
        <v>Sam LaPorta</v>
      </c>
      <c r="BG203" s="115" t="str">
        <f>_xlfn.CONCAT(TableWRTEMaster[[#This Row],[POS]],TableWRTEMaster[[#This Row],[RK]])</f>
        <v>TE2</v>
      </c>
      <c r="BH203" s="115">
        <f>IFERROR(INDEX(TableTEVORP[BYE],MATCH(TableWRTEMaster[[#This Row],[RK]],TableTEVORP[RK],0)),"")</f>
        <v>5</v>
      </c>
      <c r="BI203" s="116">
        <f>IFERROR(INDEX(TableTEVORP[FPS],MATCH(TableWRTEMaster[[#This Row],[RK]],TableTEVORP[RK],0)),"")</f>
        <v>182.53673189245154</v>
      </c>
      <c r="BJ203" s="117">
        <f>IFERROR(INDEX(TableTEVORP[VORP],MATCH(TableWRTEMaster[[#This Row],[RK]],TableTEVORP[RK],0)),"")</f>
        <v>0.38664598980020687</v>
      </c>
    </row>
    <row r="204" spans="15:62" x14ac:dyDescent="0.2">
      <c r="O204">
        <v>203</v>
      </c>
      <c r="P204" s="112" t="str">
        <f>IFERROR(INDEX(TableWRCalcPts[PLAYER],MATCH(TableWRVORP[[#This Row],[RK]],TableWRCalcPts[RK],0)),"")</f>
        <v/>
      </c>
      <c r="Q204" s="112" t="str">
        <f>IFERROR(INDEX(TableWRCalcPts[TM],MATCH(TableWRVORP[[#This Row],[RK]],TableWRCalcPts[RK],0)),"")</f>
        <v/>
      </c>
      <c r="R204" s="112" t="str">
        <f>IFERROR(INDEX(TableWRCalcPts[BYE],MATCH(TableWRVORP[[#This Row],[RK]],TableWRCalcPts[RK],0)),"")</f>
        <v/>
      </c>
      <c r="S204" s="113" t="str">
        <f>IFERROR(INDEX(TableWRCalcPts[Custom],MATCH(TableWRVORP[[#This Row],[RK]],TableWRCalcPts[RK],0)),"")</f>
        <v/>
      </c>
      <c r="T204" s="114" t="e">
        <f>(IFERROR((TableWRVORP[[#This Row],[FPS]]-INDEX(TableWRVORP[FPS],MATCH(WRVORPCalc,TableWRVORP[RK],0)))/INDEX(TableWRVORP[FPS],MATCH(WRVORPCalc,TableWRVORP[RK],0)),""))*1.2</f>
        <v>#VALUE!</v>
      </c>
      <c r="AF204" t="s">
        <v>208</v>
      </c>
      <c r="AG204">
        <v>63</v>
      </c>
      <c r="AH204" s="83">
        <f>RANK(TableOverallMaster[[#This Row],[VORP]],TableOverallMaster[VORP])+COUNTIF($AM$2:AM204,AM204)-1</f>
        <v>152</v>
      </c>
      <c r="AI204" s="115" t="str">
        <f>IFERROR(INDEX(TableWRVORP[WIDE RECEIVER],MATCH(TableOverallMaster[[#This Row],[RK]],TableWRVORP[RK],0)),"")</f>
        <v>Demarcus Robinson</v>
      </c>
      <c r="AJ204" s="115" t="str">
        <f t="shared" si="3"/>
        <v>WR63</v>
      </c>
      <c r="AK204" s="115">
        <f>IFERROR(INDEX(TableWRVORP[BYE],MATCH(TableOverallMaster[[#This Row],[RK]],TableWRVORP[RK],0)),"")</f>
        <v>6</v>
      </c>
      <c r="AL204" s="116">
        <f>IFERROR(INDEX(TableWRVORP[FPS],MATCH(TableOverallMaster[[#This Row],[RK]],TableWRVORP[RK],0)),"")</f>
        <v>130.31560834928999</v>
      </c>
      <c r="AM204" s="117">
        <f>IFERROR(INDEX(TableWRVORP[VORP],MATCH(TableOverallMaster[[#This Row],[RK]],TableWRVORP[RK],0)),"")</f>
        <v>-0.13778241111495168</v>
      </c>
      <c r="AO204">
        <v>203</v>
      </c>
      <c r="AP204" s="118" t="str">
        <f>IFERROR(INDEX(TableOverallMaster[OVERALL PLAYER],MATCH(TableOverallRank[[#This Row],[RK]],TableOverallMaster[OVR RK],0)),"")</f>
        <v>Isaiah Davis</v>
      </c>
      <c r="AQ204" s="119" t="str">
        <f>IFERROR(INDEX(TableOverallMaster[POS RK],MATCH(TableOverallRank[[#This Row],[OVERALL PLAYER]],TableOverallMaster[OVERALL PLAYER],0)),"")</f>
        <v>RB67</v>
      </c>
      <c r="AR204" s="120">
        <f>IFERROR(INDEX(TableOverallMaster[BYE],MATCH(TableOverallRank[[#This Row],[OVERALL PLAYER]],TableOverallMaster[OVERALL PLAYER],0)),"")</f>
        <v>12</v>
      </c>
      <c r="AS204" s="119">
        <f>IFERROR(INDEX(TableOverallMaster[Custom],MATCH(TableOverallRank[[#This Row],[OVERALL PLAYER]],TableOverallMaster[OVERALL PLAYER],0)),"")</f>
        <v>62.875623136388576</v>
      </c>
      <c r="AT204" s="121">
        <f>IFERROR(INDEX(TableOverallMaster[VORP],MATCH(TableOverallRank[[#This Row],[OVERALL PLAYER]],TableOverallMaster[OVERALL PLAYER],0)),"")</f>
        <v>-0.38052462709875212</v>
      </c>
      <c r="AV204">
        <v>203</v>
      </c>
      <c r="AW204" s="122" t="str">
        <f>IFERROR(INDEX(TableWRTECalcPts[PLAYER],MATCH(TableWRTERank[[#This Row],[RK]],TableWRTECalcPts[RK],0)),"")</f>
        <v>Josh Whyle</v>
      </c>
      <c r="AX204" s="122" t="str">
        <f>IFERROR(INDEX(TableWRTECalcPts[POS RK],MATCH(TableWRTERank[[#This Row],[WR and TE COMBINED]],TableWRTECalcPts[PLAYER],0)),"")</f>
        <v>TE61</v>
      </c>
      <c r="AY204" s="122">
        <f>IFERROR(INDEX(TableWRTECalcPts[BYE],MATCH(TableWRTERank[[#This Row],[RK]],TableWRTECalcPts[RK],0)),"")</f>
        <v>5</v>
      </c>
      <c r="AZ204" s="123">
        <f>IFERROR(INDEX(TableWRTECalcPts[Custom],MATCH(TableWRTERank[[#This Row],[RK]],TableWRTECalcPts[RK],0)),"")</f>
        <v>18.05009058043116</v>
      </c>
      <c r="BA204" s="174">
        <f>IFERROR((TableWRTERank[[#This Row],[FPS]]-INDEX(TableWRTERank[FPS],MATCH(WRTEVORPCalc,TableWRTERank[RK],0)))/INDEX(TableWRTERank[FPS],MATCH(WRTEVORPCalc,TableWRTERank[RK],0)),"")</f>
        <v>-0.88497492914248543</v>
      </c>
      <c r="BC204" t="s">
        <v>10</v>
      </c>
      <c r="BD204">
        <v>3</v>
      </c>
      <c r="BE204" s="83">
        <f>RANK(TableWRTEMaster[[#This Row],[VORP]],TableWRTEMaster[VORP])+COUNTIF($BJ$2:BJ204,BJ204)-1</f>
        <v>23</v>
      </c>
      <c r="BF204" s="115" t="str">
        <f>IFERROR(INDEX(TableTEVORP[TIGHT END],MATCH(TableWRTEMaster[[#This Row],[RK]],TableTEVORP[RK],0)),"")</f>
        <v>Mark Andrews</v>
      </c>
      <c r="BG204" s="115" t="str">
        <f>_xlfn.CONCAT(TableWRTEMaster[[#This Row],[POS]],TableWRTEMaster[[#This Row],[RK]])</f>
        <v>TE3</v>
      </c>
      <c r="BH204" s="115">
        <f>IFERROR(INDEX(TableTEVORP[BYE],MATCH(TableWRTEMaster[[#This Row],[RK]],TableTEVORP[RK],0)),"")</f>
        <v>14</v>
      </c>
      <c r="BI204" s="116">
        <f>IFERROR(INDEX(TableTEVORP[FPS],MATCH(TableWRTEMaster[[#This Row],[RK]],TableTEVORP[RK],0)),"")</f>
        <v>182.29298496535898</v>
      </c>
      <c r="BJ204" s="117">
        <f>IFERROR(INDEX(TableTEVORP[VORP],MATCH(TableWRTEMaster[[#This Row],[RK]],TableTEVORP[RK],0)),"")</f>
        <v>0.38479435864917827</v>
      </c>
    </row>
    <row r="205" spans="15:62" x14ac:dyDescent="0.2">
      <c r="O205">
        <v>204</v>
      </c>
      <c r="P205" s="112" t="str">
        <f>IFERROR(INDEX(TableWRCalcPts[PLAYER],MATCH(TableWRVORP[[#This Row],[RK]],TableWRCalcPts[RK],0)),"")</f>
        <v/>
      </c>
      <c r="Q205" s="112" t="str">
        <f>IFERROR(INDEX(TableWRCalcPts[TM],MATCH(TableWRVORP[[#This Row],[RK]],TableWRCalcPts[RK],0)),"")</f>
        <v/>
      </c>
      <c r="R205" s="112" t="str">
        <f>IFERROR(INDEX(TableWRCalcPts[BYE],MATCH(TableWRVORP[[#This Row],[RK]],TableWRCalcPts[RK],0)),"")</f>
        <v/>
      </c>
      <c r="S205" s="113" t="str">
        <f>IFERROR(INDEX(TableWRCalcPts[Custom],MATCH(TableWRVORP[[#This Row],[RK]],TableWRCalcPts[RK],0)),"")</f>
        <v/>
      </c>
      <c r="T205" s="114" t="e">
        <f>(IFERROR((TableWRVORP[[#This Row],[FPS]]-INDEX(TableWRVORP[FPS],MATCH(WRVORPCalc,TableWRVORP[RK],0)))/INDEX(TableWRVORP[FPS],MATCH(WRVORPCalc,TableWRVORP[RK],0)),""))*1.2</f>
        <v>#VALUE!</v>
      </c>
      <c r="AF205" t="s">
        <v>208</v>
      </c>
      <c r="AG205">
        <v>64</v>
      </c>
      <c r="AH205" s="83">
        <f>RANK(TableOverallMaster[[#This Row],[VORP]],TableOverallMaster[VORP])+COUNTIF($AM$2:AM205,AM205)-1</f>
        <v>157</v>
      </c>
      <c r="AI205" s="115" t="str">
        <f>IFERROR(INDEX(TableWRVORP[WIDE RECEIVER],MATCH(TableOverallMaster[[#This Row],[RK]],TableWRVORP[RK],0)),"")</f>
        <v>Demario Douglas</v>
      </c>
      <c r="AJ205" s="115" t="str">
        <f t="shared" si="3"/>
        <v>WR64</v>
      </c>
      <c r="AK205" s="115">
        <f>IFERROR(INDEX(TableWRVORP[BYE],MATCH(TableOverallMaster[[#This Row],[RK]],TableWRVORP[RK],0)),"")</f>
        <v>14</v>
      </c>
      <c r="AL205" s="116">
        <f>IFERROR(INDEX(TableWRVORP[FPS],MATCH(TableOverallMaster[[#This Row],[RK]],TableWRVORP[RK],0)),"")</f>
        <v>127.43642317391996</v>
      </c>
      <c r="AM205" s="117">
        <f>IFERROR(INDEX(TableWRVORP[VORP],MATCH(TableOverallMaster[[#This Row],[RK]],TableWRVORP[RK],0)),"")</f>
        <v>-0.16125098232967358</v>
      </c>
      <c r="AO205">
        <v>204</v>
      </c>
      <c r="AP205" s="118" t="str">
        <f>IFERROR(INDEX(TableOverallMaster[OVERALL PLAYER],MATCH(TableOverallRank[[#This Row],[RK]],TableOverallMaster[OVR RK],0)),"")</f>
        <v>Jermaine Burton</v>
      </c>
      <c r="AQ205" s="119" t="str">
        <f>IFERROR(INDEX(TableOverallMaster[POS RK],MATCH(TableOverallRank[[#This Row],[OVERALL PLAYER]],TableOverallMaster[OVERALL PLAYER],0)),"")</f>
        <v>WR82</v>
      </c>
      <c r="AR205" s="120">
        <f>IFERROR(INDEX(TableOverallMaster[BYE],MATCH(TableOverallRank[[#This Row],[OVERALL PLAYER]],TableOverallMaster[OVERALL PLAYER],0)),"")</f>
        <v>12</v>
      </c>
      <c r="AS205" s="119">
        <f>IFERROR(INDEX(TableOverallMaster[Custom],MATCH(TableOverallRank[[#This Row],[OVERALL PLAYER]],TableOverallMaster[OVERALL PLAYER],0)),"")</f>
        <v>100.29711087656065</v>
      </c>
      <c r="AT205" s="121">
        <f>IFERROR(INDEX(TableOverallMaster[VORP],MATCH(TableOverallRank[[#This Row],[OVERALL PLAYER]],TableOverallMaster[OVERALL PLAYER],0)),"")</f>
        <v>-0.38246665432524091</v>
      </c>
      <c r="AV205">
        <v>204</v>
      </c>
      <c r="AW205" s="122" t="str">
        <f>IFERROR(INDEX(TableWRTECalcPts[PLAYER],MATCH(TableWRTERank[[#This Row],[RK]],TableWRTECalcPts[RK],0)),"")</f>
        <v>Robert Tonyan</v>
      </c>
      <c r="AX205" s="122" t="str">
        <f>IFERROR(INDEX(TableWRTECalcPts[POS RK],MATCH(TableWRTERank[[#This Row],[WR and TE COMBINED]],TableWRTECalcPts[PLAYER],0)),"")</f>
        <v>TE62</v>
      </c>
      <c r="AY205" s="122">
        <f>IFERROR(INDEX(TableWRTECalcPts[BYE],MATCH(TableWRTERank[[#This Row],[RK]],TableWRTECalcPts[RK],0)),"")</f>
        <v>6</v>
      </c>
      <c r="AZ205" s="123">
        <f>IFERROR(INDEX(TableWRTECalcPts[Custom],MATCH(TableWRTERank[[#This Row],[RK]],TableWRTECalcPts[RK],0)),"")</f>
        <v>17.787149326799572</v>
      </c>
      <c r="BA205" s="174">
        <f>IFERROR((TableWRTERank[[#This Row],[FPS]]-INDEX(TableWRTERank[FPS],MATCH(WRTEVORPCalc,TableWRTERank[RK],0)))/INDEX(TableWRTERank[FPS],MATCH(WRTEVORPCalc,TableWRTERank[RK],0)),"")</f>
        <v>-0.88665053493490886</v>
      </c>
      <c r="BC205" t="s">
        <v>10</v>
      </c>
      <c r="BD205">
        <v>4</v>
      </c>
      <c r="BE205" s="83">
        <f>RANK(TableWRTEMaster[[#This Row],[VORP]],TableWRTEMaster[VORP])+COUNTIF($BJ$2:BJ205,BJ205)-1</f>
        <v>28</v>
      </c>
      <c r="BF205" s="115" t="str">
        <f>IFERROR(INDEX(TableTEVORP[TIGHT END],MATCH(TableWRTEMaster[[#This Row],[RK]],TableTEVORP[RK],0)),"")</f>
        <v>Kyle Pitts</v>
      </c>
      <c r="BG205" s="115" t="str">
        <f>_xlfn.CONCAT(TableWRTEMaster[[#This Row],[POS]],TableWRTEMaster[[#This Row],[RK]])</f>
        <v>TE4</v>
      </c>
      <c r="BH205" s="115">
        <f>IFERROR(INDEX(TableTEVORP[BYE],MATCH(TableWRTEMaster[[#This Row],[RK]],TableTEVORP[RK],0)),"")</f>
        <v>12</v>
      </c>
      <c r="BI205" s="116">
        <f>IFERROR(INDEX(TableTEVORP[FPS],MATCH(TableWRTEMaster[[#This Row],[RK]],TableTEVORP[RK],0)),"")</f>
        <v>177.62908957073282</v>
      </c>
      <c r="BJ205" s="117">
        <f>IFERROR(INDEX(TableTEVORP[VORP],MATCH(TableWRTEMaster[[#This Row],[RK]],TableTEVORP[RK],0)),"")</f>
        <v>0.34936493149357206</v>
      </c>
    </row>
    <row r="206" spans="15:62" x14ac:dyDescent="0.2">
      <c r="O206">
        <v>205</v>
      </c>
      <c r="P206" s="112" t="str">
        <f>IFERROR(INDEX(TableWRCalcPts[PLAYER],MATCH(TableWRVORP[[#This Row],[RK]],TableWRCalcPts[RK],0)),"")</f>
        <v/>
      </c>
      <c r="Q206" s="112" t="str">
        <f>IFERROR(INDEX(TableWRCalcPts[TM],MATCH(TableWRVORP[[#This Row],[RK]],TableWRCalcPts[RK],0)),"")</f>
        <v/>
      </c>
      <c r="R206" s="112" t="str">
        <f>IFERROR(INDEX(TableWRCalcPts[BYE],MATCH(TableWRVORP[[#This Row],[RK]],TableWRCalcPts[RK],0)),"")</f>
        <v/>
      </c>
      <c r="S206" s="113" t="str">
        <f>IFERROR(INDEX(TableWRCalcPts[Custom],MATCH(TableWRVORP[[#This Row],[RK]],TableWRCalcPts[RK],0)),"")</f>
        <v/>
      </c>
      <c r="T206" s="114" t="e">
        <f>(IFERROR((TableWRVORP[[#This Row],[FPS]]-INDEX(TableWRVORP[FPS],MATCH(WRVORPCalc,TableWRVORP[RK],0)))/INDEX(TableWRVORP[FPS],MATCH(WRVORPCalc,TableWRVORP[RK],0)),""))*1.2</f>
        <v>#VALUE!</v>
      </c>
      <c r="AF206" t="s">
        <v>208</v>
      </c>
      <c r="AG206">
        <v>65</v>
      </c>
      <c r="AH206" s="83">
        <f>RANK(TableOverallMaster[[#This Row],[VORP]],TableOverallMaster[VORP])+COUNTIF($AM$2:AM206,AM206)-1</f>
        <v>159</v>
      </c>
      <c r="AI206" s="115" t="str">
        <f>IFERROR(INDEX(TableWRVORP[WIDE RECEIVER],MATCH(TableOverallMaster[[#This Row],[RK]],TableWRVORP[RK],0)),"")</f>
        <v>Xavier Legette</v>
      </c>
      <c r="AJ206" s="115" t="str">
        <f t="shared" si="3"/>
        <v>WR65</v>
      </c>
      <c r="AK206" s="115">
        <f>IFERROR(INDEX(TableWRVORP[BYE],MATCH(TableOverallMaster[[#This Row],[RK]],TableWRVORP[RK],0)),"")</f>
        <v>11</v>
      </c>
      <c r="AL206" s="116">
        <f>IFERROR(INDEX(TableWRVORP[FPS],MATCH(TableOverallMaster[[#This Row],[RK]],TableWRVORP[RK],0)),"")</f>
        <v>126.21441605736145</v>
      </c>
      <c r="AM206" s="117">
        <f>IFERROR(INDEX(TableWRVORP[VORP],MATCH(TableOverallMaster[[#This Row],[RK]],TableWRVORP[RK],0)),"")</f>
        <v>-0.17121170360775703</v>
      </c>
      <c r="AO206">
        <v>205</v>
      </c>
      <c r="AP206" s="118" t="str">
        <f>IFERROR(INDEX(TableOverallMaster[OVERALL PLAYER],MATCH(TableOverallRank[[#This Row],[RK]],TableOverallMaster[OVR RK],0)),"")</f>
        <v>Colby Parkinson</v>
      </c>
      <c r="AQ206" s="119" t="str">
        <f>IFERROR(INDEX(TableOverallMaster[POS RK],MATCH(TableOverallRank[[#This Row],[OVERALL PLAYER]],TableOverallMaster[OVERALL PLAYER],0)),"")</f>
        <v>TE25</v>
      </c>
      <c r="AR206" s="120">
        <f>IFERROR(INDEX(TableOverallMaster[BYE],MATCH(TableOverallRank[[#This Row],[OVERALL PLAYER]],TableOverallMaster[OVERALL PLAYER],0)),"")</f>
        <v>6</v>
      </c>
      <c r="AS206" s="119">
        <f>IFERROR(INDEX(TableOverallMaster[Custom],MATCH(TableOverallRank[[#This Row],[OVERALL PLAYER]],TableOverallMaster[OVERALL PLAYER],0)),"")</f>
        <v>81.17558367219813</v>
      </c>
      <c r="AT206" s="121">
        <f>IFERROR(INDEX(TableOverallMaster[VORP],MATCH(TableOverallRank[[#This Row],[OVERALL PLAYER]],TableOverallMaster[OVERALL PLAYER],0)),"")</f>
        <v>-0.38334714113833951</v>
      </c>
      <c r="AV206">
        <v>205</v>
      </c>
      <c r="AW206" s="122" t="str">
        <f>IFERROR(INDEX(TableWRTECalcPts[PLAYER],MATCH(TableWRTERank[[#This Row],[RK]],TableWRTECalcPts[RK],0)),"")</f>
        <v>Erick All</v>
      </c>
      <c r="AX206" s="122" t="str">
        <f>IFERROR(INDEX(TableWRTECalcPts[POS RK],MATCH(TableWRTERank[[#This Row],[WR and TE COMBINED]],TableWRTECalcPts[PLAYER],0)),"")</f>
        <v>TE63</v>
      </c>
      <c r="AY206" s="122">
        <f>IFERROR(INDEX(TableWRTECalcPts[BYE],MATCH(TableWRTERank[[#This Row],[RK]],TableWRTECalcPts[RK],0)),"")</f>
        <v>12</v>
      </c>
      <c r="AZ206" s="123">
        <f>IFERROR(INDEX(TableWRTECalcPts[Custom],MATCH(TableWRTERank[[#This Row],[RK]],TableWRTECalcPts[RK],0)),"")</f>
        <v>17.628349629906413</v>
      </c>
      <c r="BA206" s="174">
        <f>IFERROR((TableWRTERank[[#This Row],[FPS]]-INDEX(TableWRTERank[FPS],MATCH(WRTEVORPCalc,TableWRTERank[RK],0)))/INDEX(TableWRTERank[FPS],MATCH(WRTEVORPCalc,TableWRTERank[RK],0)),"")</f>
        <v>-0.88766249364535943</v>
      </c>
      <c r="BC206" t="s">
        <v>10</v>
      </c>
      <c r="BD206">
        <v>5</v>
      </c>
      <c r="BE206" s="83">
        <f>RANK(TableWRTEMaster[[#This Row],[VORP]],TableWRTEMaster[VORP])+COUNTIF($BJ$2:BJ206,BJ206)-1</f>
        <v>34</v>
      </c>
      <c r="BF206" s="115" t="str">
        <f>IFERROR(INDEX(TableTEVORP[TIGHT END],MATCH(TableWRTEMaster[[#This Row],[RK]],TableTEVORP[RK],0)),"")</f>
        <v>Trey McBride</v>
      </c>
      <c r="BG206" s="115" t="str">
        <f>_xlfn.CONCAT(TableWRTEMaster[[#This Row],[POS]],TableWRTEMaster[[#This Row],[RK]])</f>
        <v>TE5</v>
      </c>
      <c r="BH206" s="115">
        <f>IFERROR(INDEX(TableTEVORP[BYE],MATCH(TableWRTEMaster[[#This Row],[RK]],TableTEVORP[RK],0)),"")</f>
        <v>11</v>
      </c>
      <c r="BI206" s="116">
        <f>IFERROR(INDEX(TableTEVORP[FPS],MATCH(TableWRTEMaster[[#This Row],[RK]],TableTEVORP[RK],0)),"")</f>
        <v>170.05237121158649</v>
      </c>
      <c r="BJ206" s="117">
        <f>IFERROR(INDEX(TableTEVORP[VORP],MATCH(TableWRTEMaster[[#This Row],[RK]],TableTEVORP[RK],0)),"")</f>
        <v>0.2918081536350422</v>
      </c>
    </row>
    <row r="207" spans="15:62" x14ac:dyDescent="0.2">
      <c r="O207">
        <v>206</v>
      </c>
      <c r="P207" s="112" t="str">
        <f>IFERROR(INDEX(TableWRCalcPts[PLAYER],MATCH(TableWRVORP[[#This Row],[RK]],TableWRCalcPts[RK],0)),"")</f>
        <v/>
      </c>
      <c r="Q207" s="112" t="str">
        <f>IFERROR(INDEX(TableWRCalcPts[TM],MATCH(TableWRVORP[[#This Row],[RK]],TableWRCalcPts[RK],0)),"")</f>
        <v/>
      </c>
      <c r="R207" s="112" t="str">
        <f>IFERROR(INDEX(TableWRCalcPts[BYE],MATCH(TableWRVORP[[#This Row],[RK]],TableWRCalcPts[RK],0)),"")</f>
        <v/>
      </c>
      <c r="S207" s="113" t="str">
        <f>IFERROR(INDEX(TableWRCalcPts[Custom],MATCH(TableWRVORP[[#This Row],[RK]],TableWRCalcPts[RK],0)),"")</f>
        <v/>
      </c>
      <c r="T207" s="114" t="e">
        <f>(IFERROR((TableWRVORP[[#This Row],[FPS]]-INDEX(TableWRVORP[FPS],MATCH(WRVORPCalc,TableWRVORP[RK],0)))/INDEX(TableWRVORP[FPS],MATCH(WRVORPCalc,TableWRVORP[RK],0)),""))*1.2</f>
        <v>#VALUE!</v>
      </c>
      <c r="AF207" t="s">
        <v>208</v>
      </c>
      <c r="AG207">
        <v>66</v>
      </c>
      <c r="AH207" s="83">
        <f>RANK(TableOverallMaster[[#This Row],[VORP]],TableOverallMaster[VORP])+COUNTIF($AM$2:AM207,AM207)-1</f>
        <v>160</v>
      </c>
      <c r="AI207" s="115" t="str">
        <f>IFERROR(INDEX(TableWRVORP[WIDE RECEIVER],MATCH(TableOverallMaster[[#This Row],[RK]],TableWRVORP[RK],0)),"")</f>
        <v>Wan'Dale Robinson</v>
      </c>
      <c r="AJ207" s="115" t="str">
        <f t="shared" si="3"/>
        <v>WR66</v>
      </c>
      <c r="AK207" s="115">
        <f>IFERROR(INDEX(TableWRVORP[BYE],MATCH(TableOverallMaster[[#This Row],[RK]],TableWRVORP[RK],0)),"")</f>
        <v>11</v>
      </c>
      <c r="AL207" s="116">
        <f>IFERROR(INDEX(TableWRVORP[FPS],MATCH(TableOverallMaster[[#This Row],[RK]],TableWRVORP[RK],0)),"")</f>
        <v>125.38100715896201</v>
      </c>
      <c r="AM207" s="117">
        <f>IFERROR(INDEX(TableWRVORP[VORP],MATCH(TableOverallMaster[[#This Row],[RK]],TableWRVORP[RK],0)),"")</f>
        <v>-0.17800491588544826</v>
      </c>
      <c r="AO207">
        <v>206</v>
      </c>
      <c r="AP207" s="118" t="str">
        <f>IFERROR(INDEX(TableOverallMaster[OVERALL PLAYER],MATCH(TableOverallRank[[#This Row],[RK]],TableOverallMaster[OVR RK],0)),"")</f>
        <v>Darius Slayton</v>
      </c>
      <c r="AQ207" s="119" t="str">
        <f>IFERROR(INDEX(TableOverallMaster[POS RK],MATCH(TableOverallRank[[#This Row],[OVERALL PLAYER]],TableOverallMaster[OVERALL PLAYER],0)),"")</f>
        <v>WR83</v>
      </c>
      <c r="AR207" s="120">
        <f>IFERROR(INDEX(TableOverallMaster[BYE],MATCH(TableOverallRank[[#This Row],[OVERALL PLAYER]],TableOverallMaster[OVERALL PLAYER],0)),"")</f>
        <v>11</v>
      </c>
      <c r="AS207" s="119">
        <f>IFERROR(INDEX(TableOverallMaster[Custom],MATCH(TableOverallRank[[#This Row],[OVERALL PLAYER]],TableOverallMaster[OVERALL PLAYER],0)),"")</f>
        <v>99.733947802944002</v>
      </c>
      <c r="AT207" s="121">
        <f>IFERROR(INDEX(TableOverallMaster[VORP],MATCH(TableOverallRank[[#This Row],[OVERALL PLAYER]],TableOverallMaster[OVERALL PLAYER],0)),"")</f>
        <v>-0.38705706164316395</v>
      </c>
      <c r="AV207">
        <v>206</v>
      </c>
      <c r="AW207" s="122" t="str">
        <f>IFERROR(INDEX(TableWRTECalcPts[PLAYER],MATCH(TableWRTERank[[#This Row],[RK]],TableWRTECalcPts[RK],0)),"")</f>
        <v>Jason Brownlee</v>
      </c>
      <c r="AX207" s="122" t="str">
        <f>IFERROR(INDEX(TableWRTECalcPts[POS RK],MATCH(TableWRTERank[[#This Row],[WR and TE COMBINED]],TableWRTECalcPts[PLAYER],0)),"")</f>
        <v>WR143</v>
      </c>
      <c r="AY207" s="122">
        <f>IFERROR(INDEX(TableWRTECalcPts[BYE],MATCH(TableWRTERank[[#This Row],[RK]],TableWRTECalcPts[RK],0)),"")</f>
        <v>12</v>
      </c>
      <c r="AZ207" s="123">
        <f>IFERROR(INDEX(TableWRTECalcPts[Custom],MATCH(TableWRTERank[[#This Row],[RK]],TableWRTECalcPts[RK],0)),"")</f>
        <v>17.408112710446087</v>
      </c>
      <c r="BA207" s="174">
        <f>IFERROR((TableWRTERank[[#This Row],[FPS]]-INDEX(TableWRTERank[FPS],MATCH(WRTEVORPCalc,TableWRTERank[RK],0)))/INDEX(TableWRTERank[FPS],MATCH(WRTEVORPCalc,TableWRTERank[RK],0)),"")</f>
        <v>-0.88906596401319393</v>
      </c>
      <c r="BC207" t="s">
        <v>10</v>
      </c>
      <c r="BD207">
        <v>6</v>
      </c>
      <c r="BE207" s="83">
        <f>RANK(TableWRTEMaster[[#This Row],[VORP]],TableWRTEMaster[VORP])+COUNTIF($BJ$2:BJ207,BJ207)-1</f>
        <v>39</v>
      </c>
      <c r="BF207" s="115" t="str">
        <f>IFERROR(INDEX(TableTEVORP[TIGHT END],MATCH(TableWRTEMaster[[#This Row],[RK]],TableTEVORP[RK],0)),"")</f>
        <v>Jake Ferguson</v>
      </c>
      <c r="BG207" s="115" t="str">
        <f>_xlfn.CONCAT(TableWRTEMaster[[#This Row],[POS]],TableWRTEMaster[[#This Row],[RK]])</f>
        <v>TE6</v>
      </c>
      <c r="BH207" s="115">
        <f>IFERROR(INDEX(TableTEVORP[BYE],MATCH(TableWRTEMaster[[#This Row],[RK]],TableTEVORP[RK],0)),"")</f>
        <v>7</v>
      </c>
      <c r="BI207" s="116">
        <f>IFERROR(INDEX(TableTEVORP[FPS],MATCH(TableWRTEMaster[[#This Row],[RK]],TableTEVORP[RK],0)),"")</f>
        <v>163.6950494543639</v>
      </c>
      <c r="BJ207" s="117">
        <f>IFERROR(INDEX(TableTEVORP[VORP],MATCH(TableWRTEMaster[[#This Row],[RK]],TableTEVORP[RK],0)),"")</f>
        <v>0.24351456018056855</v>
      </c>
    </row>
    <row r="208" spans="15:62" x14ac:dyDescent="0.2">
      <c r="O208">
        <v>207</v>
      </c>
      <c r="P208" s="112" t="str">
        <f>IFERROR(INDEX(TableWRCalcPts[PLAYER],MATCH(TableWRVORP[[#This Row],[RK]],TableWRCalcPts[RK],0)),"")</f>
        <v/>
      </c>
      <c r="Q208" s="112" t="str">
        <f>IFERROR(INDEX(TableWRCalcPts[TM],MATCH(TableWRVORP[[#This Row],[RK]],TableWRCalcPts[RK],0)),"")</f>
        <v/>
      </c>
      <c r="R208" s="112" t="str">
        <f>IFERROR(INDEX(TableWRCalcPts[BYE],MATCH(TableWRVORP[[#This Row],[RK]],TableWRCalcPts[RK],0)),"")</f>
        <v/>
      </c>
      <c r="S208" s="113" t="str">
        <f>IFERROR(INDEX(TableWRCalcPts[Custom],MATCH(TableWRVORP[[#This Row],[RK]],TableWRCalcPts[RK],0)),"")</f>
        <v/>
      </c>
      <c r="T208" s="114" t="e">
        <f>(IFERROR((TableWRVORP[[#This Row],[FPS]]-INDEX(TableWRVORP[FPS],MATCH(WRVORPCalc,TableWRVORP[RK],0)))/INDEX(TableWRVORP[FPS],MATCH(WRVORPCalc,TableWRVORP[RK],0)),""))*1.2</f>
        <v>#VALUE!</v>
      </c>
      <c r="AF208" t="s">
        <v>208</v>
      </c>
      <c r="AG208">
        <v>67</v>
      </c>
      <c r="AH208" s="83">
        <f>RANK(TableOverallMaster[[#This Row],[VORP]],TableOverallMaster[VORP])+COUNTIF($AM$2:AM208,AM208)-1</f>
        <v>161</v>
      </c>
      <c r="AI208" s="115" t="str">
        <f>IFERROR(INDEX(TableWRVORP[WIDE RECEIVER],MATCH(TableOverallMaster[[#This Row],[RK]],TableWRVORP[RK],0)),"")</f>
        <v>Jalen Tolbert</v>
      </c>
      <c r="AJ208" s="115" t="str">
        <f t="shared" si="3"/>
        <v>WR67</v>
      </c>
      <c r="AK208" s="115">
        <f>IFERROR(INDEX(TableWRVORP[BYE],MATCH(TableOverallMaster[[#This Row],[RK]],TableWRVORP[RK],0)),"")</f>
        <v>7</v>
      </c>
      <c r="AL208" s="116">
        <f>IFERROR(INDEX(TableWRVORP[FPS],MATCH(TableOverallMaster[[#This Row],[RK]],TableWRVORP[RK],0)),"")</f>
        <v>123.19600289357085</v>
      </c>
      <c r="AM208" s="117">
        <f>IFERROR(INDEX(TableWRVORP[VORP],MATCH(TableOverallMaster[[#This Row],[RK]],TableWRVORP[RK],0)),"")</f>
        <v>-0.19581513825164715</v>
      </c>
      <c r="AO208">
        <v>207</v>
      </c>
      <c r="AP208" s="118" t="str">
        <f>IFERROR(INDEX(TableOverallMaster[OVERALL PLAYER],MATCH(TableOverallRank[[#This Row],[RK]],TableOverallMaster[OVR RK],0)),"")</f>
        <v>Isaiah Likely</v>
      </c>
      <c r="AQ208" s="119" t="str">
        <f>IFERROR(INDEX(TableOverallMaster[POS RK],MATCH(TableOverallRank[[#This Row],[OVERALL PLAYER]],TableOverallMaster[OVERALL PLAYER],0)),"")</f>
        <v>TE26</v>
      </c>
      <c r="AR208" s="120">
        <f>IFERROR(INDEX(TableOverallMaster[BYE],MATCH(TableOverallRank[[#This Row],[OVERALL PLAYER]],TableOverallMaster[OVERALL PLAYER],0)),"")</f>
        <v>14</v>
      </c>
      <c r="AS208" s="119">
        <f>IFERROR(INDEX(TableOverallMaster[Custom],MATCH(TableOverallRank[[#This Row],[OVERALL PLAYER]],TableOverallMaster[OVERALL PLAYER],0)),"")</f>
        <v>80.196752536282389</v>
      </c>
      <c r="AT208" s="121">
        <f>IFERROR(INDEX(TableOverallMaster[VORP],MATCH(TableOverallRank[[#This Row],[OVERALL PLAYER]],TableOverallMaster[OVERALL PLAYER],0)),"")</f>
        <v>-0.39078286245994637</v>
      </c>
      <c r="AV208">
        <v>207</v>
      </c>
      <c r="AW208" s="122" t="str">
        <f>IFERROR(INDEX(TableWRTECalcPts[PLAYER],MATCH(TableWRTERank[[#This Row],[RK]],TableWRTECalcPts[RK],0)),"")</f>
        <v>Devontez Walker</v>
      </c>
      <c r="AX208" s="122" t="str">
        <f>IFERROR(INDEX(TableWRTECalcPts[POS RK],MATCH(TableWRTERank[[#This Row],[WR and TE COMBINED]],TableWRTECalcPts[PLAYER],0)),"")</f>
        <v>WR144</v>
      </c>
      <c r="AY208" s="122">
        <f>IFERROR(INDEX(TableWRTECalcPts[BYE],MATCH(TableWRTERank[[#This Row],[RK]],TableWRTECalcPts[RK],0)),"")</f>
        <v>14</v>
      </c>
      <c r="AZ208" s="123">
        <f>IFERROR(INDEX(TableWRTECalcPts[Custom],MATCH(TableWRTERank[[#This Row],[RK]],TableWRTECalcPts[RK],0)),"")</f>
        <v>16.825698512797491</v>
      </c>
      <c r="BA208" s="174">
        <f>IFERROR((TableWRTERank[[#This Row],[FPS]]-INDEX(TableWRTERank[FPS],MATCH(WRTEVORPCalc,TableWRTERank[RK],0)))/INDEX(TableWRTERank[FPS],MATCH(WRTEVORPCalc,TableWRTERank[RK],0)),"")</f>
        <v>-0.89277742651552516</v>
      </c>
      <c r="BC208" t="s">
        <v>10</v>
      </c>
      <c r="BD208">
        <v>7</v>
      </c>
      <c r="BE208" s="83">
        <f>RANK(TableWRTEMaster[[#This Row],[VORP]],TableWRTEMaster[VORP])+COUNTIF($BJ$2:BJ208,BJ208)-1</f>
        <v>41</v>
      </c>
      <c r="BF208" s="115" t="str">
        <f>IFERROR(INDEX(TableTEVORP[TIGHT END],MATCH(TableWRTEMaster[[#This Row],[RK]],TableTEVORP[RK],0)),"")</f>
        <v>Evan Engram</v>
      </c>
      <c r="BG208" s="115" t="str">
        <f>_xlfn.CONCAT(TableWRTEMaster[[#This Row],[POS]],TableWRTEMaster[[#This Row],[RK]])</f>
        <v>TE7</v>
      </c>
      <c r="BH208" s="115">
        <f>IFERROR(INDEX(TableTEVORP[BYE],MATCH(TableWRTEMaster[[#This Row],[RK]],TableTEVORP[RK],0)),"")</f>
        <v>12</v>
      </c>
      <c r="BI208" s="116">
        <f>IFERROR(INDEX(TableTEVORP[FPS],MATCH(TableWRTEMaster[[#This Row],[RK]],TableTEVORP[RK],0)),"")</f>
        <v>162.13728753207036</v>
      </c>
      <c r="BJ208" s="117">
        <f>IFERROR(INDEX(TableTEVORP[VORP],MATCH(TableWRTEMaster[[#This Row],[RK]],TableTEVORP[RK],0)),"")</f>
        <v>0.23168097304324389</v>
      </c>
    </row>
    <row r="209" spans="15:62" x14ac:dyDescent="0.2">
      <c r="O209">
        <v>208</v>
      </c>
      <c r="P209" s="112" t="str">
        <f>IFERROR(INDEX(TableWRCalcPts[PLAYER],MATCH(TableWRVORP[[#This Row],[RK]],TableWRCalcPts[RK],0)),"")</f>
        <v/>
      </c>
      <c r="Q209" s="112" t="str">
        <f>IFERROR(INDEX(TableWRCalcPts[TM],MATCH(TableWRVORP[[#This Row],[RK]],TableWRCalcPts[RK],0)),"")</f>
        <v/>
      </c>
      <c r="R209" s="112" t="str">
        <f>IFERROR(INDEX(TableWRCalcPts[BYE],MATCH(TableWRVORP[[#This Row],[RK]],TableWRCalcPts[RK],0)),"")</f>
        <v/>
      </c>
      <c r="S209" s="113" t="str">
        <f>IFERROR(INDEX(TableWRCalcPts[Custom],MATCH(TableWRVORP[[#This Row],[RK]],TableWRCalcPts[RK],0)),"")</f>
        <v/>
      </c>
      <c r="T209" s="114" t="e">
        <f>(IFERROR((TableWRVORP[[#This Row],[FPS]]-INDEX(TableWRVORP[FPS],MATCH(WRVORPCalc,TableWRVORP[RK],0)))/INDEX(TableWRVORP[FPS],MATCH(WRVORPCalc,TableWRVORP[RK],0)),""))*1.2</f>
        <v>#VALUE!</v>
      </c>
      <c r="AF209" t="s">
        <v>208</v>
      </c>
      <c r="AG209">
        <v>68</v>
      </c>
      <c r="AH209" s="83">
        <f>RANK(TableOverallMaster[[#This Row],[VORP]],TableOverallMaster[VORP])+COUNTIF($AM$2:AM209,AM209)-1</f>
        <v>162</v>
      </c>
      <c r="AI209" s="115" t="str">
        <f>IFERROR(INDEX(TableWRVORP[WIDE RECEIVER],MATCH(TableOverallMaster[[#This Row],[RK]],TableWRVORP[RK],0)),"")</f>
        <v>Jerry Jeudy</v>
      </c>
      <c r="AJ209" s="115" t="str">
        <f t="shared" si="3"/>
        <v>WR68</v>
      </c>
      <c r="AK209" s="115">
        <f>IFERROR(INDEX(TableWRVORP[BYE],MATCH(TableOverallMaster[[#This Row],[RK]],TableWRVORP[RK],0)),"")</f>
        <v>10</v>
      </c>
      <c r="AL209" s="116">
        <f>IFERROR(INDEX(TableWRVORP[FPS],MATCH(TableOverallMaster[[#This Row],[RK]],TableWRVORP[RK],0)),"")</f>
        <v>119.45643086477995</v>
      </c>
      <c r="AM209" s="117">
        <f>IFERROR(INDEX(TableWRVORP[VORP],MATCH(TableOverallMaster[[#This Row],[RK]],TableWRVORP[RK],0)),"")</f>
        <v>-0.22629682217424602</v>
      </c>
      <c r="AO209">
        <v>208</v>
      </c>
      <c r="AP209" s="118" t="str">
        <f>IFERROR(INDEX(TableOverallMaster[OVERALL PLAYER],MATCH(TableOverallRank[[#This Row],[RK]],TableOverallMaster[OVR RK],0)),"")</f>
        <v>Dyami Brown</v>
      </c>
      <c r="AQ209" s="119" t="str">
        <f>IFERROR(INDEX(TableOverallMaster[POS RK],MATCH(TableOverallRank[[#This Row],[OVERALL PLAYER]],TableOverallMaster[OVERALL PLAYER],0)),"")</f>
        <v>WR84</v>
      </c>
      <c r="AR209" s="120">
        <f>IFERROR(INDEX(TableOverallMaster[BYE],MATCH(TableOverallRank[[#This Row],[OVERALL PLAYER]],TableOverallMaster[OVERALL PLAYER],0)),"")</f>
        <v>14</v>
      </c>
      <c r="AS209" s="119">
        <f>IFERROR(INDEX(TableOverallMaster[Custom],MATCH(TableOverallRank[[#This Row],[OVERALL PLAYER]],TableOverallMaster[OVERALL PLAYER],0)),"")</f>
        <v>99.25364432662559</v>
      </c>
      <c r="AT209" s="121">
        <f>IFERROR(INDEX(TableOverallMaster[VORP],MATCH(TableOverallRank[[#This Row],[OVERALL PLAYER]],TableOverallMaster[OVERALL PLAYER],0)),"")</f>
        <v>-0.39097207080446544</v>
      </c>
      <c r="AV209">
        <v>208</v>
      </c>
      <c r="AW209" s="122" t="str">
        <f>IFERROR(INDEX(TableWRTECalcPts[PLAYER],MATCH(TableWRTERank[[#This Row],[RK]],TableWRTECalcPts[RK],0)),"")</f>
        <v>Javon Baker</v>
      </c>
      <c r="AX209" s="122" t="str">
        <f>IFERROR(INDEX(TableWRTECalcPts[POS RK],MATCH(TableWRTERank[[#This Row],[WR and TE COMBINED]],TableWRTECalcPts[PLAYER],0)),"")</f>
        <v>WR145</v>
      </c>
      <c r="AY209" s="122">
        <f>IFERROR(INDEX(TableWRTECalcPts[BYE],MATCH(TableWRTERank[[#This Row],[RK]],TableWRTECalcPts[RK],0)),"")</f>
        <v>14</v>
      </c>
      <c r="AZ209" s="123">
        <f>IFERROR(INDEX(TableWRTECalcPts[Custom],MATCH(TableWRTERank[[#This Row],[RK]],TableWRTECalcPts[RK],0)),"")</f>
        <v>16.660263898414083</v>
      </c>
      <c r="BA209" s="174">
        <f>IFERROR((TableWRTERank[[#This Row],[FPS]]-INDEX(TableWRTERank[FPS],MATCH(WRTEVORPCalc,TableWRTERank[RK],0)))/INDEX(TableWRTERank[FPS],MATCH(WRTEVORPCalc,TableWRTERank[RK],0)),"")</f>
        <v>-0.89383166655697777</v>
      </c>
      <c r="BC209" t="s">
        <v>10</v>
      </c>
      <c r="BD209">
        <v>8</v>
      </c>
      <c r="BE209" s="83">
        <f>RANK(TableWRTEMaster[[#This Row],[VORP]],TableWRTEMaster[VORP])+COUNTIF($BJ$2:BJ209,BJ209)-1</f>
        <v>42</v>
      </c>
      <c r="BF209" s="115" t="str">
        <f>IFERROR(INDEX(TableTEVORP[TIGHT END],MATCH(TableWRTEMaster[[#This Row],[RK]],TableTEVORP[RK],0)),"")</f>
        <v>George Kittle</v>
      </c>
      <c r="BG209" s="115" t="str">
        <f>_xlfn.CONCAT(TableWRTEMaster[[#This Row],[POS]],TableWRTEMaster[[#This Row],[RK]])</f>
        <v>TE8</v>
      </c>
      <c r="BH209" s="115">
        <f>IFERROR(INDEX(TableTEVORP[BYE],MATCH(TableWRTEMaster[[#This Row],[RK]],TableTEVORP[RK],0)),"")</f>
        <v>9</v>
      </c>
      <c r="BI209" s="116">
        <f>IFERROR(INDEX(TableTEVORP[FPS],MATCH(TableWRTEMaster[[#This Row],[RK]],TableTEVORP[RK],0)),"")</f>
        <v>161.66168890481731</v>
      </c>
      <c r="BJ209" s="117">
        <f>IFERROR(INDEX(TableTEVORP[VORP],MATCH(TableWRTEMaster[[#This Row],[RK]],TableTEVORP[RK],0)),"")</f>
        <v>0.22806807320441316</v>
      </c>
    </row>
    <row r="210" spans="15:62" x14ac:dyDescent="0.2">
      <c r="O210">
        <v>209</v>
      </c>
      <c r="P210" s="112" t="str">
        <f>IFERROR(INDEX(TableWRCalcPts[PLAYER],MATCH(TableWRVORP[[#This Row],[RK]],TableWRCalcPts[RK],0)),"")</f>
        <v/>
      </c>
      <c r="Q210" s="112" t="str">
        <f>IFERROR(INDEX(TableWRCalcPts[TM],MATCH(TableWRVORP[[#This Row],[RK]],TableWRCalcPts[RK],0)),"")</f>
        <v/>
      </c>
      <c r="R210" s="112" t="str">
        <f>IFERROR(INDEX(TableWRCalcPts[BYE],MATCH(TableWRVORP[[#This Row],[RK]],TableWRCalcPts[RK],0)),"")</f>
        <v/>
      </c>
      <c r="S210" s="113" t="str">
        <f>IFERROR(INDEX(TableWRCalcPts[Custom],MATCH(TableWRVORP[[#This Row],[RK]],TableWRCalcPts[RK],0)),"")</f>
        <v/>
      </c>
      <c r="T210" s="114" t="e">
        <f>(IFERROR((TableWRVORP[[#This Row],[FPS]]-INDEX(TableWRVORP[FPS],MATCH(WRVORPCalc,TableWRVORP[RK],0)))/INDEX(TableWRVORP[FPS],MATCH(WRVORPCalc,TableWRVORP[RK],0)),""))*1.2</f>
        <v>#VALUE!</v>
      </c>
      <c r="AF210" t="s">
        <v>208</v>
      </c>
      <c r="AG210">
        <v>69</v>
      </c>
      <c r="AH210" s="83">
        <f>RANK(TableOverallMaster[[#This Row],[VORP]],TableOverallMaster[VORP])+COUNTIF($AM$2:AM210,AM210)-1</f>
        <v>165</v>
      </c>
      <c r="AI210" s="115" t="str">
        <f>IFERROR(INDEX(TableWRVORP[WIDE RECEIVER],MATCH(TableOverallMaster[[#This Row],[RK]],TableWRVORP[RK],0)),"")</f>
        <v>Josh Downs</v>
      </c>
      <c r="AJ210" s="115" t="str">
        <f t="shared" si="3"/>
        <v>WR69</v>
      </c>
      <c r="AK210" s="115">
        <f>IFERROR(INDEX(TableWRVORP[BYE],MATCH(TableOverallMaster[[#This Row],[RK]],TableWRVORP[RK],0)),"")</f>
        <v>14</v>
      </c>
      <c r="AL210" s="116">
        <f>IFERROR(INDEX(TableWRVORP[FPS],MATCH(TableOverallMaster[[#This Row],[RK]],TableWRVORP[RK],0)),"")</f>
        <v>118.20034773366744</v>
      </c>
      <c r="AM210" s="117">
        <f>IFERROR(INDEX(TableWRVORP[VORP],MATCH(TableOverallMaster[[#This Row],[RK]],TableWRVORP[RK],0)),"")</f>
        <v>-0.23653530098634123</v>
      </c>
      <c r="AO210">
        <v>209</v>
      </c>
      <c r="AP210" s="118" t="str">
        <f>IFERROR(INDEX(TableOverallMaster[OVERALL PLAYER],MATCH(TableOverallRank[[#This Row],[RK]],TableOverallMaster[OVR RK],0)),"")</f>
        <v>Hayden Hurst</v>
      </c>
      <c r="AQ210" s="119" t="str">
        <f>IFERROR(INDEX(TableOverallMaster[POS RK],MATCH(TableOverallRank[[#This Row],[OVERALL PLAYER]],TableOverallMaster[OVERALL PLAYER],0)),"")</f>
        <v>TE27</v>
      </c>
      <c r="AR210" s="120">
        <f>IFERROR(INDEX(TableOverallMaster[BYE],MATCH(TableOverallRank[[#This Row],[OVERALL PLAYER]],TableOverallMaster[OVERALL PLAYER],0)),"")</f>
        <v>5</v>
      </c>
      <c r="AS210" s="119">
        <f>IFERROR(INDEX(TableOverallMaster[Custom],MATCH(TableOverallRank[[#This Row],[OVERALL PLAYER]],TableOverallMaster[OVERALL PLAYER],0)),"")</f>
        <v>79.726833329761405</v>
      </c>
      <c r="AT210" s="121">
        <f>IFERROR(INDEX(TableOverallMaster[VORP],MATCH(TableOverallRank[[#This Row],[OVERALL PLAYER]],TableOverallMaster[OVERALL PLAYER],0)),"")</f>
        <v>-0.39435261840165098</v>
      </c>
      <c r="AV210">
        <v>209</v>
      </c>
      <c r="AW210" s="122" t="str">
        <f>IFERROR(INDEX(TableWRTECalcPts[PLAYER],MATCH(TableWRTERank[[#This Row],[RK]],TableWRTECalcPts[RK],0)),"")</f>
        <v>Bo Melton</v>
      </c>
      <c r="AX210" s="122" t="str">
        <f>IFERROR(INDEX(TableWRTECalcPts[POS RK],MATCH(TableWRTERank[[#This Row],[WR and TE COMBINED]],TableWRTECalcPts[PLAYER],0)),"")</f>
        <v>WR146</v>
      </c>
      <c r="AY210" s="122">
        <f>IFERROR(INDEX(TableWRTECalcPts[BYE],MATCH(TableWRTERank[[#This Row],[RK]],TableWRTECalcPts[RK],0)),"")</f>
        <v>10</v>
      </c>
      <c r="AZ210" s="123">
        <f>IFERROR(INDEX(TableWRTECalcPts[Custom],MATCH(TableWRTERank[[#This Row],[RK]],TableWRTECalcPts[RK],0)),"")</f>
        <v>15.792781181632</v>
      </c>
      <c r="BA210" s="174">
        <f>IFERROR((TableWRTERank[[#This Row],[FPS]]-INDEX(TableWRTERank[FPS],MATCH(WRTEVORPCalc,TableWRTERank[RK],0)))/INDEX(TableWRTERank[FPS],MATCH(WRTEVORPCalc,TableWRTERank[RK],0)),"")</f>
        <v>-0.89935974191598489</v>
      </c>
      <c r="BC210" t="s">
        <v>10</v>
      </c>
      <c r="BD210">
        <v>9</v>
      </c>
      <c r="BE210" s="83">
        <f>RANK(TableWRTEMaster[[#This Row],[VORP]],TableWRTEMaster[VORP])+COUNTIF($BJ$2:BJ210,BJ210)-1</f>
        <v>47</v>
      </c>
      <c r="BF210" s="115" t="str">
        <f>IFERROR(INDEX(TableTEVORP[TIGHT END],MATCH(TableWRTEMaster[[#This Row],[RK]],TableTEVORP[RK],0)),"")</f>
        <v>Dalton Kincaid</v>
      </c>
      <c r="BG210" s="115" t="str">
        <f>_xlfn.CONCAT(TableWRTEMaster[[#This Row],[POS]],TableWRTEMaster[[#This Row],[RK]])</f>
        <v>TE9</v>
      </c>
      <c r="BH210" s="115">
        <f>IFERROR(INDEX(TableTEVORP[BYE],MATCH(TableWRTEMaster[[#This Row],[RK]],TableTEVORP[RK],0)),"")</f>
        <v>12</v>
      </c>
      <c r="BI210" s="116">
        <f>IFERROR(INDEX(TableTEVORP[FPS],MATCH(TableWRTEMaster[[#This Row],[RK]],TableTEVORP[RK],0)),"")</f>
        <v>157.46104686653487</v>
      </c>
      <c r="BJ210" s="117">
        <f>IFERROR(INDEX(TableTEVORP[VORP],MATCH(TableWRTEMaster[[#This Row],[RK]],TableTEVORP[RK],0)),"")</f>
        <v>0.19615776465126994</v>
      </c>
    </row>
    <row r="211" spans="15:62" x14ac:dyDescent="0.2">
      <c r="O211">
        <v>210</v>
      </c>
      <c r="P211" s="112" t="str">
        <f>IFERROR(INDEX(TableWRCalcPts[PLAYER],MATCH(TableWRVORP[[#This Row],[RK]],TableWRCalcPts[RK],0)),"")</f>
        <v/>
      </c>
      <c r="Q211" s="112" t="str">
        <f>IFERROR(INDEX(TableWRCalcPts[TM],MATCH(TableWRVORP[[#This Row],[RK]],TableWRCalcPts[RK],0)),"")</f>
        <v/>
      </c>
      <c r="R211" s="112" t="str">
        <f>IFERROR(INDEX(TableWRCalcPts[BYE],MATCH(TableWRVORP[[#This Row],[RK]],TableWRCalcPts[RK],0)),"")</f>
        <v/>
      </c>
      <c r="S211" s="113" t="str">
        <f>IFERROR(INDEX(TableWRCalcPts[Custom],MATCH(TableWRVORP[[#This Row],[RK]],TableWRCalcPts[RK],0)),"")</f>
        <v/>
      </c>
      <c r="T211" s="114" t="e">
        <f>(IFERROR((TableWRVORP[[#This Row],[FPS]]-INDEX(TableWRVORP[FPS],MATCH(WRVORPCalc,TableWRVORP[RK],0)))/INDEX(TableWRVORP[FPS],MATCH(WRVORPCalc,TableWRVORP[RK],0)),""))*1.2</f>
        <v>#VALUE!</v>
      </c>
      <c r="AF211" t="s">
        <v>208</v>
      </c>
      <c r="AG211">
        <v>70</v>
      </c>
      <c r="AH211" s="83">
        <f>RANK(TableOverallMaster[[#This Row],[VORP]],TableOverallMaster[VORP])+COUNTIF($AM$2:AM211,AM211)-1</f>
        <v>170</v>
      </c>
      <c r="AI211" s="115" t="str">
        <f>IFERROR(INDEX(TableWRVORP[WIDE RECEIVER],MATCH(TableOverallMaster[[#This Row],[RK]],TableWRVORP[RK],0)),"")</f>
        <v>Dontayvion Wicks</v>
      </c>
      <c r="AJ211" s="115" t="str">
        <f t="shared" si="3"/>
        <v>WR70</v>
      </c>
      <c r="AK211" s="115">
        <f>IFERROR(INDEX(TableWRVORP[BYE],MATCH(TableOverallMaster[[#This Row],[RK]],TableWRVORP[RK],0)),"")</f>
        <v>10</v>
      </c>
      <c r="AL211" s="116">
        <f>IFERROR(INDEX(TableWRVORP[FPS],MATCH(TableOverallMaster[[#This Row],[RK]],TableWRVORP[RK],0)),"")</f>
        <v>116.82642108095868</v>
      </c>
      <c r="AM211" s="117">
        <f>IFERROR(INDEX(TableWRVORP[VORP],MATCH(TableOverallMaster[[#This Row],[RK]],TableWRVORP[RK],0)),"")</f>
        <v>-0.24773433596635294</v>
      </c>
      <c r="AO211">
        <v>210</v>
      </c>
      <c r="AP211" s="118" t="str">
        <f>IFERROR(INDEX(TableOverallMaster[OVERALL PLAYER],MATCH(TableOverallRank[[#This Row],[RK]],TableOverallMaster[OVR RK],0)),"")</f>
        <v>Ben Sinnott</v>
      </c>
      <c r="AQ211" s="119" t="str">
        <f>IFERROR(INDEX(TableOverallMaster[POS RK],MATCH(TableOverallRank[[#This Row],[OVERALL PLAYER]],TableOverallMaster[OVERALL PLAYER],0)),"")</f>
        <v>TE28</v>
      </c>
      <c r="AR211" s="120">
        <f>IFERROR(INDEX(TableOverallMaster[BYE],MATCH(TableOverallRank[[#This Row],[OVERALL PLAYER]],TableOverallMaster[OVERALL PLAYER],0)),"")</f>
        <v>14</v>
      </c>
      <c r="AS211" s="119">
        <f>IFERROR(INDEX(TableOverallMaster[Custom],MATCH(TableOverallRank[[#This Row],[OVERALL PLAYER]],TableOverallMaster[OVERALL PLAYER],0)),"")</f>
        <v>79.489285396192031</v>
      </c>
      <c r="AT211" s="121">
        <f>IFERROR(INDEX(TableOverallMaster[VORP],MATCH(TableOverallRank[[#This Row],[OVERALL PLAYER]],TableOverallMaster[OVERALL PLAYER],0)),"")</f>
        <v>-0.39615715870460422</v>
      </c>
      <c r="AV211">
        <v>210</v>
      </c>
      <c r="AW211" s="122" t="str">
        <f>IFERROR(INDEX(TableWRTECalcPts[PLAYER],MATCH(TableWRTERank[[#This Row],[RK]],TableWRTECalcPts[RK],0)),"")</f>
        <v>Ryan Flournoy</v>
      </c>
      <c r="AX211" s="122" t="str">
        <f>IFERROR(INDEX(TableWRTECalcPts[POS RK],MATCH(TableWRTERank[[#This Row],[WR and TE COMBINED]],TableWRTECalcPts[PLAYER],0)),"")</f>
        <v>WR147</v>
      </c>
      <c r="AY211" s="122">
        <f>IFERROR(INDEX(TableWRTECalcPts[BYE],MATCH(TableWRTERank[[#This Row],[RK]],TableWRTECalcPts[RK],0)),"")</f>
        <v>7</v>
      </c>
      <c r="AZ211" s="123">
        <f>IFERROR(INDEX(TableWRTECalcPts[Custom],MATCH(TableWRTERank[[#This Row],[RK]],TableWRTECalcPts[RK],0)),"")</f>
        <v>15.366760287490072</v>
      </c>
      <c r="BA211" s="174">
        <f>IFERROR((TableWRTERank[[#This Row],[FPS]]-INDEX(TableWRTERank[FPS],MATCH(WRTEVORPCalc,TableWRTERank[RK],0)))/INDEX(TableWRTERank[FPS],MATCH(WRTEVORPCalc,TableWRTERank[RK],0)),"")</f>
        <v>-0.90207458056552503</v>
      </c>
      <c r="BC211" t="s">
        <v>10</v>
      </c>
      <c r="BD211">
        <v>10</v>
      </c>
      <c r="BE211" s="83">
        <f>RANK(TableWRTEMaster[[#This Row],[VORP]],TableWRTEMaster[VORP])+COUNTIF($BJ$2:BJ211,BJ211)-1</f>
        <v>60</v>
      </c>
      <c r="BF211" s="115" t="str">
        <f>IFERROR(INDEX(TableTEVORP[TIGHT END],MATCH(TableWRTEMaster[[#This Row],[RK]],TableTEVORP[RK],0)),"")</f>
        <v>Brock Bowers</v>
      </c>
      <c r="BG211" s="115" t="str">
        <f>_xlfn.CONCAT(TableWRTEMaster[[#This Row],[POS]],TableWRTEMaster[[#This Row],[RK]])</f>
        <v>TE10</v>
      </c>
      <c r="BH211" s="115">
        <f>IFERROR(INDEX(TableTEVORP[BYE],MATCH(TableWRTEMaster[[#This Row],[RK]],TableTEVORP[RK],0)),"")</f>
        <v>10</v>
      </c>
      <c r="BI211" s="116">
        <f>IFERROR(INDEX(TableTEVORP[FPS],MATCH(TableWRTEMaster[[#This Row],[RK]],TableTEVORP[RK],0)),"")</f>
        <v>142.6223646861975</v>
      </c>
      <c r="BJ211" s="117">
        <f>IFERROR(INDEX(TableTEVORP[VORP],MATCH(TableWRTEMaster[[#This Row],[RK]],TableTEVORP[RK],0)),"")</f>
        <v>8.3435251620809087E-2</v>
      </c>
    </row>
    <row r="212" spans="15:62" x14ac:dyDescent="0.2">
      <c r="O212">
        <v>211</v>
      </c>
      <c r="P212" s="112" t="str">
        <f>IFERROR(INDEX(TableWRCalcPts[PLAYER],MATCH(TableWRVORP[[#This Row],[RK]],TableWRCalcPts[RK],0)),"")</f>
        <v/>
      </c>
      <c r="Q212" s="112" t="str">
        <f>IFERROR(INDEX(TableWRCalcPts[TM],MATCH(TableWRVORP[[#This Row],[RK]],TableWRCalcPts[RK],0)),"")</f>
        <v/>
      </c>
      <c r="R212" s="112" t="str">
        <f>IFERROR(INDEX(TableWRCalcPts[BYE],MATCH(TableWRVORP[[#This Row],[RK]],TableWRCalcPts[RK],0)),"")</f>
        <v/>
      </c>
      <c r="S212" s="113" t="str">
        <f>IFERROR(INDEX(TableWRCalcPts[Custom],MATCH(TableWRVORP[[#This Row],[RK]],TableWRCalcPts[RK],0)),"")</f>
        <v/>
      </c>
      <c r="T212" s="114" t="e">
        <f>(IFERROR((TableWRVORP[[#This Row],[FPS]]-INDEX(TableWRVORP[FPS],MATCH(WRVORPCalc,TableWRVORP[RK],0)))/INDEX(TableWRVORP[FPS],MATCH(WRVORPCalc,TableWRVORP[RK],0)),""))*1.2</f>
        <v>#VALUE!</v>
      </c>
      <c r="AF212" t="s">
        <v>208</v>
      </c>
      <c r="AG212">
        <v>71</v>
      </c>
      <c r="AH212" s="83">
        <f>RANK(TableOverallMaster[[#This Row],[VORP]],TableOverallMaster[VORP])+COUNTIF($AM$2:AM212,AM212)-1</f>
        <v>173</v>
      </c>
      <c r="AI212" s="115" t="str">
        <f>IFERROR(INDEX(TableWRVORP[WIDE RECEIVER],MATCH(TableOverallMaster[[#This Row],[RK]],TableWRVORP[RK],0)),"")</f>
        <v>Josh Reynolds</v>
      </c>
      <c r="AJ212" s="115" t="str">
        <f t="shared" si="3"/>
        <v>WR71</v>
      </c>
      <c r="AK212" s="115">
        <f>IFERROR(INDEX(TableWRVORP[BYE],MATCH(TableOverallMaster[[#This Row],[RK]],TableWRVORP[RK],0)),"")</f>
        <v>14</v>
      </c>
      <c r="AL212" s="116">
        <f>IFERROR(INDEX(TableWRVORP[FPS],MATCH(TableOverallMaster[[#This Row],[RK]],TableWRVORP[RK],0)),"")</f>
        <v>115.87277082752136</v>
      </c>
      <c r="AM212" s="117">
        <f>IFERROR(INDEX(TableWRVORP[VORP],MATCH(TableOverallMaster[[#This Row],[RK]],TableWRVORP[RK],0)),"")</f>
        <v>-0.25550764942954657</v>
      </c>
      <c r="AO212">
        <v>211</v>
      </c>
      <c r="AP212" s="118" t="str">
        <f>IFERROR(INDEX(TableOverallMaster[OVERALL PLAYER],MATCH(TableOverallRank[[#This Row],[RK]],TableOverallMaster[OVR RK],0)),"")</f>
        <v>Noah Fant</v>
      </c>
      <c r="AQ212" s="119" t="str">
        <f>IFERROR(INDEX(TableOverallMaster[POS RK],MATCH(TableOverallRank[[#This Row],[OVERALL PLAYER]],TableOverallMaster[OVERALL PLAYER],0)),"")</f>
        <v>TE29</v>
      </c>
      <c r="AR212" s="120">
        <f>IFERROR(INDEX(TableOverallMaster[BYE],MATCH(TableOverallRank[[#This Row],[OVERALL PLAYER]],TableOverallMaster[OVERALL PLAYER],0)),"")</f>
        <v>10</v>
      </c>
      <c r="AS212" s="119">
        <f>IFERROR(INDEX(TableOverallMaster[Custom],MATCH(TableOverallRank[[#This Row],[OVERALL PLAYER]],TableOverallMaster[OVERALL PLAYER],0)),"")</f>
        <v>76.39024214942178</v>
      </c>
      <c r="AT212" s="121">
        <f>IFERROR(INDEX(TableOverallMaster[VORP],MATCH(TableOverallRank[[#This Row],[OVERALL PLAYER]],TableOverallMaster[OVERALL PLAYER],0)),"")</f>
        <v>-0.41969913760276528</v>
      </c>
      <c r="AV212">
        <v>211</v>
      </c>
      <c r="AW212" s="122" t="str">
        <f>IFERROR(INDEX(TableWRTECalcPts[PLAYER],MATCH(TableWRTERank[[#This Row],[RK]],TableWRTECalcPts[RK],0)),"")</f>
        <v>Jalen Brooks</v>
      </c>
      <c r="AX212" s="122" t="str">
        <f>IFERROR(INDEX(TableWRTECalcPts[POS RK],MATCH(TableWRTERank[[#This Row],[WR and TE COMBINED]],TableWRTECalcPts[PLAYER],0)),"")</f>
        <v>WR148</v>
      </c>
      <c r="AY212" s="122">
        <f>IFERROR(INDEX(TableWRTECalcPts[BYE],MATCH(TableWRTERank[[#This Row],[RK]],TableWRTECalcPts[RK],0)),"")</f>
        <v>7</v>
      </c>
      <c r="AZ212" s="123">
        <f>IFERROR(INDEX(TableWRTECalcPts[Custom],MATCH(TableWRTERank[[#This Row],[RK]],TableWRTECalcPts[RK],0)),"")</f>
        <v>15.178797800477579</v>
      </c>
      <c r="BA212" s="174">
        <f>IFERROR((TableWRTERank[[#This Row],[FPS]]-INDEX(TableWRTERank[FPS],MATCH(WRTEVORPCalc,TableWRTERank[RK],0)))/INDEX(TableWRTERank[FPS],MATCH(WRTEVORPCalc,TableWRTERank[RK],0)),"")</f>
        <v>-0.90327238055942682</v>
      </c>
      <c r="BC212" t="s">
        <v>10</v>
      </c>
      <c r="BD212">
        <v>11</v>
      </c>
      <c r="BE212" s="83">
        <f>RANK(TableWRTEMaster[[#This Row],[VORP]],TableWRTEMaster[VORP])+COUNTIF($BJ$2:BJ212,BJ212)-1</f>
        <v>63</v>
      </c>
      <c r="BF212" s="115" t="str">
        <f>IFERROR(INDEX(TableTEVORP[TIGHT END],MATCH(TableWRTEMaster[[#This Row],[RK]],TableTEVORP[RK],0)),"")</f>
        <v>David Njoku</v>
      </c>
      <c r="BG212" s="115" t="str">
        <f>_xlfn.CONCAT(TableWRTEMaster[[#This Row],[POS]],TableWRTEMaster[[#This Row],[RK]])</f>
        <v>TE11</v>
      </c>
      <c r="BH212" s="115">
        <f>IFERROR(INDEX(TableTEVORP[BYE],MATCH(TableWRTEMaster[[#This Row],[RK]],TableTEVORP[RK],0)),"")</f>
        <v>10</v>
      </c>
      <c r="BI212" s="116">
        <f>IFERROR(INDEX(TableTEVORP[FPS],MATCH(TableWRTEMaster[[#This Row],[RK]],TableTEVORP[RK],0)),"")</f>
        <v>138.11830343849996</v>
      </c>
      <c r="BJ212" s="117">
        <f>IFERROR(INDEX(TableTEVORP[VORP],MATCH(TableWRTEMaster[[#This Row],[RK]],TableTEVORP[RK],0)),"")</f>
        <v>4.9220009558657442E-2</v>
      </c>
    </row>
    <row r="213" spans="15:62" x14ac:dyDescent="0.2">
      <c r="O213">
        <v>212</v>
      </c>
      <c r="P213" s="112" t="str">
        <f>IFERROR(INDEX(TableWRCalcPts[PLAYER],MATCH(TableWRVORP[[#This Row],[RK]],TableWRCalcPts[RK],0)),"")</f>
        <v/>
      </c>
      <c r="Q213" s="112" t="str">
        <f>IFERROR(INDEX(TableWRCalcPts[TM],MATCH(TableWRVORP[[#This Row],[RK]],TableWRCalcPts[RK],0)),"")</f>
        <v/>
      </c>
      <c r="R213" s="112" t="str">
        <f>IFERROR(INDEX(TableWRCalcPts[BYE],MATCH(TableWRVORP[[#This Row],[RK]],TableWRCalcPts[RK],0)),"")</f>
        <v/>
      </c>
      <c r="S213" s="113" t="str">
        <f>IFERROR(INDEX(TableWRCalcPts[Custom],MATCH(TableWRVORP[[#This Row],[RK]],TableWRCalcPts[RK],0)),"")</f>
        <v/>
      </c>
      <c r="T213" s="114" t="e">
        <f>(IFERROR((TableWRVORP[[#This Row],[FPS]]-INDEX(TableWRVORP[FPS],MATCH(WRVORPCalc,TableWRVORP[RK],0)))/INDEX(TableWRVORP[FPS],MATCH(WRVORPCalc,TableWRVORP[RK],0)),""))*1.2</f>
        <v>#VALUE!</v>
      </c>
      <c r="AF213" t="s">
        <v>208</v>
      </c>
      <c r="AG213">
        <v>72</v>
      </c>
      <c r="AH213" s="83">
        <f>RANK(TableOverallMaster[[#This Row],[VORP]],TableOverallMaster[VORP])+COUNTIF($AM$2:AM213,AM213)-1</f>
        <v>174</v>
      </c>
      <c r="AI213" s="115" t="str">
        <f>IFERROR(INDEX(TableWRVORP[WIDE RECEIVER],MATCH(TableOverallMaster[[#This Row],[RK]],TableWRVORP[RK],0)),"")</f>
        <v>Greg Dortch</v>
      </c>
      <c r="AJ213" s="115" t="str">
        <f t="shared" si="3"/>
        <v>WR72</v>
      </c>
      <c r="AK213" s="115">
        <f>IFERROR(INDEX(TableWRVORP[BYE],MATCH(TableOverallMaster[[#This Row],[RK]],TableWRVORP[RK],0)),"")</f>
        <v>11</v>
      </c>
      <c r="AL213" s="116">
        <f>IFERROR(INDEX(TableWRVORP[FPS],MATCH(TableOverallMaster[[#This Row],[RK]],TableWRVORP[RK],0)),"")</f>
        <v>114.91314586095427</v>
      </c>
      <c r="AM213" s="117">
        <f>IFERROR(INDEX(TableWRVORP[VORP],MATCH(TableOverallMaster[[#This Row],[RK]],TableWRVORP[RK],0)),"")</f>
        <v>-0.263329663470172</v>
      </c>
      <c r="AO213">
        <v>212</v>
      </c>
      <c r="AP213" s="118" t="str">
        <f>IFERROR(INDEX(TableOverallMaster[OVERALL PLAYER],MATCH(TableOverallRank[[#This Row],[RK]],TableOverallMaster[OVR RK],0)),"")</f>
        <v>Eric Gray</v>
      </c>
      <c r="AQ213" s="119" t="str">
        <f>IFERROR(INDEX(TableOverallMaster[POS RK],MATCH(TableOverallRank[[#This Row],[OVERALL PLAYER]],TableOverallMaster[OVERALL PLAYER],0)),"")</f>
        <v>RB68</v>
      </c>
      <c r="AR213" s="120">
        <f>IFERROR(INDEX(TableOverallMaster[BYE],MATCH(TableOverallRank[[#This Row],[OVERALL PLAYER]],TableOverallMaster[OVERALL PLAYER],0)),"")</f>
        <v>11</v>
      </c>
      <c r="AS213" s="119">
        <f>IFERROR(INDEX(TableOverallMaster[Custom],MATCH(TableOverallRank[[#This Row],[OVERALL PLAYER]],TableOverallMaster[OVERALL PLAYER],0)),"")</f>
        <v>56.079180159279936</v>
      </c>
      <c r="AT213" s="121">
        <f>IFERROR(INDEX(TableOverallMaster[VORP],MATCH(TableOverallRank[[#This Row],[OVERALL PLAYER]],TableOverallMaster[OVERALL PLAYER],0)),"")</f>
        <v>-0.42586716702142624</v>
      </c>
      <c r="AV213">
        <v>212</v>
      </c>
      <c r="AW213" s="122" t="str">
        <f>IFERROR(INDEX(TableWRTECalcPts[PLAYER],MATCH(TableWRTERank[[#This Row],[RK]],TableWRTECalcPts[RK],0)),"")</f>
        <v>Chris Moore</v>
      </c>
      <c r="AX213" s="122" t="str">
        <f>IFERROR(INDEX(TableWRTECalcPts[POS RK],MATCH(TableWRTERank[[#This Row],[WR and TE COMBINED]],TableWRTECalcPts[PLAYER],0)),"")</f>
        <v>WR149</v>
      </c>
      <c r="AY213" s="122">
        <f>IFERROR(INDEX(TableWRTECalcPts[BYE],MATCH(TableWRTERank[[#This Row],[RK]],TableWRTECalcPts[RK],0)),"")</f>
        <v>11</v>
      </c>
      <c r="AZ213" s="123">
        <f>IFERROR(INDEX(TableWRTECalcPts[Custom],MATCH(TableWRTERank[[#This Row],[RK]],TableWRTECalcPts[RK],0)),"")</f>
        <v>14.964485193398426</v>
      </c>
      <c r="BA213" s="174">
        <f>IFERROR((TableWRTERank[[#This Row],[FPS]]-INDEX(TableWRTERank[FPS],MATCH(WRTEVORPCalc,TableWRTERank[RK],0)))/INDEX(TableWRTERank[FPS],MATCH(WRTEVORPCalc,TableWRTERank[RK],0)),"")</f>
        <v>-0.90463809796151373</v>
      </c>
      <c r="BC213" t="s">
        <v>10</v>
      </c>
      <c r="BD213">
        <v>12</v>
      </c>
      <c r="BE213" s="83">
        <f>RANK(TableWRTEMaster[[#This Row],[VORP]],TableWRTEMaster[VORP])+COUNTIF($BJ$2:BJ213,BJ213)-1</f>
        <v>69</v>
      </c>
      <c r="BF213" s="115" t="str">
        <f>IFERROR(INDEX(TableTEVORP[TIGHT END],MATCH(TableWRTEMaster[[#This Row],[RK]],TableTEVORP[RK],0)),"")</f>
        <v>T.J. Hockenson</v>
      </c>
      <c r="BG213" s="115" t="str">
        <f>_xlfn.CONCAT(TableWRTEMaster[[#This Row],[POS]],TableWRTEMaster[[#This Row],[RK]])</f>
        <v>TE12</v>
      </c>
      <c r="BH213" s="115">
        <f>IFERROR(INDEX(TableTEVORP[BYE],MATCH(TableWRTEMaster[[#This Row],[RK]],TableTEVORP[RK],0)),"")</f>
        <v>6</v>
      </c>
      <c r="BI213" s="116">
        <f>IFERROR(INDEX(TableTEVORP[FPS],MATCH(TableWRTEMaster[[#This Row],[RK]],TableTEVORP[RK],0)),"")</f>
        <v>131.63902916472006</v>
      </c>
      <c r="BJ213" s="117">
        <f>IFERROR(INDEX(TableTEVORP[VORP],MATCH(TableWRTEMaster[[#This Row],[RK]],TableTEVORP[RK],0)),"")</f>
        <v>0</v>
      </c>
    </row>
    <row r="214" spans="15:62" x14ac:dyDescent="0.2">
      <c r="O214">
        <v>213</v>
      </c>
      <c r="P214" s="112" t="str">
        <f>IFERROR(INDEX(TableWRCalcPts[PLAYER],MATCH(TableWRVORP[[#This Row],[RK]],TableWRCalcPts[RK],0)),"")</f>
        <v/>
      </c>
      <c r="Q214" s="112" t="str">
        <f>IFERROR(INDEX(TableWRCalcPts[TM],MATCH(TableWRVORP[[#This Row],[RK]],TableWRCalcPts[RK],0)),"")</f>
        <v/>
      </c>
      <c r="R214" s="112" t="str">
        <f>IFERROR(INDEX(TableWRCalcPts[BYE],MATCH(TableWRVORP[[#This Row],[RK]],TableWRCalcPts[RK],0)),"")</f>
        <v/>
      </c>
      <c r="S214" s="113" t="str">
        <f>IFERROR(INDEX(TableWRCalcPts[Custom],MATCH(TableWRVORP[[#This Row],[RK]],TableWRCalcPts[RK],0)),"")</f>
        <v/>
      </c>
      <c r="T214" s="114" t="e">
        <f>(IFERROR((TableWRVORP[[#This Row],[FPS]]-INDEX(TableWRVORP[FPS],MATCH(WRVORPCalc,TableWRVORP[RK],0)))/INDEX(TableWRVORP[FPS],MATCH(WRVORPCalc,TableWRVORP[RK],0)),""))*1.2</f>
        <v>#VALUE!</v>
      </c>
      <c r="AF214" t="s">
        <v>208</v>
      </c>
      <c r="AG214">
        <v>73</v>
      </c>
      <c r="AH214" s="83">
        <f>RANK(TableOverallMaster[[#This Row],[VORP]],TableOverallMaster[VORP])+COUNTIF($AM$2:AM214,AM214)-1</f>
        <v>177</v>
      </c>
      <c r="AI214" s="115" t="str">
        <f>IFERROR(INDEX(TableWRVORP[WIDE RECEIVER],MATCH(TableOverallMaster[[#This Row],[RK]],TableWRVORP[RK],0)),"")</f>
        <v>Marvin Mims</v>
      </c>
      <c r="AJ214" s="115" t="str">
        <f t="shared" si="3"/>
        <v>WR73</v>
      </c>
      <c r="AK214" s="115">
        <f>IFERROR(INDEX(TableWRVORP[BYE],MATCH(TableOverallMaster[[#This Row],[RK]],TableWRVORP[RK],0)),"")</f>
        <v>14</v>
      </c>
      <c r="AL214" s="116">
        <f>IFERROR(INDEX(TableWRVORP[FPS],MATCH(TableOverallMaster[[#This Row],[RK]],TableWRVORP[RK],0)),"")</f>
        <v>113.95181857055516</v>
      </c>
      <c r="AM214" s="117">
        <f>IFERROR(INDEX(TableWRVORP[VORP],MATCH(TableOverallMaster[[#This Row],[RK]],TableWRVORP[RK],0)),"")</f>
        <v>-0.27116555334915055</v>
      </c>
      <c r="AO214">
        <v>213</v>
      </c>
      <c r="AP214" s="118" t="str">
        <f>IFERROR(INDEX(TableOverallMaster[OVERALL PLAYER],MATCH(TableOverallRank[[#This Row],[RK]],TableOverallMaster[OVR RK],0)),"")</f>
        <v>Cam Akers</v>
      </c>
      <c r="AQ214" s="119" t="str">
        <f>IFERROR(INDEX(TableOverallMaster[POS RK],MATCH(TableOverallRank[[#This Row],[OVERALL PLAYER]],TableOverallMaster[OVERALL PLAYER],0)),"")</f>
        <v>RB69</v>
      </c>
      <c r="AR214" s="120">
        <f>IFERROR(INDEX(TableOverallMaster[BYE],MATCH(TableOverallRank[[#This Row],[OVERALL PLAYER]],TableOverallMaster[OVERALL PLAYER],0)),"")</f>
        <v>14</v>
      </c>
      <c r="AS214" s="119">
        <f>IFERROR(INDEX(TableOverallMaster[Custom],MATCH(TableOverallRank[[#This Row],[OVERALL PLAYER]],TableOverallMaster[OVERALL PLAYER],0)),"")</f>
        <v>55.821044843199999</v>
      </c>
      <c r="AT214" s="121">
        <f>IFERROR(INDEX(TableOverallMaster[VORP],MATCH(TableOverallRank[[#This Row],[OVERALL PLAYER]],TableOverallMaster[OVERALL PLAYER],0)),"")</f>
        <v>-0.42758931946414214</v>
      </c>
      <c r="AV214">
        <v>213</v>
      </c>
      <c r="AW214" s="122" t="str">
        <f>IFERROR(INDEX(TableWRTECalcPts[PLAYER],MATCH(TableWRTERank[[#This Row],[RK]],TableWRTECalcPts[RK],0)),"")</f>
        <v>Antoine Green</v>
      </c>
      <c r="AX214" s="122" t="str">
        <f>IFERROR(INDEX(TableWRTECalcPts[POS RK],MATCH(TableWRTERank[[#This Row],[WR and TE COMBINED]],TableWRTECalcPts[PLAYER],0)),"")</f>
        <v>WR150</v>
      </c>
      <c r="AY214" s="122">
        <f>IFERROR(INDEX(TableWRTECalcPts[BYE],MATCH(TableWRTERank[[#This Row],[RK]],TableWRTECalcPts[RK],0)),"")</f>
        <v>5</v>
      </c>
      <c r="AZ214" s="123">
        <f>IFERROR(INDEX(TableWRTECalcPts[Custom],MATCH(TableWRTERank[[#This Row],[RK]],TableWRTECalcPts[RK],0)),"")</f>
        <v>14.861922318973217</v>
      </c>
      <c r="BA214" s="174">
        <f>IFERROR((TableWRTERank[[#This Row],[FPS]]-INDEX(TableWRTERank[FPS],MATCH(WRTEVORPCalc,TableWRTERank[RK],0)))/INDEX(TableWRTERank[FPS],MATCH(WRTEVORPCalc,TableWRTERank[RK],0)),"")</f>
        <v>-0.90529168481447375</v>
      </c>
      <c r="BC214" t="s">
        <v>10</v>
      </c>
      <c r="BD214">
        <v>13</v>
      </c>
      <c r="BE214" s="83">
        <f>RANK(TableWRTEMaster[[#This Row],[VORP]],TableWRTEMaster[VORP])+COUNTIF($BJ$2:BJ214,BJ214)-1</f>
        <v>73</v>
      </c>
      <c r="BF214" s="115" t="str">
        <f>IFERROR(INDEX(TableTEVORP[TIGHT END],MATCH(TableWRTEMaster[[#This Row],[RK]],TableTEVORP[RK],0)),"")</f>
        <v>Dallas Goedert</v>
      </c>
      <c r="BG214" s="115" t="str">
        <f>_xlfn.CONCAT(TableWRTEMaster[[#This Row],[POS]],TableWRTEMaster[[#This Row],[RK]])</f>
        <v>TE13</v>
      </c>
      <c r="BH214" s="115">
        <f>IFERROR(INDEX(TableTEVORP[BYE],MATCH(TableWRTEMaster[[#This Row],[RK]],TableTEVORP[RK],0)),"")</f>
        <v>5</v>
      </c>
      <c r="BI214" s="116">
        <f>IFERROR(INDEX(TableTEVORP[FPS],MATCH(TableWRTEMaster[[#This Row],[RK]],TableTEVORP[RK],0)),"")</f>
        <v>123.25352037647167</v>
      </c>
      <c r="BJ214" s="117">
        <f>IFERROR(INDEX(TableTEVORP[VORP],MATCH(TableWRTEMaster[[#This Row],[RK]],TableTEVORP[RK],0)),"")</f>
        <v>-6.3700779635465041E-2</v>
      </c>
    </row>
    <row r="215" spans="15:62" x14ac:dyDescent="0.2">
      <c r="O215">
        <v>214</v>
      </c>
      <c r="P215" s="112" t="str">
        <f>IFERROR(INDEX(TableWRCalcPts[PLAYER],MATCH(TableWRVORP[[#This Row],[RK]],TableWRCalcPts[RK],0)),"")</f>
        <v/>
      </c>
      <c r="Q215" s="112" t="str">
        <f>IFERROR(INDEX(TableWRCalcPts[TM],MATCH(TableWRVORP[[#This Row],[RK]],TableWRCalcPts[RK],0)),"")</f>
        <v/>
      </c>
      <c r="R215" s="112" t="str">
        <f>IFERROR(INDEX(TableWRCalcPts[BYE],MATCH(TableWRVORP[[#This Row],[RK]],TableWRCalcPts[RK],0)),"")</f>
        <v/>
      </c>
      <c r="S215" s="113" t="str">
        <f>IFERROR(INDEX(TableWRCalcPts[Custom],MATCH(TableWRVORP[[#This Row],[RK]],TableWRCalcPts[RK],0)),"")</f>
        <v/>
      </c>
      <c r="T215" s="114" t="e">
        <f>(IFERROR((TableWRVORP[[#This Row],[FPS]]-INDEX(TableWRVORP[FPS],MATCH(WRVORPCalc,TableWRVORP[RK],0)))/INDEX(TableWRVORP[FPS],MATCH(WRVORPCalc,TableWRVORP[RK],0)),""))*1.2</f>
        <v>#VALUE!</v>
      </c>
      <c r="AF215" t="s">
        <v>208</v>
      </c>
      <c r="AG215">
        <v>74</v>
      </c>
      <c r="AH215" s="83">
        <f>RANK(TableOverallMaster[[#This Row],[VORP]],TableOverallMaster[VORP])+COUNTIF($AM$2:AM215,AM215)-1</f>
        <v>185</v>
      </c>
      <c r="AI215" s="115" t="str">
        <f>IFERROR(INDEX(TableWRVORP[WIDE RECEIVER],MATCH(TableOverallMaster[[#This Row],[RK]],TableWRVORP[RK],0)),"")</f>
        <v>Michael Wilson</v>
      </c>
      <c r="AJ215" s="115" t="str">
        <f t="shared" si="3"/>
        <v>WR74</v>
      </c>
      <c r="AK215" s="115">
        <f>IFERROR(INDEX(TableWRVORP[BYE],MATCH(TableOverallMaster[[#This Row],[RK]],TableWRVORP[RK],0)),"")</f>
        <v>11</v>
      </c>
      <c r="AL215" s="116">
        <f>IFERROR(INDEX(TableWRVORP[FPS],MATCH(TableOverallMaster[[#This Row],[RK]],TableWRVORP[RK],0)),"")</f>
        <v>109.27077006195002</v>
      </c>
      <c r="AM215" s="117">
        <f>IFERROR(INDEX(TableWRVORP[VORP],MATCH(TableOverallMaster[[#This Row],[RK]],TableWRVORP[RK],0)),"")</f>
        <v>-0.30932132089878345</v>
      </c>
      <c r="AO215">
        <v>214</v>
      </c>
      <c r="AP215" s="118" t="str">
        <f>IFERROR(INDEX(TableOverallMaster[OVERALL PLAYER],MATCH(TableOverallRank[[#This Row],[RK]],TableOverallMaster[OVR RK],0)),"")</f>
        <v>K.J. Osborn</v>
      </c>
      <c r="AQ215" s="119" t="str">
        <f>IFERROR(INDEX(TableOverallMaster[POS RK],MATCH(TableOverallRank[[#This Row],[OVERALL PLAYER]],TableOverallMaster[OVERALL PLAYER],0)),"")</f>
        <v>WR85</v>
      </c>
      <c r="AR215" s="120">
        <f>IFERROR(INDEX(TableOverallMaster[BYE],MATCH(TableOverallRank[[#This Row],[OVERALL PLAYER]],TableOverallMaster[OVERALL PLAYER],0)),"")</f>
        <v>14</v>
      </c>
      <c r="AS215" s="119">
        <f>IFERROR(INDEX(TableOverallMaster[Custom],MATCH(TableOverallRank[[#This Row],[OVERALL PLAYER]],TableOverallMaster[OVERALL PLAYER],0)),"")</f>
        <v>93.985026112107334</v>
      </c>
      <c r="AT215" s="121">
        <f>IFERROR(INDEX(TableOverallMaster[VORP],MATCH(TableOverallRank[[#This Row],[OVERALL PLAYER]],TableOverallMaster[OVERALL PLAYER],0)),"")</f>
        <v>-0.43391718695341613</v>
      </c>
      <c r="AV215">
        <v>214</v>
      </c>
      <c r="AW215" s="122" t="str">
        <f>IFERROR(INDEX(TableWRTECalcPts[PLAYER],MATCH(TableWRTERank[[#This Row],[RK]],TableWRTECalcPts[RK],0)),"")</f>
        <v>Derius Davis</v>
      </c>
      <c r="AX215" s="122" t="str">
        <f>IFERROR(INDEX(TableWRTECalcPts[POS RK],MATCH(TableWRTERank[[#This Row],[WR and TE COMBINED]],TableWRTECalcPts[PLAYER],0)),"")</f>
        <v>WR151</v>
      </c>
      <c r="AY215" s="122">
        <f>IFERROR(INDEX(TableWRTECalcPts[BYE],MATCH(TableWRTERank[[#This Row],[RK]],TableWRTECalcPts[RK],0)),"")</f>
        <v>5</v>
      </c>
      <c r="AZ215" s="123">
        <f>IFERROR(INDEX(TableWRTECalcPts[Custom],MATCH(TableWRTERank[[#This Row],[RK]],TableWRTECalcPts[RK],0)),"")</f>
        <v>14.815385969013441</v>
      </c>
      <c r="BA215" s="174">
        <f>IFERROR((TableWRTERank[[#This Row],[FPS]]-INDEX(TableWRTERank[FPS],MATCH(WRTEVORPCalc,TableWRTERank[RK],0)))/INDEX(TableWRTERank[FPS],MATCH(WRTEVORPCalc,TableWRTERank[RK],0)),"")</f>
        <v>-0.90558823994408499</v>
      </c>
      <c r="BC215" t="s">
        <v>10</v>
      </c>
      <c r="BD215">
        <v>14</v>
      </c>
      <c r="BE215" s="83">
        <f>RANK(TableWRTEMaster[[#This Row],[VORP]],TableWRTEMaster[VORP])+COUNTIF($BJ$2:BJ215,BJ215)-1</f>
        <v>78</v>
      </c>
      <c r="BF215" s="115" t="str">
        <f>IFERROR(INDEX(TableTEVORP[TIGHT END],MATCH(TableWRTEMaster[[#This Row],[RK]],TableTEVORP[RK],0)),"")</f>
        <v>Chigoziem Okonkwo</v>
      </c>
      <c r="BG215" s="115" t="str">
        <f>_xlfn.CONCAT(TableWRTEMaster[[#This Row],[POS]],TableWRTEMaster[[#This Row],[RK]])</f>
        <v>TE14</v>
      </c>
      <c r="BH215" s="115">
        <f>IFERROR(INDEX(TableTEVORP[BYE],MATCH(TableWRTEMaster[[#This Row],[RK]],TableTEVORP[RK],0)),"")</f>
        <v>5</v>
      </c>
      <c r="BI215" s="116">
        <f>IFERROR(INDEX(TableTEVORP[FPS],MATCH(TableWRTEMaster[[#This Row],[RK]],TableTEVORP[RK],0)),"")</f>
        <v>110.39226567248875</v>
      </c>
      <c r="BJ215" s="117">
        <f>IFERROR(INDEX(TableTEVORP[VORP],MATCH(TableWRTEMaster[[#This Row],[RK]],TableTEVORP[RK],0)),"")</f>
        <v>-0.16140170302870596</v>
      </c>
    </row>
    <row r="216" spans="15:62" x14ac:dyDescent="0.2">
      <c r="O216">
        <v>215</v>
      </c>
      <c r="P216" s="112" t="str">
        <f>IFERROR(INDEX(TableWRCalcPts[PLAYER],MATCH(TableWRVORP[[#This Row],[RK]],TableWRCalcPts[RK],0)),"")</f>
        <v/>
      </c>
      <c r="Q216" s="112" t="str">
        <f>IFERROR(INDEX(TableWRCalcPts[TM],MATCH(TableWRVORP[[#This Row],[RK]],TableWRCalcPts[RK],0)),"")</f>
        <v/>
      </c>
      <c r="R216" s="112" t="str">
        <f>IFERROR(INDEX(TableWRCalcPts[BYE],MATCH(TableWRVORP[[#This Row],[RK]],TableWRCalcPts[RK],0)),"")</f>
        <v/>
      </c>
      <c r="S216" s="113" t="str">
        <f>IFERROR(INDEX(TableWRCalcPts[Custom],MATCH(TableWRVORP[[#This Row],[RK]],TableWRCalcPts[RK],0)),"")</f>
        <v/>
      </c>
      <c r="T216" s="114" t="e">
        <f>(IFERROR((TableWRVORP[[#This Row],[FPS]]-INDEX(TableWRVORP[FPS],MATCH(WRVORPCalc,TableWRVORP[RK],0)))/INDEX(TableWRVORP[FPS],MATCH(WRVORPCalc,TableWRVORP[RK],0)),""))*1.2</f>
        <v>#VALUE!</v>
      </c>
      <c r="AF216" t="s">
        <v>208</v>
      </c>
      <c r="AG216">
        <v>75</v>
      </c>
      <c r="AH216" s="83">
        <f>RANK(TableOverallMaster[[#This Row],[VORP]],TableOverallMaster[VORP])+COUNTIF($AM$2:AM216,AM216)-1</f>
        <v>186</v>
      </c>
      <c r="AI216" s="115" t="str">
        <f>IFERROR(INDEX(TableWRVORP[WIDE RECEIVER],MATCH(TableOverallMaster[[#This Row],[RK]],TableWRVORP[RK],0)),"")</f>
        <v>Jalen McMillan</v>
      </c>
      <c r="AJ216" s="115" t="str">
        <f t="shared" si="3"/>
        <v>WR75</v>
      </c>
      <c r="AK216" s="115">
        <f>IFERROR(INDEX(TableWRVORP[BYE],MATCH(TableOverallMaster[[#This Row],[RK]],TableWRVORP[RK],0)),"")</f>
        <v>11</v>
      </c>
      <c r="AL216" s="116">
        <f>IFERROR(INDEX(TableWRVORP[FPS],MATCH(TableOverallMaster[[#This Row],[RK]],TableWRVORP[RK],0)),"")</f>
        <v>109.11603627591739</v>
      </c>
      <c r="AM216" s="117">
        <f>IFERROR(INDEX(TableWRVORP[VORP],MATCH(TableOverallMaster[[#This Row],[RK]],TableWRVORP[RK],0)),"")</f>
        <v>-0.3105825738768464</v>
      </c>
      <c r="AO216">
        <v>215</v>
      </c>
      <c r="AP216" s="118" t="str">
        <f>IFERROR(INDEX(TableOverallMaster[OVERALL PLAYER],MATCH(TableOverallRank[[#This Row],[RK]],TableOverallMaster[OVR RK],0)),"")</f>
        <v>Theo Johnson</v>
      </c>
      <c r="AQ216" s="119" t="str">
        <f>IFERROR(INDEX(TableOverallMaster[POS RK],MATCH(TableOverallRank[[#This Row],[OVERALL PLAYER]],TableOverallMaster[OVERALL PLAYER],0)),"")</f>
        <v>TE30</v>
      </c>
      <c r="AR216" s="120">
        <f>IFERROR(INDEX(TableOverallMaster[BYE],MATCH(TableOverallRank[[#This Row],[OVERALL PLAYER]],TableOverallMaster[OVERALL PLAYER],0)),"")</f>
        <v>11</v>
      </c>
      <c r="AS216" s="119">
        <f>IFERROR(INDEX(TableOverallMaster[Custom],MATCH(TableOverallRank[[#This Row],[OVERALL PLAYER]],TableOverallMaster[OVERALL PLAYER],0)),"")</f>
        <v>74.308369090843826</v>
      </c>
      <c r="AT216" s="121">
        <f>IFERROR(INDEX(TableOverallMaster[VORP],MATCH(TableOverallRank[[#This Row],[OVERALL PLAYER]],TableOverallMaster[OVERALL PLAYER],0)),"")</f>
        <v>-0.43551415137024685</v>
      </c>
      <c r="AV216">
        <v>215</v>
      </c>
      <c r="AW216" s="122" t="str">
        <f>IFERROR(INDEX(TableWRTECalcPts[PLAYER],MATCH(TableWRTERank[[#This Row],[RK]],TableWRTECalcPts[RK],0)),"")</f>
        <v>Logan Thomas</v>
      </c>
      <c r="AX216" s="122" t="str">
        <f>IFERROR(INDEX(TableWRTECalcPts[POS RK],MATCH(TableWRTERank[[#This Row],[WR and TE COMBINED]],TableWRTECalcPts[PLAYER],0)),"")</f>
        <v>TE64</v>
      </c>
      <c r="AY216" s="122">
        <f>IFERROR(INDEX(TableWRTECalcPts[BYE],MATCH(TableWRTERank[[#This Row],[RK]],TableWRTECalcPts[RK],0)),"")</f>
        <v>9</v>
      </c>
      <c r="AZ216" s="123">
        <f>IFERROR(INDEX(TableWRTECalcPts[Custom],MATCH(TableWRTERank[[#This Row],[RK]],TableWRTECalcPts[RK],0)),"")</f>
        <v>14.762780687885456</v>
      </c>
      <c r="BA216" s="174">
        <f>IFERROR((TableWRTERank[[#This Row],[FPS]]-INDEX(TableWRTERank[FPS],MATCH(WRTEVORPCalc,TableWRTERank[RK],0)))/INDEX(TableWRTERank[FPS],MATCH(WRTEVORPCalc,TableWRTERank[RK],0)),"")</f>
        <v>-0.90592346962962389</v>
      </c>
      <c r="BC216" t="s">
        <v>10</v>
      </c>
      <c r="BD216">
        <v>15</v>
      </c>
      <c r="BE216" s="83">
        <f>RANK(TableWRTEMaster[[#This Row],[VORP]],TableWRTEMaster[VORP])+COUNTIF($BJ$2:BJ216,BJ216)-1</f>
        <v>83</v>
      </c>
      <c r="BF216" s="115" t="str">
        <f>IFERROR(INDEX(TableTEVORP[TIGHT END],MATCH(TableWRTEMaster[[#This Row],[RK]],TableTEVORP[RK],0)),"")</f>
        <v>Hunter Henry</v>
      </c>
      <c r="BG216" s="115" t="str">
        <f>_xlfn.CONCAT(TableWRTEMaster[[#This Row],[POS]],TableWRTEMaster[[#This Row],[RK]])</f>
        <v>TE15</v>
      </c>
      <c r="BH216" s="115">
        <f>IFERROR(INDEX(TableTEVORP[BYE],MATCH(TableWRTEMaster[[#This Row],[RK]],TableTEVORP[RK],0)),"")</f>
        <v>14</v>
      </c>
      <c r="BI216" s="116">
        <f>IFERROR(INDEX(TableTEVORP[FPS],MATCH(TableWRTEMaster[[#This Row],[RK]],TableTEVORP[RK],0)),"")</f>
        <v>101.64388453660112</v>
      </c>
      <c r="BJ216" s="117">
        <f>IFERROR(INDEX(TableTEVORP[VORP],MATCH(TableWRTEMaster[[#This Row],[RK]],TableTEVORP[RK],0)),"")</f>
        <v>-0.22785905379616542</v>
      </c>
    </row>
    <row r="217" spans="15:62" x14ac:dyDescent="0.2">
      <c r="O217">
        <v>216</v>
      </c>
      <c r="P217" s="112" t="str">
        <f>IFERROR(INDEX(TableWRCalcPts[PLAYER],MATCH(TableWRVORP[[#This Row],[RK]],TableWRCalcPts[RK],0)),"")</f>
        <v/>
      </c>
      <c r="Q217" s="112" t="str">
        <f>IFERROR(INDEX(TableWRCalcPts[TM],MATCH(TableWRVORP[[#This Row],[RK]],TableWRCalcPts[RK],0)),"")</f>
        <v/>
      </c>
      <c r="R217" s="112" t="str">
        <f>IFERROR(INDEX(TableWRCalcPts[BYE],MATCH(TableWRVORP[[#This Row],[RK]],TableWRCalcPts[RK],0)),"")</f>
        <v/>
      </c>
      <c r="S217" s="113" t="str">
        <f>IFERROR(INDEX(TableWRCalcPts[Custom],MATCH(TableWRVORP[[#This Row],[RK]],TableWRCalcPts[RK],0)),"")</f>
        <v/>
      </c>
      <c r="T217" s="114" t="e">
        <f>(IFERROR((TableWRVORP[[#This Row],[FPS]]-INDEX(TableWRVORP[FPS],MATCH(WRVORPCalc,TableWRVORP[RK],0)))/INDEX(TableWRVORP[FPS],MATCH(WRVORPCalc,TableWRVORP[RK],0)),""))*1.2</f>
        <v>#VALUE!</v>
      </c>
      <c r="AF217" t="s">
        <v>208</v>
      </c>
      <c r="AG217">
        <v>76</v>
      </c>
      <c r="AH217" s="83">
        <f>RANK(TableOverallMaster[[#This Row],[VORP]],TableOverallMaster[VORP])+COUNTIF($AM$2:AM217,AM217)-1</f>
        <v>192</v>
      </c>
      <c r="AI217" s="115" t="str">
        <f>IFERROR(INDEX(TableWRVORP[WIDE RECEIVER],MATCH(TableOverallMaster[[#This Row],[RK]],TableWRVORP[RK],0)),"")</f>
        <v>Rashod Bateman</v>
      </c>
      <c r="AJ217" s="115" t="str">
        <f t="shared" si="3"/>
        <v>WR76</v>
      </c>
      <c r="AK217" s="115">
        <f>IFERROR(INDEX(TableWRVORP[BYE],MATCH(TableOverallMaster[[#This Row],[RK]],TableWRVORP[RK],0)),"")</f>
        <v>14</v>
      </c>
      <c r="AL217" s="116">
        <f>IFERROR(INDEX(TableWRVORP[FPS],MATCH(TableOverallMaster[[#This Row],[RK]],TableWRVORP[RK],0)),"")</f>
        <v>104.43680487103371</v>
      </c>
      <c r="AM217" s="117">
        <f>IFERROR(INDEX(TableWRVORP[VORP],MATCH(TableOverallMaster[[#This Row],[RK]],TableWRVORP[RK],0)),"")</f>
        <v>-0.3487235300039781</v>
      </c>
      <c r="AO217">
        <v>216</v>
      </c>
      <c r="AP217" s="118" t="str">
        <f>IFERROR(INDEX(TableOverallMaster[OVERALL PLAYER],MATCH(TableOverallRank[[#This Row],[RK]],TableOverallMaster[OVR RK],0)),"")</f>
        <v>Dylan Laube</v>
      </c>
      <c r="AQ217" s="119" t="str">
        <f>IFERROR(INDEX(TableOverallMaster[POS RK],MATCH(TableOverallRank[[#This Row],[OVERALL PLAYER]],TableOverallMaster[OVERALL PLAYER],0)),"")</f>
        <v>RB70</v>
      </c>
      <c r="AR217" s="120">
        <f>IFERROR(INDEX(TableOverallMaster[BYE],MATCH(TableOverallRank[[#This Row],[OVERALL PLAYER]],TableOverallMaster[OVERALL PLAYER],0)),"")</f>
        <v>10</v>
      </c>
      <c r="AS217" s="119">
        <f>IFERROR(INDEX(TableOverallMaster[Custom],MATCH(TableOverallRank[[#This Row],[OVERALL PLAYER]],TableOverallMaster[OVERALL PLAYER],0)),"")</f>
        <v>53.447944614591705</v>
      </c>
      <c r="AT217" s="121">
        <f>IFERROR(INDEX(TableOverallMaster[VORP],MATCH(TableOverallRank[[#This Row],[OVERALL PLAYER]],TableOverallMaster[OVERALL PLAYER],0)),"")</f>
        <v>-0.44342148229087353</v>
      </c>
      <c r="AV217">
        <v>216</v>
      </c>
      <c r="AW217" s="122" t="str">
        <f>IFERROR(INDEX(TableWRTECalcPts[PLAYER],MATCH(TableWRTERank[[#This Row],[RK]],TableWRTECalcPts[RK],0)),"")</f>
        <v>Trent Sherfield</v>
      </c>
      <c r="AX217" s="122" t="str">
        <f>IFERROR(INDEX(TableWRTECalcPts[POS RK],MATCH(TableWRTERank[[#This Row],[WR and TE COMBINED]],TableWRTECalcPts[PLAYER],0)),"")</f>
        <v>WR152</v>
      </c>
      <c r="AY217" s="122">
        <f>IFERROR(INDEX(TableWRTECalcPts[BYE],MATCH(TableWRTERank[[#This Row],[RK]],TableWRTECalcPts[RK],0)),"")</f>
        <v>6</v>
      </c>
      <c r="AZ217" s="123">
        <f>IFERROR(INDEX(TableWRTECalcPts[Custom],MATCH(TableWRTERank[[#This Row],[RK]],TableWRTECalcPts[RK],0)),"")</f>
        <v>14.679469050603101</v>
      </c>
      <c r="BA217" s="174">
        <f>IFERROR((TableWRTERank[[#This Row],[FPS]]-INDEX(TableWRTERank[FPS],MATCH(WRTEVORPCalc,TableWRTERank[RK],0)))/INDEX(TableWRTERank[FPS],MATCH(WRTEVORPCalc,TableWRTERank[RK],0)),"")</f>
        <v>-0.90645437704745413</v>
      </c>
      <c r="BC217" t="s">
        <v>10</v>
      </c>
      <c r="BD217">
        <v>16</v>
      </c>
      <c r="BE217" s="83">
        <f>RANK(TableWRTEMaster[[#This Row],[VORP]],TableWRTEMaster[VORP])+COUNTIF($BJ$2:BJ217,BJ217)-1</f>
        <v>85</v>
      </c>
      <c r="BF217" s="115" t="str">
        <f>IFERROR(INDEX(TableTEVORP[TIGHT END],MATCH(TableWRTEMaster[[#This Row],[RK]],TableTEVORP[RK],0)),"")</f>
        <v>Cole Kmet</v>
      </c>
      <c r="BG217" s="115" t="str">
        <f>_xlfn.CONCAT(TableWRTEMaster[[#This Row],[POS]],TableWRTEMaster[[#This Row],[RK]])</f>
        <v>TE16</v>
      </c>
      <c r="BH217" s="115">
        <f>IFERROR(INDEX(TableTEVORP[BYE],MATCH(TableWRTEMaster[[#This Row],[RK]],TableTEVORP[RK],0)),"")</f>
        <v>7</v>
      </c>
      <c r="BI217" s="116">
        <f>IFERROR(INDEX(TableTEVORP[FPS],MATCH(TableWRTEMaster[[#This Row],[RK]],TableTEVORP[RK],0)),"")</f>
        <v>99.558300157164425</v>
      </c>
      <c r="BJ217" s="117">
        <f>IFERROR(INDEX(TableTEVORP[VORP],MATCH(TableWRTEMaster[[#This Row],[RK]],TableTEVORP[RK],0)),"")</f>
        <v>-0.24370226072856388</v>
      </c>
    </row>
    <row r="218" spans="15:62" x14ac:dyDescent="0.2">
      <c r="O218">
        <v>217</v>
      </c>
      <c r="P218" s="112" t="str">
        <f>IFERROR(INDEX(TableWRCalcPts[PLAYER],MATCH(TableWRVORP[[#This Row],[RK]],TableWRCalcPts[RK],0)),"")</f>
        <v/>
      </c>
      <c r="Q218" s="112" t="str">
        <f>IFERROR(INDEX(TableWRCalcPts[TM],MATCH(TableWRVORP[[#This Row],[RK]],TableWRCalcPts[RK],0)),"")</f>
        <v/>
      </c>
      <c r="R218" s="112" t="str">
        <f>IFERROR(INDEX(TableWRCalcPts[BYE],MATCH(TableWRVORP[[#This Row],[RK]],TableWRCalcPts[RK],0)),"")</f>
        <v/>
      </c>
      <c r="S218" s="113" t="str">
        <f>IFERROR(INDEX(TableWRCalcPts[Custom],MATCH(TableWRVORP[[#This Row],[RK]],TableWRCalcPts[RK],0)),"")</f>
        <v/>
      </c>
      <c r="T218" s="114" t="e">
        <f>(IFERROR((TableWRVORP[[#This Row],[FPS]]-INDEX(TableWRVORP[FPS],MATCH(WRVORPCalc,TableWRVORP[RK],0)))/INDEX(TableWRVORP[FPS],MATCH(WRVORPCalc,TableWRVORP[RK],0)),""))*1.2</f>
        <v>#VALUE!</v>
      </c>
      <c r="AF218" t="s">
        <v>208</v>
      </c>
      <c r="AG218">
        <v>77</v>
      </c>
      <c r="AH218" s="83">
        <f>RANK(TableOverallMaster[[#This Row],[VORP]],TableOverallMaster[VORP])+COUNTIF($AM$2:AM218,AM218)-1</f>
        <v>195</v>
      </c>
      <c r="AI218" s="115" t="str">
        <f>IFERROR(INDEX(TableWRVORP[WIDE RECEIVER],MATCH(TableOverallMaster[[#This Row],[RK]],TableWRVORP[RK],0)),"")</f>
        <v>Malachi Corley</v>
      </c>
      <c r="AJ218" s="115" t="str">
        <f t="shared" si="3"/>
        <v>WR77</v>
      </c>
      <c r="AK218" s="115">
        <f>IFERROR(INDEX(TableWRVORP[BYE],MATCH(TableOverallMaster[[#This Row],[RK]],TableWRVORP[RK],0)),"")</f>
        <v>12</v>
      </c>
      <c r="AL218" s="116">
        <f>IFERROR(INDEX(TableWRVORP[FPS],MATCH(TableOverallMaster[[#This Row],[RK]],TableWRVORP[RK],0)),"")</f>
        <v>103.06146196052893</v>
      </c>
      <c r="AM218" s="117">
        <f>IFERROR(INDEX(TableWRVORP[VORP],MATCH(TableOverallMaster[[#This Row],[RK]],TableWRVORP[RK],0)),"")</f>
        <v>-0.35993410906501272</v>
      </c>
      <c r="AO218">
        <v>217</v>
      </c>
      <c r="AP218" s="118" t="str">
        <f>IFERROR(INDEX(TableOverallMaster[OVERALL PLAYER],MATCH(TableOverallRank[[#This Row],[RK]],TableOverallMaster[OVR RK],0)),"")</f>
        <v>Ja'Lynn Polk</v>
      </c>
      <c r="AQ218" s="119" t="str">
        <f>IFERROR(INDEX(TableOverallMaster[POS RK],MATCH(TableOverallRank[[#This Row],[OVERALL PLAYER]],TableOverallMaster[OVERALL PLAYER],0)),"")</f>
        <v>WR86</v>
      </c>
      <c r="AR218" s="120">
        <f>IFERROR(INDEX(TableOverallMaster[BYE],MATCH(TableOverallRank[[#This Row],[OVERALL PLAYER]],TableOverallMaster[OVERALL PLAYER],0)),"")</f>
        <v>14</v>
      </c>
      <c r="AS218" s="119">
        <f>IFERROR(INDEX(TableOverallMaster[Custom],MATCH(TableOverallRank[[#This Row],[OVERALL PLAYER]],TableOverallMaster[OVERALL PLAYER],0)),"")</f>
        <v>92.520147055073906</v>
      </c>
      <c r="AT218" s="121">
        <f>IFERROR(INDEX(TableOverallMaster[VORP],MATCH(TableOverallRank[[#This Row],[OVERALL PLAYER]],TableOverallMaster[OVERALL PLAYER],0)),"")</f>
        <v>-0.4458575854956966</v>
      </c>
      <c r="AV218">
        <v>217</v>
      </c>
      <c r="AW218" s="122" t="str">
        <f>IFERROR(INDEX(TableWRTECalcPts[PLAYER],MATCH(TableWRTERank[[#This Row],[RK]],TableWRTECalcPts[RK],0)),"")</f>
        <v>Laviska Shenault</v>
      </c>
      <c r="AX218" s="122" t="str">
        <f>IFERROR(INDEX(TableWRTECalcPts[POS RK],MATCH(TableWRTERank[[#This Row],[WR and TE COMBINED]],TableWRTECalcPts[PLAYER],0)),"")</f>
        <v>WR153</v>
      </c>
      <c r="AY218" s="122">
        <f>IFERROR(INDEX(TableWRTECalcPts[BYE],MATCH(TableWRTERank[[#This Row],[RK]],TableWRTECalcPts[RK],0)),"")</f>
        <v>10</v>
      </c>
      <c r="AZ218" s="123">
        <f>IFERROR(INDEX(TableWRTECalcPts[Custom],MATCH(TableWRTERank[[#This Row],[RK]],TableWRTECalcPts[RK],0)),"")</f>
        <v>14.629293969015656</v>
      </c>
      <c r="BA218" s="174">
        <f>IFERROR((TableWRTERank[[#This Row],[FPS]]-INDEX(TableWRTERank[FPS],MATCH(WRTEVORPCalc,TableWRTERank[RK],0)))/INDEX(TableWRTERank[FPS],MATCH(WRTEVORPCalc,TableWRTERank[RK],0)),"")</f>
        <v>-0.90677412016947112</v>
      </c>
      <c r="BC218" t="s">
        <v>10</v>
      </c>
      <c r="BD218">
        <v>17</v>
      </c>
      <c r="BE218" s="83">
        <f>RANK(TableWRTEMaster[[#This Row],[VORP]],TableWRTEMaster[VORP])+COUNTIF($BJ$2:BJ218,BJ218)-1</f>
        <v>87</v>
      </c>
      <c r="BF218" s="115" t="str">
        <f>IFERROR(INDEX(TableTEVORP[TIGHT END],MATCH(TableWRTEMaster[[#This Row],[RK]],TableTEVORP[RK],0)),"")</f>
        <v>Dalton Schultz</v>
      </c>
      <c r="BG218" s="115" t="str">
        <f>_xlfn.CONCAT(TableWRTEMaster[[#This Row],[POS]],TableWRTEMaster[[#This Row],[RK]])</f>
        <v>TE17</v>
      </c>
      <c r="BH218" s="115">
        <f>IFERROR(INDEX(TableTEVORP[BYE],MATCH(TableWRTEMaster[[#This Row],[RK]],TableTEVORP[RK],0)),"")</f>
        <v>14</v>
      </c>
      <c r="BI218" s="116">
        <f>IFERROR(INDEX(TableTEVORP[FPS],MATCH(TableWRTEMaster[[#This Row],[RK]],TableTEVORP[RK],0)),"")</f>
        <v>98.459944410737833</v>
      </c>
      <c r="BJ218" s="117">
        <f>IFERROR(INDEX(TableTEVORP[VORP],MATCH(TableWRTEMaster[[#This Row],[RK]],TableTEVORP[RK],0)),"")</f>
        <v>-0.25204595449017786</v>
      </c>
    </row>
    <row r="219" spans="15:62" x14ac:dyDescent="0.2">
      <c r="O219">
        <v>218</v>
      </c>
      <c r="P219" s="112" t="str">
        <f>IFERROR(INDEX(TableWRCalcPts[PLAYER],MATCH(TableWRVORP[[#This Row],[RK]],TableWRCalcPts[RK],0)),"")</f>
        <v/>
      </c>
      <c r="Q219" s="112" t="str">
        <f>IFERROR(INDEX(TableWRCalcPts[TM],MATCH(TableWRVORP[[#This Row],[RK]],TableWRCalcPts[RK],0)),"")</f>
        <v/>
      </c>
      <c r="R219" s="112" t="str">
        <f>IFERROR(INDEX(TableWRCalcPts[BYE],MATCH(TableWRVORP[[#This Row],[RK]],TableWRCalcPts[RK],0)),"")</f>
        <v/>
      </c>
      <c r="S219" s="113" t="str">
        <f>IFERROR(INDEX(TableWRCalcPts[Custom],MATCH(TableWRVORP[[#This Row],[RK]],TableWRCalcPts[RK],0)),"")</f>
        <v/>
      </c>
      <c r="T219" s="114" t="e">
        <f>(IFERROR((TableWRVORP[[#This Row],[FPS]]-INDEX(TableWRVORP[FPS],MATCH(WRVORPCalc,TableWRVORP[RK],0)))/INDEX(TableWRVORP[FPS],MATCH(WRVORPCalc,TableWRVORP[RK],0)),""))*1.2</f>
        <v>#VALUE!</v>
      </c>
      <c r="AF219" t="s">
        <v>208</v>
      </c>
      <c r="AG219">
        <v>78</v>
      </c>
      <c r="AH219" s="83">
        <f>RANK(TableOverallMaster[[#This Row],[VORP]],TableOverallMaster[VORP])+COUNTIF($AM$2:AM219,AM219)-1</f>
        <v>197</v>
      </c>
      <c r="AI219" s="115" t="str">
        <f>IFERROR(INDEX(TableWRVORP[WIDE RECEIVER],MATCH(TableOverallMaster[[#This Row],[RK]],TableWRVORP[RK],0)),"")</f>
        <v>Elijah Moore</v>
      </c>
      <c r="AJ219" s="115" t="str">
        <f t="shared" si="3"/>
        <v>WR78</v>
      </c>
      <c r="AK219" s="115">
        <f>IFERROR(INDEX(TableWRVORP[BYE],MATCH(TableOverallMaster[[#This Row],[RK]],TableWRVORP[RK],0)),"")</f>
        <v>10</v>
      </c>
      <c r="AL219" s="116">
        <f>IFERROR(INDEX(TableWRVORP[FPS],MATCH(TableOverallMaster[[#This Row],[RK]],TableWRVORP[RK],0)),"")</f>
        <v>102.86910659024997</v>
      </c>
      <c r="AM219" s="117">
        <f>IFERROR(INDEX(TableWRVORP[VORP],MATCH(TableOverallMaster[[#This Row],[RK]],TableWRVORP[RK],0)),"")</f>
        <v>-0.36150201992553793</v>
      </c>
      <c r="AO219">
        <v>218</v>
      </c>
      <c r="AP219" s="118" t="str">
        <f>IFERROR(INDEX(TableOverallMaster[OVERALL PLAYER],MATCH(TableOverallRank[[#This Row],[RK]],TableOverallMaster[OVR RK],0)),"")</f>
        <v>Greg Dulcich</v>
      </c>
      <c r="AQ219" s="119" t="str">
        <f>IFERROR(INDEX(TableOverallMaster[POS RK],MATCH(TableOverallRank[[#This Row],[OVERALL PLAYER]],TableOverallMaster[OVERALL PLAYER],0)),"")</f>
        <v>TE31</v>
      </c>
      <c r="AR219" s="120">
        <f>IFERROR(INDEX(TableOverallMaster[BYE],MATCH(TableOverallRank[[#This Row],[OVERALL PLAYER]],TableOverallMaster[OVERALL PLAYER],0)),"")</f>
        <v>14</v>
      </c>
      <c r="AS219" s="119">
        <f>IFERROR(INDEX(TableOverallMaster[Custom],MATCH(TableOverallRank[[#This Row],[OVERALL PLAYER]],TableOverallMaster[OVERALL PLAYER],0)),"")</f>
        <v>72.597638439045213</v>
      </c>
      <c r="AT219" s="121">
        <f>IFERROR(INDEX(TableOverallMaster[VORP],MATCH(TableOverallRank[[#This Row],[OVERALL PLAYER]],TableOverallMaster[OVERALL PLAYER],0)),"")</f>
        <v>-0.44850977024295957</v>
      </c>
      <c r="AV219">
        <v>218</v>
      </c>
      <c r="AW219" s="122" t="str">
        <f>IFERROR(INDEX(TableWRTECalcPts[PLAYER],MATCH(TableWRTERank[[#This Row],[RK]],TableWRTECalcPts[RK],0)),"")</f>
        <v>Velus Jones</v>
      </c>
      <c r="AX219" s="122" t="str">
        <f>IFERROR(INDEX(TableWRTECalcPts[POS RK],MATCH(TableWRTERank[[#This Row],[WR and TE COMBINED]],TableWRTECalcPts[PLAYER],0)),"")</f>
        <v>WR154</v>
      </c>
      <c r="AY219" s="122">
        <f>IFERROR(INDEX(TableWRTECalcPts[BYE],MATCH(TableWRTERank[[#This Row],[RK]],TableWRTECalcPts[RK],0)),"")</f>
        <v>7</v>
      </c>
      <c r="AZ219" s="123">
        <f>IFERROR(INDEX(TableWRTECalcPts[Custom],MATCH(TableWRTERank[[#This Row],[RK]],TableWRTECalcPts[RK],0)),"")</f>
        <v>14.476907333664046</v>
      </c>
      <c r="BA219" s="174">
        <f>IFERROR((TableWRTERank[[#This Row],[FPS]]-INDEX(TableWRTERank[FPS],MATCH(WRTEVORPCalc,TableWRTERank[RK],0)))/INDEX(TableWRTERank[FPS],MATCH(WRTEVORPCalc,TableWRTERank[RK],0)),"")</f>
        <v>-0.907745211336629</v>
      </c>
      <c r="BC219" t="s">
        <v>10</v>
      </c>
      <c r="BD219">
        <v>18</v>
      </c>
      <c r="BE219" s="83">
        <f>RANK(TableWRTEMaster[[#This Row],[VORP]],TableWRTEMaster[VORP])+COUNTIF($BJ$2:BJ219,BJ219)-1</f>
        <v>90</v>
      </c>
      <c r="BF219" s="115" t="str">
        <f>IFERROR(INDEX(TableTEVORP[TIGHT END],MATCH(TableWRTEMaster[[#This Row],[RK]],TableTEVORP[RK],0)),"")</f>
        <v>Mike Gesicki</v>
      </c>
      <c r="BG219" s="115" t="str">
        <f>_xlfn.CONCAT(TableWRTEMaster[[#This Row],[POS]],TableWRTEMaster[[#This Row],[RK]])</f>
        <v>TE18</v>
      </c>
      <c r="BH219" s="115">
        <f>IFERROR(INDEX(TableTEVORP[BYE],MATCH(TableWRTEMaster[[#This Row],[RK]],TableTEVORP[RK],0)),"")</f>
        <v>12</v>
      </c>
      <c r="BI219" s="116">
        <f>IFERROR(INDEX(TableTEVORP[FPS],MATCH(TableWRTEMaster[[#This Row],[RK]],TableTEVORP[RK],0)),"")</f>
        <v>96.879813101035438</v>
      </c>
      <c r="BJ219" s="117">
        <f>IFERROR(INDEX(TableTEVORP[VORP],MATCH(TableWRTEMaster[[#This Row],[RK]],TableTEVORP[RK],0)),"")</f>
        <v>-0.26404947137820634</v>
      </c>
    </row>
    <row r="220" spans="15:62" x14ac:dyDescent="0.2">
      <c r="O220">
        <v>219</v>
      </c>
      <c r="P220" s="112" t="str">
        <f>IFERROR(INDEX(TableWRCalcPts[PLAYER],MATCH(TableWRVORP[[#This Row],[RK]],TableWRCalcPts[RK],0)),"")</f>
        <v/>
      </c>
      <c r="Q220" s="112" t="str">
        <f>IFERROR(INDEX(TableWRCalcPts[TM],MATCH(TableWRVORP[[#This Row],[RK]],TableWRCalcPts[RK],0)),"")</f>
        <v/>
      </c>
      <c r="R220" s="112" t="str">
        <f>IFERROR(INDEX(TableWRCalcPts[BYE],MATCH(TableWRVORP[[#This Row],[RK]],TableWRCalcPts[RK],0)),"")</f>
        <v/>
      </c>
      <c r="S220" s="113" t="str">
        <f>IFERROR(INDEX(TableWRCalcPts[Custom],MATCH(TableWRVORP[[#This Row],[RK]],TableWRCalcPts[RK],0)),"")</f>
        <v/>
      </c>
      <c r="T220" s="114" t="e">
        <f>(IFERROR((TableWRVORP[[#This Row],[FPS]]-INDEX(TableWRVORP[FPS],MATCH(WRVORPCalc,TableWRVORP[RK],0)))/INDEX(TableWRVORP[FPS],MATCH(WRVORPCalc,TableWRVORP[RK],0)),""))*1.2</f>
        <v>#VALUE!</v>
      </c>
      <c r="AF220" t="s">
        <v>208</v>
      </c>
      <c r="AG220">
        <v>79</v>
      </c>
      <c r="AH220" s="83">
        <f>RANK(TableOverallMaster[[#This Row],[VORP]],TableOverallMaster[VORP])+COUNTIF($AM$2:AM220,AM220)-1</f>
        <v>199</v>
      </c>
      <c r="AI220" s="115" t="str">
        <f>IFERROR(INDEX(TableWRVORP[WIDE RECEIVER],MATCH(TableOverallMaster[[#This Row],[RK]],TableWRVORP[RK],0)),"")</f>
        <v>Roman Wilson</v>
      </c>
      <c r="AJ220" s="115" t="str">
        <f t="shared" si="3"/>
        <v>WR79</v>
      </c>
      <c r="AK220" s="115">
        <f>IFERROR(INDEX(TableWRVORP[BYE],MATCH(TableOverallMaster[[#This Row],[RK]],TableWRVORP[RK],0)),"")</f>
        <v>9</v>
      </c>
      <c r="AL220" s="116">
        <f>IFERROR(INDEX(TableWRVORP[FPS],MATCH(TableOverallMaster[[#This Row],[RK]],TableWRVORP[RK],0)),"")</f>
        <v>100.98603118800001</v>
      </c>
      <c r="AM220" s="117">
        <f>IFERROR(INDEX(TableWRVORP[VORP],MATCH(TableOverallMaster[[#This Row],[RK]],TableWRVORP[RK],0)),"")</f>
        <v>-0.37685118522356875</v>
      </c>
      <c r="AO220">
        <v>219</v>
      </c>
      <c r="AP220" s="118" t="str">
        <f>IFERROR(INDEX(TableOverallMaster[OVERALL PLAYER],MATCH(TableOverallRank[[#This Row],[RK]],TableOverallMaster[OVR RK],0)),"")</f>
        <v>Gardner Minshew</v>
      </c>
      <c r="AQ220" s="119" t="str">
        <f>IFERROR(INDEX(TableOverallMaster[POS RK],MATCH(TableOverallRank[[#This Row],[OVERALL PLAYER]],TableOverallMaster[OVERALL PLAYER],0)),"")</f>
        <v>QB32</v>
      </c>
      <c r="AR220" s="120">
        <f>IFERROR(INDEX(TableOverallMaster[BYE],MATCH(TableOverallRank[[#This Row],[OVERALL PLAYER]],TableOverallMaster[OVERALL PLAYER],0)),"")</f>
        <v>10</v>
      </c>
      <c r="AS220" s="119">
        <f>IFERROR(INDEX(TableOverallMaster[Custom],MATCH(TableOverallRank[[#This Row],[OVERALL PLAYER]],TableOverallMaster[OVERALL PLAYER],0)),"")</f>
        <v>157.03372905387877</v>
      </c>
      <c r="AT220" s="121">
        <f>IFERROR(INDEX(TableOverallMaster[VORP],MATCH(TableOverallRank[[#This Row],[OVERALL PLAYER]],TableOverallMaster[OVERALL PLAYER],0)),"")</f>
        <v>-0.46050472440967438</v>
      </c>
      <c r="AV220">
        <v>219</v>
      </c>
      <c r="AW220" s="122" t="str">
        <f>IFERROR(INDEX(TableWRTECalcPts[PLAYER],MATCH(TableWRTERank[[#This Row],[RK]],TableWRTECalcPts[RK],0)),"")</f>
        <v>Xavier Hutchinson</v>
      </c>
      <c r="AX220" s="122" t="str">
        <f>IFERROR(INDEX(TableWRTECalcPts[POS RK],MATCH(TableWRTERank[[#This Row],[WR and TE COMBINED]],TableWRTECalcPts[PLAYER],0)),"")</f>
        <v>WR155</v>
      </c>
      <c r="AY220" s="122">
        <f>IFERROR(INDEX(TableWRTECalcPts[BYE],MATCH(TableWRTERank[[#This Row],[RK]],TableWRTECalcPts[RK],0)),"")</f>
        <v>14</v>
      </c>
      <c r="AZ220" s="123">
        <f>IFERROR(INDEX(TableWRTECalcPts[Custom],MATCH(TableWRTERank[[#This Row],[RK]],TableWRTECalcPts[RK],0)),"")</f>
        <v>14.406193515022382</v>
      </c>
      <c r="BA220" s="174">
        <f>IFERROR((TableWRTERank[[#This Row],[FPS]]-INDEX(TableWRTERank[FPS],MATCH(WRTEVORPCalc,TableWRTERank[RK],0)))/INDEX(TableWRTERank[FPS],MATCH(WRTEVORPCalc,TableWRTERank[RK],0)),"")</f>
        <v>-0.90819583854892028</v>
      </c>
      <c r="BC220" t="s">
        <v>10</v>
      </c>
      <c r="BD220">
        <v>19</v>
      </c>
      <c r="BE220" s="83">
        <f>RANK(TableWRTEMaster[[#This Row],[VORP]],TableWRTEMaster[VORP])+COUNTIF($BJ$2:BJ220,BJ220)-1</f>
        <v>92</v>
      </c>
      <c r="BF220" s="115" t="str">
        <f>IFERROR(INDEX(TableTEVORP[TIGHT END],MATCH(TableWRTEMaster[[#This Row],[RK]],TableTEVORP[RK],0)),"")</f>
        <v>Luke Musgrave</v>
      </c>
      <c r="BG220" s="115" t="str">
        <f>_xlfn.CONCAT(TableWRTEMaster[[#This Row],[POS]],TableWRTEMaster[[#This Row],[RK]])</f>
        <v>TE19</v>
      </c>
      <c r="BH220" s="115">
        <f>IFERROR(INDEX(TableTEVORP[BYE],MATCH(TableWRTEMaster[[#This Row],[RK]],TableTEVORP[RK],0)),"")</f>
        <v>10</v>
      </c>
      <c r="BI220" s="116">
        <f>IFERROR(INDEX(TableTEVORP[FPS],MATCH(TableWRTEMaster[[#This Row],[RK]],TableTEVORP[RK],0)),"")</f>
        <v>95.806678079854066</v>
      </c>
      <c r="BJ220" s="117">
        <f>IFERROR(INDEX(TableTEVORP[VORP],MATCH(TableWRTEMaster[[#This Row],[RK]],TableTEVORP[RK],0)),"")</f>
        <v>-0.27220157511211157</v>
      </c>
    </row>
    <row r="221" spans="15:62" x14ac:dyDescent="0.2">
      <c r="O221">
        <v>220</v>
      </c>
      <c r="P221" s="112" t="str">
        <f>IFERROR(INDEX(TableWRCalcPts[PLAYER],MATCH(TableWRVORP[[#This Row],[RK]],TableWRCalcPts[RK],0)),"")</f>
        <v/>
      </c>
      <c r="Q221" s="112" t="str">
        <f>IFERROR(INDEX(TableWRCalcPts[TM],MATCH(TableWRVORP[[#This Row],[RK]],TableWRCalcPts[RK],0)),"")</f>
        <v/>
      </c>
      <c r="R221" s="112" t="str">
        <f>IFERROR(INDEX(TableWRCalcPts[BYE],MATCH(TableWRVORP[[#This Row],[RK]],TableWRCalcPts[RK],0)),"")</f>
        <v/>
      </c>
      <c r="S221" s="113" t="str">
        <f>IFERROR(INDEX(TableWRCalcPts[Custom],MATCH(TableWRVORP[[#This Row],[RK]],TableWRCalcPts[RK],0)),"")</f>
        <v/>
      </c>
      <c r="T221" s="114" t="e">
        <f>(IFERROR((TableWRVORP[[#This Row],[FPS]]-INDEX(TableWRVORP[FPS],MATCH(WRVORPCalc,TableWRVORP[RK],0)))/INDEX(TableWRVORP[FPS],MATCH(WRVORPCalc,TableWRVORP[RK],0)),""))*1.2</f>
        <v>#VALUE!</v>
      </c>
      <c r="AF221" t="s">
        <v>208</v>
      </c>
      <c r="AG221">
        <v>80</v>
      </c>
      <c r="AH221" s="83">
        <f>RANK(TableOverallMaster[[#This Row],[VORP]],TableOverallMaster[VORP])+COUNTIF($AM$2:AM221,AM221)-1</f>
        <v>201</v>
      </c>
      <c r="AI221" s="115" t="str">
        <f>IFERROR(INDEX(TableWRVORP[WIDE RECEIVER],MATCH(TableOverallMaster[[#This Row],[RK]],TableWRVORP[RK],0)),"")</f>
        <v>Van Jefferson</v>
      </c>
      <c r="AJ221" s="115" t="str">
        <f t="shared" si="3"/>
        <v>WR80</v>
      </c>
      <c r="AK221" s="115">
        <f>IFERROR(INDEX(TableWRVORP[BYE],MATCH(TableOverallMaster[[#This Row],[RK]],TableWRVORP[RK],0)),"")</f>
        <v>9</v>
      </c>
      <c r="AL221" s="116">
        <f>IFERROR(INDEX(TableWRVORP[FPS],MATCH(TableOverallMaster[[#This Row],[RK]],TableWRVORP[RK],0)),"")</f>
        <v>100.70653692455998</v>
      </c>
      <c r="AM221" s="117">
        <f>IFERROR(INDEX(TableWRVORP[VORP],MATCH(TableOverallMaster[[#This Row],[RK]],TableWRVORP[RK],0)),"")</f>
        <v>-0.37912937527600449</v>
      </c>
      <c r="AO221">
        <v>220</v>
      </c>
      <c r="AP221" s="118" t="str">
        <f>IFERROR(INDEX(TableOverallMaster[OVERALL PLAYER],MATCH(TableOverallRank[[#This Row],[RK]],TableOverallMaster[OVR RK],0)),"")</f>
        <v>Kendre Miller</v>
      </c>
      <c r="AQ221" s="119" t="str">
        <f>IFERROR(INDEX(TableOverallMaster[POS RK],MATCH(TableOverallRank[[#This Row],[OVERALL PLAYER]],TableOverallMaster[OVERALL PLAYER],0)),"")</f>
        <v>RB71</v>
      </c>
      <c r="AR221" s="120">
        <f>IFERROR(INDEX(TableOverallMaster[BYE],MATCH(TableOverallRank[[#This Row],[OVERALL PLAYER]],TableOverallMaster[OVERALL PLAYER],0)),"")</f>
        <v>12</v>
      </c>
      <c r="AS221" s="119">
        <f>IFERROR(INDEX(TableOverallMaster[Custom],MATCH(TableOverallRank[[#This Row],[OVERALL PLAYER]],TableOverallMaster[OVERALL PLAYER],0)),"")</f>
        <v>50.418412403374404</v>
      </c>
      <c r="AT221" s="121">
        <f>IFERROR(INDEX(TableOverallMaster[VORP],MATCH(TableOverallRank[[#This Row],[OVERALL PLAYER]],TableOverallMaster[OVERALL PLAYER],0)),"")</f>
        <v>-0.46363303790854254</v>
      </c>
      <c r="AV221">
        <v>220</v>
      </c>
      <c r="AW221" s="122" t="str">
        <f>IFERROR(INDEX(TableWRTECalcPts[PLAYER],MATCH(TableWRTERank[[#This Row],[RK]],TableWRTECalcPts[RK],0)),"")</f>
        <v>Harrison Bryant</v>
      </c>
      <c r="AX221" s="122" t="str">
        <f>IFERROR(INDEX(TableWRTECalcPts[POS RK],MATCH(TableWRTERank[[#This Row],[WR and TE COMBINED]],TableWRTECalcPts[PLAYER],0)),"")</f>
        <v>TE65</v>
      </c>
      <c r="AY221" s="122">
        <f>IFERROR(INDEX(TableWRTECalcPts[BYE],MATCH(TableWRTERank[[#This Row],[RK]],TableWRTECalcPts[RK],0)),"")</f>
        <v>10</v>
      </c>
      <c r="AZ221" s="123">
        <f>IFERROR(INDEX(TableWRTECalcPts[Custom],MATCH(TableWRTERank[[#This Row],[RK]],TableWRTECalcPts[RK],0)),"")</f>
        <v>13.931348290998656</v>
      </c>
      <c r="BA221" s="174">
        <f>IFERROR((TableWRTERank[[#This Row],[FPS]]-INDEX(TableWRTERank[FPS],MATCH(WRTEVORPCalc,TableWRTERank[RK],0)))/INDEX(TableWRTERank[FPS],MATCH(WRTEVORPCalc,TableWRTERank[RK],0)),"")</f>
        <v>-0.9112218125902305</v>
      </c>
      <c r="BC221" t="s">
        <v>10</v>
      </c>
      <c r="BD221">
        <v>20</v>
      </c>
      <c r="BE221" s="83">
        <f>RANK(TableWRTEMaster[[#This Row],[VORP]],TableWRTEMaster[VORP])+COUNTIF($BJ$2:BJ221,BJ221)-1</f>
        <v>93</v>
      </c>
      <c r="BF221" s="115" t="str">
        <f>IFERROR(INDEX(TableTEVORP[TIGHT END],MATCH(TableWRTEMaster[[#This Row],[RK]],TableTEVORP[RK],0)),"")</f>
        <v>Cade Otton</v>
      </c>
      <c r="BG221" s="115" t="str">
        <f>_xlfn.CONCAT(TableWRTEMaster[[#This Row],[POS]],TableWRTEMaster[[#This Row],[RK]])</f>
        <v>TE20</v>
      </c>
      <c r="BH221" s="115">
        <f>IFERROR(INDEX(TableTEVORP[BYE],MATCH(TableWRTEMaster[[#This Row],[RK]],TableTEVORP[RK],0)),"")</f>
        <v>11</v>
      </c>
      <c r="BI221" s="116">
        <f>IFERROR(INDEX(TableTEVORP[FPS],MATCH(TableWRTEMaster[[#This Row],[RK]],TableTEVORP[RK],0)),"")</f>
        <v>93.69854319917674</v>
      </c>
      <c r="BJ221" s="117">
        <f>IFERROR(INDEX(TableTEVORP[VORP],MATCH(TableWRTEMaster[[#This Row],[RK]],TableTEVORP[RK],0)),"")</f>
        <v>-0.28821608763209844</v>
      </c>
    </row>
    <row r="222" spans="15:62" x14ac:dyDescent="0.2">
      <c r="O222">
        <v>221</v>
      </c>
      <c r="P222" s="112" t="str">
        <f>IFERROR(INDEX(TableWRCalcPts[PLAYER],MATCH(TableWRVORP[[#This Row],[RK]],TableWRCalcPts[RK],0)),"")</f>
        <v/>
      </c>
      <c r="Q222" s="112" t="str">
        <f>IFERROR(INDEX(TableWRCalcPts[TM],MATCH(TableWRVORP[[#This Row],[RK]],TableWRCalcPts[RK],0)),"")</f>
        <v/>
      </c>
      <c r="R222" s="112" t="str">
        <f>IFERROR(INDEX(TableWRCalcPts[BYE],MATCH(TableWRVORP[[#This Row],[RK]],TableWRCalcPts[RK],0)),"")</f>
        <v/>
      </c>
      <c r="S222" s="113" t="str">
        <f>IFERROR(INDEX(TableWRCalcPts[Custom],MATCH(TableWRVORP[[#This Row],[RK]],TableWRCalcPts[RK],0)),"")</f>
        <v/>
      </c>
      <c r="T222" s="114" t="e">
        <f>(IFERROR((TableWRVORP[[#This Row],[FPS]]-INDEX(TableWRVORP[FPS],MATCH(WRVORPCalc,TableWRVORP[RK],0)))/INDEX(TableWRVORP[FPS],MATCH(WRVORPCalc,TableWRVORP[RK],0)),""))*1.2</f>
        <v>#VALUE!</v>
      </c>
      <c r="AF222" t="s">
        <v>208</v>
      </c>
      <c r="AG222">
        <v>81</v>
      </c>
      <c r="AH222" s="83">
        <f>RANK(TableOverallMaster[[#This Row],[VORP]],TableOverallMaster[VORP])+COUNTIF($AM$2:AM222,AM222)-1</f>
        <v>202</v>
      </c>
      <c r="AI222" s="115" t="str">
        <f>IFERROR(INDEX(TableWRVORP[WIDE RECEIVER],MATCH(TableOverallMaster[[#This Row],[RK]],TableWRVORP[RK],0)),"")</f>
        <v>Andrei Iosivas</v>
      </c>
      <c r="AJ222" s="115" t="str">
        <f t="shared" si="3"/>
        <v>WR81</v>
      </c>
      <c r="AK222" s="115">
        <f>IFERROR(INDEX(TableWRVORP[BYE],MATCH(TableOverallMaster[[#This Row],[RK]],TableWRVORP[RK],0)),"")</f>
        <v>12</v>
      </c>
      <c r="AL222" s="116">
        <f>IFERROR(INDEX(TableWRVORP[FPS],MATCH(TableOverallMaster[[#This Row],[RK]],TableWRVORP[RK],0)),"")</f>
        <v>100.65472719338064</v>
      </c>
      <c r="AM222" s="117">
        <f>IFERROR(INDEX(TableWRVORP[VORP],MATCH(TableOverallMaster[[#This Row],[RK]],TableWRVORP[RK],0)),"")</f>
        <v>-0.37955168238434872</v>
      </c>
      <c r="AO222">
        <v>221</v>
      </c>
      <c r="AP222" s="118" t="str">
        <f>IFERROR(INDEX(TableOverallMaster[OVERALL PLAYER],MATCH(TableOverallRank[[#This Row],[RK]],TableOverallMaster[OVR RK],0)),"")</f>
        <v>Nelson Agholor</v>
      </c>
      <c r="AQ222" s="119" t="str">
        <f>IFERROR(INDEX(TableOverallMaster[POS RK],MATCH(TableOverallRank[[#This Row],[OVERALL PLAYER]],TableOverallMaster[OVERALL PLAYER],0)),"")</f>
        <v>WR87</v>
      </c>
      <c r="AR222" s="120">
        <f>IFERROR(INDEX(TableOverallMaster[BYE],MATCH(TableOverallRank[[#This Row],[OVERALL PLAYER]],TableOverallMaster[OVERALL PLAYER],0)),"")</f>
        <v>14</v>
      </c>
      <c r="AS222" s="119">
        <f>IFERROR(INDEX(TableOverallMaster[Custom],MATCH(TableOverallRank[[#This Row],[OVERALL PLAYER]],TableOverallMaster[OVERALL PLAYER],0)),"")</f>
        <v>88.344267554403842</v>
      </c>
      <c r="AT222" s="121">
        <f>IFERROR(INDEX(TableOverallMaster[VORP],MATCH(TableOverallRank[[#This Row],[OVERALL PLAYER]],TableOverallMaster[OVERALL PLAYER],0)),"")</f>
        <v>-0.47989566206122275</v>
      </c>
      <c r="AV222">
        <v>221</v>
      </c>
      <c r="AW222" s="122" t="str">
        <f>IFERROR(INDEX(TableWRTECalcPts[PLAYER],MATCH(TableWRTERank[[#This Row],[RK]],TableWRTECalcPts[RK],0)),"")</f>
        <v>Jamison Crowder</v>
      </c>
      <c r="AX222" s="122" t="str">
        <f>IFERROR(INDEX(TableWRTECalcPts[POS RK],MATCH(TableWRTERank[[#This Row],[WR and TE COMBINED]],TableWRTECalcPts[PLAYER],0)),"")</f>
        <v>WR156</v>
      </c>
      <c r="AY222" s="122">
        <f>IFERROR(INDEX(TableWRTECalcPts[BYE],MATCH(TableWRTERank[[#This Row],[RK]],TableWRTECalcPts[RK],0)),"")</f>
        <v>14</v>
      </c>
      <c r="AZ222" s="123">
        <f>IFERROR(INDEX(TableWRTECalcPts[Custom],MATCH(TableWRTERank[[#This Row],[RK]],TableWRTECalcPts[RK],0)),"")</f>
        <v>13.927226789448</v>
      </c>
      <c r="BA222" s="174">
        <f>IFERROR((TableWRTERank[[#This Row],[FPS]]-INDEX(TableWRTERank[FPS],MATCH(WRTEVORPCalc,TableWRTERank[RK],0)))/INDEX(TableWRTERank[FPS],MATCH(WRTEVORPCalc,TableWRTERank[RK],0)),"")</f>
        <v>-0.91124807705720301</v>
      </c>
      <c r="BC222" t="s">
        <v>10</v>
      </c>
      <c r="BD222">
        <v>21</v>
      </c>
      <c r="BE222" s="83">
        <f>RANK(TableWRTEMaster[[#This Row],[VORP]],TableWRTEMaster[VORP])+COUNTIF($BJ$2:BJ222,BJ222)-1</f>
        <v>94</v>
      </c>
      <c r="BF222" s="115" t="str">
        <f>IFERROR(INDEX(TableTEVORP[TIGHT END],MATCH(TableWRTEMaster[[#This Row],[RK]],TableTEVORP[RK],0)),"")</f>
        <v>Tyler Conklin</v>
      </c>
      <c r="BG222" s="115" t="str">
        <f>_xlfn.CONCAT(TableWRTEMaster[[#This Row],[POS]],TableWRTEMaster[[#This Row],[RK]])</f>
        <v>TE21</v>
      </c>
      <c r="BH222" s="115">
        <f>IFERROR(INDEX(TableTEVORP[BYE],MATCH(TableWRTEMaster[[#This Row],[RK]],TableTEVORP[RK],0)),"")</f>
        <v>12</v>
      </c>
      <c r="BI222" s="116">
        <f>IFERROR(INDEX(TableTEVORP[FPS],MATCH(TableWRTEMaster[[#This Row],[RK]],TableTEVORP[RK],0)),"")</f>
        <v>92.077826494206874</v>
      </c>
      <c r="BJ222" s="117">
        <f>IFERROR(INDEX(TableTEVORP[VORP],MATCH(TableWRTEMaster[[#This Row],[RK]],TableTEVORP[RK],0)),"")</f>
        <v>-0.30052791274394924</v>
      </c>
    </row>
    <row r="223" spans="15:62" x14ac:dyDescent="0.2">
      <c r="O223">
        <v>222</v>
      </c>
      <c r="P223" s="112" t="str">
        <f>IFERROR(INDEX(TableWRCalcPts[PLAYER],MATCH(TableWRVORP[[#This Row],[RK]],TableWRCalcPts[RK],0)),"")</f>
        <v/>
      </c>
      <c r="Q223" s="112" t="str">
        <f>IFERROR(INDEX(TableWRCalcPts[TM],MATCH(TableWRVORP[[#This Row],[RK]],TableWRCalcPts[RK],0)),"")</f>
        <v/>
      </c>
      <c r="R223" s="112" t="str">
        <f>IFERROR(INDEX(TableWRCalcPts[BYE],MATCH(TableWRVORP[[#This Row],[RK]],TableWRCalcPts[RK],0)),"")</f>
        <v/>
      </c>
      <c r="S223" s="113" t="str">
        <f>IFERROR(INDEX(TableWRCalcPts[Custom],MATCH(TableWRVORP[[#This Row],[RK]],TableWRCalcPts[RK],0)),"")</f>
        <v/>
      </c>
      <c r="T223" s="114" t="e">
        <f>(IFERROR((TableWRVORP[[#This Row],[FPS]]-INDEX(TableWRVORP[FPS],MATCH(WRVORPCalc,TableWRVORP[RK],0)))/INDEX(TableWRVORP[FPS],MATCH(WRVORPCalc,TableWRVORP[RK],0)),""))*1.2</f>
        <v>#VALUE!</v>
      </c>
      <c r="AF223" t="s">
        <v>208</v>
      </c>
      <c r="AG223">
        <v>82</v>
      </c>
      <c r="AH223" s="83">
        <f>RANK(TableOverallMaster[[#This Row],[VORP]],TableOverallMaster[VORP])+COUNTIF($AM$2:AM223,AM223)-1</f>
        <v>204</v>
      </c>
      <c r="AI223" s="115" t="str">
        <f>IFERROR(INDEX(TableWRVORP[WIDE RECEIVER],MATCH(TableOverallMaster[[#This Row],[RK]],TableWRVORP[RK],0)),"")</f>
        <v>Jermaine Burton</v>
      </c>
      <c r="AJ223" s="115" t="str">
        <f t="shared" si="3"/>
        <v>WR82</v>
      </c>
      <c r="AK223" s="115">
        <f>IFERROR(INDEX(TableWRVORP[BYE],MATCH(TableOverallMaster[[#This Row],[RK]],TableWRVORP[RK],0)),"")</f>
        <v>12</v>
      </c>
      <c r="AL223" s="116">
        <f>IFERROR(INDEX(TableWRVORP[FPS],MATCH(TableOverallMaster[[#This Row],[RK]],TableWRVORP[RK],0)),"")</f>
        <v>100.29711087656065</v>
      </c>
      <c r="AM223" s="117">
        <f>IFERROR(INDEX(TableWRVORP[VORP],MATCH(TableOverallMaster[[#This Row],[RK]],TableWRVORP[RK],0)),"")</f>
        <v>-0.38246665432524091</v>
      </c>
      <c r="AO223">
        <v>222</v>
      </c>
      <c r="AP223" s="118" t="str">
        <f>IFERROR(INDEX(TableOverallMaster[OVERALL PLAYER],MATCH(TableOverallRank[[#This Row],[RK]],TableOverallMaster[OVR RK],0)),"")</f>
        <v>Tucker Kraft</v>
      </c>
      <c r="AQ223" s="119" t="str">
        <f>IFERROR(INDEX(TableOverallMaster[POS RK],MATCH(TableOverallRank[[#This Row],[OVERALL PLAYER]],TableOverallMaster[OVERALL PLAYER],0)),"")</f>
        <v>TE32</v>
      </c>
      <c r="AR223" s="120">
        <f>IFERROR(INDEX(TableOverallMaster[BYE],MATCH(TableOverallRank[[#This Row],[OVERALL PLAYER]],TableOverallMaster[OVERALL PLAYER],0)),"")</f>
        <v>10</v>
      </c>
      <c r="AS223" s="119">
        <f>IFERROR(INDEX(TableOverallMaster[Custom],MATCH(TableOverallRank[[#This Row],[OVERALL PLAYER]],TableOverallMaster[OVERALL PLAYER],0)),"")</f>
        <v>65.127360408954189</v>
      </c>
      <c r="AT223" s="121">
        <f>IFERROR(INDEX(TableOverallMaster[VORP],MATCH(TableOverallRank[[#This Row],[OVERALL PLAYER]],TableOverallMaster[OVERALL PLAYER],0)),"")</f>
        <v>-0.50525797081456558</v>
      </c>
      <c r="AV223">
        <v>222</v>
      </c>
      <c r="AW223" s="122" t="str">
        <f>IFERROR(INDEX(TableWRTECalcPts[PLAYER],MATCH(TableWRTERank[[#This Row],[RK]],TableWRTECalcPts[RK],0)),"")</f>
        <v>Tim Jones</v>
      </c>
      <c r="AX223" s="122" t="str">
        <f>IFERROR(INDEX(TableWRTECalcPts[POS RK],MATCH(TableWRTERank[[#This Row],[WR and TE COMBINED]],TableWRTECalcPts[PLAYER],0)),"")</f>
        <v>WR157</v>
      </c>
      <c r="AY223" s="122">
        <f>IFERROR(INDEX(TableWRTECalcPts[BYE],MATCH(TableWRTERank[[#This Row],[RK]],TableWRTECalcPts[RK],0)),"")</f>
        <v>12</v>
      </c>
      <c r="AZ223" s="123">
        <f>IFERROR(INDEX(TableWRTECalcPts[Custom],MATCH(TableWRTERank[[#This Row],[RK]],TableWRTECalcPts[RK],0)),"")</f>
        <v>13.451518795651641</v>
      </c>
      <c r="BA223" s="174">
        <f>IFERROR((TableWRTERank[[#This Row],[FPS]]-INDEX(TableWRTERank[FPS],MATCH(WRTEVORPCalc,TableWRTERank[RK],0)))/INDEX(TableWRTERank[FPS],MATCH(WRTEVORPCalc,TableWRTERank[RK],0)),"")</f>
        <v>-0.91427954914040876</v>
      </c>
      <c r="BC223" t="s">
        <v>10</v>
      </c>
      <c r="BD223">
        <v>22</v>
      </c>
      <c r="BE223" s="83">
        <f>RANK(TableWRTEMaster[[#This Row],[VORP]],TableWRTEMaster[VORP])+COUNTIF($BJ$2:BJ223,BJ223)-1</f>
        <v>95</v>
      </c>
      <c r="BF223" s="115" t="str">
        <f>IFERROR(INDEX(TableTEVORP[TIGHT END],MATCH(TableWRTEMaster[[#This Row],[RK]],TableTEVORP[RK],0)),"")</f>
        <v>Juwan Johnson</v>
      </c>
      <c r="BG223" s="115" t="str">
        <f>_xlfn.CONCAT(TableWRTEMaster[[#This Row],[POS]],TableWRTEMaster[[#This Row],[RK]])</f>
        <v>TE22</v>
      </c>
      <c r="BH223" s="115">
        <f>IFERROR(INDEX(TableTEVORP[BYE],MATCH(TableWRTEMaster[[#This Row],[RK]],TableTEVORP[RK],0)),"")</f>
        <v>12</v>
      </c>
      <c r="BI223" s="116">
        <f>IFERROR(INDEX(TableTEVORP[FPS],MATCH(TableWRTEMaster[[#This Row],[RK]],TableTEVORP[RK],0)),"")</f>
        <v>91.985181995682751</v>
      </c>
      <c r="BJ223" s="117">
        <f>IFERROR(INDEX(TableTEVORP[VORP],MATCH(TableWRTEMaster[[#This Row],[RK]],TableTEVORP[RK],0)),"")</f>
        <v>-0.3012316895729944</v>
      </c>
    </row>
    <row r="224" spans="15:62" x14ac:dyDescent="0.2">
      <c r="O224">
        <v>223</v>
      </c>
      <c r="P224" s="112" t="str">
        <f>IFERROR(INDEX(TableWRCalcPts[PLAYER],MATCH(TableWRVORP[[#This Row],[RK]],TableWRCalcPts[RK],0)),"")</f>
        <v/>
      </c>
      <c r="Q224" s="112" t="str">
        <f>IFERROR(INDEX(TableWRCalcPts[TM],MATCH(TableWRVORP[[#This Row],[RK]],TableWRCalcPts[RK],0)),"")</f>
        <v/>
      </c>
      <c r="R224" s="112" t="str">
        <f>IFERROR(INDEX(TableWRCalcPts[BYE],MATCH(TableWRVORP[[#This Row],[RK]],TableWRCalcPts[RK],0)),"")</f>
        <v/>
      </c>
      <c r="S224" s="113" t="str">
        <f>IFERROR(INDEX(TableWRCalcPts[Custom],MATCH(TableWRVORP[[#This Row],[RK]],TableWRCalcPts[RK],0)),"")</f>
        <v/>
      </c>
      <c r="T224" s="114" t="e">
        <f>(IFERROR((TableWRVORP[[#This Row],[FPS]]-INDEX(TableWRVORP[FPS],MATCH(WRVORPCalc,TableWRVORP[RK],0)))/INDEX(TableWRVORP[FPS],MATCH(WRVORPCalc,TableWRVORP[RK],0)),""))*1.2</f>
        <v>#VALUE!</v>
      </c>
      <c r="AF224" t="s">
        <v>208</v>
      </c>
      <c r="AG224">
        <v>83</v>
      </c>
      <c r="AH224" s="83">
        <f>RANK(TableOverallMaster[[#This Row],[VORP]],TableOverallMaster[VORP])+COUNTIF($AM$2:AM224,AM224)-1</f>
        <v>206</v>
      </c>
      <c r="AI224" s="115" t="str">
        <f>IFERROR(INDEX(TableWRVORP[WIDE RECEIVER],MATCH(TableOverallMaster[[#This Row],[RK]],TableWRVORP[RK],0)),"")</f>
        <v>Darius Slayton</v>
      </c>
      <c r="AJ224" s="115" t="str">
        <f t="shared" si="3"/>
        <v>WR83</v>
      </c>
      <c r="AK224" s="115">
        <f>IFERROR(INDEX(TableWRVORP[BYE],MATCH(TableOverallMaster[[#This Row],[RK]],TableWRVORP[RK],0)),"")</f>
        <v>11</v>
      </c>
      <c r="AL224" s="116">
        <f>IFERROR(INDEX(TableWRVORP[FPS],MATCH(TableOverallMaster[[#This Row],[RK]],TableWRVORP[RK],0)),"")</f>
        <v>99.733947802944002</v>
      </c>
      <c r="AM224" s="117">
        <f>IFERROR(INDEX(TableWRVORP[VORP],MATCH(TableOverallMaster[[#This Row],[RK]],TableWRVORP[RK],0)),"")</f>
        <v>-0.38705706164316395</v>
      </c>
      <c r="AO224">
        <v>223</v>
      </c>
      <c r="AP224" s="118" t="str">
        <f>IFERROR(INDEX(TableOverallMaster[OVERALL PLAYER],MATCH(TableOverallRank[[#This Row],[RK]],TableOverallMaster[OVR RK],0)),"")</f>
        <v>Sean Tucker</v>
      </c>
      <c r="AQ224" s="119" t="str">
        <f>IFERROR(INDEX(TableOverallMaster[POS RK],MATCH(TableOverallRank[[#This Row],[OVERALL PLAYER]],TableOverallMaster[OVERALL PLAYER],0)),"")</f>
        <v>RB72</v>
      </c>
      <c r="AR224" s="120">
        <f>IFERROR(INDEX(TableOverallMaster[BYE],MATCH(TableOverallRank[[#This Row],[OVERALL PLAYER]],TableOverallMaster[OVERALL PLAYER],0)),"")</f>
        <v>11</v>
      </c>
      <c r="AS224" s="119">
        <f>IFERROR(INDEX(TableOverallMaster[Custom],MATCH(TableOverallRank[[#This Row],[OVERALL PLAYER]],TableOverallMaster[OVERALL PLAYER],0)),"")</f>
        <v>43.954561520048074</v>
      </c>
      <c r="AT224" s="121">
        <f>IFERROR(INDEX(TableOverallMaster[VORP],MATCH(TableOverallRank[[#This Row],[OVERALL PLAYER]],TableOverallMaster[OVERALL PLAYER],0)),"")</f>
        <v>-0.50675668622260861</v>
      </c>
      <c r="AV224">
        <v>223</v>
      </c>
      <c r="AW224" s="122" t="str">
        <f>IFERROR(INDEX(TableWRTECalcPts[PLAYER],MATCH(TableWRTERank[[#This Row],[RK]],TableWRTECalcPts[RK],0)),"")</f>
        <v>Brock Wright</v>
      </c>
      <c r="AX224" s="122" t="str">
        <f>IFERROR(INDEX(TableWRTECalcPts[POS RK],MATCH(TableWRTERank[[#This Row],[WR and TE COMBINED]],TableWRTECalcPts[PLAYER],0)),"")</f>
        <v>TE66</v>
      </c>
      <c r="AY224" s="122">
        <f>IFERROR(INDEX(TableWRTECalcPts[BYE],MATCH(TableWRTERank[[#This Row],[RK]],TableWRTECalcPts[RK],0)),"")</f>
        <v>5</v>
      </c>
      <c r="AZ224" s="123">
        <f>IFERROR(INDEX(TableWRTECalcPts[Custom],MATCH(TableWRTERank[[#This Row],[RK]],TableWRTECalcPts[RK],0)),"")</f>
        <v>11.88556874619356</v>
      </c>
      <c r="BA224" s="174">
        <f>IFERROR((TableWRTERank[[#This Row],[FPS]]-INDEX(TableWRTERank[FPS],MATCH(WRTEVORPCalc,TableWRTERank[RK],0)))/INDEX(TableWRTERank[FPS],MATCH(WRTEVORPCalc,TableWRTERank[RK],0)),"")</f>
        <v>-0.92425864118959344</v>
      </c>
      <c r="BC224" t="s">
        <v>10</v>
      </c>
      <c r="BD224">
        <v>23</v>
      </c>
      <c r="BE224" s="83">
        <f>RANK(TableWRTEMaster[[#This Row],[VORP]],TableWRTEMaster[VORP])+COUNTIF($BJ$2:BJ224,BJ224)-1</f>
        <v>99</v>
      </c>
      <c r="BF224" s="115" t="str">
        <f>IFERROR(INDEX(TableTEVORP[TIGHT END],MATCH(TableWRTEMaster[[#This Row],[RK]],TableTEVORP[RK],0)),"")</f>
        <v>Jonnu Smith</v>
      </c>
      <c r="BG224" s="115" t="str">
        <f>_xlfn.CONCAT(TableWRTEMaster[[#This Row],[POS]],TableWRTEMaster[[#This Row],[RK]])</f>
        <v>TE23</v>
      </c>
      <c r="BH224" s="115">
        <f>IFERROR(INDEX(TableTEVORP[BYE],MATCH(TableWRTEMaster[[#This Row],[RK]],TableTEVORP[RK],0)),"")</f>
        <v>6</v>
      </c>
      <c r="BI224" s="116">
        <f>IFERROR(INDEX(TableTEVORP[FPS],MATCH(TableWRTEMaster[[#This Row],[RK]],TableTEVORP[RK],0)),"")</f>
        <v>85.626365410456145</v>
      </c>
      <c r="BJ224" s="117">
        <f>IFERROR(INDEX(TableTEVORP[VORP],MATCH(TableWRTEMaster[[#This Row],[RK]],TableTEVORP[RK],0)),"")</f>
        <v>-0.3495366385351279</v>
      </c>
    </row>
    <row r="225" spans="15:62" x14ac:dyDescent="0.2">
      <c r="O225">
        <v>224</v>
      </c>
      <c r="P225" s="112" t="str">
        <f>IFERROR(INDEX(TableWRCalcPts[PLAYER],MATCH(TableWRVORP[[#This Row],[RK]],TableWRCalcPts[RK],0)),"")</f>
        <v/>
      </c>
      <c r="Q225" s="112" t="str">
        <f>IFERROR(INDEX(TableWRCalcPts[TM],MATCH(TableWRVORP[[#This Row],[RK]],TableWRCalcPts[RK],0)),"")</f>
        <v/>
      </c>
      <c r="R225" s="112" t="str">
        <f>IFERROR(INDEX(TableWRCalcPts[BYE],MATCH(TableWRVORP[[#This Row],[RK]],TableWRCalcPts[RK],0)),"")</f>
        <v/>
      </c>
      <c r="S225" s="113" t="str">
        <f>IFERROR(INDEX(TableWRCalcPts[Custom],MATCH(TableWRVORP[[#This Row],[RK]],TableWRCalcPts[RK],0)),"")</f>
        <v/>
      </c>
      <c r="T225" s="114" t="e">
        <f>(IFERROR((TableWRVORP[[#This Row],[FPS]]-INDEX(TableWRVORP[FPS],MATCH(WRVORPCalc,TableWRVORP[RK],0)))/INDEX(TableWRVORP[FPS],MATCH(WRVORPCalc,TableWRVORP[RK],0)),""))*1.2</f>
        <v>#VALUE!</v>
      </c>
      <c r="AF225" t="s">
        <v>208</v>
      </c>
      <c r="AG225">
        <v>84</v>
      </c>
      <c r="AH225" s="83">
        <f>RANK(TableOverallMaster[[#This Row],[VORP]],TableOverallMaster[VORP])+COUNTIF($AM$2:AM225,AM225)-1</f>
        <v>208</v>
      </c>
      <c r="AI225" s="115" t="str">
        <f>IFERROR(INDEX(TableWRVORP[WIDE RECEIVER],MATCH(TableOverallMaster[[#This Row],[RK]],TableWRVORP[RK],0)),"")</f>
        <v>Dyami Brown</v>
      </c>
      <c r="AJ225" s="115" t="str">
        <f t="shared" si="3"/>
        <v>WR84</v>
      </c>
      <c r="AK225" s="115">
        <f>IFERROR(INDEX(TableWRVORP[BYE],MATCH(TableOverallMaster[[#This Row],[RK]],TableWRVORP[RK],0)),"")</f>
        <v>14</v>
      </c>
      <c r="AL225" s="116">
        <f>IFERROR(INDEX(TableWRVORP[FPS],MATCH(TableOverallMaster[[#This Row],[RK]],TableWRVORP[RK],0)),"")</f>
        <v>99.25364432662559</v>
      </c>
      <c r="AM225" s="117">
        <f>IFERROR(INDEX(TableWRVORP[VORP],MATCH(TableOverallMaster[[#This Row],[RK]],TableWRVORP[RK],0)),"")</f>
        <v>-0.39097207080446544</v>
      </c>
      <c r="AO225">
        <v>224</v>
      </c>
      <c r="AP225" s="118" t="str">
        <f>IFERROR(INDEX(TableOverallMaster[OVERALL PLAYER],MATCH(TableOverallRank[[#This Row],[RK]],TableOverallMaster[OVR RK],0)),"")</f>
        <v>Dameon Pierce</v>
      </c>
      <c r="AQ225" s="119" t="str">
        <f>IFERROR(INDEX(TableOverallMaster[POS RK],MATCH(TableOverallRank[[#This Row],[OVERALL PLAYER]],TableOverallMaster[OVERALL PLAYER],0)),"")</f>
        <v>RB73</v>
      </c>
      <c r="AR225" s="120">
        <f>IFERROR(INDEX(TableOverallMaster[BYE],MATCH(TableOverallRank[[#This Row],[OVERALL PLAYER]],TableOverallMaster[OVERALL PLAYER],0)),"")</f>
        <v>14</v>
      </c>
      <c r="AS225" s="119">
        <f>IFERROR(INDEX(TableOverallMaster[Custom],MATCH(TableOverallRank[[#This Row],[OVERALL PLAYER]],TableOverallMaster[OVERALL PLAYER],0)),"")</f>
        <v>43.444613605393208</v>
      </c>
      <c r="AT225" s="121">
        <f>IFERROR(INDEX(TableOverallMaster[VORP],MATCH(TableOverallRank[[#This Row],[OVERALL PLAYER]],TableOverallMaster[OVERALL PLAYER],0)),"")</f>
        <v>-0.51015880903252575</v>
      </c>
      <c r="AV225">
        <v>224</v>
      </c>
      <c r="AW225" s="122" t="str">
        <f>IFERROR(INDEX(TableWRTECalcPts[PLAYER],MATCH(TableWRTERank[[#This Row],[RK]],TableWRTECalcPts[RK],0)),"")</f>
        <v>Luke Farrell</v>
      </c>
      <c r="AX225" s="122" t="str">
        <f>IFERROR(INDEX(TableWRTECalcPts[POS RK],MATCH(TableWRTERank[[#This Row],[WR and TE COMBINED]],TableWRTECalcPts[PLAYER],0)),"")</f>
        <v>TE67</v>
      </c>
      <c r="AY225" s="122">
        <f>IFERROR(INDEX(TableWRTECalcPts[BYE],MATCH(TableWRTERank[[#This Row],[RK]],TableWRTECalcPts[RK],0)),"")</f>
        <v>12</v>
      </c>
      <c r="AZ225" s="123">
        <f>IFERROR(INDEX(TableWRTECalcPts[Custom],MATCH(TableWRTERank[[#This Row],[RK]],TableWRTECalcPts[RK],0)),"")</f>
        <v>11.845446054100696</v>
      </c>
      <c r="BA225" s="174">
        <f>IFERROR((TableWRTERank[[#This Row],[FPS]]-INDEX(TableWRTERank[FPS],MATCH(WRTEVORPCalc,TableWRTERank[RK],0)))/INDEX(TableWRTERank[FPS],MATCH(WRTEVORPCalc,TableWRTERank[RK],0)),"")</f>
        <v>-0.92451432497580011</v>
      </c>
      <c r="BC225" t="s">
        <v>10</v>
      </c>
      <c r="BD225">
        <v>24</v>
      </c>
      <c r="BE225" s="83">
        <f>RANK(TableWRTEMaster[[#This Row],[VORP]],TableWRTEMaster[VORP])+COUNTIF($BJ$2:BJ225,BJ225)-1</f>
        <v>101</v>
      </c>
      <c r="BF225" s="115" t="str">
        <f>IFERROR(INDEX(TableTEVORP[TIGHT END],MATCH(TableWRTEMaster[[#This Row],[RK]],TableTEVORP[RK],0)),"")</f>
        <v>Pat Freiermuth</v>
      </c>
      <c r="BG225" s="115" t="str">
        <f>_xlfn.CONCAT(TableWRTEMaster[[#This Row],[POS]],TableWRTEMaster[[#This Row],[RK]])</f>
        <v>TE24</v>
      </c>
      <c r="BH225" s="115">
        <f>IFERROR(INDEX(TableTEVORP[BYE],MATCH(TableWRTEMaster[[#This Row],[RK]],TableTEVORP[RK],0)),"")</f>
        <v>9</v>
      </c>
      <c r="BI225" s="116">
        <f>IFERROR(INDEX(TableTEVORP[FPS],MATCH(TableWRTEMaster[[#This Row],[RK]],TableTEVORP[RK],0)),"")</f>
        <v>84.255051648368294</v>
      </c>
      <c r="BJ225" s="117">
        <f>IFERROR(INDEX(TableTEVORP[VORP],MATCH(TableWRTEMaster[[#This Row],[RK]],TableTEVORP[RK],0)),"")</f>
        <v>-0.35995386639520216</v>
      </c>
    </row>
    <row r="226" spans="15:62" x14ac:dyDescent="0.2">
      <c r="O226">
        <v>225</v>
      </c>
      <c r="P226" s="112" t="str">
        <f>IFERROR(INDEX(TableWRCalcPts[PLAYER],MATCH(TableWRVORP[[#This Row],[RK]],TableWRCalcPts[RK],0)),"")</f>
        <v/>
      </c>
      <c r="Q226" s="112" t="str">
        <f>IFERROR(INDEX(TableWRCalcPts[TM],MATCH(TableWRVORP[[#This Row],[RK]],TableWRCalcPts[RK],0)),"")</f>
        <v/>
      </c>
      <c r="R226" s="112" t="str">
        <f>IFERROR(INDEX(TableWRCalcPts[BYE],MATCH(TableWRVORP[[#This Row],[RK]],TableWRCalcPts[RK],0)),"")</f>
        <v/>
      </c>
      <c r="S226" s="113" t="str">
        <f>IFERROR(INDEX(TableWRCalcPts[Custom],MATCH(TableWRVORP[[#This Row],[RK]],TableWRCalcPts[RK],0)),"")</f>
        <v/>
      </c>
      <c r="T226" s="114" t="e">
        <f>(IFERROR((TableWRVORP[[#This Row],[FPS]]-INDEX(TableWRVORP[FPS],MATCH(WRVORPCalc,TableWRVORP[RK],0)))/INDEX(TableWRVORP[FPS],MATCH(WRVORPCalc,TableWRVORP[RK],0)),""))*1.2</f>
        <v>#VALUE!</v>
      </c>
      <c r="AF226" t="s">
        <v>208</v>
      </c>
      <c r="AG226">
        <v>85</v>
      </c>
      <c r="AH226" s="83">
        <f>RANK(TableOverallMaster[[#This Row],[VORP]],TableOverallMaster[VORP])+COUNTIF($AM$2:AM226,AM226)-1</f>
        <v>214</v>
      </c>
      <c r="AI226" s="115" t="str">
        <f>IFERROR(INDEX(TableWRVORP[WIDE RECEIVER],MATCH(TableOverallMaster[[#This Row],[RK]],TableWRVORP[RK],0)),"")</f>
        <v>K.J. Osborn</v>
      </c>
      <c r="AJ226" s="115" t="str">
        <f t="shared" si="3"/>
        <v>WR85</v>
      </c>
      <c r="AK226" s="115">
        <f>IFERROR(INDEX(TableWRVORP[BYE],MATCH(TableOverallMaster[[#This Row],[RK]],TableWRVORP[RK],0)),"")</f>
        <v>14</v>
      </c>
      <c r="AL226" s="116">
        <f>IFERROR(INDEX(TableWRVORP[FPS],MATCH(TableOverallMaster[[#This Row],[RK]],TableWRVORP[RK],0)),"")</f>
        <v>93.985026112107334</v>
      </c>
      <c r="AM226" s="117">
        <f>IFERROR(INDEX(TableWRVORP[VORP],MATCH(TableOverallMaster[[#This Row],[RK]],TableWRVORP[RK],0)),"")</f>
        <v>-0.43391718695341613</v>
      </c>
      <c r="AO226">
        <v>225</v>
      </c>
      <c r="AP226" s="118" t="str">
        <f>IFERROR(INDEX(TableOverallMaster[OVERALL PLAYER],MATCH(TableOverallRank[[#This Row],[RK]],TableOverallMaster[OVR RK],0)),"")</f>
        <v>Ray-Ray McCloud</v>
      </c>
      <c r="AQ226" s="119" t="str">
        <f>IFERROR(INDEX(TableOverallMaster[POS RK],MATCH(TableOverallRank[[#This Row],[OVERALL PLAYER]],TableOverallMaster[OVERALL PLAYER],0)),"")</f>
        <v>WR88</v>
      </c>
      <c r="AR226" s="120">
        <f>IFERROR(INDEX(TableOverallMaster[BYE],MATCH(TableOverallRank[[#This Row],[OVERALL PLAYER]],TableOverallMaster[OVERALL PLAYER],0)),"")</f>
        <v>12</v>
      </c>
      <c r="AS226" s="119">
        <f>IFERROR(INDEX(TableOverallMaster[Custom],MATCH(TableOverallRank[[#This Row],[OVERALL PLAYER]],TableOverallMaster[OVERALL PLAYER],0)),"")</f>
        <v>84.228861685020107</v>
      </c>
      <c r="AT226" s="121">
        <f>IFERROR(INDEX(TableOverallMaster[VORP],MATCH(TableOverallRank[[#This Row],[OVERALL PLAYER]],TableOverallMaster[OVERALL PLAYER],0)),"")</f>
        <v>-0.51344081106703632</v>
      </c>
      <c r="AV226">
        <v>225</v>
      </c>
      <c r="AW226" s="122" t="str">
        <f>IFERROR(INDEX(TableWRTECalcPts[PLAYER],MATCH(TableWRTERank[[#This Row],[RK]],TableWRTECalcPts[RK],0)),"")</f>
        <v>Marquez Valdes-Scantling</v>
      </c>
      <c r="AX226" s="122" t="str">
        <f>IFERROR(INDEX(TableWRTECalcPts[POS RK],MATCH(TableWRTERank[[#This Row],[WR and TE COMBINED]],TableWRTECalcPts[PLAYER],0)),"")</f>
        <v>WR158</v>
      </c>
      <c r="AY226" s="122">
        <f>IFERROR(INDEX(TableWRTECalcPts[BYE],MATCH(TableWRTERank[[#This Row],[RK]],TableWRTECalcPts[RK],0)),"")</f>
        <v>12</v>
      </c>
      <c r="AZ226" s="123">
        <f>IFERROR(INDEX(TableWRTECalcPts[Custom],MATCH(TableWRTERank[[#This Row],[RK]],TableWRTECalcPts[RK],0)),"")</f>
        <v>11.451657861503998</v>
      </c>
      <c r="BA226" s="174">
        <f>IFERROR((TableWRTERank[[#This Row],[FPS]]-INDEX(TableWRTERank[FPS],MATCH(WRTEVORPCalc,TableWRTERank[RK],0)))/INDEX(TableWRTERank[FPS],MATCH(WRTEVORPCalc,TableWRTERank[RK],0)),"")</f>
        <v>-0.92702375918359259</v>
      </c>
      <c r="BC226" t="s">
        <v>10</v>
      </c>
      <c r="BD226">
        <v>25</v>
      </c>
      <c r="BE226" s="83">
        <f>RANK(TableWRTEMaster[[#This Row],[VORP]],TableWRTEMaster[VORP])+COUNTIF($BJ$2:BJ226,BJ226)-1</f>
        <v>107</v>
      </c>
      <c r="BF226" s="115" t="str">
        <f>IFERROR(INDEX(TableTEVORP[TIGHT END],MATCH(TableWRTEMaster[[#This Row],[RK]],TableTEVORP[RK],0)),"")</f>
        <v>Colby Parkinson</v>
      </c>
      <c r="BG226" s="115" t="str">
        <f>_xlfn.CONCAT(TableWRTEMaster[[#This Row],[POS]],TableWRTEMaster[[#This Row],[RK]])</f>
        <v>TE25</v>
      </c>
      <c r="BH226" s="115">
        <f>IFERROR(INDEX(TableTEVORP[BYE],MATCH(TableWRTEMaster[[#This Row],[RK]],TableTEVORP[RK],0)),"")</f>
        <v>6</v>
      </c>
      <c r="BI226" s="116">
        <f>IFERROR(INDEX(TableTEVORP[FPS],MATCH(TableWRTEMaster[[#This Row],[RK]],TableTEVORP[RK],0)),"")</f>
        <v>81.17558367219813</v>
      </c>
      <c r="BJ226" s="117">
        <f>IFERROR(INDEX(TableTEVORP[VORP],MATCH(TableWRTEMaster[[#This Row],[RK]],TableTEVORP[RK],0)),"")</f>
        <v>-0.38334714113833951</v>
      </c>
    </row>
    <row r="227" spans="15:62" x14ac:dyDescent="0.2">
      <c r="AF227" t="s">
        <v>208</v>
      </c>
      <c r="AG227">
        <v>86</v>
      </c>
      <c r="AH227" s="83">
        <f>RANK(TableOverallMaster[[#This Row],[VORP]],TableOverallMaster[VORP])+COUNTIF($AM$2:AM227,AM227)-1</f>
        <v>217</v>
      </c>
      <c r="AI227" s="115" t="str">
        <f>IFERROR(INDEX(TableWRVORP[WIDE RECEIVER],MATCH(TableOverallMaster[[#This Row],[RK]],TableWRVORP[RK],0)),"")</f>
        <v>Ja'Lynn Polk</v>
      </c>
      <c r="AJ227" s="115" t="str">
        <f t="shared" si="3"/>
        <v>WR86</v>
      </c>
      <c r="AK227" s="115">
        <f>IFERROR(INDEX(TableWRVORP[BYE],MATCH(TableOverallMaster[[#This Row],[RK]],TableWRVORP[RK],0)),"")</f>
        <v>14</v>
      </c>
      <c r="AL227" s="116">
        <f>IFERROR(INDEX(TableWRVORP[FPS],MATCH(TableOverallMaster[[#This Row],[RK]],TableWRVORP[RK],0)),"")</f>
        <v>92.520147055073906</v>
      </c>
      <c r="AM227" s="117">
        <f>IFERROR(INDEX(TableWRVORP[VORP],MATCH(TableOverallMaster[[#This Row],[RK]],TableWRVORP[RK],0)),"")</f>
        <v>-0.4458575854956966</v>
      </c>
      <c r="AO227">
        <v>226</v>
      </c>
      <c r="AP227" s="118" t="str">
        <f>IFERROR(INDEX(TableOverallMaster[OVERALL PLAYER],MATCH(TableOverallRank[[#This Row],[RK]],TableOverallMaster[OVR RK],0)),"")</f>
        <v>Rasheen Ali</v>
      </c>
      <c r="AQ227" s="119" t="str">
        <f>IFERROR(INDEX(TableOverallMaster[POS RK],MATCH(TableOverallRank[[#This Row],[OVERALL PLAYER]],TableOverallMaster[OVERALL PLAYER],0)),"")</f>
        <v>RB74</v>
      </c>
      <c r="AR227" s="120">
        <f>IFERROR(INDEX(TableOverallMaster[BYE],MATCH(TableOverallRank[[#This Row],[OVERALL PLAYER]],TableOverallMaster[OVERALL PLAYER],0)),"")</f>
        <v>14</v>
      </c>
      <c r="AS227" s="119">
        <f>IFERROR(INDEX(TableOverallMaster[Custom],MATCH(TableOverallRank[[#This Row],[OVERALL PLAYER]],TableOverallMaster[OVERALL PLAYER],0)),"")</f>
        <v>42.6438278951981</v>
      </c>
      <c r="AT227" s="121">
        <f>IFERROR(INDEX(TableOverallMaster[VORP],MATCH(TableOverallRank[[#This Row],[OVERALL PLAYER]],TableOverallMaster[OVERALL PLAYER],0)),"")</f>
        <v>-0.51550125921658896</v>
      </c>
      <c r="AV227">
        <v>226</v>
      </c>
      <c r="AW227" s="122" t="str">
        <f>IFERROR(INDEX(TableWRTECalcPts[PLAYER],MATCH(TableWRTERank[[#This Row],[RK]],TableWRTECalcPts[RK],0)),"")</f>
        <v>Jamari Thrash</v>
      </c>
      <c r="AX227" s="122" t="str">
        <f>IFERROR(INDEX(TableWRTECalcPts[POS RK],MATCH(TableWRTERank[[#This Row],[WR and TE COMBINED]],TableWRTECalcPts[PLAYER],0)),"")</f>
        <v>WR159</v>
      </c>
      <c r="AY227" s="122">
        <f>IFERROR(INDEX(TableWRTECalcPts[BYE],MATCH(TableWRTERank[[#This Row],[RK]],TableWRTECalcPts[RK],0)),"")</f>
        <v>10</v>
      </c>
      <c r="AZ227" s="123">
        <f>IFERROR(INDEX(TableWRTECalcPts[Custom],MATCH(TableWRTERank[[#This Row],[RK]],TableWRTECalcPts[RK],0)),"")</f>
        <v>11.41575617028</v>
      </c>
      <c r="BA227" s="174">
        <f>IFERROR((TableWRTERank[[#This Row],[FPS]]-INDEX(TableWRTERank[FPS],MATCH(WRTEVORPCalc,TableWRTERank[RK],0)))/INDEX(TableWRTERank[FPS],MATCH(WRTEVORPCalc,TableWRTERank[RK],0)),"")</f>
        <v>-0.92725254443863303</v>
      </c>
      <c r="BC227" t="s">
        <v>10</v>
      </c>
      <c r="BD227">
        <v>26</v>
      </c>
      <c r="BE227" s="83">
        <f>RANK(TableWRTEMaster[[#This Row],[VORP]],TableWRTEMaster[VORP])+COUNTIF($BJ$2:BJ227,BJ227)-1</f>
        <v>109</v>
      </c>
      <c r="BF227" s="115" t="str">
        <f>IFERROR(INDEX(TableTEVORP[TIGHT END],MATCH(TableWRTEMaster[[#This Row],[RK]],TableTEVORP[RK],0)),"")</f>
        <v>Isaiah Likely</v>
      </c>
      <c r="BG227" s="115" t="str">
        <f>_xlfn.CONCAT(TableWRTEMaster[[#This Row],[POS]],TableWRTEMaster[[#This Row],[RK]])</f>
        <v>TE26</v>
      </c>
      <c r="BH227" s="115">
        <f>IFERROR(INDEX(TableTEVORP[BYE],MATCH(TableWRTEMaster[[#This Row],[RK]],TableTEVORP[RK],0)),"")</f>
        <v>14</v>
      </c>
      <c r="BI227" s="116">
        <f>IFERROR(INDEX(TableTEVORP[FPS],MATCH(TableWRTEMaster[[#This Row],[RK]],TableTEVORP[RK],0)),"")</f>
        <v>80.196752536282389</v>
      </c>
      <c r="BJ227" s="117">
        <f>IFERROR(INDEX(TableTEVORP[VORP],MATCH(TableWRTEMaster[[#This Row],[RK]],TableTEVORP[RK],0)),"")</f>
        <v>-0.39078286245994637</v>
      </c>
    </row>
    <row r="228" spans="15:62" x14ac:dyDescent="0.2">
      <c r="AF228" t="s">
        <v>208</v>
      </c>
      <c r="AG228">
        <v>87</v>
      </c>
      <c r="AH228" s="83">
        <f>RANK(TableOverallMaster[[#This Row],[VORP]],TableOverallMaster[VORP])+COUNTIF($AM$2:AM228,AM228)-1</f>
        <v>221</v>
      </c>
      <c r="AI228" s="115" t="str">
        <f>IFERROR(INDEX(TableWRVORP[WIDE RECEIVER],MATCH(TableOverallMaster[[#This Row],[RK]],TableWRVORP[RK],0)),"")</f>
        <v>Nelson Agholor</v>
      </c>
      <c r="AJ228" s="115" t="str">
        <f t="shared" si="3"/>
        <v>WR87</v>
      </c>
      <c r="AK228" s="115">
        <f>IFERROR(INDEX(TableWRVORP[BYE],MATCH(TableOverallMaster[[#This Row],[RK]],TableWRVORP[RK],0)),"")</f>
        <v>14</v>
      </c>
      <c r="AL228" s="116">
        <f>IFERROR(INDEX(TableWRVORP[FPS],MATCH(TableOverallMaster[[#This Row],[RK]],TableWRVORP[RK],0)),"")</f>
        <v>88.344267554403842</v>
      </c>
      <c r="AM228" s="117">
        <f>IFERROR(INDEX(TableWRVORP[VORP],MATCH(TableOverallMaster[[#This Row],[RK]],TableWRVORP[RK],0)),"")</f>
        <v>-0.47989566206122275</v>
      </c>
      <c r="AO228">
        <v>227</v>
      </c>
      <c r="AP228" s="118" t="str">
        <f>IFERROR(INDEX(TableOverallMaster[OVERALL PLAYER],MATCH(TableOverallRank[[#This Row],[RK]],TableOverallMaster[OVR RK],0)),"")</f>
        <v>Michael Mayer</v>
      </c>
      <c r="AQ228" s="119" t="str">
        <f>IFERROR(INDEX(TableOverallMaster[POS RK],MATCH(TableOverallRank[[#This Row],[OVERALL PLAYER]],TableOverallMaster[OVERALL PLAYER],0)),"")</f>
        <v>TE33</v>
      </c>
      <c r="AR228" s="120">
        <f>IFERROR(INDEX(TableOverallMaster[BYE],MATCH(TableOverallRank[[#This Row],[OVERALL PLAYER]],TableOverallMaster[OVERALL PLAYER],0)),"")</f>
        <v>10</v>
      </c>
      <c r="AS228" s="119">
        <f>IFERROR(INDEX(TableOverallMaster[Custom],MATCH(TableOverallRank[[#This Row],[OVERALL PLAYER]],TableOverallMaster[OVERALL PLAYER],0)),"")</f>
        <v>63.541282229215099</v>
      </c>
      <c r="AT228" s="121">
        <f>IFERROR(INDEX(TableOverallMaster[VORP],MATCH(TableOverallRank[[#This Row],[OVERALL PLAYER]],TableOverallMaster[OVERALL PLAYER],0)),"")</f>
        <v>-0.51730666328672303</v>
      </c>
      <c r="AV228">
        <v>227</v>
      </c>
      <c r="AW228" s="122" t="str">
        <f>IFERROR(INDEX(TableWRTECalcPts[PLAYER],MATCH(TableWRTERank[[#This Row],[RK]],TableWRTECalcPts[RK],0)),"")</f>
        <v>Braxton Berrios</v>
      </c>
      <c r="AX228" s="122" t="str">
        <f>IFERROR(INDEX(TableWRTECalcPts[POS RK],MATCH(TableWRTERank[[#This Row],[WR and TE COMBINED]],TableWRTECalcPts[PLAYER],0)),"")</f>
        <v>WR160</v>
      </c>
      <c r="AY228" s="122">
        <f>IFERROR(INDEX(TableWRTECalcPts[BYE],MATCH(TableWRTERank[[#This Row],[RK]],TableWRTECalcPts[RK],0)),"")</f>
        <v>6</v>
      </c>
      <c r="AZ228" s="123">
        <f>IFERROR(INDEX(TableWRTECalcPts[Custom],MATCH(TableWRTERank[[#This Row],[RK]],TableWRTECalcPts[RK],0)),"")</f>
        <v>11.404967640175933</v>
      </c>
      <c r="BA228" s="174">
        <f>IFERROR((TableWRTERank[[#This Row],[FPS]]-INDEX(TableWRTERank[FPS],MATCH(WRTEVORPCalc,TableWRTERank[RK],0)))/INDEX(TableWRTERank[FPS],MATCH(WRTEVORPCalc,TableWRTERank[RK],0)),"")</f>
        <v>-0.92732129486590309</v>
      </c>
      <c r="BC228" t="s">
        <v>10</v>
      </c>
      <c r="BD228">
        <v>27</v>
      </c>
      <c r="BE228" s="83">
        <f>RANK(TableWRTEMaster[[#This Row],[VORP]],TableWRTEMaster[VORP])+COUNTIF($BJ$2:BJ228,BJ228)-1</f>
        <v>111</v>
      </c>
      <c r="BF228" s="115" t="str">
        <f>IFERROR(INDEX(TableTEVORP[TIGHT END],MATCH(TableWRTEMaster[[#This Row],[RK]],TableTEVORP[RK],0)),"")</f>
        <v>Hayden Hurst</v>
      </c>
      <c r="BG228" s="115" t="str">
        <f>_xlfn.CONCAT(TableWRTEMaster[[#This Row],[POS]],TableWRTEMaster[[#This Row],[RK]])</f>
        <v>TE27</v>
      </c>
      <c r="BH228" s="115">
        <f>IFERROR(INDEX(TableTEVORP[BYE],MATCH(TableWRTEMaster[[#This Row],[RK]],TableTEVORP[RK],0)),"")</f>
        <v>5</v>
      </c>
      <c r="BI228" s="116">
        <f>IFERROR(INDEX(TableTEVORP[FPS],MATCH(TableWRTEMaster[[#This Row],[RK]],TableTEVORP[RK],0)),"")</f>
        <v>79.726833329761405</v>
      </c>
      <c r="BJ228" s="117">
        <f>IFERROR(INDEX(TableTEVORP[VORP],MATCH(TableWRTEMaster[[#This Row],[RK]],TableTEVORP[RK],0)),"")</f>
        <v>-0.39435261840165098</v>
      </c>
    </row>
    <row r="229" spans="15:62" x14ac:dyDescent="0.2">
      <c r="AF229" t="s">
        <v>208</v>
      </c>
      <c r="AG229">
        <v>88</v>
      </c>
      <c r="AH229" s="83">
        <f>RANK(TableOverallMaster[[#This Row],[VORP]],TableOverallMaster[VORP])+COUNTIF($AM$2:AM229,AM229)-1</f>
        <v>225</v>
      </c>
      <c r="AI229" s="115" t="str">
        <f>IFERROR(INDEX(TableWRVORP[WIDE RECEIVER],MATCH(TableOverallMaster[[#This Row],[RK]],TableWRVORP[RK],0)),"")</f>
        <v>Ray-Ray McCloud</v>
      </c>
      <c r="AJ229" s="115" t="str">
        <f t="shared" si="3"/>
        <v>WR88</v>
      </c>
      <c r="AK229" s="115">
        <f>IFERROR(INDEX(TableWRVORP[BYE],MATCH(TableOverallMaster[[#This Row],[RK]],TableWRVORP[RK],0)),"")</f>
        <v>12</v>
      </c>
      <c r="AL229" s="116">
        <f>IFERROR(INDEX(TableWRVORP[FPS],MATCH(TableOverallMaster[[#This Row],[RK]],TableWRVORP[RK],0)),"")</f>
        <v>84.228861685020107</v>
      </c>
      <c r="AM229" s="117">
        <f>IFERROR(INDEX(TableWRVORP[VORP],MATCH(TableOverallMaster[[#This Row],[RK]],TableWRVORP[RK],0)),"")</f>
        <v>-0.51344081106703632</v>
      </c>
      <c r="AO229">
        <v>228</v>
      </c>
      <c r="AP229" s="118" t="str">
        <f>IFERROR(INDEX(TableOverallMaster[OVERALL PLAYER],MATCH(TableOverallRank[[#This Row],[RK]],TableOverallMaster[OVR RK],0)),"")</f>
        <v>Trey Sermon</v>
      </c>
      <c r="AQ229" s="119" t="str">
        <f>IFERROR(INDEX(TableOverallMaster[POS RK],MATCH(TableOverallRank[[#This Row],[OVERALL PLAYER]],TableOverallMaster[OVERALL PLAYER],0)),"")</f>
        <v>RB75</v>
      </c>
      <c r="AR229" s="120">
        <f>IFERROR(INDEX(TableOverallMaster[BYE],MATCH(TableOverallRank[[#This Row],[OVERALL PLAYER]],TableOverallMaster[OVERALL PLAYER],0)),"")</f>
        <v>14</v>
      </c>
      <c r="AS229" s="119">
        <f>IFERROR(INDEX(TableOverallMaster[Custom],MATCH(TableOverallRank[[#This Row],[OVERALL PLAYER]],TableOverallMaster[OVERALL PLAYER],0)),"")</f>
        <v>41.264535512141364</v>
      </c>
      <c r="AT229" s="121">
        <f>IFERROR(INDEX(TableOverallMaster[VORP],MATCH(TableOverallRank[[#This Row],[OVERALL PLAYER]],TableOverallMaster[OVERALL PLAYER],0)),"")</f>
        <v>-0.52470322267812841</v>
      </c>
      <c r="AV229">
        <v>228</v>
      </c>
      <c r="AW229" s="122" t="str">
        <f>IFERROR(INDEX(TableWRTECalcPts[PLAYER],MATCH(TableWRTERank[[#This Row],[RK]],TableWRTECalcPts[RK],0)),"")</f>
        <v>Ronnie Bell</v>
      </c>
      <c r="AX229" s="122" t="str">
        <f>IFERROR(INDEX(TableWRTECalcPts[POS RK],MATCH(TableWRTERank[[#This Row],[WR and TE COMBINED]],TableWRTECalcPts[PLAYER],0)),"")</f>
        <v>WR161</v>
      </c>
      <c r="AY229" s="122">
        <f>IFERROR(INDEX(TableWRTECalcPts[BYE],MATCH(TableWRTERank[[#This Row],[RK]],TableWRTECalcPts[RK],0)),"")</f>
        <v>9</v>
      </c>
      <c r="AZ229" s="123">
        <f>IFERROR(INDEX(TableWRTECalcPts[Custom],MATCH(TableWRTERank[[#This Row],[RK]],TableWRTECalcPts[RK],0)),"")</f>
        <v>11.050598875505298</v>
      </c>
      <c r="BA229" s="174">
        <f>IFERROR((TableWRTERank[[#This Row],[FPS]]-INDEX(TableWRTERank[FPS],MATCH(WRTEVORPCalc,TableWRTERank[RK],0)))/INDEX(TableWRTERank[FPS],MATCH(WRTEVORPCalc,TableWRTERank[RK],0)),"")</f>
        <v>-0.92957952687223555</v>
      </c>
      <c r="BC229" t="s">
        <v>10</v>
      </c>
      <c r="BD229">
        <v>28</v>
      </c>
      <c r="BE229" s="83">
        <f>RANK(TableWRTEMaster[[#This Row],[VORP]],TableWRTEMaster[VORP])+COUNTIF($BJ$2:BJ229,BJ229)-1</f>
        <v>112</v>
      </c>
      <c r="BF229" s="115" t="str">
        <f>IFERROR(INDEX(TableTEVORP[TIGHT END],MATCH(TableWRTEMaster[[#This Row],[RK]],TableTEVORP[RK],0)),"")</f>
        <v>Ben Sinnott</v>
      </c>
      <c r="BG229" s="115" t="str">
        <f>_xlfn.CONCAT(TableWRTEMaster[[#This Row],[POS]],TableWRTEMaster[[#This Row],[RK]])</f>
        <v>TE28</v>
      </c>
      <c r="BH229" s="115">
        <f>IFERROR(INDEX(TableTEVORP[BYE],MATCH(TableWRTEMaster[[#This Row],[RK]],TableTEVORP[RK],0)),"")</f>
        <v>14</v>
      </c>
      <c r="BI229" s="116">
        <f>IFERROR(INDEX(TableTEVORP[FPS],MATCH(TableWRTEMaster[[#This Row],[RK]],TableTEVORP[RK],0)),"")</f>
        <v>79.489285396192031</v>
      </c>
      <c r="BJ229" s="117">
        <f>IFERROR(INDEX(TableTEVORP[VORP],MATCH(TableWRTEMaster[[#This Row],[RK]],TableTEVORP[RK],0)),"")</f>
        <v>-0.39615715870460422</v>
      </c>
    </row>
    <row r="230" spans="15:62" x14ac:dyDescent="0.2">
      <c r="AF230" t="s">
        <v>208</v>
      </c>
      <c r="AG230">
        <v>89</v>
      </c>
      <c r="AH230" s="83">
        <f>RANK(TableOverallMaster[[#This Row],[VORP]],TableOverallMaster[VORP])+COUNTIF($AM$2:AM230,AM230)-1</f>
        <v>230</v>
      </c>
      <c r="AI230" s="115" t="str">
        <f>IFERROR(INDEX(TableWRVORP[WIDE RECEIVER],MATCH(TableOverallMaster[[#This Row],[RK]],TableWRVORP[RK],0)),"")</f>
        <v>Tyler Boyd</v>
      </c>
      <c r="AJ230" s="115" t="str">
        <f t="shared" si="3"/>
        <v>WR89</v>
      </c>
      <c r="AK230" s="115">
        <f>IFERROR(INDEX(TableWRVORP[BYE],MATCH(TableOverallMaster[[#This Row],[RK]],TableWRVORP[RK],0)),"")</f>
        <v>5</v>
      </c>
      <c r="AL230" s="116">
        <f>IFERROR(INDEX(TableWRVORP[FPS],MATCH(TableOverallMaster[[#This Row],[RK]],TableWRVORP[RK],0)),"")</f>
        <v>81.555692015345855</v>
      </c>
      <c r="AM230" s="117">
        <f>IFERROR(INDEX(TableWRVORP[VORP],MATCH(TableOverallMaster[[#This Row],[RK]],TableWRVORP[RK],0)),"")</f>
        <v>-0.5352301260782607</v>
      </c>
      <c r="AO230">
        <v>229</v>
      </c>
      <c r="AP230" s="118" t="str">
        <f>IFERROR(INDEX(TableOverallMaster[OVERALL PLAYER],MATCH(TableOverallRank[[#This Row],[RK]],TableOverallMaster[OVR RK],0)),"")</f>
        <v>Keaton Mitchell</v>
      </c>
      <c r="AQ230" s="119" t="str">
        <f>IFERROR(INDEX(TableOverallMaster[POS RK],MATCH(TableOverallRank[[#This Row],[OVERALL PLAYER]],TableOverallMaster[OVERALL PLAYER],0)),"")</f>
        <v>RB76</v>
      </c>
      <c r="AR230" s="120">
        <f>IFERROR(INDEX(TableOverallMaster[BYE],MATCH(TableOverallRank[[#This Row],[OVERALL PLAYER]],TableOverallMaster[OVERALL PLAYER],0)),"")</f>
        <v>14</v>
      </c>
      <c r="AS230" s="119">
        <f>IFERROR(INDEX(TableOverallMaster[Custom],MATCH(TableOverallRank[[#This Row],[OVERALL PLAYER]],TableOverallMaster[OVERALL PLAYER],0)),"")</f>
        <v>40.286818812425665</v>
      </c>
      <c r="AT230" s="121">
        <f>IFERROR(INDEX(TableOverallMaster[VORP],MATCH(TableOverallRank[[#This Row],[OVERALL PLAYER]],TableOverallMaster[OVERALL PLAYER],0)),"")</f>
        <v>-0.53122606979672282</v>
      </c>
      <c r="AV230">
        <v>229</v>
      </c>
      <c r="AW230" s="122" t="str">
        <f>IFERROR(INDEX(TableWRTECalcPts[PLAYER],MATCH(TableWRTERank[[#This Row],[RK]],TableWRTECalcPts[RK],0)),"")</f>
        <v>Gunner Olszewski</v>
      </c>
      <c r="AX230" s="122" t="str">
        <f>IFERROR(INDEX(TableWRTECalcPts[POS RK],MATCH(TableWRTERank[[#This Row],[WR and TE COMBINED]],TableWRTECalcPts[PLAYER],0)),"")</f>
        <v>WR162</v>
      </c>
      <c r="AY230" s="122">
        <f>IFERROR(INDEX(TableWRTECalcPts[BYE],MATCH(TableWRTERank[[#This Row],[RK]],TableWRTECalcPts[RK],0)),"")</f>
        <v>11</v>
      </c>
      <c r="AZ230" s="123">
        <f>IFERROR(INDEX(TableWRTECalcPts[Custom],MATCH(TableWRTERank[[#This Row],[RK]],TableWRTECalcPts[RK],0)),"")</f>
        <v>11.028768729912445</v>
      </c>
      <c r="BA230" s="174">
        <f>IFERROR((TableWRTERank[[#This Row],[FPS]]-INDEX(TableWRTERank[FPS],MATCH(WRTEVORPCalc,TableWRTERank[RK],0)))/INDEX(TableWRTERank[FPS],MATCH(WRTEVORPCalc,TableWRTERank[RK],0)),"")</f>
        <v>-0.92971864052556918</v>
      </c>
      <c r="BC230" t="s">
        <v>10</v>
      </c>
      <c r="BD230">
        <v>29</v>
      </c>
      <c r="BE230" s="83">
        <f>RANK(TableWRTEMaster[[#This Row],[VORP]],TableWRTEMaster[VORP])+COUNTIF($BJ$2:BJ230,BJ230)-1</f>
        <v>113</v>
      </c>
      <c r="BF230" s="115" t="str">
        <f>IFERROR(INDEX(TableTEVORP[TIGHT END],MATCH(TableWRTEMaster[[#This Row],[RK]],TableTEVORP[RK],0)),"")</f>
        <v>Noah Fant</v>
      </c>
      <c r="BG230" s="115" t="str">
        <f>_xlfn.CONCAT(TableWRTEMaster[[#This Row],[POS]],TableWRTEMaster[[#This Row],[RK]])</f>
        <v>TE29</v>
      </c>
      <c r="BH230" s="115">
        <f>IFERROR(INDEX(TableTEVORP[BYE],MATCH(TableWRTEMaster[[#This Row],[RK]],TableTEVORP[RK],0)),"")</f>
        <v>10</v>
      </c>
      <c r="BI230" s="116">
        <f>IFERROR(INDEX(TableTEVORP[FPS],MATCH(TableWRTEMaster[[#This Row],[RK]],TableTEVORP[RK],0)),"")</f>
        <v>76.39024214942178</v>
      </c>
      <c r="BJ230" s="117">
        <f>IFERROR(INDEX(TableTEVORP[VORP],MATCH(TableWRTEMaster[[#This Row],[RK]],TableTEVORP[RK],0)),"")</f>
        <v>-0.41969913760276528</v>
      </c>
    </row>
    <row r="231" spans="15:62" x14ac:dyDescent="0.2">
      <c r="AF231" t="s">
        <v>208</v>
      </c>
      <c r="AG231">
        <v>90</v>
      </c>
      <c r="AH231" s="83">
        <f>RANK(TableOverallMaster[[#This Row],[VORP]],TableOverallMaster[VORP])+COUNTIF($AM$2:AM231,AM231)-1</f>
        <v>233</v>
      </c>
      <c r="AI231" s="115" t="str">
        <f>IFERROR(INDEX(TableWRVORP[WIDE RECEIVER],MATCH(TableOverallMaster[[#This Row],[RK]],TableWRVORP[RK],0)),"")</f>
        <v>Jalin Hyatt</v>
      </c>
      <c r="AJ231" s="115" t="str">
        <f t="shared" si="3"/>
        <v>WR90</v>
      </c>
      <c r="AK231" s="115">
        <f>IFERROR(INDEX(TableWRVORP[BYE],MATCH(TableOverallMaster[[#This Row],[RK]],TableWRVORP[RK],0)),"")</f>
        <v>11</v>
      </c>
      <c r="AL231" s="116">
        <f>IFERROR(INDEX(TableWRVORP[FPS],MATCH(TableOverallMaster[[#This Row],[RK]],TableWRVORP[RK],0)),"")</f>
        <v>78.840212767144308</v>
      </c>
      <c r="AM231" s="117">
        <f>IFERROR(INDEX(TableWRVORP[VORP],MATCH(TableOverallMaster[[#This Row],[RK]],TableWRVORP[RK],0)),"")</f>
        <v>-0.55736431135529041</v>
      </c>
      <c r="AO231">
        <v>230</v>
      </c>
      <c r="AP231" s="118" t="str">
        <f>IFERROR(INDEX(TableOverallMaster[OVERALL PLAYER],MATCH(TableOverallRank[[#This Row],[RK]],TableOverallMaster[OVR RK],0)),"")</f>
        <v>Tyler Boyd</v>
      </c>
      <c r="AQ231" s="119" t="str">
        <f>IFERROR(INDEX(TableOverallMaster[POS RK],MATCH(TableOverallRank[[#This Row],[OVERALL PLAYER]],TableOverallMaster[OVERALL PLAYER],0)),"")</f>
        <v>WR89</v>
      </c>
      <c r="AR231" s="120">
        <f>IFERROR(INDEX(TableOverallMaster[BYE],MATCH(TableOverallRank[[#This Row],[OVERALL PLAYER]],TableOverallMaster[OVERALL PLAYER],0)),"")</f>
        <v>5</v>
      </c>
      <c r="AS231" s="119">
        <f>IFERROR(INDEX(TableOverallMaster[Custom],MATCH(TableOverallRank[[#This Row],[OVERALL PLAYER]],TableOverallMaster[OVERALL PLAYER],0)),"")</f>
        <v>81.555692015345855</v>
      </c>
      <c r="AT231" s="121">
        <f>IFERROR(INDEX(TableOverallMaster[VORP],MATCH(TableOverallRank[[#This Row],[OVERALL PLAYER]],TableOverallMaster[OVERALL PLAYER],0)),"")</f>
        <v>-0.5352301260782607</v>
      </c>
      <c r="AV231">
        <v>230</v>
      </c>
      <c r="AW231" s="122" t="str">
        <f>IFERROR(INDEX(TableWRTECalcPts[PLAYER],MATCH(TableWRTERank[[#This Row],[RK]],TableWRTECalcPts[RK],0)),"")</f>
        <v>Ian Thomas</v>
      </c>
      <c r="AX231" s="122" t="str">
        <f>IFERROR(INDEX(TableWRTECalcPts[POS RK],MATCH(TableWRTERank[[#This Row],[WR and TE COMBINED]],TableWRTECalcPts[PLAYER],0)),"")</f>
        <v>TE68</v>
      </c>
      <c r="AY231" s="122">
        <f>IFERROR(INDEX(TableWRTECalcPts[BYE],MATCH(TableWRTERank[[#This Row],[RK]],TableWRTECalcPts[RK],0)),"")</f>
        <v>11</v>
      </c>
      <c r="AZ231" s="123">
        <f>IFERROR(INDEX(TableWRTECalcPts[Custom],MATCH(TableWRTERank[[#This Row],[RK]],TableWRTECalcPts[RK],0)),"")</f>
        <v>11.009039341968327</v>
      </c>
      <c r="BA231" s="174">
        <f>IFERROR((TableWRTERank[[#This Row],[FPS]]-INDEX(TableWRTERank[FPS],MATCH(WRTEVORPCalc,TableWRTERank[RK],0)))/INDEX(TableWRTERank[FPS],MATCH(WRTEVORPCalc,TableWRTERank[RK],0)),"")</f>
        <v>-0.92984436699969053</v>
      </c>
      <c r="BC231" t="s">
        <v>10</v>
      </c>
      <c r="BD231">
        <v>30</v>
      </c>
      <c r="BE231" s="83">
        <f>RANK(TableWRTEMaster[[#This Row],[VORP]],TableWRTEMaster[VORP])+COUNTIF($BJ$2:BJ231,BJ231)-1</f>
        <v>115</v>
      </c>
      <c r="BF231" s="115" t="str">
        <f>IFERROR(INDEX(TableTEVORP[TIGHT END],MATCH(TableWRTEMaster[[#This Row],[RK]],TableTEVORP[RK],0)),"")</f>
        <v>Theo Johnson</v>
      </c>
      <c r="BG231" s="115" t="str">
        <f>_xlfn.CONCAT(TableWRTEMaster[[#This Row],[POS]],TableWRTEMaster[[#This Row],[RK]])</f>
        <v>TE30</v>
      </c>
      <c r="BH231" s="115">
        <f>IFERROR(INDEX(TableTEVORP[BYE],MATCH(TableWRTEMaster[[#This Row],[RK]],TableTEVORP[RK],0)),"")</f>
        <v>11</v>
      </c>
      <c r="BI231" s="116">
        <f>IFERROR(INDEX(TableTEVORP[FPS],MATCH(TableWRTEMaster[[#This Row],[RK]],TableTEVORP[RK],0)),"")</f>
        <v>74.308369090843826</v>
      </c>
      <c r="BJ231" s="117">
        <f>IFERROR(INDEX(TableTEVORP[VORP],MATCH(TableWRTEMaster[[#This Row],[RK]],TableTEVORP[RK],0)),"")</f>
        <v>-0.43551415137024685</v>
      </c>
    </row>
    <row r="232" spans="15:62" x14ac:dyDescent="0.2">
      <c r="AF232" t="s">
        <v>208</v>
      </c>
      <c r="AG232">
        <v>91</v>
      </c>
      <c r="AH232" s="83">
        <f>RANK(TableOverallMaster[[#This Row],[VORP]],TableOverallMaster[VORP])+COUNTIF($AM$2:AM232,AM232)-1</f>
        <v>236</v>
      </c>
      <c r="AI232" s="115" t="str">
        <f>IFERROR(INDEX(TableWRVORP[WIDE RECEIVER],MATCH(TableOverallMaster[[#This Row],[RK]],TableWRVORP[RK],0)),"")</f>
        <v>Troy Franklin</v>
      </c>
      <c r="AJ232" s="115" t="str">
        <f t="shared" si="3"/>
        <v>WR91</v>
      </c>
      <c r="AK232" s="115">
        <f>IFERROR(INDEX(TableWRVORP[BYE],MATCH(TableOverallMaster[[#This Row],[RK]],TableWRVORP[RK],0)),"")</f>
        <v>14</v>
      </c>
      <c r="AL232" s="116">
        <f>IFERROR(INDEX(TableWRVORP[FPS],MATCH(TableOverallMaster[[#This Row],[RK]],TableWRVORP[RK],0)),"")</f>
        <v>77.840978498808838</v>
      </c>
      <c r="AM232" s="117">
        <f>IFERROR(INDEX(TableWRVORP[VORP],MATCH(TableOverallMaster[[#This Row],[RK]],TableWRVORP[RK],0)),"")</f>
        <v>-0.56550918539369188</v>
      </c>
      <c r="AO232">
        <v>231</v>
      </c>
      <c r="AP232" s="118" t="str">
        <f>IFERROR(INDEX(TableOverallMaster[OVERALL PLAYER],MATCH(TableOverallRank[[#This Row],[RK]],TableOverallMaster[OVR RK],0)),"")</f>
        <v>Tommy Tremble</v>
      </c>
      <c r="AQ232" s="119" t="str">
        <f>IFERROR(INDEX(TableOverallMaster[POS RK],MATCH(TableOverallRank[[#This Row],[OVERALL PLAYER]],TableOverallMaster[OVERALL PLAYER],0)),"")</f>
        <v>TE34</v>
      </c>
      <c r="AR232" s="120">
        <f>IFERROR(INDEX(TableOverallMaster[BYE],MATCH(TableOverallRank[[#This Row],[OVERALL PLAYER]],TableOverallMaster[OVERALL PLAYER],0)),"")</f>
        <v>11</v>
      </c>
      <c r="AS232" s="119">
        <f>IFERROR(INDEX(TableOverallMaster[Custom],MATCH(TableOverallRank[[#This Row],[OVERALL PLAYER]],TableOverallMaster[OVERALL PLAYER],0)),"")</f>
        <v>59.441486316951199</v>
      </c>
      <c r="AT232" s="121">
        <f>IFERROR(INDEX(TableOverallMaster[VORP],MATCH(TableOverallRank[[#This Row],[OVERALL PLAYER]],TableOverallMaster[OVERALL PLAYER],0)),"")</f>
        <v>-0.54845089109118239</v>
      </c>
      <c r="AV232">
        <v>231</v>
      </c>
      <c r="AW232" s="122" t="str">
        <f>IFERROR(INDEX(TableWRTECalcPts[PLAYER],MATCH(TableWRTERank[[#This Row],[RK]],TableWRTECalcPts[RK],0)),"")</f>
        <v>Julian Hill</v>
      </c>
      <c r="AX232" s="122" t="str">
        <f>IFERROR(INDEX(TableWRTECalcPts[POS RK],MATCH(TableWRTERank[[#This Row],[WR and TE COMBINED]],TableWRTECalcPts[PLAYER],0)),"")</f>
        <v>TE69</v>
      </c>
      <c r="AY232" s="122">
        <f>IFERROR(INDEX(TableWRTECalcPts[BYE],MATCH(TableWRTERank[[#This Row],[RK]],TableWRTECalcPts[RK],0)),"")</f>
        <v>6</v>
      </c>
      <c r="AZ232" s="123">
        <f>IFERROR(INDEX(TableWRTECalcPts[Custom],MATCH(TableWRTERank[[#This Row],[RK]],TableWRTECalcPts[RK],0)),"")</f>
        <v>10.861141758436784</v>
      </c>
      <c r="BA232" s="174">
        <f>IFERROR((TableWRTERank[[#This Row],[FPS]]-INDEX(TableWRTERank[FPS],MATCH(WRTEVORPCalc,TableWRTERank[RK],0)))/INDEX(TableWRTERank[FPS],MATCH(WRTEVORPCalc,TableWRTERank[RK],0)),"")</f>
        <v>-0.93078685146809614</v>
      </c>
      <c r="BC232" t="s">
        <v>10</v>
      </c>
      <c r="BD232">
        <v>31</v>
      </c>
      <c r="BE232" s="83">
        <f>RANK(TableWRTEMaster[[#This Row],[VORP]],TableWRTEMaster[VORP])+COUNTIF($BJ$2:BJ232,BJ232)-1</f>
        <v>117</v>
      </c>
      <c r="BF232" s="115" t="str">
        <f>IFERROR(INDEX(TableTEVORP[TIGHT END],MATCH(TableWRTEMaster[[#This Row],[RK]],TableTEVORP[RK],0)),"")</f>
        <v>Greg Dulcich</v>
      </c>
      <c r="BG232" s="115" t="str">
        <f>_xlfn.CONCAT(TableWRTEMaster[[#This Row],[POS]],TableWRTEMaster[[#This Row],[RK]])</f>
        <v>TE31</v>
      </c>
      <c r="BH232" s="115">
        <f>IFERROR(INDEX(TableTEVORP[BYE],MATCH(TableWRTEMaster[[#This Row],[RK]],TableTEVORP[RK],0)),"")</f>
        <v>14</v>
      </c>
      <c r="BI232" s="116">
        <f>IFERROR(INDEX(TableTEVORP[FPS],MATCH(TableWRTEMaster[[#This Row],[RK]],TableTEVORP[RK],0)),"")</f>
        <v>72.597638439045213</v>
      </c>
      <c r="BJ232" s="117">
        <f>IFERROR(INDEX(TableTEVORP[VORP],MATCH(TableWRTEMaster[[#This Row],[RK]],TableTEVORP[RK],0)),"")</f>
        <v>-0.44850977024295957</v>
      </c>
    </row>
    <row r="233" spans="15:62" x14ac:dyDescent="0.2">
      <c r="AF233" t="s">
        <v>208</v>
      </c>
      <c r="AG233">
        <v>92</v>
      </c>
      <c r="AH233" s="83">
        <f>RANK(TableOverallMaster[[#This Row],[VORP]],TableOverallMaster[VORP])+COUNTIF($AM$2:AM233,AM233)-1</f>
        <v>238</v>
      </c>
      <c r="AI233" s="115" t="str">
        <f>IFERROR(INDEX(TableWRVORP[WIDE RECEIVER],MATCH(TableOverallMaster[[#This Row],[RK]],TableWRVORP[RK],0)),"")</f>
        <v>Kalif Raymond</v>
      </c>
      <c r="AJ233" s="115" t="str">
        <f t="shared" si="3"/>
        <v>WR92</v>
      </c>
      <c r="AK233" s="115">
        <f>IFERROR(INDEX(TableWRVORP[BYE],MATCH(TableOverallMaster[[#This Row],[RK]],TableWRVORP[RK],0)),"")</f>
        <v>5</v>
      </c>
      <c r="AL233" s="116">
        <f>IFERROR(INDEX(TableWRVORP[FPS],MATCH(TableOverallMaster[[#This Row],[RK]],TableWRVORP[RK],0)),"")</f>
        <v>75.815283346782593</v>
      </c>
      <c r="AM233" s="117">
        <f>IFERROR(INDEX(TableWRVORP[VORP],MATCH(TableOverallMaster[[#This Row],[RK]],TableWRVORP[RK],0)),"")</f>
        <v>-0.5820208607598083</v>
      </c>
      <c r="AO233">
        <v>232</v>
      </c>
      <c r="AP233" s="118" t="str">
        <f>IFERROR(INDEX(TableOverallMaster[OVERALL PLAYER],MATCH(TableOverallRank[[#This Row],[RK]],TableOverallMaster[OVR RK],0)),"")</f>
        <v>Ja'Tavion Sanders</v>
      </c>
      <c r="AQ233" s="119" t="str">
        <f>IFERROR(INDEX(TableOverallMaster[POS RK],MATCH(TableOverallRank[[#This Row],[OVERALL PLAYER]],TableOverallMaster[OVERALL PLAYER],0)),"")</f>
        <v>TE35</v>
      </c>
      <c r="AR233" s="120">
        <f>IFERROR(INDEX(TableOverallMaster[BYE],MATCH(TableOverallRank[[#This Row],[OVERALL PLAYER]],TableOverallMaster[OVERALL PLAYER],0)),"")</f>
        <v>11</v>
      </c>
      <c r="AS233" s="119">
        <f>IFERROR(INDEX(TableOverallMaster[Custom],MATCH(TableOverallRank[[#This Row],[OVERALL PLAYER]],TableOverallMaster[OVERALL PLAYER],0)),"")</f>
        <v>59.212657014771921</v>
      </c>
      <c r="AT233" s="121">
        <f>IFERROR(INDEX(TableOverallMaster[VORP],MATCH(TableOverallRank[[#This Row],[OVERALL PLAYER]],TableOverallMaster[OVERALL PLAYER],0)),"")</f>
        <v>-0.55018920003824201</v>
      </c>
      <c r="AV233">
        <v>232</v>
      </c>
      <c r="AW233" s="122" t="str">
        <f>IFERROR(INDEX(TableWRTECalcPts[PLAYER],MATCH(TableWRTERank[[#This Row],[RK]],TableWRTECalcPts[RK],0)),"")</f>
        <v>Britain Covey</v>
      </c>
      <c r="AX233" s="122" t="str">
        <f>IFERROR(INDEX(TableWRTECalcPts[POS RK],MATCH(TableWRTERank[[#This Row],[WR and TE COMBINED]],TableWRTECalcPts[PLAYER],0)),"")</f>
        <v>WR163</v>
      </c>
      <c r="AY233" s="122">
        <f>IFERROR(INDEX(TableWRTECalcPts[BYE],MATCH(TableWRTERank[[#This Row],[RK]],TableWRTECalcPts[RK],0)),"")</f>
        <v>5</v>
      </c>
      <c r="AZ233" s="123">
        <f>IFERROR(INDEX(TableWRTECalcPts[Custom],MATCH(TableWRTERank[[#This Row],[RK]],TableWRTECalcPts[RK],0)),"")</f>
        <v>10.576269518762009</v>
      </c>
      <c r="BA233" s="174">
        <f>IFERROR((TableWRTERank[[#This Row],[FPS]]-INDEX(TableWRTERank[FPS],MATCH(WRTEVORPCalc,TableWRTERank[RK],0)))/INDEX(TableWRTERank[FPS],MATCH(WRTEVORPCalc,TableWRTERank[RK],0)),"")</f>
        <v>-0.9326022135244757</v>
      </c>
      <c r="BC233" t="s">
        <v>10</v>
      </c>
      <c r="BD233">
        <v>32</v>
      </c>
      <c r="BE233" s="83">
        <f>RANK(TableWRTEMaster[[#This Row],[VORP]],TableWRTEMaster[VORP])+COUNTIF($BJ$2:BJ233,BJ233)-1</f>
        <v>119</v>
      </c>
      <c r="BF233" s="115" t="str">
        <f>IFERROR(INDEX(TableTEVORP[TIGHT END],MATCH(TableWRTEMaster[[#This Row],[RK]],TableTEVORP[RK],0)),"")</f>
        <v>Tucker Kraft</v>
      </c>
      <c r="BG233" s="115" t="str">
        <f>_xlfn.CONCAT(TableWRTEMaster[[#This Row],[POS]],TableWRTEMaster[[#This Row],[RK]])</f>
        <v>TE32</v>
      </c>
      <c r="BH233" s="115">
        <f>IFERROR(INDEX(TableTEVORP[BYE],MATCH(TableWRTEMaster[[#This Row],[RK]],TableTEVORP[RK],0)),"")</f>
        <v>10</v>
      </c>
      <c r="BI233" s="116">
        <f>IFERROR(INDEX(TableTEVORP[FPS],MATCH(TableWRTEMaster[[#This Row],[RK]],TableTEVORP[RK],0)),"")</f>
        <v>65.127360408954189</v>
      </c>
      <c r="BJ233" s="117">
        <f>IFERROR(INDEX(TableTEVORP[VORP],MATCH(TableWRTEMaster[[#This Row],[RK]],TableTEVORP[RK],0)),"")</f>
        <v>-0.50525797081456558</v>
      </c>
    </row>
    <row r="234" spans="15:62" x14ac:dyDescent="0.2">
      <c r="AF234" t="s">
        <v>208</v>
      </c>
      <c r="AG234">
        <v>93</v>
      </c>
      <c r="AH234" s="83">
        <f>RANK(TableOverallMaster[[#This Row],[VORP]],TableOverallMaster[VORP])+COUNTIF($AM$2:AM234,AM234)-1</f>
        <v>239</v>
      </c>
      <c r="AI234" s="115" t="str">
        <f>IFERROR(INDEX(TableWRVORP[WIDE RECEIVER],MATCH(TableOverallMaster[[#This Row],[RK]],TableWRVORP[RK],0)),"")</f>
        <v>DJ Chark</v>
      </c>
      <c r="AJ234" s="115" t="str">
        <f t="shared" si="3"/>
        <v>WR93</v>
      </c>
      <c r="AK234" s="115">
        <f>IFERROR(INDEX(TableWRVORP[BYE],MATCH(TableOverallMaster[[#This Row],[RK]],TableWRVORP[RK],0)),"")</f>
        <v>5</v>
      </c>
      <c r="AL234" s="116">
        <f>IFERROR(INDEX(TableWRVORP[FPS],MATCH(TableOverallMaster[[#This Row],[RK]],TableWRVORP[RK],0)),"")</f>
        <v>74.74853649727298</v>
      </c>
      <c r="AM234" s="117">
        <f>IFERROR(INDEX(TableWRVORP[VORP],MATCH(TableOverallMaster[[#This Row],[RK]],TableWRVORP[RK],0)),"")</f>
        <v>-0.59071603765220082</v>
      </c>
      <c r="AO234">
        <v>233</v>
      </c>
      <c r="AP234" s="118" t="str">
        <f>IFERROR(INDEX(TableOverallMaster[OVERALL PLAYER],MATCH(TableOverallRank[[#This Row],[RK]],TableOverallMaster[OVR RK],0)),"")</f>
        <v>Jalin Hyatt</v>
      </c>
      <c r="AQ234" s="119" t="str">
        <f>IFERROR(INDEX(TableOverallMaster[POS RK],MATCH(TableOverallRank[[#This Row],[OVERALL PLAYER]],TableOverallMaster[OVERALL PLAYER],0)),"")</f>
        <v>WR90</v>
      </c>
      <c r="AR234" s="120">
        <f>IFERROR(INDEX(TableOverallMaster[BYE],MATCH(TableOverallRank[[#This Row],[OVERALL PLAYER]],TableOverallMaster[OVERALL PLAYER],0)),"")</f>
        <v>11</v>
      </c>
      <c r="AS234" s="119">
        <f>IFERROR(INDEX(TableOverallMaster[Custom],MATCH(TableOverallRank[[#This Row],[OVERALL PLAYER]],TableOverallMaster[OVERALL PLAYER],0)),"")</f>
        <v>78.840212767144308</v>
      </c>
      <c r="AT234" s="121">
        <f>IFERROR(INDEX(TableOverallMaster[VORP],MATCH(TableOverallRank[[#This Row],[OVERALL PLAYER]],TableOverallMaster[OVERALL PLAYER],0)),"")</f>
        <v>-0.55736431135529041</v>
      </c>
      <c r="AV234">
        <v>233</v>
      </c>
      <c r="AW234" s="122" t="str">
        <f>IFERROR(INDEX(TableWRTECalcPts[PLAYER],MATCH(TableWRTERank[[#This Row],[RK]],TableWRTECalcPts[RK],0)),"")</f>
        <v>Durham Smythe</v>
      </c>
      <c r="AX234" s="122" t="str">
        <f>IFERROR(INDEX(TableWRTECalcPts[POS RK],MATCH(TableWRTERank[[#This Row],[WR and TE COMBINED]],TableWRTECalcPts[PLAYER],0)),"")</f>
        <v>TE70</v>
      </c>
      <c r="AY234" s="122">
        <f>IFERROR(INDEX(TableWRTECalcPts[BYE],MATCH(TableWRTERank[[#This Row],[RK]],TableWRTECalcPts[RK],0)),"")</f>
        <v>6</v>
      </c>
      <c r="AZ234" s="123">
        <f>IFERROR(INDEX(TableWRTECalcPts[Custom],MATCH(TableWRTERank[[#This Row],[RK]],TableWRTECalcPts[RK],0)),"")</f>
        <v>9.7230845072298351</v>
      </c>
      <c r="BA234" s="174">
        <f>IFERROR((TableWRTERank[[#This Row],[FPS]]-INDEX(TableWRTERank[FPS],MATCH(WRTEVORPCalc,TableWRTERank[RK],0)))/INDEX(TableWRTERank[FPS],MATCH(WRTEVORPCalc,TableWRTERank[RK],0)),"")</f>
        <v>-0.93803917606872211</v>
      </c>
      <c r="BC234" t="s">
        <v>10</v>
      </c>
      <c r="BD234">
        <v>33</v>
      </c>
      <c r="BE234" s="83">
        <f>RANK(TableWRTEMaster[[#This Row],[VORP]],TableWRTEMaster[VORP])+COUNTIF($BJ$2:BJ234,BJ234)-1</f>
        <v>121</v>
      </c>
      <c r="BF234" s="115" t="str">
        <f>IFERROR(INDEX(TableTEVORP[TIGHT END],MATCH(TableWRTEMaster[[#This Row],[RK]],TableTEVORP[RK],0)),"")</f>
        <v>Michael Mayer</v>
      </c>
      <c r="BG234" s="115" t="str">
        <f>_xlfn.CONCAT(TableWRTEMaster[[#This Row],[POS]],TableWRTEMaster[[#This Row],[RK]])</f>
        <v>TE33</v>
      </c>
      <c r="BH234" s="115">
        <f>IFERROR(INDEX(TableTEVORP[BYE],MATCH(TableWRTEMaster[[#This Row],[RK]],TableTEVORP[RK],0)),"")</f>
        <v>10</v>
      </c>
      <c r="BI234" s="116">
        <f>IFERROR(INDEX(TableTEVORP[FPS],MATCH(TableWRTEMaster[[#This Row],[RK]],TableTEVORP[RK],0)),"")</f>
        <v>63.541282229215099</v>
      </c>
      <c r="BJ234" s="117">
        <f>IFERROR(INDEX(TableTEVORP[VORP],MATCH(TableWRTEMaster[[#This Row],[RK]],TableTEVORP[RK],0)),"")</f>
        <v>-0.51730666328672303</v>
      </c>
    </row>
    <row r="235" spans="15:62" x14ac:dyDescent="0.2">
      <c r="AF235" t="s">
        <v>208</v>
      </c>
      <c r="AG235">
        <v>94</v>
      </c>
      <c r="AH235" s="83">
        <f>RANK(TableOverallMaster[[#This Row],[VORP]],TableOverallMaster[VORP])+COUNTIF($AM$2:AM235,AM235)-1</f>
        <v>247</v>
      </c>
      <c r="AI235" s="115" t="str">
        <f>IFERROR(INDEX(TableWRVORP[WIDE RECEIVER],MATCH(TableOverallMaster[[#This Row],[RK]],TableWRVORP[RK],0)),"")</f>
        <v>Luke McCaffrey</v>
      </c>
      <c r="AJ235" s="115" t="str">
        <f t="shared" si="3"/>
        <v>WR94</v>
      </c>
      <c r="AK235" s="115">
        <f>IFERROR(INDEX(TableWRVORP[BYE],MATCH(TableOverallMaster[[#This Row],[RK]],TableWRVORP[RK],0)),"")</f>
        <v>14</v>
      </c>
      <c r="AL235" s="116">
        <f>IFERROR(INDEX(TableWRVORP[FPS],MATCH(TableOverallMaster[[#This Row],[RK]],TableWRVORP[RK],0)),"")</f>
        <v>71.775430096650027</v>
      </c>
      <c r="AM235" s="117">
        <f>IFERROR(INDEX(TableWRVORP[VORP],MATCH(TableOverallMaster[[#This Row],[RK]],TableWRVORP[RK],0)),"")</f>
        <v>-0.61495017163179033</v>
      </c>
      <c r="AO235">
        <v>234</v>
      </c>
      <c r="AP235" s="118" t="str">
        <f>IFERROR(INDEX(TableOverallMaster[OVERALL PLAYER],MATCH(TableOverallRank[[#This Row],[RK]],TableOverallMaster[OVR RK],0)),"")</f>
        <v>Dawson Knox</v>
      </c>
      <c r="AQ235" s="119" t="str">
        <f>IFERROR(INDEX(TableOverallMaster[POS RK],MATCH(TableOverallRank[[#This Row],[OVERALL PLAYER]],TableOverallMaster[OVERALL PLAYER],0)),"")</f>
        <v>TE36</v>
      </c>
      <c r="AR235" s="120">
        <f>IFERROR(INDEX(TableOverallMaster[BYE],MATCH(TableOverallRank[[#This Row],[OVERALL PLAYER]],TableOverallMaster[OVERALL PLAYER],0)),"")</f>
        <v>12</v>
      </c>
      <c r="AS235" s="119">
        <f>IFERROR(INDEX(TableOverallMaster[Custom],MATCH(TableOverallRank[[#This Row],[OVERALL PLAYER]],TableOverallMaster[OVERALL PLAYER],0)),"")</f>
        <v>58.149530922381004</v>
      </c>
      <c r="AT235" s="121">
        <f>IFERROR(INDEX(TableOverallMaster[VORP],MATCH(TableOverallRank[[#This Row],[OVERALL PLAYER]],TableOverallMaster[OVERALL PLAYER],0)),"")</f>
        <v>-0.55826527063171794</v>
      </c>
      <c r="AV235">
        <v>234</v>
      </c>
      <c r="AW235" s="122" t="str">
        <f>IFERROR(INDEX(TableWRTECalcPts[PLAYER],MATCH(TableWRTERank[[#This Row],[RK]],TableWRTECalcPts[RK],0)),"")</f>
        <v>Zach Pascal</v>
      </c>
      <c r="AX235" s="122" t="str">
        <f>IFERROR(INDEX(TableWRTECalcPts[POS RK],MATCH(TableWRTERank[[#This Row],[WR and TE COMBINED]],TableWRTECalcPts[PLAYER],0)),"")</f>
        <v>WR164</v>
      </c>
      <c r="AY235" s="122">
        <f>IFERROR(INDEX(TableWRTECalcPts[BYE],MATCH(TableWRTERank[[#This Row],[RK]],TableWRTECalcPts[RK],0)),"")</f>
        <v>11</v>
      </c>
      <c r="AZ235" s="123">
        <f>IFERROR(INDEX(TableWRTECalcPts[Custom],MATCH(TableWRTERank[[#This Row],[RK]],TableWRTECalcPts[RK],0)),"")</f>
        <v>9.377240640284997</v>
      </c>
      <c r="BA235" s="174">
        <f>IFERROR((TableWRTERank[[#This Row],[FPS]]-INDEX(TableWRTERank[FPS],MATCH(WRTEVORPCalc,TableWRTERank[RK],0)))/INDEX(TableWRTERank[FPS],MATCH(WRTEVORPCalc,TableWRTERank[RK],0)),"")</f>
        <v>-0.94024308275404878</v>
      </c>
      <c r="BC235" t="s">
        <v>10</v>
      </c>
      <c r="BD235">
        <v>34</v>
      </c>
      <c r="BE235" s="83">
        <f>RANK(TableWRTEMaster[[#This Row],[VORP]],TableWRTEMaster[VORP])+COUNTIF($BJ$2:BJ235,BJ235)-1</f>
        <v>123</v>
      </c>
      <c r="BF235" s="115" t="str">
        <f>IFERROR(INDEX(TableTEVORP[TIGHT END],MATCH(TableWRTEMaster[[#This Row],[RK]],TableTEVORP[RK],0)),"")</f>
        <v>Tommy Tremble</v>
      </c>
      <c r="BG235" s="115" t="str">
        <f>_xlfn.CONCAT(TableWRTEMaster[[#This Row],[POS]],TableWRTEMaster[[#This Row],[RK]])</f>
        <v>TE34</v>
      </c>
      <c r="BH235" s="115">
        <f>IFERROR(INDEX(TableTEVORP[BYE],MATCH(TableWRTEMaster[[#This Row],[RK]],TableTEVORP[RK],0)),"")</f>
        <v>11</v>
      </c>
      <c r="BI235" s="116">
        <f>IFERROR(INDEX(TableTEVORP[FPS],MATCH(TableWRTEMaster[[#This Row],[RK]],TableTEVORP[RK],0)),"")</f>
        <v>59.441486316951199</v>
      </c>
      <c r="BJ235" s="117">
        <f>IFERROR(INDEX(TableTEVORP[VORP],MATCH(TableWRTEMaster[[#This Row],[RK]],TableTEVORP[RK],0)),"")</f>
        <v>-0.54845089109118239</v>
      </c>
    </row>
    <row r="236" spans="15:62" x14ac:dyDescent="0.2">
      <c r="AF236" t="s">
        <v>208</v>
      </c>
      <c r="AG236">
        <v>95</v>
      </c>
      <c r="AH236" s="83">
        <f>RANK(TableOverallMaster[[#This Row],[VORP]],TableOverallMaster[VORP])+COUNTIF($AM$2:AM236,AM236)-1</f>
        <v>248</v>
      </c>
      <c r="AI236" s="115" t="str">
        <f>IFERROR(INDEX(TableWRVORP[WIDE RECEIVER],MATCH(TableOverallMaster[[#This Row],[RK]],TableWRVORP[RK],0)),"")</f>
        <v>Kendrick Bourne</v>
      </c>
      <c r="AJ236" s="115" t="str">
        <f t="shared" si="3"/>
        <v>WR95</v>
      </c>
      <c r="AK236" s="115">
        <f>IFERROR(INDEX(TableWRVORP[BYE],MATCH(TableOverallMaster[[#This Row],[RK]],TableWRVORP[RK],0)),"")</f>
        <v>14</v>
      </c>
      <c r="AL236" s="116">
        <f>IFERROR(INDEX(TableWRVORP[FPS],MATCH(TableOverallMaster[[#This Row],[RK]],TableWRVORP[RK],0)),"")</f>
        <v>70.699840083387201</v>
      </c>
      <c r="AM236" s="117">
        <f>IFERROR(INDEX(TableWRVORP[VORP],MATCH(TableOverallMaster[[#This Row],[RK]],TableWRVORP[RK],0)),"")</f>
        <v>-0.62371743017425574</v>
      </c>
      <c r="AO236">
        <v>235</v>
      </c>
      <c r="AP236" s="118" t="str">
        <f>IFERROR(INDEX(TableOverallMaster[OVERALL PLAYER],MATCH(TableOverallRank[[#This Row],[RK]],TableOverallMaster[OVR RK],0)),"")</f>
        <v>Will Shipley</v>
      </c>
      <c r="AQ236" s="119" t="str">
        <f>IFERROR(INDEX(TableOverallMaster[POS RK],MATCH(TableOverallRank[[#This Row],[OVERALL PLAYER]],TableOverallMaster[OVERALL PLAYER],0)),"")</f>
        <v>RB77</v>
      </c>
      <c r="AR236" s="120">
        <f>IFERROR(INDEX(TableOverallMaster[BYE],MATCH(TableOverallRank[[#This Row],[OVERALL PLAYER]],TableOverallMaster[OVERALL PLAYER],0)),"")</f>
        <v>5</v>
      </c>
      <c r="AS236" s="119">
        <f>IFERROR(INDEX(TableOverallMaster[Custom],MATCH(TableOverallRank[[#This Row],[OVERALL PLAYER]],TableOverallMaster[OVERALL PLAYER],0)),"")</f>
        <v>36.098389367547966</v>
      </c>
      <c r="AT236" s="121">
        <f>IFERROR(INDEX(TableOverallMaster[VORP],MATCH(TableOverallRank[[#This Row],[OVERALL PLAYER]],TableOverallMaster[OVERALL PLAYER],0)),"")</f>
        <v>-0.55916922034728689</v>
      </c>
      <c r="AV236">
        <v>235</v>
      </c>
      <c r="AW236" s="122" t="str">
        <f>IFERROR(INDEX(TableWRTECalcPts[PLAYER],MATCH(TableWRTERank[[#This Row],[RK]],TableWRTECalcPts[RK],0)),"")</f>
        <v>Kameron Johnson</v>
      </c>
      <c r="AX236" s="122" t="str">
        <f>IFERROR(INDEX(TableWRTECalcPts[POS RK],MATCH(TableWRTERank[[#This Row],[WR and TE COMBINED]],TableWRTECalcPts[PLAYER],0)),"")</f>
        <v>WR165</v>
      </c>
      <c r="AY236" s="122">
        <f>IFERROR(INDEX(TableWRTECalcPts[BYE],MATCH(TableWRTERank[[#This Row],[RK]],TableWRTECalcPts[RK],0)),"")</f>
        <v>11</v>
      </c>
      <c r="AZ236" s="123">
        <f>IFERROR(INDEX(TableWRTECalcPts[Custom],MATCH(TableWRTERank[[#This Row],[RK]],TableWRTECalcPts[RK],0)),"")</f>
        <v>9.0625465750914227</v>
      </c>
      <c r="BA236" s="174">
        <f>IFERROR((TableWRTERank[[#This Row],[FPS]]-INDEX(TableWRTERank[FPS],MATCH(WRTEVORPCalc,TableWRTERank[RK],0)))/INDEX(TableWRTERank[FPS],MATCH(WRTEVORPCalc,TableWRTERank[RK],0)),"")</f>
        <v>-0.94224848582867793</v>
      </c>
      <c r="BC236" t="s">
        <v>10</v>
      </c>
      <c r="BD236">
        <v>35</v>
      </c>
      <c r="BE236" s="83">
        <f>RANK(TableWRTEMaster[[#This Row],[VORP]],TableWRTEMaster[VORP])+COUNTIF($BJ$2:BJ236,BJ236)-1</f>
        <v>124</v>
      </c>
      <c r="BF236" s="115" t="str">
        <f>IFERROR(INDEX(TableTEVORP[TIGHT END],MATCH(TableWRTEMaster[[#This Row],[RK]],TableTEVORP[RK],0)),"")</f>
        <v>Ja'Tavion Sanders</v>
      </c>
      <c r="BG236" s="115" t="str">
        <f>_xlfn.CONCAT(TableWRTEMaster[[#This Row],[POS]],TableWRTEMaster[[#This Row],[RK]])</f>
        <v>TE35</v>
      </c>
      <c r="BH236" s="115">
        <f>IFERROR(INDEX(TableTEVORP[BYE],MATCH(TableWRTEMaster[[#This Row],[RK]],TableTEVORP[RK],0)),"")</f>
        <v>11</v>
      </c>
      <c r="BI236" s="116">
        <f>IFERROR(INDEX(TableTEVORP[FPS],MATCH(TableWRTEMaster[[#This Row],[RK]],TableTEVORP[RK],0)),"")</f>
        <v>59.212657014771921</v>
      </c>
      <c r="BJ236" s="117">
        <f>IFERROR(INDEX(TableTEVORP[VORP],MATCH(TableWRTEMaster[[#This Row],[RK]],TableTEVORP[RK],0)),"")</f>
        <v>-0.55018920003824201</v>
      </c>
    </row>
    <row r="237" spans="15:62" x14ac:dyDescent="0.2">
      <c r="AF237" t="s">
        <v>208</v>
      </c>
      <c r="AG237">
        <v>96</v>
      </c>
      <c r="AH237" s="83">
        <f>RANK(TableOverallMaster[[#This Row],[VORP]],TableOverallMaster[VORP])+COUNTIF($AM$2:AM237,AM237)-1</f>
        <v>257</v>
      </c>
      <c r="AI237" s="115" t="str">
        <f>IFERROR(INDEX(TableWRVORP[WIDE RECEIVER],MATCH(TableOverallMaster[[#This Row],[RK]],TableWRVORP[RK],0)),"")</f>
        <v>Brenden Rice</v>
      </c>
      <c r="AJ237" s="115" t="str">
        <f t="shared" si="3"/>
        <v>WR96</v>
      </c>
      <c r="AK237" s="115">
        <f>IFERROR(INDEX(TableWRVORP[BYE],MATCH(TableOverallMaster[[#This Row],[RK]],TableWRVORP[RK],0)),"")</f>
        <v>5</v>
      </c>
      <c r="AL237" s="116">
        <f>IFERROR(INDEX(TableWRVORP[FPS],MATCH(TableOverallMaster[[#This Row],[RK]],TableWRVORP[RK],0)),"")</f>
        <v>65.713634104769312</v>
      </c>
      <c r="AM237" s="117">
        <f>IFERROR(INDEX(TableWRVORP[VORP],MATCH(TableOverallMaster[[#This Row],[RK]],TableWRVORP[RK],0)),"")</f>
        <v>-0.66436057153991213</v>
      </c>
      <c r="AO237">
        <v>236</v>
      </c>
      <c r="AP237" s="118" t="str">
        <f>IFERROR(INDEX(TableOverallMaster[OVERALL PLAYER],MATCH(TableOverallRank[[#This Row],[RK]],TableOverallMaster[OVR RK],0)),"")</f>
        <v>Troy Franklin</v>
      </c>
      <c r="AQ237" s="119" t="str">
        <f>IFERROR(INDEX(TableOverallMaster[POS RK],MATCH(TableOverallRank[[#This Row],[OVERALL PLAYER]],TableOverallMaster[OVERALL PLAYER],0)),"")</f>
        <v>WR91</v>
      </c>
      <c r="AR237" s="120">
        <f>IFERROR(INDEX(TableOverallMaster[BYE],MATCH(TableOverallRank[[#This Row],[OVERALL PLAYER]],TableOverallMaster[OVERALL PLAYER],0)),"")</f>
        <v>14</v>
      </c>
      <c r="AS237" s="119">
        <f>IFERROR(INDEX(TableOverallMaster[Custom],MATCH(TableOverallRank[[#This Row],[OVERALL PLAYER]],TableOverallMaster[OVERALL PLAYER],0)),"")</f>
        <v>77.840978498808838</v>
      </c>
      <c r="AT237" s="121">
        <f>IFERROR(INDEX(TableOverallMaster[VORP],MATCH(TableOverallRank[[#This Row],[OVERALL PLAYER]],TableOverallMaster[OVERALL PLAYER],0)),"")</f>
        <v>-0.56550918539369188</v>
      </c>
      <c r="AV237">
        <v>236</v>
      </c>
      <c r="AW237" s="122" t="str">
        <f>IFERROR(INDEX(TableWRTECalcPts[PLAYER],MATCH(TableWRTERank[[#This Row],[RK]],TableWRTECalcPts[RK],0)),"")</f>
        <v>Danny Gray</v>
      </c>
      <c r="AX237" s="122" t="str">
        <f>IFERROR(INDEX(TableWRTECalcPts[POS RK],MATCH(TableWRTERank[[#This Row],[WR and TE COMBINED]],TableWRTECalcPts[PLAYER],0)),"")</f>
        <v>WR166</v>
      </c>
      <c r="AY237" s="122">
        <f>IFERROR(INDEX(TableWRTECalcPts[BYE],MATCH(TableWRTERank[[#This Row],[RK]],TableWRTECalcPts[RK],0)),"")</f>
        <v>9</v>
      </c>
      <c r="AZ237" s="123">
        <f>IFERROR(INDEX(TableWRTECalcPts[Custom],MATCH(TableWRTERank[[#This Row],[RK]],TableWRTECalcPts[RK],0)),"")</f>
        <v>8.5978939176899996</v>
      </c>
      <c r="BA237" s="174">
        <f>IFERROR((TableWRTERank[[#This Row],[FPS]]-INDEX(TableWRTERank[FPS],MATCH(WRTEVORPCalc,TableWRTERank[RK],0)))/INDEX(TableWRTERank[FPS],MATCH(WRTEVORPCalc,TableWRTERank[RK],0)),"")</f>
        <v>-0.94520950724868547</v>
      </c>
      <c r="BC237" t="s">
        <v>10</v>
      </c>
      <c r="BD237">
        <v>36</v>
      </c>
      <c r="BE237" s="83">
        <f>RANK(TableWRTEMaster[[#This Row],[VORP]],TableWRTEMaster[VORP])+COUNTIF($BJ$2:BJ237,BJ237)-1</f>
        <v>126</v>
      </c>
      <c r="BF237" s="115" t="str">
        <f>IFERROR(INDEX(TableTEVORP[TIGHT END],MATCH(TableWRTEMaster[[#This Row],[RK]],TableTEVORP[RK],0)),"")</f>
        <v>Dawson Knox</v>
      </c>
      <c r="BG237" s="115" t="str">
        <f>_xlfn.CONCAT(TableWRTEMaster[[#This Row],[POS]],TableWRTEMaster[[#This Row],[RK]])</f>
        <v>TE36</v>
      </c>
      <c r="BH237" s="115">
        <f>IFERROR(INDEX(TableTEVORP[BYE],MATCH(TableWRTEMaster[[#This Row],[RK]],TableTEVORP[RK],0)),"")</f>
        <v>12</v>
      </c>
      <c r="BI237" s="116">
        <f>IFERROR(INDEX(TableTEVORP[FPS],MATCH(TableWRTEMaster[[#This Row],[RK]],TableTEVORP[RK],0)),"")</f>
        <v>58.149530922381004</v>
      </c>
      <c r="BJ237" s="117">
        <f>IFERROR(INDEX(TableTEVORP[VORP],MATCH(TableWRTEMaster[[#This Row],[RK]],TableTEVORP[RK],0)),"")</f>
        <v>-0.55826527063171794</v>
      </c>
    </row>
    <row r="238" spans="15:62" x14ac:dyDescent="0.2">
      <c r="AF238" t="s">
        <v>208</v>
      </c>
      <c r="AG238">
        <v>97</v>
      </c>
      <c r="AH238" s="83">
        <f>RANK(TableOverallMaster[[#This Row],[VORP]],TableOverallMaster[VORP])+COUNTIF($AM$2:AM238,AM238)-1</f>
        <v>262</v>
      </c>
      <c r="AI238" s="115" t="str">
        <f>IFERROR(INDEX(TableWRVORP[WIDE RECEIVER],MATCH(TableOverallMaster[[#This Row],[RK]],TableWRVORP[RK],0)),"")</f>
        <v>Jalen Nailor</v>
      </c>
      <c r="AJ238" s="115" t="str">
        <f t="shared" si="3"/>
        <v>WR97</v>
      </c>
      <c r="AK238" s="115">
        <f>IFERROR(INDEX(TableWRVORP[BYE],MATCH(TableOverallMaster[[#This Row],[RK]],TableWRVORP[RK],0)),"")</f>
        <v>6</v>
      </c>
      <c r="AL238" s="116">
        <f>IFERROR(INDEX(TableWRVORP[FPS],MATCH(TableOverallMaster[[#This Row],[RK]],TableWRVORP[RK],0)),"")</f>
        <v>64.716988902047987</v>
      </c>
      <c r="AM238" s="117">
        <f>IFERROR(INDEX(TableWRVORP[VORP],MATCH(TableOverallMaster[[#This Row],[RK]],TableWRVORP[RK],0)),"")</f>
        <v>-0.67248434180518191</v>
      </c>
      <c r="AO238">
        <v>237</v>
      </c>
      <c r="AP238" s="118" t="str">
        <f>IFERROR(INDEX(TableOverallMaster[OVERALL PLAYER],MATCH(TableOverallRank[[#This Row],[RK]],TableOverallMaster[OVR RK],0)),"")</f>
        <v>Zach Ertz</v>
      </c>
      <c r="AQ238" s="119" t="str">
        <f>IFERROR(INDEX(TableOverallMaster[POS RK],MATCH(TableOverallRank[[#This Row],[OVERALL PLAYER]],TableOverallMaster[OVERALL PLAYER],0)),"")</f>
        <v>TE37</v>
      </c>
      <c r="AR238" s="120">
        <f>IFERROR(INDEX(TableOverallMaster[BYE],MATCH(TableOverallRank[[#This Row],[OVERALL PLAYER]],TableOverallMaster[OVERALL PLAYER],0)),"")</f>
        <v>14</v>
      </c>
      <c r="AS238" s="119">
        <f>IFERROR(INDEX(TableOverallMaster[Custom],MATCH(TableOverallRank[[#This Row],[OVERALL PLAYER]],TableOverallMaster[OVERALL PLAYER],0)),"")</f>
        <v>56.143588018518017</v>
      </c>
      <c r="AT238" s="121">
        <f>IFERROR(INDEX(TableOverallMaster[VORP],MATCH(TableOverallRank[[#This Row],[OVERALL PLAYER]],TableOverallMaster[OVERALL PLAYER],0)),"")</f>
        <v>-0.57350347860538009</v>
      </c>
      <c r="AV238">
        <v>237</v>
      </c>
      <c r="AW238" s="122" t="str">
        <f>IFERROR(INDEX(TableWRTECalcPts[PLAYER],MATCH(TableWRTERank[[#This Row],[RK]],TableWRTECalcPts[RK],0)),"")</f>
        <v>River Cracraft</v>
      </c>
      <c r="AX238" s="122" t="str">
        <f>IFERROR(INDEX(TableWRTECalcPts[POS RK],MATCH(TableWRTERank[[#This Row],[WR and TE COMBINED]],TableWRTECalcPts[PLAYER],0)),"")</f>
        <v>WR167</v>
      </c>
      <c r="AY238" s="122">
        <f>IFERROR(INDEX(TableWRTECalcPts[BYE],MATCH(TableWRTERank[[#This Row],[RK]],TableWRTECalcPts[RK],0)),"")</f>
        <v>6</v>
      </c>
      <c r="AZ238" s="123">
        <f>IFERROR(INDEX(TableWRTECalcPts[Custom],MATCH(TableWRTERank[[#This Row],[RK]],TableWRTECalcPts[RK],0)),"")</f>
        <v>8.5156327785290653</v>
      </c>
      <c r="BA238" s="174">
        <f>IFERROR((TableWRTERank[[#This Row],[FPS]]-INDEX(TableWRTERank[FPS],MATCH(WRTEVORPCalc,TableWRTERank[RK],0)))/INDEX(TableWRTERank[FPS],MATCH(WRTEVORPCalc,TableWRTERank[RK],0)),"")</f>
        <v>-0.94573372031668324</v>
      </c>
      <c r="BC238" t="s">
        <v>10</v>
      </c>
      <c r="BD238">
        <v>37</v>
      </c>
      <c r="BE238" s="83">
        <f>RANK(TableWRTEMaster[[#This Row],[VORP]],TableWRTEMaster[VORP])+COUNTIF($BJ$2:BJ238,BJ238)-1</f>
        <v>128</v>
      </c>
      <c r="BF238" s="115" t="str">
        <f>IFERROR(INDEX(TableTEVORP[TIGHT END],MATCH(TableWRTEMaster[[#This Row],[RK]],TableTEVORP[RK],0)),"")</f>
        <v>Zach Ertz</v>
      </c>
      <c r="BG238" s="115" t="str">
        <f>_xlfn.CONCAT(TableWRTEMaster[[#This Row],[POS]],TableWRTEMaster[[#This Row],[RK]])</f>
        <v>TE37</v>
      </c>
      <c r="BH238" s="115">
        <f>IFERROR(INDEX(TableTEVORP[BYE],MATCH(TableWRTEMaster[[#This Row],[RK]],TableTEVORP[RK],0)),"")</f>
        <v>14</v>
      </c>
      <c r="BI238" s="116">
        <f>IFERROR(INDEX(TableTEVORP[FPS],MATCH(TableWRTEMaster[[#This Row],[RK]],TableTEVORP[RK],0)),"")</f>
        <v>56.143588018518017</v>
      </c>
      <c r="BJ238" s="117">
        <f>IFERROR(INDEX(TableTEVORP[VORP],MATCH(TableWRTEMaster[[#This Row],[RK]],TableTEVORP[RK],0)),"")</f>
        <v>-0.57350347860538009</v>
      </c>
    </row>
    <row r="239" spans="15:62" x14ac:dyDescent="0.2">
      <c r="AF239" t="s">
        <v>208</v>
      </c>
      <c r="AG239">
        <v>98</v>
      </c>
      <c r="AH239" s="83">
        <f>RANK(TableOverallMaster[[#This Row],[VORP]],TableOverallMaster[VORP])+COUNTIF($AM$2:AM239,AM239)-1</f>
        <v>263</v>
      </c>
      <c r="AI239" s="115" t="str">
        <f>IFERROR(INDEX(TableWRVORP[WIDE RECEIVER],MATCH(TableOverallMaster[[#This Row],[RK]],TableWRVORP[RK],0)),"")</f>
        <v>Ricky Pearsall</v>
      </c>
      <c r="AJ239" s="115" t="str">
        <f t="shared" si="3"/>
        <v>WR98</v>
      </c>
      <c r="AK239" s="115">
        <f>IFERROR(INDEX(TableWRVORP[BYE],MATCH(TableOverallMaster[[#This Row],[RK]],TableWRVORP[RK],0)),"")</f>
        <v>9</v>
      </c>
      <c r="AL239" s="116">
        <f>IFERROR(INDEX(TableWRVORP[FPS],MATCH(TableOverallMaster[[#This Row],[RK]],TableWRVORP[RK],0)),"")</f>
        <v>64.515491200216616</v>
      </c>
      <c r="AM239" s="117">
        <f>IFERROR(INDEX(TableWRVORP[VORP],MATCH(TableOverallMaster[[#This Row],[RK]],TableWRVORP[RK],0)),"")</f>
        <v>-0.67412677286709666</v>
      </c>
      <c r="AO239">
        <v>238</v>
      </c>
      <c r="AP239" s="118" t="str">
        <f>IFERROR(INDEX(TableOverallMaster[OVERALL PLAYER],MATCH(TableOverallRank[[#This Row],[RK]],TableOverallMaster[OVR RK],0)),"")</f>
        <v>Kalif Raymond</v>
      </c>
      <c r="AQ239" s="119" t="str">
        <f>IFERROR(INDEX(TableOverallMaster[POS RK],MATCH(TableOverallRank[[#This Row],[OVERALL PLAYER]],TableOverallMaster[OVERALL PLAYER],0)),"")</f>
        <v>WR92</v>
      </c>
      <c r="AR239" s="120">
        <f>IFERROR(INDEX(TableOverallMaster[BYE],MATCH(TableOverallRank[[#This Row],[OVERALL PLAYER]],TableOverallMaster[OVERALL PLAYER],0)),"")</f>
        <v>5</v>
      </c>
      <c r="AS239" s="119">
        <f>IFERROR(INDEX(TableOverallMaster[Custom],MATCH(TableOverallRank[[#This Row],[OVERALL PLAYER]],TableOverallMaster[OVERALL PLAYER],0)),"")</f>
        <v>75.815283346782593</v>
      </c>
      <c r="AT239" s="121">
        <f>IFERROR(INDEX(TableOverallMaster[VORP],MATCH(TableOverallRank[[#This Row],[OVERALL PLAYER]],TableOverallMaster[OVERALL PLAYER],0)),"")</f>
        <v>-0.5820208607598083</v>
      </c>
      <c r="AV239">
        <v>238</v>
      </c>
      <c r="AW239" s="122" t="str">
        <f>IFERROR(INDEX(TableWRTECalcPts[PLAYER],MATCH(TableWRTERank[[#This Row],[RK]],TableWRTECalcPts[RK],0)),"")</f>
        <v>Dez Fitzpatrick</v>
      </c>
      <c r="AX239" s="122" t="str">
        <f>IFERROR(INDEX(TableWRTECalcPts[POS RK],MATCH(TableWRTERank[[#This Row],[WR and TE COMBINED]],TableWRTECalcPts[PLAYER],0)),"")</f>
        <v>WR168</v>
      </c>
      <c r="AY239" s="122">
        <f>IFERROR(INDEX(TableWRTECalcPts[BYE],MATCH(TableWRTERank[[#This Row],[RK]],TableWRTECalcPts[RK],0)),"")</f>
        <v>9</v>
      </c>
      <c r="AZ239" s="123">
        <f>IFERROR(INDEX(TableWRTECalcPts[Custom],MATCH(TableWRTERank[[#This Row],[RK]],TableWRTECalcPts[RK],0)),"")</f>
        <v>8.4999207711599993</v>
      </c>
      <c r="BA239" s="174">
        <f>IFERROR((TableWRTERank[[#This Row],[FPS]]-INDEX(TableWRTERank[FPS],MATCH(WRTEVORPCalc,TableWRTERank[RK],0)))/INDEX(TableWRTERank[FPS],MATCH(WRTEVORPCalc,TableWRTERank[RK],0)),"")</f>
        <v>-0.9458338458397596</v>
      </c>
      <c r="BC239" t="s">
        <v>10</v>
      </c>
      <c r="BD239">
        <v>38</v>
      </c>
      <c r="BE239" s="83">
        <f>RANK(TableWRTEMaster[[#This Row],[VORP]],TableWRTEMaster[VORP])+COUNTIF($BJ$2:BJ239,BJ239)-1</f>
        <v>131</v>
      </c>
      <c r="BF239" s="115" t="str">
        <f>IFERROR(INDEX(TableTEVORP[TIGHT END],MATCH(TableWRTEMaster[[#This Row],[RK]],TableTEVORP[RK],0)),"")</f>
        <v>Daniel Bellinger</v>
      </c>
      <c r="BG239" s="115" t="str">
        <f>_xlfn.CONCAT(TableWRTEMaster[[#This Row],[POS]],TableWRTEMaster[[#This Row],[RK]])</f>
        <v>TE38</v>
      </c>
      <c r="BH239" s="115">
        <f>IFERROR(INDEX(TableTEVORP[BYE],MATCH(TableWRTEMaster[[#This Row],[RK]],TableTEVORP[RK],0)),"")</f>
        <v>11</v>
      </c>
      <c r="BI239" s="116">
        <f>IFERROR(INDEX(TableTEVORP[FPS],MATCH(TableWRTEMaster[[#This Row],[RK]],TableTEVORP[RK],0)),"")</f>
        <v>52.988011934465121</v>
      </c>
      <c r="BJ239" s="117">
        <f>IFERROR(INDEX(TableTEVORP[VORP],MATCH(TableWRTEMaster[[#This Row],[RK]],TableTEVORP[RK],0)),"")</f>
        <v>-0.59747491096913841</v>
      </c>
    </row>
    <row r="240" spans="15:62" x14ac:dyDescent="0.2">
      <c r="AF240" t="s">
        <v>208</v>
      </c>
      <c r="AG240">
        <v>99</v>
      </c>
      <c r="AH240" s="83">
        <f>RANK(TableOverallMaster[[#This Row],[VORP]],TableOverallMaster[VORP])+COUNTIF($AM$2:AM240,AM240)-1</f>
        <v>267</v>
      </c>
      <c r="AI240" s="115" t="str">
        <f>IFERROR(INDEX(TableWRVORP[WIDE RECEIVER],MATCH(TableOverallMaster[[#This Row],[RK]],TableWRVORP[RK],0)),"")</f>
        <v>Cedrick Wilson</v>
      </c>
      <c r="AJ240" s="115" t="str">
        <f t="shared" si="3"/>
        <v>WR99</v>
      </c>
      <c r="AK240" s="115">
        <f>IFERROR(INDEX(TableWRVORP[BYE],MATCH(TableOverallMaster[[#This Row],[RK]],TableWRVORP[RK],0)),"")</f>
        <v>12</v>
      </c>
      <c r="AL240" s="116">
        <f>IFERROR(INDEX(TableWRVORP[FPS],MATCH(TableOverallMaster[[#This Row],[RK]],TableWRVORP[RK],0)),"")</f>
        <v>63.135295687497305</v>
      </c>
      <c r="AM240" s="117">
        <f>IFERROR(INDEX(TableWRVORP[VORP],MATCH(TableOverallMaster[[#This Row],[RK]],TableWRVORP[RK],0)),"")</f>
        <v>-0.68537690604977042</v>
      </c>
      <c r="AO240">
        <v>239</v>
      </c>
      <c r="AP240" s="118" t="str">
        <f>IFERROR(INDEX(TableOverallMaster[OVERALL PLAYER],MATCH(TableOverallRank[[#This Row],[RK]],TableOverallMaster[OVR RK],0)),"")</f>
        <v>DJ Chark</v>
      </c>
      <c r="AQ240" s="119" t="str">
        <f>IFERROR(INDEX(TableOverallMaster[POS RK],MATCH(TableOverallRank[[#This Row],[OVERALL PLAYER]],TableOverallMaster[OVERALL PLAYER],0)),"")</f>
        <v>WR93</v>
      </c>
      <c r="AR240" s="120">
        <f>IFERROR(INDEX(TableOverallMaster[BYE],MATCH(TableOverallRank[[#This Row],[OVERALL PLAYER]],TableOverallMaster[OVERALL PLAYER],0)),"")</f>
        <v>5</v>
      </c>
      <c r="AS240" s="119">
        <f>IFERROR(INDEX(TableOverallMaster[Custom],MATCH(TableOverallRank[[#This Row],[OVERALL PLAYER]],TableOverallMaster[OVERALL PLAYER],0)),"")</f>
        <v>74.74853649727298</v>
      </c>
      <c r="AT240" s="121">
        <f>IFERROR(INDEX(TableOverallMaster[VORP],MATCH(TableOverallRank[[#This Row],[OVERALL PLAYER]],TableOverallMaster[OVERALL PLAYER],0)),"")</f>
        <v>-0.59071603765220082</v>
      </c>
      <c r="AV240">
        <v>239</v>
      </c>
      <c r="AW240" s="122" t="str">
        <f>IFERROR(INDEX(TableWRTECalcPts[PLAYER],MATCH(TableWRTERank[[#This Row],[RK]],TableWRTECalcPts[RK],0)),"")</f>
        <v>Chris Manhertz</v>
      </c>
      <c r="AX240" s="122" t="str">
        <f>IFERROR(INDEX(TableWRTECalcPts[POS RK],MATCH(TableWRTERank[[#This Row],[WR and TE COMBINED]],TableWRTECalcPts[PLAYER],0)),"")</f>
        <v>TE71</v>
      </c>
      <c r="AY240" s="122">
        <f>IFERROR(INDEX(TableWRTECalcPts[BYE],MATCH(TableWRTERank[[#This Row],[RK]],TableWRTECalcPts[RK],0)),"")</f>
        <v>11</v>
      </c>
      <c r="AZ240" s="123">
        <f>IFERROR(INDEX(TableWRTECalcPts[Custom],MATCH(TableWRTERank[[#This Row],[RK]],TableWRTECalcPts[RK],0)),"")</f>
        <v>8.4511644931076084</v>
      </c>
      <c r="BA240" s="174">
        <f>IFERROR((TableWRTERank[[#This Row],[FPS]]-INDEX(TableWRTERank[FPS],MATCH(WRTEVORPCalc,TableWRTERank[RK],0)))/INDEX(TableWRTERank[FPS],MATCH(WRTEVORPCalc,TableWRTERank[RK],0)),"")</f>
        <v>-0.94614454756797173</v>
      </c>
      <c r="BC240" t="s">
        <v>10</v>
      </c>
      <c r="BD240">
        <v>39</v>
      </c>
      <c r="BE240" s="83">
        <f>RANK(TableWRTEMaster[[#This Row],[VORP]],TableWRTEMaster[VORP])+COUNTIF($BJ$2:BJ240,BJ240)-1</f>
        <v>132</v>
      </c>
      <c r="BF240" s="115" t="str">
        <f>IFERROR(INDEX(TableTEVORP[TIGHT END],MATCH(TableWRTEMaster[[#This Row],[RK]],TableTEVORP[RK],0)),"")</f>
        <v>Kylen Granson</v>
      </c>
      <c r="BG240" s="115" t="str">
        <f>_xlfn.CONCAT(TableWRTEMaster[[#This Row],[POS]],TableWRTEMaster[[#This Row],[RK]])</f>
        <v>TE39</v>
      </c>
      <c r="BH240" s="115">
        <f>IFERROR(INDEX(TableTEVORP[BYE],MATCH(TableWRTEMaster[[#This Row],[RK]],TableTEVORP[RK],0)),"")</f>
        <v>14</v>
      </c>
      <c r="BI240" s="116">
        <f>IFERROR(INDEX(TableTEVORP[FPS],MATCH(TableWRTEMaster[[#This Row],[RK]],TableTEVORP[RK],0)),"")</f>
        <v>51.971771830712242</v>
      </c>
      <c r="BJ240" s="117">
        <f>IFERROR(INDEX(TableTEVORP[VORP],MATCH(TableWRTEMaster[[#This Row],[RK]],TableTEVORP[RK],0)),"")</f>
        <v>-0.60519481068430014</v>
      </c>
    </row>
    <row r="241" spans="32:62" x14ac:dyDescent="0.2">
      <c r="AF241" t="s">
        <v>208</v>
      </c>
      <c r="AG241">
        <v>100</v>
      </c>
      <c r="AH241" s="83">
        <f>RANK(TableOverallMaster[[#This Row],[VORP]],TableOverallMaster[VORP])+COUNTIF($AM$2:AM241,AM241)-1</f>
        <v>268</v>
      </c>
      <c r="AI241" s="115" t="str">
        <f>IFERROR(INDEX(TableWRVORP[WIDE RECEIVER],MATCH(TableOverallMaster[[#This Row],[RK]],TableWRVORP[RK],0)),"")</f>
        <v>Tyquan Thornton</v>
      </c>
      <c r="AJ241" s="115" t="str">
        <f t="shared" si="3"/>
        <v>WR100</v>
      </c>
      <c r="AK241" s="115">
        <f>IFERROR(INDEX(TableWRVORP[BYE],MATCH(TableOverallMaster[[#This Row],[RK]],TableWRVORP[RK],0)),"")</f>
        <v>14</v>
      </c>
      <c r="AL241" s="116">
        <f>IFERROR(INDEX(TableWRVORP[FPS],MATCH(TableOverallMaster[[#This Row],[RK]],TableWRVORP[RK],0)),"")</f>
        <v>63.087701683529595</v>
      </c>
      <c r="AM241" s="117">
        <f>IFERROR(INDEX(TableWRVORP[VORP],MATCH(TableOverallMaster[[#This Row],[RK]],TableWRVORP[RK],0)),"")</f>
        <v>-0.68576485027825052</v>
      </c>
      <c r="AO241">
        <v>240</v>
      </c>
      <c r="AP241" s="118" t="str">
        <f>IFERROR(INDEX(TableOverallMaster[OVERALL PLAYER],MATCH(TableOverallRank[[#This Row],[RK]],TableOverallMaster[OVR RK],0)),"")</f>
        <v>Justice Hill</v>
      </c>
      <c r="AQ241" s="119" t="str">
        <f>IFERROR(INDEX(TableOverallMaster[POS RK],MATCH(TableOverallRank[[#This Row],[OVERALL PLAYER]],TableOverallMaster[OVERALL PLAYER],0)),"")</f>
        <v>RB78</v>
      </c>
      <c r="AR241" s="120">
        <f>IFERROR(INDEX(TableOverallMaster[BYE],MATCH(TableOverallRank[[#This Row],[OVERALL PLAYER]],TableOverallMaster[OVERALL PLAYER],0)),"")</f>
        <v>14</v>
      </c>
      <c r="AS241" s="119">
        <f>IFERROR(INDEX(TableOverallMaster[Custom],MATCH(TableOverallRank[[#This Row],[OVERALL PLAYER]],TableOverallMaster[OVERALL PLAYER],0)),"")</f>
        <v>30.430215348149698</v>
      </c>
      <c r="AT241" s="121">
        <f>IFERROR(INDEX(TableOverallMaster[VORP],MATCH(TableOverallRank[[#This Row],[OVERALL PLAYER]],TableOverallMaster[OVERALL PLAYER],0)),"")</f>
        <v>-0.59698450219823063</v>
      </c>
      <c r="AV241">
        <v>240</v>
      </c>
      <c r="AW241" s="122" t="str">
        <f>IFERROR(INDEX(TableWRTECalcPts[PLAYER],MATCH(TableWRTERank[[#This Row],[RK]],TableWRTECalcPts[RK],0)),"")</f>
        <v>Brevin Jordan</v>
      </c>
      <c r="AX241" s="122" t="str">
        <f>IFERROR(INDEX(TableWRTECalcPts[POS RK],MATCH(TableWRTERank[[#This Row],[WR and TE COMBINED]],TableWRTECalcPts[PLAYER],0)),"")</f>
        <v>TE72</v>
      </c>
      <c r="AY241" s="122">
        <f>IFERROR(INDEX(TableWRTECalcPts[BYE],MATCH(TableWRTERank[[#This Row],[RK]],TableWRTECalcPts[RK],0)),"")</f>
        <v>14</v>
      </c>
      <c r="AZ241" s="123">
        <f>IFERROR(INDEX(TableWRTECalcPts[Custom],MATCH(TableWRTERank[[#This Row],[RK]],TableWRTECalcPts[RK],0)),"")</f>
        <v>8.445582617471997</v>
      </c>
      <c r="BA241" s="174">
        <f>IFERROR((TableWRTERank[[#This Row],[FPS]]-INDEX(TableWRTERank[FPS],MATCH(WRTEVORPCalc,TableWRTERank[RK],0)))/INDEX(TableWRTERank[FPS],MATCH(WRTEVORPCalc,TableWRTERank[RK],0)),"")</f>
        <v>-0.94618011833907911</v>
      </c>
      <c r="BC241" t="s">
        <v>10</v>
      </c>
      <c r="BD241">
        <v>40</v>
      </c>
      <c r="BE241" s="83">
        <f>RANK(TableWRTEMaster[[#This Row],[VORP]],TableWRTEMaster[VORP])+COUNTIF($BJ$2:BJ241,BJ241)-1</f>
        <v>133</v>
      </c>
      <c r="BF241" s="115" t="str">
        <f>IFERROR(INDEX(TableTEVORP[TIGHT END],MATCH(TableWRTEMaster[[#This Row],[RK]],TableTEVORP[RK],0)),"")</f>
        <v>Will Dissly</v>
      </c>
      <c r="BG241" s="115" t="str">
        <f>_xlfn.CONCAT(TableWRTEMaster[[#This Row],[POS]],TableWRTEMaster[[#This Row],[RK]])</f>
        <v>TE40</v>
      </c>
      <c r="BH241" s="115">
        <f>IFERROR(INDEX(TableTEVORP[BYE],MATCH(TableWRTEMaster[[#This Row],[RK]],TableTEVORP[RK],0)),"")</f>
        <v>5</v>
      </c>
      <c r="BI241" s="116">
        <f>IFERROR(INDEX(TableTEVORP[FPS],MATCH(TableWRTEMaster[[#This Row],[RK]],TableTEVORP[RK],0)),"")</f>
        <v>51.886490271348435</v>
      </c>
      <c r="BJ241" s="117">
        <f>IFERROR(INDEX(TableTEVORP[VORP],MATCH(TableWRTEMaster[[#This Row],[RK]],TableTEVORP[RK],0)),"")</f>
        <v>-0.60584265471585319</v>
      </c>
    </row>
    <row r="242" spans="32:62" x14ac:dyDescent="0.2">
      <c r="AF242" t="s">
        <v>208</v>
      </c>
      <c r="AG242">
        <v>101</v>
      </c>
      <c r="AH242" s="83">
        <f>RANK(TableOverallMaster[[#This Row],[VORP]],TableOverallMaster[VORP])+COUNTIF($AM$2:AM242,AM242)-1</f>
        <v>275</v>
      </c>
      <c r="AI242" s="115" t="str">
        <f>IFERROR(INDEX(TableWRVORP[WIDE RECEIVER],MATCH(TableOverallMaster[[#This Row],[RK]],TableWRVORP[RK],0)),"")</f>
        <v>Jauan Jennings</v>
      </c>
      <c r="AJ242" s="115" t="str">
        <f t="shared" si="3"/>
        <v>WR101</v>
      </c>
      <c r="AK242" s="115">
        <f>IFERROR(INDEX(TableWRVORP[BYE],MATCH(TableOverallMaster[[#This Row],[RK]],TableWRVORP[RK],0)),"")</f>
        <v>9</v>
      </c>
      <c r="AL242" s="116">
        <f>IFERROR(INDEX(TableWRVORP[FPS],MATCH(TableOverallMaster[[#This Row],[RK]],TableWRVORP[RK],0)),"")</f>
        <v>60.696683892896807</v>
      </c>
      <c r="AM242" s="117">
        <f>IFERROR(INDEX(TableWRVORP[VORP],MATCH(TableOverallMaster[[#This Row],[RK]],TableWRVORP[RK],0)),"")</f>
        <v>-0.70525431270503625</v>
      </c>
      <c r="AO242">
        <v>241</v>
      </c>
      <c r="AP242" s="118" t="str">
        <f>IFERROR(INDEX(TableOverallMaster[OVERALL PLAYER],MATCH(TableOverallRank[[#This Row],[RK]],TableOverallMaster[OVR RK],0)),"")</f>
        <v>Daniel Bellinger</v>
      </c>
      <c r="AQ242" s="119" t="str">
        <f>IFERROR(INDEX(TableOverallMaster[POS RK],MATCH(TableOverallRank[[#This Row],[OVERALL PLAYER]],TableOverallMaster[OVERALL PLAYER],0)),"")</f>
        <v>TE38</v>
      </c>
      <c r="AR242" s="120">
        <f>IFERROR(INDEX(TableOverallMaster[BYE],MATCH(TableOverallRank[[#This Row],[OVERALL PLAYER]],TableOverallMaster[OVERALL PLAYER],0)),"")</f>
        <v>11</v>
      </c>
      <c r="AS242" s="119">
        <f>IFERROR(INDEX(TableOverallMaster[Custom],MATCH(TableOverallRank[[#This Row],[OVERALL PLAYER]],TableOverallMaster[OVERALL PLAYER],0)),"")</f>
        <v>52.988011934465121</v>
      </c>
      <c r="AT242" s="121">
        <f>IFERROR(INDEX(TableOverallMaster[VORP],MATCH(TableOverallRank[[#This Row],[OVERALL PLAYER]],TableOverallMaster[OVERALL PLAYER],0)),"")</f>
        <v>-0.59747491096913841</v>
      </c>
      <c r="AV242">
        <v>241</v>
      </c>
      <c r="AW242" s="122" t="str">
        <f>IFERROR(INDEX(TableWRTECalcPts[PLAYER],MATCH(TableWRTERank[[#This Row],[RK]],TableWRTECalcPts[RK],0)),"")</f>
        <v>Charlie Jones</v>
      </c>
      <c r="AX242" s="122" t="str">
        <f>IFERROR(INDEX(TableWRTECalcPts[POS RK],MATCH(TableWRTERank[[#This Row],[WR and TE COMBINED]],TableWRTECalcPts[PLAYER],0)),"")</f>
        <v>WR169</v>
      </c>
      <c r="AY242" s="122">
        <f>IFERROR(INDEX(TableWRTECalcPts[BYE],MATCH(TableWRTERank[[#This Row],[RK]],TableWRTECalcPts[RK],0)),"")</f>
        <v>12</v>
      </c>
      <c r="AZ242" s="123">
        <f>IFERROR(INDEX(TableWRTECalcPts[Custom],MATCH(TableWRTERank[[#This Row],[RK]],TableWRTECalcPts[RK],0)),"")</f>
        <v>8.4220852091870988</v>
      </c>
      <c r="BA242" s="174">
        <f>IFERROR((TableWRTERank[[#This Row],[FPS]]-INDEX(TableWRTERank[FPS],MATCH(WRTEVORPCalc,TableWRTERank[RK],0)))/INDEX(TableWRTERank[FPS],MATCH(WRTEVORPCalc,TableWRTERank[RK],0)),"")</f>
        <v>-0.94632985670415237</v>
      </c>
      <c r="BC242" t="s">
        <v>10</v>
      </c>
      <c r="BD242">
        <v>41</v>
      </c>
      <c r="BE242" s="83">
        <f>RANK(TableWRTEMaster[[#This Row],[VORP]],TableWRTEMaster[VORP])+COUNTIF($BJ$2:BJ242,BJ242)-1</f>
        <v>136</v>
      </c>
      <c r="BF242" s="115" t="str">
        <f>IFERROR(INDEX(TableTEVORP[TIGHT END],MATCH(TableWRTEMaster[[#This Row],[RK]],TableTEVORP[RK],0)),"")</f>
        <v>Mo Alie-Cox</v>
      </c>
      <c r="BG242" s="115" t="str">
        <f>_xlfn.CONCAT(TableWRTEMaster[[#This Row],[POS]],TableWRTEMaster[[#This Row],[RK]])</f>
        <v>TE41</v>
      </c>
      <c r="BH242" s="115">
        <f>IFERROR(INDEX(TableTEVORP[BYE],MATCH(TableWRTEMaster[[#This Row],[RK]],TableTEVORP[RK],0)),"")</f>
        <v>14</v>
      </c>
      <c r="BI242" s="116">
        <f>IFERROR(INDEX(TableTEVORP[FPS],MATCH(TableWRTEMaster[[#This Row],[RK]],TableTEVORP[RK],0)),"")</f>
        <v>47.760272891565855</v>
      </c>
      <c r="BJ242" s="117">
        <f>IFERROR(INDEX(TableTEVORP[VORP],MATCH(TableWRTEMaster[[#This Row],[RK]],TableTEVORP[RK],0)),"")</f>
        <v>-0.63718759402423597</v>
      </c>
    </row>
    <row r="243" spans="32:62" x14ac:dyDescent="0.2">
      <c r="AF243" t="s">
        <v>208</v>
      </c>
      <c r="AG243">
        <v>102</v>
      </c>
      <c r="AH243" s="83">
        <f>RANK(TableOverallMaster[[#This Row],[VORP]],TableOverallMaster[VORP])+COUNTIF($AM$2:AM243,AM243)-1</f>
        <v>283</v>
      </c>
      <c r="AI243" s="115" t="str">
        <f>IFERROR(INDEX(TableWRVORP[WIDE RECEIVER],MATCH(TableOverallMaster[[#This Row],[RK]],TableWRVORP[RK],0)),"")</f>
        <v>Jonathan Mingo</v>
      </c>
      <c r="AJ243" s="115" t="str">
        <f t="shared" si="3"/>
        <v>WR102</v>
      </c>
      <c r="AK243" s="115">
        <f>IFERROR(INDEX(TableWRVORP[BYE],MATCH(TableOverallMaster[[#This Row],[RK]],TableWRVORP[RK],0)),"")</f>
        <v>11</v>
      </c>
      <c r="AL243" s="116">
        <f>IFERROR(INDEX(TableWRVORP[FPS],MATCH(TableOverallMaster[[#This Row],[RK]],TableWRVORP[RK],0)),"")</f>
        <v>58.748444769088849</v>
      </c>
      <c r="AM243" s="117">
        <f>IFERROR(INDEX(TableWRVORP[VORP],MATCH(TableOverallMaster[[#This Row],[RK]],TableWRVORP[RK],0)),"")</f>
        <v>-0.72113463503078534</v>
      </c>
      <c r="AO243">
        <v>242</v>
      </c>
      <c r="AP243" s="118" t="str">
        <f>IFERROR(INDEX(TableOverallMaster[OVERALL PLAYER],MATCH(TableOverallRank[[#This Row],[RK]],TableOverallMaster[OVR RK],0)),"")</f>
        <v>Jaret Patterson</v>
      </c>
      <c r="AQ243" s="119" t="str">
        <f>IFERROR(INDEX(TableOverallMaster[POS RK],MATCH(TableOverallRank[[#This Row],[OVERALL PLAYER]],TableOverallMaster[OVERALL PLAYER],0)),"")</f>
        <v>RB79</v>
      </c>
      <c r="AR243" s="120">
        <f>IFERROR(INDEX(TableOverallMaster[BYE],MATCH(TableOverallRank[[#This Row],[OVERALL PLAYER]],TableOverallMaster[OVERALL PLAYER],0)),"")</f>
        <v>5</v>
      </c>
      <c r="AS243" s="119">
        <f>IFERROR(INDEX(TableOverallMaster[Custom],MATCH(TableOverallRank[[#This Row],[OVERALL PLAYER]],TableOverallMaster[OVERALL PLAYER],0)),"")</f>
        <v>29.588984625290436</v>
      </c>
      <c r="AT243" s="121">
        <f>IFERROR(INDEX(TableOverallMaster[VORP],MATCH(TableOverallRank[[#This Row],[OVERALL PLAYER]],TableOverallMaster[OVERALL PLAYER],0)),"")</f>
        <v>-0.60259678170442221</v>
      </c>
      <c r="AV243">
        <v>242</v>
      </c>
      <c r="AW243" s="122" t="str">
        <f>IFERROR(INDEX(TableWRTECalcPts[PLAYER],MATCH(TableWRTERank[[#This Row],[RK]],TableWRTECalcPts[RK],0)),"")</f>
        <v>Tanner Hudson</v>
      </c>
      <c r="AX243" s="122" t="str">
        <f>IFERROR(INDEX(TableWRTECalcPts[POS RK],MATCH(TableWRTERank[[#This Row],[WR and TE COMBINED]],TableWRTECalcPts[PLAYER],0)),"")</f>
        <v>TE73</v>
      </c>
      <c r="AY243" s="122">
        <f>IFERROR(INDEX(TableWRTECalcPts[BYE],MATCH(TableWRTERank[[#This Row],[RK]],TableWRTECalcPts[RK],0)),"")</f>
        <v>12</v>
      </c>
      <c r="AZ243" s="123">
        <f>IFERROR(INDEX(TableWRTECalcPts[Custom],MATCH(TableWRTERank[[#This Row],[RK]],TableWRTECalcPts[RK],0)),"")</f>
        <v>8.400592059036688</v>
      </c>
      <c r="BA243" s="174">
        <f>IFERROR((TableWRTERank[[#This Row],[FPS]]-INDEX(TableWRTERank[FPS],MATCH(WRTEVORPCalc,TableWRTERank[RK],0)))/INDEX(TableWRTERank[FPS],MATCH(WRTEVORPCalc,TableWRTERank[RK],0)),"")</f>
        <v>-0.94646682283781169</v>
      </c>
      <c r="BC243" t="s">
        <v>10</v>
      </c>
      <c r="BD243">
        <v>42</v>
      </c>
      <c r="BE243" s="83">
        <f>RANK(TableWRTEMaster[[#This Row],[VORP]],TableWRTEMaster[VORP])+COUNTIF($BJ$2:BJ243,BJ243)-1</f>
        <v>137</v>
      </c>
      <c r="BF243" s="115" t="str">
        <f>IFERROR(INDEX(TableTEVORP[TIGHT END],MATCH(TableWRTEMaster[[#This Row],[RK]],TableTEVORP[RK],0)),"")</f>
        <v>Darnell Washington</v>
      </c>
      <c r="BG243" s="115" t="str">
        <f>_xlfn.CONCAT(TableWRTEMaster[[#This Row],[POS]],TableWRTEMaster[[#This Row],[RK]])</f>
        <v>TE42</v>
      </c>
      <c r="BH243" s="115">
        <f>IFERROR(INDEX(TableTEVORP[BYE],MATCH(TableWRTEMaster[[#This Row],[RK]],TableTEVORP[RK],0)),"")</f>
        <v>9</v>
      </c>
      <c r="BI243" s="116">
        <f>IFERROR(INDEX(TableTEVORP[FPS],MATCH(TableWRTEMaster[[#This Row],[RK]],TableTEVORP[RK],0)),"")</f>
        <v>45.128004722701178</v>
      </c>
      <c r="BJ243" s="117">
        <f>IFERROR(INDEX(TableTEVORP[VORP],MATCH(TableWRTEMaster[[#This Row],[RK]],TableTEVORP[RK],0)),"")</f>
        <v>-0.65718370145200278</v>
      </c>
    </row>
    <row r="244" spans="32:62" x14ac:dyDescent="0.2">
      <c r="AF244" t="s">
        <v>208</v>
      </c>
      <c r="AG244">
        <v>103</v>
      </c>
      <c r="AH244" s="83">
        <f>RANK(TableOverallMaster[[#This Row],[VORP]],TableOverallMaster[VORP])+COUNTIF($AM$2:AM244,AM244)-1</f>
        <v>284</v>
      </c>
      <c r="AI244" s="115" t="str">
        <f>IFERROR(INDEX(TableWRVORP[WIDE RECEIVER],MATCH(TableOverallMaster[[#This Row],[RK]],TableWRVORP[RK],0)),"")</f>
        <v>Calvin Austin</v>
      </c>
      <c r="AJ244" s="115" t="str">
        <f t="shared" si="3"/>
        <v>WR103</v>
      </c>
      <c r="AK244" s="115">
        <f>IFERROR(INDEX(TableWRVORP[BYE],MATCH(TableOverallMaster[[#This Row],[RK]],TableWRVORP[RK],0)),"")</f>
        <v>9</v>
      </c>
      <c r="AL244" s="116">
        <f>IFERROR(INDEX(TableWRVORP[FPS],MATCH(TableOverallMaster[[#This Row],[RK]],TableWRVORP[RK],0)),"")</f>
        <v>58.376500767336978</v>
      </c>
      <c r="AM244" s="117">
        <f>IFERROR(INDEX(TableWRVORP[VORP],MATCH(TableOverallMaster[[#This Row],[RK]],TableWRVORP[RK],0)),"")</f>
        <v>-0.72416639358791968</v>
      </c>
      <c r="AO244">
        <v>243</v>
      </c>
      <c r="AP244" s="118" t="str">
        <f>IFERROR(INDEX(TableOverallMaster[OVERALL PLAYER],MATCH(TableOverallRank[[#This Row],[RK]],TableOverallMaster[OVR RK],0)),"")</f>
        <v>Kylen Granson</v>
      </c>
      <c r="AQ244" s="119" t="str">
        <f>IFERROR(INDEX(TableOverallMaster[POS RK],MATCH(TableOverallRank[[#This Row],[OVERALL PLAYER]],TableOverallMaster[OVERALL PLAYER],0)),"")</f>
        <v>TE39</v>
      </c>
      <c r="AR244" s="120">
        <f>IFERROR(INDEX(TableOverallMaster[BYE],MATCH(TableOverallRank[[#This Row],[OVERALL PLAYER]],TableOverallMaster[OVERALL PLAYER],0)),"")</f>
        <v>14</v>
      </c>
      <c r="AS244" s="119">
        <f>IFERROR(INDEX(TableOverallMaster[Custom],MATCH(TableOverallRank[[#This Row],[OVERALL PLAYER]],TableOverallMaster[OVERALL PLAYER],0)),"")</f>
        <v>51.971771830712242</v>
      </c>
      <c r="AT244" s="121">
        <f>IFERROR(INDEX(TableOverallMaster[VORP],MATCH(TableOverallRank[[#This Row],[OVERALL PLAYER]],TableOverallMaster[OVERALL PLAYER],0)),"")</f>
        <v>-0.60519481068430014</v>
      </c>
      <c r="AV244">
        <v>243</v>
      </c>
      <c r="AW244" s="122" t="str">
        <f>IFERROR(INDEX(TableWRTECalcPts[PLAYER],MATCH(TableWRTERank[[#This Row],[RK]],TableWRTECalcPts[RK],0)),"")</f>
        <v>Foster Moreau</v>
      </c>
      <c r="AX244" s="122" t="str">
        <f>IFERROR(INDEX(TableWRTECalcPts[POS RK],MATCH(TableWRTERank[[#This Row],[WR and TE COMBINED]],TableWRTECalcPts[PLAYER],0)),"")</f>
        <v>TE74</v>
      </c>
      <c r="AY244" s="122">
        <f>IFERROR(INDEX(TableWRTECalcPts[BYE],MATCH(TableWRTERank[[#This Row],[RK]],TableWRTECalcPts[RK],0)),"")</f>
        <v>12</v>
      </c>
      <c r="AZ244" s="123">
        <f>IFERROR(INDEX(TableWRTECalcPts[Custom],MATCH(TableWRTERank[[#This Row],[RK]],TableWRTECalcPts[RK],0)),"")</f>
        <v>8.164501865644608</v>
      </c>
      <c r="BA244" s="174">
        <f>IFERROR((TableWRTERank[[#This Row],[FPS]]-INDEX(TableWRTERank[FPS],MATCH(WRTEVORPCalc,TableWRTERank[RK],0)))/INDEX(TableWRTERank[FPS],MATCH(WRTEVORPCalc,TableWRTERank[RK],0)),"")</f>
        <v>-0.94797131895669151</v>
      </c>
      <c r="BC244" t="s">
        <v>10</v>
      </c>
      <c r="BD244">
        <v>43</v>
      </c>
      <c r="BE244" s="83">
        <f>RANK(TableWRTEMaster[[#This Row],[VORP]],TableWRTEMaster[VORP])+COUNTIF($BJ$2:BJ244,BJ244)-1</f>
        <v>139</v>
      </c>
      <c r="BF244" s="115" t="str">
        <f>IFERROR(INDEX(TableTEVORP[TIGHT END],MATCH(TableWRTEMaster[[#This Row],[RK]],TableTEVORP[RK],0)),"")</f>
        <v>Josh Oliver</v>
      </c>
      <c r="BG244" s="115" t="str">
        <f>_xlfn.CONCAT(TableWRTEMaster[[#This Row],[POS]],TableWRTEMaster[[#This Row],[RK]])</f>
        <v>TE43</v>
      </c>
      <c r="BH244" s="115">
        <f>IFERROR(INDEX(TableTEVORP[BYE],MATCH(TableWRTEMaster[[#This Row],[RK]],TableTEVORP[RK],0)),"")</f>
        <v>6</v>
      </c>
      <c r="BI244" s="116">
        <f>IFERROR(INDEX(TableTEVORP[FPS],MATCH(TableWRTEMaster[[#This Row],[RK]],TableTEVORP[RK],0)),"")</f>
        <v>43.132444729764075</v>
      </c>
      <c r="BJ244" s="117">
        <f>IFERROR(INDEX(TableTEVORP[VORP],MATCH(TableWRTEMaster[[#This Row],[RK]],TableTEVORP[RK],0)),"")</f>
        <v>-0.67234303531825357</v>
      </c>
    </row>
    <row r="245" spans="32:62" x14ac:dyDescent="0.2">
      <c r="AF245" t="s">
        <v>208</v>
      </c>
      <c r="AG245">
        <v>104</v>
      </c>
      <c r="AH245" s="83">
        <f>RANK(TableOverallMaster[[#This Row],[VORP]],TableOverallMaster[VORP])+COUNTIF($AM$2:AM245,AM245)-1</f>
        <v>286</v>
      </c>
      <c r="AI245" s="115" t="str">
        <f>IFERROR(INDEX(TableWRVORP[WIDE RECEIVER],MATCH(TableOverallMaster[[#This Row],[RK]],TableWRVORP[RK],0)),"")</f>
        <v>Malik Washington</v>
      </c>
      <c r="AJ245" s="115" t="str">
        <f t="shared" si="3"/>
        <v>WR104</v>
      </c>
      <c r="AK245" s="115">
        <f>IFERROR(INDEX(TableWRVORP[BYE],MATCH(TableOverallMaster[[#This Row],[RK]],TableWRVORP[RK],0)),"")</f>
        <v>6</v>
      </c>
      <c r="AL245" s="116">
        <f>IFERROR(INDEX(TableWRVORP[FPS],MATCH(TableOverallMaster[[#This Row],[RK]],TableWRVORP[RK],0)),"")</f>
        <v>56.740369681564793</v>
      </c>
      <c r="AM245" s="117">
        <f>IFERROR(INDEX(TableWRVORP[VORP],MATCH(TableOverallMaster[[#This Row],[RK]],TableWRVORP[RK],0)),"")</f>
        <v>-0.73750268721416412</v>
      </c>
      <c r="AO245">
        <v>244</v>
      </c>
      <c r="AP245" s="118" t="str">
        <f>IFERROR(INDEX(TableOverallMaster[OVERALL PLAYER],MATCH(TableOverallRank[[#This Row],[RK]],TableOverallMaster[OVR RK],0)),"")</f>
        <v>Will Dissly</v>
      </c>
      <c r="AQ245" s="119" t="str">
        <f>IFERROR(INDEX(TableOverallMaster[POS RK],MATCH(TableOverallRank[[#This Row],[OVERALL PLAYER]],TableOverallMaster[OVERALL PLAYER],0)),"")</f>
        <v>TE40</v>
      </c>
      <c r="AR245" s="120">
        <f>IFERROR(INDEX(TableOverallMaster[BYE],MATCH(TableOverallRank[[#This Row],[OVERALL PLAYER]],TableOverallMaster[OVERALL PLAYER],0)),"")</f>
        <v>5</v>
      </c>
      <c r="AS245" s="119">
        <f>IFERROR(INDEX(TableOverallMaster[Custom],MATCH(TableOverallRank[[#This Row],[OVERALL PLAYER]],TableOverallMaster[OVERALL PLAYER],0)),"")</f>
        <v>51.886490271348435</v>
      </c>
      <c r="AT245" s="121">
        <f>IFERROR(INDEX(TableOverallMaster[VORP],MATCH(TableOverallRank[[#This Row],[OVERALL PLAYER]],TableOverallMaster[OVERALL PLAYER],0)),"")</f>
        <v>-0.60584265471585319</v>
      </c>
      <c r="AV245">
        <v>244</v>
      </c>
      <c r="AW245" s="122" t="str">
        <f>IFERROR(INDEX(TableWRTECalcPts[PLAYER],MATCH(TableWRTERank[[#This Row],[RK]],TableWRTECalcPts[RK],0)),"")</f>
        <v>Drew Ogletree</v>
      </c>
      <c r="AX245" s="122" t="str">
        <f>IFERROR(INDEX(TableWRTECalcPts[POS RK],MATCH(TableWRTERank[[#This Row],[WR and TE COMBINED]],TableWRTECalcPts[PLAYER],0)),"")</f>
        <v>TE75</v>
      </c>
      <c r="AY245" s="122">
        <f>IFERROR(INDEX(TableWRTECalcPts[BYE],MATCH(TableWRTERank[[#This Row],[RK]],TableWRTECalcPts[RK],0)),"")</f>
        <v>14</v>
      </c>
      <c r="AZ245" s="123">
        <f>IFERROR(INDEX(TableWRTECalcPts[Custom],MATCH(TableWRTERank[[#This Row],[RK]],TableWRTECalcPts[RK],0)),"")</f>
        <v>8.1134607937152001</v>
      </c>
      <c r="BA245" s="174">
        <f>IFERROR((TableWRTERank[[#This Row],[FPS]]-INDEX(TableWRTERank[FPS],MATCH(WRTEVORPCalc,TableWRTERank[RK],0)))/INDEX(TableWRTERank[FPS],MATCH(WRTEVORPCalc,TableWRTERank[RK],0)),"")</f>
        <v>-0.94829658064383715</v>
      </c>
      <c r="BC245" t="s">
        <v>10</v>
      </c>
      <c r="BD245">
        <v>44</v>
      </c>
      <c r="BE245" s="83">
        <f>RANK(TableWRTEMaster[[#This Row],[VORP]],TableWRTEMaster[VORP])+COUNTIF($BJ$2:BJ245,BJ245)-1</f>
        <v>144</v>
      </c>
      <c r="BF245" s="115" t="str">
        <f>IFERROR(INDEX(TableTEVORP[TIGHT END],MATCH(TableWRTEMaster[[#This Row],[RK]],TableTEVORP[RK],0)),"")</f>
        <v>Tyler Higbee</v>
      </c>
      <c r="BG245" s="115" t="str">
        <f>_xlfn.CONCAT(TableWRTEMaster[[#This Row],[POS]],TableWRTEMaster[[#This Row],[RK]])</f>
        <v>TE44</v>
      </c>
      <c r="BH245" s="115">
        <f>IFERROR(INDEX(TableTEVORP[BYE],MATCH(TableWRTEMaster[[#This Row],[RK]],TableTEVORP[RK],0)),"")</f>
        <v>6</v>
      </c>
      <c r="BI245" s="116">
        <f>IFERROR(INDEX(TableTEVORP[FPS],MATCH(TableWRTEMaster[[#This Row],[RK]],TableTEVORP[RK],0)),"")</f>
        <v>40.797864195877821</v>
      </c>
      <c r="BJ245" s="117">
        <f>IFERROR(INDEX(TableTEVORP[VORP],MATCH(TableWRTEMaster[[#This Row],[RK]],TableTEVORP[RK],0)),"")</f>
        <v>-0.69007774932138544</v>
      </c>
    </row>
    <row r="246" spans="32:62" x14ac:dyDescent="0.2">
      <c r="AF246" t="s">
        <v>208</v>
      </c>
      <c r="AG246">
        <v>105</v>
      </c>
      <c r="AH246" s="83">
        <f>RANK(TableOverallMaster[[#This Row],[VORP]],TableOverallMaster[VORP])+COUNTIF($AM$2:AM246,AM246)-1</f>
        <v>288</v>
      </c>
      <c r="AI246" s="115" t="str">
        <f>IFERROR(INDEX(TableWRVORP[WIDE RECEIVER],MATCH(TableOverallMaster[[#This Row],[RK]],TableWRVORP[RK],0)),"")</f>
        <v>Jordan Whittington</v>
      </c>
      <c r="AJ246" s="115" t="str">
        <f t="shared" si="3"/>
        <v>WR105</v>
      </c>
      <c r="AK246" s="115">
        <f>IFERROR(INDEX(TableWRVORP[BYE],MATCH(TableOverallMaster[[#This Row],[RK]],TableWRVORP[RK],0)),"")</f>
        <v>6</v>
      </c>
      <c r="AL246" s="116">
        <f>IFERROR(INDEX(TableWRVORP[FPS],MATCH(TableOverallMaster[[#This Row],[RK]],TableWRVORP[RK],0)),"")</f>
        <v>55.873140032859624</v>
      </c>
      <c r="AM246" s="117">
        <f>IFERROR(INDEX(TableWRVORP[VORP],MATCH(TableOverallMaster[[#This Row],[RK]],TableWRVORP[RK],0)),"")</f>
        <v>-0.74457157633746962</v>
      </c>
      <c r="AO246">
        <v>245</v>
      </c>
      <c r="AP246" s="118" t="str">
        <f>IFERROR(INDEX(TableOverallMaster[OVERALL PLAYER],MATCH(TableOverallRank[[#This Row],[RK]],TableOverallMaster[OVR RK],0)),"")</f>
        <v>Isaac Guerendo</v>
      </c>
      <c r="AQ246" s="119" t="str">
        <f>IFERROR(INDEX(TableOverallMaster[POS RK],MATCH(TableOverallRank[[#This Row],[OVERALL PLAYER]],TableOverallMaster[OVERALL PLAYER],0)),"")</f>
        <v>RB80</v>
      </c>
      <c r="AR246" s="120">
        <f>IFERROR(INDEX(TableOverallMaster[BYE],MATCH(TableOverallRank[[#This Row],[OVERALL PLAYER]],TableOverallMaster[OVERALL PLAYER],0)),"")</f>
        <v>9</v>
      </c>
      <c r="AS246" s="119">
        <f>IFERROR(INDEX(TableOverallMaster[Custom],MATCH(TableOverallRank[[#This Row],[OVERALL PLAYER]],TableOverallMaster[OVERALL PLAYER],0)),"")</f>
        <v>28.83727157398889</v>
      </c>
      <c r="AT246" s="121">
        <f>IFERROR(INDEX(TableOverallMaster[VORP],MATCH(TableOverallRank[[#This Row],[OVERALL PLAYER]],TableOverallMaster[OVERALL PLAYER],0)),"")</f>
        <v>-0.60761184313491423</v>
      </c>
      <c r="AV246">
        <v>245</v>
      </c>
      <c r="AW246" s="122" t="str">
        <f>IFERROR(INDEX(TableWRTECalcPts[PLAYER],MATCH(TableWRTERank[[#This Row],[RK]],TableWRTECalcPts[RK],0)),"")</f>
        <v>Jalen Guyton</v>
      </c>
      <c r="AX246" s="122" t="str">
        <f>IFERROR(INDEX(TableWRTECalcPts[POS RK],MATCH(TableWRTERank[[#This Row],[WR and TE COMBINED]],TableWRTECalcPts[PLAYER],0)),"")</f>
        <v>WR170</v>
      </c>
      <c r="AY246" s="122">
        <f>IFERROR(INDEX(TableWRTECalcPts[BYE],MATCH(TableWRTERank[[#This Row],[RK]],TableWRTECalcPts[RK],0)),"")</f>
        <v>10</v>
      </c>
      <c r="AZ246" s="123">
        <f>IFERROR(INDEX(TableWRTECalcPts[Custom],MATCH(TableWRTERank[[#This Row],[RK]],TableWRTECalcPts[RK],0)),"")</f>
        <v>7.7891903186564804</v>
      </c>
      <c r="BA246" s="174">
        <f>IFERROR((TableWRTERank[[#This Row],[FPS]]-INDEX(TableWRTERank[FPS],MATCH(WRTEVORPCalc,TableWRTERank[RK],0)))/INDEX(TableWRTERank[FPS],MATCH(WRTEVORPCalc,TableWRTERank[RK],0)),"")</f>
        <v>-0.95036300985118227</v>
      </c>
      <c r="BC246" t="s">
        <v>10</v>
      </c>
      <c r="BD246">
        <v>45</v>
      </c>
      <c r="BE246" s="83">
        <f>RANK(TableWRTEMaster[[#This Row],[VORP]],TableWRTEMaster[VORP])+COUNTIF($BJ$2:BJ246,BJ246)-1</f>
        <v>145</v>
      </c>
      <c r="BF246" s="115" t="str">
        <f>IFERROR(INDEX(TableTEVORP[TIGHT END],MATCH(TableWRTEMaster[[#This Row],[RK]],TableTEVORP[RK],0)),"")</f>
        <v>Taysom Hill</v>
      </c>
      <c r="BG246" s="115" t="str">
        <f>_xlfn.CONCAT(TableWRTEMaster[[#This Row],[POS]],TableWRTEMaster[[#This Row],[RK]])</f>
        <v>TE45</v>
      </c>
      <c r="BH246" s="115">
        <f>IFERROR(INDEX(TableTEVORP[BYE],MATCH(TableWRTEMaster[[#This Row],[RK]],TableTEVORP[RK],0)),"")</f>
        <v>12</v>
      </c>
      <c r="BI246" s="116">
        <f>IFERROR(INDEX(TableTEVORP[FPS],MATCH(TableWRTEMaster[[#This Row],[RK]],TableTEVORP[RK],0)),"")</f>
        <v>40.294182781789544</v>
      </c>
      <c r="BJ246" s="117">
        <f>IFERROR(INDEX(TableTEVORP[VORP],MATCH(TableWRTEMaster[[#This Row],[RK]],TableTEVORP[RK],0)),"")</f>
        <v>-0.69390398092825956</v>
      </c>
    </row>
    <row r="247" spans="32:62" x14ac:dyDescent="0.2">
      <c r="AF247" t="s">
        <v>208</v>
      </c>
      <c r="AG247">
        <v>106</v>
      </c>
      <c r="AH247" s="83">
        <f>RANK(TableOverallMaster[[#This Row],[VORP]],TableOverallMaster[VORP])+COUNTIF($AM$2:AM247,AM247)-1</f>
        <v>289</v>
      </c>
      <c r="AI247" s="115" t="str">
        <f>IFERROR(INDEX(TableWRVORP[WIDE RECEIVER],MATCH(TableOverallMaster[[#This Row],[RK]],TableWRVORP[RK],0)),"")</f>
        <v>Quentin Johnston</v>
      </c>
      <c r="AJ247" s="115" t="str">
        <f t="shared" si="3"/>
        <v>WR106</v>
      </c>
      <c r="AK247" s="115">
        <f>IFERROR(INDEX(TableWRVORP[BYE],MATCH(TableOverallMaster[[#This Row],[RK]],TableWRVORP[RK],0)),"")</f>
        <v>5</v>
      </c>
      <c r="AL247" s="116">
        <f>IFERROR(INDEX(TableWRVORP[FPS],MATCH(TableOverallMaster[[#This Row],[RK]],TableWRVORP[RK],0)),"")</f>
        <v>55.174368621131777</v>
      </c>
      <c r="AM247" s="117">
        <f>IFERROR(INDEX(TableWRVORP[VORP],MATCH(TableOverallMaster[[#This Row],[RK]],TableWRVORP[RK],0)),"")</f>
        <v>-0.75026734289643682</v>
      </c>
      <c r="AO247">
        <v>246</v>
      </c>
      <c r="AP247" s="118" t="str">
        <f>IFERROR(INDEX(TableOverallMaster[OVERALL PLAYER],MATCH(TableOverallRank[[#This Row],[RK]],TableOverallMaster[OVR RK],0)),"")</f>
        <v>Kenny McIntosh</v>
      </c>
      <c r="AQ247" s="119" t="str">
        <f>IFERROR(INDEX(TableOverallMaster[POS RK],MATCH(TableOverallRank[[#This Row],[OVERALL PLAYER]],TableOverallMaster[OVERALL PLAYER],0)),"")</f>
        <v>RB81</v>
      </c>
      <c r="AR247" s="120">
        <f>IFERROR(INDEX(TableOverallMaster[BYE],MATCH(TableOverallRank[[#This Row],[OVERALL PLAYER]],TableOverallMaster[OVERALL PLAYER],0)),"")</f>
        <v>10</v>
      </c>
      <c r="AS247" s="119">
        <f>IFERROR(INDEX(TableOverallMaster[Custom],MATCH(TableOverallRank[[#This Row],[OVERALL PLAYER]],TableOverallMaster[OVERALL PLAYER],0)),"")</f>
        <v>28.385205661229314</v>
      </c>
      <c r="AT247" s="121">
        <f>IFERROR(INDEX(TableOverallMaster[VORP],MATCH(TableOverallRank[[#This Row],[OVERALL PLAYER]],TableOverallMaster[OVERALL PLAYER],0)),"")</f>
        <v>-0.61062780556791341</v>
      </c>
      <c r="AV247">
        <v>246</v>
      </c>
      <c r="AW247" s="122" t="str">
        <f>IFERROR(INDEX(TableWRTECalcPts[PLAYER],MATCH(TableWRTERank[[#This Row],[RK]],TableWRTECalcPts[RK],0)),"")</f>
        <v>Quintin Morris</v>
      </c>
      <c r="AX247" s="122" t="str">
        <f>IFERROR(INDEX(TableWRTECalcPts[POS RK],MATCH(TableWRTERank[[#This Row],[WR and TE COMBINED]],TableWRTECalcPts[PLAYER],0)),"")</f>
        <v>TE76</v>
      </c>
      <c r="AY247" s="122">
        <f>IFERROR(INDEX(TableWRTECalcPts[BYE],MATCH(TableWRTERank[[#This Row],[RK]],TableWRTECalcPts[RK],0)),"")</f>
        <v>12</v>
      </c>
      <c r="AZ247" s="123">
        <f>IFERROR(INDEX(TableWRTECalcPts[Custom],MATCH(TableWRTERank[[#This Row],[RK]],TableWRTECalcPts[RK],0)),"")</f>
        <v>7.6552101834066537</v>
      </c>
      <c r="BA247" s="174">
        <f>IFERROR((TableWRTERank[[#This Row],[FPS]]-INDEX(TableWRTERank[FPS],MATCH(WRTEVORPCalc,TableWRTERank[RK],0)))/INDEX(TableWRTERank[FPS],MATCH(WRTEVORPCalc,TableWRTERank[RK],0)),"")</f>
        <v>-0.95121680471065617</v>
      </c>
      <c r="BC247" t="s">
        <v>10</v>
      </c>
      <c r="BD247">
        <v>46</v>
      </c>
      <c r="BE247" s="83">
        <f>RANK(TableWRTEMaster[[#This Row],[VORP]],TableWRTEMaster[VORP])+COUNTIF($BJ$2:BJ247,BJ247)-1</f>
        <v>146</v>
      </c>
      <c r="BF247" s="115" t="str">
        <f>IFERROR(INDEX(TableTEVORP[TIGHT END],MATCH(TableWRTEMaster[[#This Row],[RK]],TableTEVORP[RK],0)),"")</f>
        <v>Jeremy Ruckert</v>
      </c>
      <c r="BG247" s="115" t="str">
        <f>_xlfn.CONCAT(TableWRTEMaster[[#This Row],[POS]],TableWRTEMaster[[#This Row],[RK]])</f>
        <v>TE46</v>
      </c>
      <c r="BH247" s="115">
        <f>IFERROR(INDEX(TableTEVORP[BYE],MATCH(TableWRTEMaster[[#This Row],[RK]],TableTEVORP[RK],0)),"")</f>
        <v>12</v>
      </c>
      <c r="BI247" s="116">
        <f>IFERROR(INDEX(TableTEVORP[FPS],MATCH(TableWRTEMaster[[#This Row],[RK]],TableTEVORP[RK],0)),"")</f>
        <v>40.072235990399271</v>
      </c>
      <c r="BJ247" s="117">
        <f>IFERROR(INDEX(TableTEVORP[VORP],MATCH(TableWRTEMaster[[#This Row],[RK]],TableTEVORP[RK],0)),"")</f>
        <v>-0.6955900066669678</v>
      </c>
    </row>
    <row r="248" spans="32:62" x14ac:dyDescent="0.2">
      <c r="AF248" t="s">
        <v>208</v>
      </c>
      <c r="AG248">
        <v>107</v>
      </c>
      <c r="AH248" s="83">
        <f>RANK(TableOverallMaster[[#This Row],[VORP]],TableOverallMaster[VORP])+COUNTIF($AM$2:AM248,AM248)-1</f>
        <v>293</v>
      </c>
      <c r="AI248" s="115" t="str">
        <f>IFERROR(INDEX(TableWRVORP[WIDE RECEIVER],MATCH(TableOverallMaster[[#This Row],[RK]],TableWRVORP[RK],0)),"")</f>
        <v>Olamide Zaccheaus</v>
      </c>
      <c r="AJ248" s="115" t="str">
        <f t="shared" si="3"/>
        <v>WR107</v>
      </c>
      <c r="AK248" s="115">
        <f>IFERROR(INDEX(TableWRVORP[BYE],MATCH(TableOverallMaster[[#This Row],[RK]],TableWRVORP[RK],0)),"")</f>
        <v>14</v>
      </c>
      <c r="AL248" s="116">
        <f>IFERROR(INDEX(TableWRVORP[FPS],MATCH(TableOverallMaster[[#This Row],[RK]],TableWRVORP[RK],0)),"")</f>
        <v>49.709316936787211</v>
      </c>
      <c r="AM248" s="117">
        <f>IFERROR(INDEX(TableWRVORP[VORP],MATCH(TableOverallMaster[[#This Row],[RK]],TableWRVORP[RK],0)),"")</f>
        <v>-0.79481361096677483</v>
      </c>
      <c r="AO248">
        <v>247</v>
      </c>
      <c r="AP248" s="118" t="str">
        <f>IFERROR(INDEX(TableOverallMaster[OVERALL PLAYER],MATCH(TableOverallRank[[#This Row],[RK]],TableOverallMaster[OVR RK],0)),"")</f>
        <v>Luke McCaffrey</v>
      </c>
      <c r="AQ248" s="119" t="str">
        <f>IFERROR(INDEX(TableOverallMaster[POS RK],MATCH(TableOverallRank[[#This Row],[OVERALL PLAYER]],TableOverallMaster[OVERALL PLAYER],0)),"")</f>
        <v>WR94</v>
      </c>
      <c r="AR248" s="120">
        <f>IFERROR(INDEX(TableOverallMaster[BYE],MATCH(TableOverallRank[[#This Row],[OVERALL PLAYER]],TableOverallMaster[OVERALL PLAYER],0)),"")</f>
        <v>14</v>
      </c>
      <c r="AS248" s="119">
        <f>IFERROR(INDEX(TableOverallMaster[Custom],MATCH(TableOverallRank[[#This Row],[OVERALL PLAYER]],TableOverallMaster[OVERALL PLAYER],0)),"")</f>
        <v>71.775430096650027</v>
      </c>
      <c r="AT248" s="121">
        <f>IFERROR(INDEX(TableOverallMaster[VORP],MATCH(TableOverallRank[[#This Row],[OVERALL PLAYER]],TableOverallMaster[OVERALL PLAYER],0)),"")</f>
        <v>-0.61495017163179033</v>
      </c>
      <c r="AV248">
        <v>247</v>
      </c>
      <c r="AW248" s="122" t="str">
        <f>IFERROR(INDEX(TableWRTECalcPts[PLAYER],MATCH(TableWRTERank[[#This Row],[RK]],TableWRTECalcPts[RK],0)),"")</f>
        <v>Kyle Philips</v>
      </c>
      <c r="AX248" s="122" t="str">
        <f>IFERROR(INDEX(TableWRTECalcPts[POS RK],MATCH(TableWRTERank[[#This Row],[WR and TE COMBINED]],TableWRTECalcPts[PLAYER],0)),"")</f>
        <v>WR171</v>
      </c>
      <c r="AY248" s="122">
        <f>IFERROR(INDEX(TableWRTECalcPts[BYE],MATCH(TableWRTERank[[#This Row],[RK]],TableWRTECalcPts[RK],0)),"")</f>
        <v>5</v>
      </c>
      <c r="AZ248" s="123">
        <f>IFERROR(INDEX(TableWRTECalcPts[Custom],MATCH(TableWRTERank[[#This Row],[RK]],TableWRTECalcPts[RK],0)),"")</f>
        <v>7.6127953092598748</v>
      </c>
      <c r="BA248" s="174">
        <f>IFERROR((TableWRTERank[[#This Row],[FPS]]-INDEX(TableWRTERank[FPS],MATCH(WRTEVORPCalc,TableWRTERank[RK],0)))/INDEX(TableWRTERank[FPS],MATCH(WRTEVORPCalc,TableWRTERank[RK],0)),"")</f>
        <v>-0.95148709553730926</v>
      </c>
      <c r="BC248" t="s">
        <v>10</v>
      </c>
      <c r="BD248">
        <v>47</v>
      </c>
      <c r="BE248" s="83">
        <f>RANK(TableWRTEMaster[[#This Row],[VORP]],TableWRTEMaster[VORP])+COUNTIF($BJ$2:BJ248,BJ248)-1</f>
        <v>150</v>
      </c>
      <c r="BF248" s="115" t="str">
        <f>IFERROR(INDEX(TableTEVORP[TIGHT END],MATCH(TableWRTEMaster[[#This Row],[RK]],TableTEVORP[RK],0)),"")</f>
        <v>Austin Hooper</v>
      </c>
      <c r="BG248" s="115" t="str">
        <f>_xlfn.CONCAT(TableWRTEMaster[[#This Row],[POS]],TableWRTEMaster[[#This Row],[RK]])</f>
        <v>TE47</v>
      </c>
      <c r="BH248" s="115">
        <f>IFERROR(INDEX(TableTEVORP[BYE],MATCH(TableWRTEMaster[[#This Row],[RK]],TableTEVORP[RK],0)),"")</f>
        <v>14</v>
      </c>
      <c r="BI248" s="116">
        <f>IFERROR(INDEX(TableTEVORP[FPS],MATCH(TableWRTEMaster[[#This Row],[RK]],TableTEVORP[RK],0)),"")</f>
        <v>35.870510360635265</v>
      </c>
      <c r="BJ248" s="117">
        <f>IFERROR(INDEX(TableTEVORP[VORP],MATCH(TableWRTEMaster[[#This Row],[RK]],TableTEVORP[RK],0)),"")</f>
        <v>-0.72750854675667309</v>
      </c>
    </row>
    <row r="249" spans="32:62" x14ac:dyDescent="0.2">
      <c r="AF249" t="s">
        <v>208</v>
      </c>
      <c r="AG249">
        <v>108</v>
      </c>
      <c r="AH249" s="83">
        <f>RANK(TableOverallMaster[[#This Row],[VORP]],TableOverallMaster[VORP])+COUNTIF($AM$2:AM249,AM249)-1</f>
        <v>294</v>
      </c>
      <c r="AI249" s="115" t="str">
        <f>IFERROR(INDEX(TableWRVORP[WIDE RECEIVER],MATCH(TableOverallMaster[[#This Row],[RK]],TableWRVORP[RK],0)),"")</f>
        <v>Jahan Dotson</v>
      </c>
      <c r="AJ249" s="115" t="str">
        <f t="shared" si="3"/>
        <v>WR108</v>
      </c>
      <c r="AK249" s="115">
        <f>IFERROR(INDEX(TableWRVORP[BYE],MATCH(TableOverallMaster[[#This Row],[RK]],TableWRVORP[RK],0)),"")</f>
        <v>5</v>
      </c>
      <c r="AL249" s="116">
        <f>IFERROR(INDEX(TableWRVORP[FPS],MATCH(TableOverallMaster[[#This Row],[RK]],TableWRVORP[RK],0)),"")</f>
        <v>48.684252861175672</v>
      </c>
      <c r="AM249" s="117">
        <f>IFERROR(INDEX(TableWRVORP[VORP],MATCH(TableOverallMaster[[#This Row],[RK]],TableWRVORP[RK],0)),"")</f>
        <v>-0.80316902675035706</v>
      </c>
      <c r="AO249">
        <v>248</v>
      </c>
      <c r="AP249" s="118" t="str">
        <f>IFERROR(INDEX(TableOverallMaster[OVERALL PLAYER],MATCH(TableOverallRank[[#This Row],[RK]],TableOverallMaster[OVR RK],0)),"")</f>
        <v>Kendrick Bourne</v>
      </c>
      <c r="AQ249" s="119" t="str">
        <f>IFERROR(INDEX(TableOverallMaster[POS RK],MATCH(TableOverallRank[[#This Row],[OVERALL PLAYER]],TableOverallMaster[OVERALL PLAYER],0)),"")</f>
        <v>WR95</v>
      </c>
      <c r="AR249" s="120">
        <f>IFERROR(INDEX(TableOverallMaster[BYE],MATCH(TableOverallRank[[#This Row],[OVERALL PLAYER]],TableOverallMaster[OVERALL PLAYER],0)),"")</f>
        <v>14</v>
      </c>
      <c r="AS249" s="119">
        <f>IFERROR(INDEX(TableOverallMaster[Custom],MATCH(TableOverallRank[[#This Row],[OVERALL PLAYER]],TableOverallMaster[OVERALL PLAYER],0)),"")</f>
        <v>70.699840083387201</v>
      </c>
      <c r="AT249" s="121">
        <f>IFERROR(INDEX(TableOverallMaster[VORP],MATCH(TableOverallRank[[#This Row],[OVERALL PLAYER]],TableOverallMaster[OVERALL PLAYER],0)),"")</f>
        <v>-0.62371743017425574</v>
      </c>
      <c r="AV249">
        <v>248</v>
      </c>
      <c r="AW249" s="122" t="str">
        <f>IFERROR(INDEX(TableWRTECalcPts[PLAYER],MATCH(TableWRTERank[[#This Row],[RK]],TableWRTECalcPts[RK],0)),"")</f>
        <v>AJ Barner</v>
      </c>
      <c r="AX249" s="122" t="str">
        <f>IFERROR(INDEX(TableWRTECalcPts[POS RK],MATCH(TableWRTERank[[#This Row],[WR and TE COMBINED]],TableWRTECalcPts[PLAYER],0)),"")</f>
        <v>TE77</v>
      </c>
      <c r="AY249" s="122">
        <f>IFERROR(INDEX(TableWRTECalcPts[BYE],MATCH(TableWRTERank[[#This Row],[RK]],TableWRTECalcPts[RK],0)),"")</f>
        <v>10</v>
      </c>
      <c r="AZ249" s="123">
        <f>IFERROR(INDEX(TableWRTECalcPts[Custom],MATCH(TableWRTERank[[#This Row],[RK]],TableWRTECalcPts[RK],0)),"")</f>
        <v>7.5622302815145783</v>
      </c>
      <c r="BA249" s="174">
        <f>IFERROR((TableWRTERank[[#This Row],[FPS]]-INDEX(TableWRTERank[FPS],MATCH(WRTEVORPCalc,TableWRTERank[RK],0)))/INDEX(TableWRTERank[FPS],MATCH(WRTEVORPCalc,TableWRTERank[RK],0)),"")</f>
        <v>-0.95180932360998272</v>
      </c>
      <c r="BC249" t="s">
        <v>10</v>
      </c>
      <c r="BD249">
        <v>48</v>
      </c>
      <c r="BE249" s="83">
        <f>RANK(TableWRTEMaster[[#This Row],[VORP]],TableWRTEMaster[VORP])+COUNTIF($BJ$2:BJ249,BJ249)-1</f>
        <v>154</v>
      </c>
      <c r="BF249" s="115" t="str">
        <f>IFERROR(INDEX(TableTEVORP[TIGHT END],MATCH(TableWRTEMaster[[#This Row],[RK]],TableTEVORP[RK],0)),"")</f>
        <v>Cade Stover</v>
      </c>
      <c r="BG249" s="115" t="str">
        <f>_xlfn.CONCAT(TableWRTEMaster[[#This Row],[POS]],TableWRTEMaster[[#This Row],[RK]])</f>
        <v>TE48</v>
      </c>
      <c r="BH249" s="115">
        <f>IFERROR(INDEX(TableTEVORP[BYE],MATCH(TableWRTEMaster[[#This Row],[RK]],TableTEVORP[RK],0)),"")</f>
        <v>14</v>
      </c>
      <c r="BI249" s="116">
        <f>IFERROR(INDEX(TableTEVORP[FPS],MATCH(TableWRTEMaster[[#This Row],[RK]],TableTEVORP[RK],0)),"")</f>
        <v>32.672274321811308</v>
      </c>
      <c r="BJ249" s="117">
        <f>IFERROR(INDEX(TableTEVORP[VORP],MATCH(TableWRTEMaster[[#This Row],[RK]],TableTEVORP[RK],0)),"")</f>
        <v>-0.75180404680037216</v>
      </c>
    </row>
    <row r="250" spans="32:62" x14ac:dyDescent="0.2">
      <c r="AF250" t="s">
        <v>208</v>
      </c>
      <c r="AG250">
        <v>109</v>
      </c>
      <c r="AH250" s="83">
        <f>RANK(TableOverallMaster[[#This Row],[VORP]],TableOverallMaster[VORP])+COUNTIF($AM$2:AM250,AM250)-1</f>
        <v>295</v>
      </c>
      <c r="AI250" s="115" t="str">
        <f>IFERROR(INDEX(TableWRVORP[WIDE RECEIVER],MATCH(TableOverallMaster[[#This Row],[RK]],TableWRVORP[RK],0)),"")</f>
        <v>Trey Palmer</v>
      </c>
      <c r="AJ250" s="115" t="str">
        <f t="shared" si="3"/>
        <v>WR109</v>
      </c>
      <c r="AK250" s="115">
        <f>IFERROR(INDEX(TableWRVORP[BYE],MATCH(TableOverallMaster[[#This Row],[RK]],TableWRVORP[RK],0)),"")</f>
        <v>11</v>
      </c>
      <c r="AL250" s="116">
        <f>IFERROR(INDEX(TableWRVORP[FPS],MATCH(TableOverallMaster[[#This Row],[RK]],TableWRVORP[RK],0)),"")</f>
        <v>48.394842908874082</v>
      </c>
      <c r="AM250" s="117">
        <f>IFERROR(INDEX(TableWRVORP[VORP],MATCH(TableOverallMaster[[#This Row],[RK]],TableWRVORP[RK],0)),"")</f>
        <v>-0.80552804072901385</v>
      </c>
      <c r="AO250">
        <v>249</v>
      </c>
      <c r="AP250" s="118" t="str">
        <f>IFERROR(INDEX(TableOverallMaster[OVERALL PLAYER],MATCH(TableOverallRank[[#This Row],[RK]],TableOverallMaster[OVR RK],0)),"")</f>
        <v>Jase McClellan</v>
      </c>
      <c r="AQ250" s="119" t="str">
        <f>IFERROR(INDEX(TableOverallMaster[POS RK],MATCH(TableOverallRank[[#This Row],[OVERALL PLAYER]],TableOverallMaster[OVERALL PLAYER],0)),"")</f>
        <v>RB82</v>
      </c>
      <c r="AR250" s="120">
        <f>IFERROR(INDEX(TableOverallMaster[BYE],MATCH(TableOverallRank[[#This Row],[OVERALL PLAYER]],TableOverallMaster[OVERALL PLAYER],0)),"")</f>
        <v>12</v>
      </c>
      <c r="AS250" s="119">
        <f>IFERROR(INDEX(TableOverallMaster[Custom],MATCH(TableOverallRank[[#This Row],[OVERALL PLAYER]],TableOverallMaster[OVERALL PLAYER],0)),"")</f>
        <v>25.914417596898272</v>
      </c>
      <c r="AT250" s="121">
        <f>IFERROR(INDEX(TableOverallMaster[VORP],MATCH(TableOverallRank[[#This Row],[OVERALL PLAYER]],TableOverallMaster[OVERALL PLAYER],0)),"")</f>
        <v>-0.62711169380544229</v>
      </c>
      <c r="AV250">
        <v>249</v>
      </c>
      <c r="AW250" s="122" t="str">
        <f>IFERROR(INDEX(TableWRTECalcPts[PLAYER],MATCH(TableWRTERank[[#This Row],[RK]],TableWRTECalcPts[RK],0)),"")</f>
        <v>Charlie Kolar</v>
      </c>
      <c r="AX250" s="122" t="str">
        <f>IFERROR(INDEX(TableWRTECalcPts[POS RK],MATCH(TableWRTERank[[#This Row],[WR and TE COMBINED]],TableWRTECalcPts[PLAYER],0)),"")</f>
        <v>TE78</v>
      </c>
      <c r="AY250" s="122">
        <f>IFERROR(INDEX(TableWRTECalcPts[BYE],MATCH(TableWRTERank[[#This Row],[RK]],TableWRTECalcPts[RK],0)),"")</f>
        <v>14</v>
      </c>
      <c r="AZ250" s="123">
        <f>IFERROR(INDEX(TableWRTECalcPts[Custom],MATCH(TableWRTERank[[#This Row],[RK]],TableWRTECalcPts[RK],0)),"")</f>
        <v>7.5544888352407575</v>
      </c>
      <c r="BA250" s="174">
        <f>IFERROR((TableWRTERank[[#This Row],[FPS]]-INDEX(TableWRTERank[FPS],MATCH(WRTEVORPCalc,TableWRTERank[RK],0)))/INDEX(TableWRTERank[FPS],MATCH(WRTEVORPCalc,TableWRTERank[RK],0)),"")</f>
        <v>-0.95185865634890821</v>
      </c>
      <c r="BC250" t="s">
        <v>10</v>
      </c>
      <c r="BD250">
        <v>49</v>
      </c>
      <c r="BE250" s="83">
        <f>RANK(TableWRTEMaster[[#This Row],[VORP]],TableWRTEMaster[VORP])+COUNTIF($BJ$2:BJ250,BJ250)-1</f>
        <v>155</v>
      </c>
      <c r="BF250" s="115" t="str">
        <f>IFERROR(INDEX(TableTEVORP[TIGHT END],MATCH(TableWRTEMaster[[#This Row],[RK]],TableTEVORP[RK],0)),"")</f>
        <v>Gerald Everett</v>
      </c>
      <c r="BG250" s="115" t="str">
        <f>_xlfn.CONCAT(TableWRTEMaster[[#This Row],[POS]],TableWRTEMaster[[#This Row],[RK]])</f>
        <v>TE49</v>
      </c>
      <c r="BH250" s="115">
        <f>IFERROR(INDEX(TableTEVORP[BYE],MATCH(TableWRTEMaster[[#This Row],[RK]],TableTEVORP[RK],0)),"")</f>
        <v>7</v>
      </c>
      <c r="BI250" s="116">
        <f>IFERROR(INDEX(TableTEVORP[FPS],MATCH(TableWRTEMaster[[#This Row],[RK]],TableTEVORP[RK],0)),"")</f>
        <v>28.159483725102589</v>
      </c>
      <c r="BJ250" s="117">
        <f>IFERROR(INDEX(TableTEVORP[VORP],MATCH(TableWRTEMaster[[#This Row],[RK]],TableTEVORP[RK],0)),"")</f>
        <v>-0.78608560163516095</v>
      </c>
    </row>
    <row r="251" spans="32:62" x14ac:dyDescent="0.2">
      <c r="AF251" t="s">
        <v>208</v>
      </c>
      <c r="AG251">
        <v>110</v>
      </c>
      <c r="AH251" s="83">
        <f>RANK(TableOverallMaster[[#This Row],[VORP]],TableOverallMaster[VORP])+COUNTIF($AM$2:AM251,AM251)-1</f>
        <v>296</v>
      </c>
      <c r="AI251" s="115" t="str">
        <f>IFERROR(INDEX(TableWRVORP[WIDE RECEIVER],MATCH(TableOverallMaster[[#This Row],[RK]],TableWRVORP[RK],0)),"")</f>
        <v>Tre Tucker</v>
      </c>
      <c r="AJ251" s="115" t="str">
        <f t="shared" si="3"/>
        <v>WR110</v>
      </c>
      <c r="AK251" s="115">
        <f>IFERROR(INDEX(TableWRVORP[BYE],MATCH(TableOverallMaster[[#This Row],[RK]],TableWRVORP[RK],0)),"")</f>
        <v>10</v>
      </c>
      <c r="AL251" s="116">
        <f>IFERROR(INDEX(TableWRVORP[FPS],MATCH(TableOverallMaster[[#This Row],[RK]],TableWRVORP[RK],0)),"")</f>
        <v>46.554964034031769</v>
      </c>
      <c r="AM251" s="117">
        <f>IFERROR(INDEX(TableWRVORP[VORP],MATCH(TableOverallMaster[[#This Row],[RK]],TableWRVORP[RK],0)),"")</f>
        <v>-0.82052510613837915</v>
      </c>
      <c r="AO251">
        <v>250</v>
      </c>
      <c r="AP251" s="118" t="str">
        <f>IFERROR(INDEX(TableOverallMaster[OVERALL PLAYER],MATCH(TableOverallRank[[#This Row],[RK]],TableOverallMaster[OVR RK],0)),"")</f>
        <v>Aidan O'Connell</v>
      </c>
      <c r="AQ251" s="119" t="str">
        <f>IFERROR(INDEX(TableOverallMaster[POS RK],MATCH(TableOverallRank[[#This Row],[OVERALL PLAYER]],TableOverallMaster[OVERALL PLAYER],0)),"")</f>
        <v>QB33</v>
      </c>
      <c r="AR251" s="120">
        <f>IFERROR(INDEX(TableOverallMaster[BYE],MATCH(TableOverallRank[[#This Row],[OVERALL PLAYER]],TableOverallMaster[OVERALL PLAYER],0)),"")</f>
        <v>10</v>
      </c>
      <c r="AS251" s="119">
        <f>IFERROR(INDEX(TableOverallMaster[Custom],MATCH(TableOverallRank[[#This Row],[OVERALL PLAYER]],TableOverallMaster[OVERALL PLAYER],0)),"")</f>
        <v>96.097259595861857</v>
      </c>
      <c r="AT251" s="121">
        <f>IFERROR(INDEX(TableOverallMaster[VORP],MATCH(TableOverallRank[[#This Row],[OVERALL PLAYER]],TableOverallMaster[OVERALL PLAYER],0)),"")</f>
        <v>-0.62761075641092279</v>
      </c>
      <c r="AV251">
        <v>250</v>
      </c>
      <c r="AW251" s="122" t="str">
        <f>IFERROR(INDEX(TableWRTECalcPts[PLAYER],MATCH(TableWRTERank[[#This Row],[RK]],TableWRTECalcPts[RK],0)),"")</f>
        <v>Tip Reiman</v>
      </c>
      <c r="AX251" s="122" t="str">
        <f>IFERROR(INDEX(TableWRTECalcPts[POS RK],MATCH(TableWRTERank[[#This Row],[WR and TE COMBINED]],TableWRTECalcPts[PLAYER],0)),"")</f>
        <v>TE79</v>
      </c>
      <c r="AY251" s="122">
        <f>IFERROR(INDEX(TableWRTECalcPts[BYE],MATCH(TableWRTERank[[#This Row],[RK]],TableWRTECalcPts[RK],0)),"")</f>
        <v>11</v>
      </c>
      <c r="AZ251" s="123">
        <f>IFERROR(INDEX(TableWRTECalcPts[Custom],MATCH(TableWRTERank[[#This Row],[RK]],TableWRTECalcPts[RK],0)),"")</f>
        <v>7.3577361734200606</v>
      </c>
      <c r="BA251" s="174">
        <f>IFERROR((TableWRTERank[[#This Row],[FPS]]-INDEX(TableWRTERank[FPS],MATCH(WRTEVORPCalc,TableWRTERank[RK],0)))/INDEX(TableWRTERank[FPS],MATCH(WRTEVORPCalc,TableWRTERank[RK],0)),"")</f>
        <v>-0.95311247215478945</v>
      </c>
      <c r="BC251" t="s">
        <v>10</v>
      </c>
      <c r="BD251">
        <v>50</v>
      </c>
      <c r="BE251" s="83">
        <f>RANK(TableWRTEMaster[[#This Row],[VORP]],TableWRTEMaster[VORP])+COUNTIF($BJ$2:BJ251,BJ251)-1</f>
        <v>156</v>
      </c>
      <c r="BF251" s="115" t="str">
        <f>IFERROR(INDEX(TableTEVORP[TIGHT END],MATCH(TableWRTEMaster[[#This Row],[RK]],TableTEVORP[RK],0)),"")</f>
        <v>Charlie Woerner</v>
      </c>
      <c r="BG251" s="115" t="str">
        <f>_xlfn.CONCAT(TableWRTEMaster[[#This Row],[POS]],TableWRTEMaster[[#This Row],[RK]])</f>
        <v>TE50</v>
      </c>
      <c r="BH251" s="115">
        <f>IFERROR(INDEX(TableTEVORP[BYE],MATCH(TableWRTEMaster[[#This Row],[RK]],TableTEVORP[RK],0)),"")</f>
        <v>12</v>
      </c>
      <c r="BI251" s="116">
        <f>IFERROR(INDEX(TableTEVORP[FPS],MATCH(TableWRTEMaster[[#This Row],[RK]],TableTEVORP[RK],0)),"")</f>
        <v>27.714480291641177</v>
      </c>
      <c r="BJ251" s="117">
        <f>IFERROR(INDEX(TableTEVORP[VORP],MATCH(TableWRTEMaster[[#This Row],[RK]],TableTEVORP[RK],0)),"")</f>
        <v>-0.7894660841279677</v>
      </c>
    </row>
    <row r="252" spans="32:62" x14ac:dyDescent="0.2">
      <c r="AF252" t="s">
        <v>10</v>
      </c>
      <c r="AG252">
        <v>1</v>
      </c>
      <c r="AH252" s="83">
        <f>RANK(TableOverallMaster[[#This Row],[VORP]],TableOverallMaster[VORP])+COUNTIF($AM$2:AM252,AM252)-1</f>
        <v>24</v>
      </c>
      <c r="AI252" s="115" t="str">
        <f>IFERROR(INDEX(TableTEVORP[TIGHT END],MATCH(TableOverallMaster[[#This Row],[RK]],TableTEVORP[RK],0)),"")</f>
        <v>Travis Kelce</v>
      </c>
      <c r="AJ252" s="115" t="str">
        <f t="shared" si="3"/>
        <v>TE1</v>
      </c>
      <c r="AK252" s="115">
        <f>IFERROR(INDEX(TableTEVORP[BYE],MATCH(TableOverallMaster[[#This Row],[RK]],TableTEVORP[RK],0)),"")</f>
        <v>6</v>
      </c>
      <c r="AL252" s="116">
        <f>IFERROR(INDEX(TableTEVORP[FPS],MATCH(TableOverallMaster[[#This Row],[RK]],TableTEVORP[RK],0)),"")</f>
        <v>200.94815106912</v>
      </c>
      <c r="AM252" s="117">
        <f>IFERROR(INDEX(TableTEVORP[VORP],MATCH(TableOverallMaster[[#This Row],[RK]],TableTEVORP[RK],0)),"")</f>
        <v>0.52650891110472542</v>
      </c>
      <c r="AO252">
        <v>251</v>
      </c>
      <c r="AP252" s="118" t="str">
        <f>IFERROR(INDEX(TableOverallMaster[OVERALL PLAYER],MATCH(TableOverallRank[[#This Row],[RK]],TableOverallMaster[OVR RK],0)),"")</f>
        <v>D'Ernest Johnson</v>
      </c>
      <c r="AQ252" s="119" t="str">
        <f>IFERROR(INDEX(TableOverallMaster[POS RK],MATCH(TableOverallRank[[#This Row],[OVERALL PLAYER]],TableOverallMaster[OVERALL PLAYER],0)),"")</f>
        <v>RB83</v>
      </c>
      <c r="AR252" s="120">
        <f>IFERROR(INDEX(TableOverallMaster[BYE],MATCH(TableOverallRank[[#This Row],[OVERALL PLAYER]],TableOverallMaster[OVERALL PLAYER],0)),"")</f>
        <v>12</v>
      </c>
      <c r="AS252" s="119">
        <f>IFERROR(INDEX(TableOverallMaster[Custom],MATCH(TableOverallRank[[#This Row],[OVERALL PLAYER]],TableOverallMaster[OVERALL PLAYER],0)),"")</f>
        <v>25.442433227514666</v>
      </c>
      <c r="AT252" s="121">
        <f>IFERROR(INDEX(TableOverallMaster[VORP],MATCH(TableOverallRank[[#This Row],[OVERALL PLAYER]],TableOverallMaster[OVERALL PLAYER],0)),"")</f>
        <v>-0.63026054242872009</v>
      </c>
      <c r="AV252">
        <v>251</v>
      </c>
      <c r="AW252" s="122" t="str">
        <f>IFERROR(INDEX(TableWRTECalcPts[PLAYER],MATCH(TableWRTERank[[#This Row],[RK]],TableWRTECalcPts[RK],0)),"")</f>
        <v>Devin Duvernay</v>
      </c>
      <c r="AX252" s="122" t="str">
        <f>IFERROR(INDEX(TableWRTECalcPts[POS RK],MATCH(TableWRTERank[[#This Row],[WR and TE COMBINED]],TableWRTECalcPts[PLAYER],0)),"")</f>
        <v>WR172</v>
      </c>
      <c r="AY252" s="122">
        <f>IFERROR(INDEX(TableWRTECalcPts[BYE],MATCH(TableWRTERank[[#This Row],[RK]],TableWRTECalcPts[RK],0)),"")</f>
        <v>12</v>
      </c>
      <c r="AZ252" s="123">
        <f>IFERROR(INDEX(TableWRTECalcPts[Custom],MATCH(TableWRTERank[[#This Row],[RK]],TableWRTECalcPts[RK],0)),"")</f>
        <v>7.2324387178669536</v>
      </c>
      <c r="BA252" s="174">
        <f>IFERROR((TableWRTERank[[#This Row],[FPS]]-INDEX(TableWRTERank[FPS],MATCH(WRTEVORPCalc,TableWRTERank[RK],0)))/INDEX(TableWRTERank[FPS],MATCH(WRTEVORPCalc,TableWRTERank[RK],0)),"")</f>
        <v>-0.95391093622005496</v>
      </c>
      <c r="BC252" t="s">
        <v>10</v>
      </c>
      <c r="BD252">
        <v>51</v>
      </c>
      <c r="BE252" s="83">
        <f>RANK(TableWRTEMaster[[#This Row],[VORP]],TableWRTEMaster[VORP])+COUNTIF($BJ$2:BJ252,BJ252)-1</f>
        <v>159</v>
      </c>
      <c r="BF252" s="115" t="str">
        <f>IFERROR(INDEX(TableTEVORP[TIGHT END],MATCH(TableWRTEMaster[[#This Row],[RK]],TableTEVORP[RK],0)),"")</f>
        <v>Jared Wiley</v>
      </c>
      <c r="BG252" s="115" t="str">
        <f>_xlfn.CONCAT(TableWRTEMaster[[#This Row],[POS]],TableWRTEMaster[[#This Row],[RK]])</f>
        <v>TE51</v>
      </c>
      <c r="BH252" s="115">
        <f>IFERROR(INDEX(TableTEVORP[BYE],MATCH(TableWRTEMaster[[#This Row],[RK]],TableTEVORP[RK],0)),"")</f>
        <v>6</v>
      </c>
      <c r="BI252" s="116">
        <f>IFERROR(INDEX(TableTEVORP[FPS],MATCH(TableWRTEMaster[[#This Row],[RK]],TableTEVORP[RK],0)),"")</f>
        <v>25.838048037454413</v>
      </c>
      <c r="BJ252" s="117">
        <f>IFERROR(INDEX(TableTEVORP[VORP],MATCH(TableWRTEMaster[[#This Row],[RK]],TableTEVORP[RK],0)),"")</f>
        <v>-0.80372046040294598</v>
      </c>
    </row>
    <row r="253" spans="32:62" x14ac:dyDescent="0.2">
      <c r="AF253" t="s">
        <v>10</v>
      </c>
      <c r="AG253">
        <v>2</v>
      </c>
      <c r="AH253" s="83">
        <f>RANK(TableOverallMaster[[#This Row],[VORP]],TableOverallMaster[VORP])+COUNTIF($AM$2:AM253,AM253)-1</f>
        <v>50</v>
      </c>
      <c r="AI253" s="115" t="str">
        <f>IFERROR(INDEX(TableTEVORP[TIGHT END],MATCH(TableOverallMaster[[#This Row],[RK]],TableTEVORP[RK],0)),"")</f>
        <v>Sam LaPorta</v>
      </c>
      <c r="AJ253" s="115" t="str">
        <f t="shared" si="3"/>
        <v>TE2</v>
      </c>
      <c r="AK253" s="115">
        <f>IFERROR(INDEX(TableTEVORP[BYE],MATCH(TableOverallMaster[[#This Row],[RK]],TableTEVORP[RK],0)),"")</f>
        <v>5</v>
      </c>
      <c r="AL253" s="116">
        <f>IFERROR(INDEX(TableTEVORP[FPS],MATCH(TableOverallMaster[[#This Row],[RK]],TableTEVORP[RK],0)),"")</f>
        <v>182.53673189245154</v>
      </c>
      <c r="AM253" s="117">
        <f>IFERROR(INDEX(TableTEVORP[VORP],MATCH(TableOverallMaster[[#This Row],[RK]],TableTEVORP[RK],0)),"")</f>
        <v>0.38664598980020687</v>
      </c>
      <c r="AO253">
        <v>252</v>
      </c>
      <c r="AP253" s="118" t="str">
        <f>IFERROR(INDEX(TableOverallMaster[OVERALL PLAYER],MATCH(TableOverallRank[[#This Row],[RK]],TableOverallMaster[OVR RK],0)),"")</f>
        <v>Mo Alie-Cox</v>
      </c>
      <c r="AQ253" s="119" t="str">
        <f>IFERROR(INDEX(TableOverallMaster[POS RK],MATCH(TableOverallRank[[#This Row],[OVERALL PLAYER]],TableOverallMaster[OVERALL PLAYER],0)),"")</f>
        <v>TE41</v>
      </c>
      <c r="AR253" s="120">
        <f>IFERROR(INDEX(TableOverallMaster[BYE],MATCH(TableOverallRank[[#This Row],[OVERALL PLAYER]],TableOverallMaster[OVERALL PLAYER],0)),"")</f>
        <v>14</v>
      </c>
      <c r="AS253" s="119">
        <f>IFERROR(INDEX(TableOverallMaster[Custom],MATCH(TableOverallRank[[#This Row],[OVERALL PLAYER]],TableOverallMaster[OVERALL PLAYER],0)),"")</f>
        <v>47.760272891565855</v>
      </c>
      <c r="AT253" s="121">
        <f>IFERROR(INDEX(TableOverallMaster[VORP],MATCH(TableOverallRank[[#This Row],[OVERALL PLAYER]],TableOverallMaster[OVERALL PLAYER],0)),"")</f>
        <v>-0.63718759402423597</v>
      </c>
      <c r="AV253">
        <v>252</v>
      </c>
      <c r="AW253" s="122" t="str">
        <f>IFERROR(INDEX(TableWRTECalcPts[PLAYER],MATCH(TableWRTERank[[#This Row],[RK]],TableWRTECalcPts[RK],0)),"")</f>
        <v>Payne Durham</v>
      </c>
      <c r="AX253" s="122" t="str">
        <f>IFERROR(INDEX(TableWRTECalcPts[POS RK],MATCH(TableWRTERank[[#This Row],[WR and TE COMBINED]],TableWRTECalcPts[PLAYER],0)),"")</f>
        <v>TE80</v>
      </c>
      <c r="AY253" s="122">
        <f>IFERROR(INDEX(TableWRTECalcPts[BYE],MATCH(TableWRTERank[[#This Row],[RK]],TableWRTECalcPts[RK],0)),"")</f>
        <v>11</v>
      </c>
      <c r="AZ253" s="123">
        <f>IFERROR(INDEX(TableWRTECalcPts[Custom],MATCH(TableWRTERank[[#This Row],[RK]],TableWRTECalcPts[RK],0)),"")</f>
        <v>7.1511440444958074</v>
      </c>
      <c r="BA253" s="174">
        <f>IFERROR((TableWRTERank[[#This Row],[FPS]]-INDEX(TableWRTERank[FPS],MATCH(WRTEVORPCalc,TableWRTERank[RK],0)))/INDEX(TableWRTERank[FPS],MATCH(WRTEVORPCalc,TableWRTERank[RK],0)),"")</f>
        <v>-0.95442899043829765</v>
      </c>
      <c r="BC253" t="s">
        <v>10</v>
      </c>
      <c r="BD253">
        <v>52</v>
      </c>
      <c r="BE253" s="83">
        <f>RANK(TableWRTEMaster[[#This Row],[VORP]],TableWRTEMaster[VORP])+COUNTIF($BJ$2:BJ253,BJ253)-1</f>
        <v>161</v>
      </c>
      <c r="BF253" s="115" t="str">
        <f>IFERROR(INDEX(TableTEVORP[TIGHT END],MATCH(TableWRTEMaster[[#This Row],[RK]],TableTEVORP[RK],0)),"")</f>
        <v>Adam Trautman</v>
      </c>
      <c r="BG253" s="115" t="str">
        <f>_xlfn.CONCAT(TableWRTEMaster[[#This Row],[POS]],TableWRTEMaster[[#This Row],[RK]])</f>
        <v>TE52</v>
      </c>
      <c r="BH253" s="115">
        <f>IFERROR(INDEX(TableTEVORP[BYE],MATCH(TableWRTEMaster[[#This Row],[RK]],TableTEVORP[RK],0)),"")</f>
        <v>14</v>
      </c>
      <c r="BI253" s="116">
        <f>IFERROR(INDEX(TableTEVORP[FPS],MATCH(TableWRTEMaster[[#This Row],[RK]],TableTEVORP[RK],0)),"")</f>
        <v>24.53739429731975</v>
      </c>
      <c r="BJ253" s="117">
        <f>IFERROR(INDEX(TableTEVORP[VORP],MATCH(TableWRTEMaster[[#This Row],[RK]],TableTEVORP[RK],0)),"")</f>
        <v>-0.81360091719746674</v>
      </c>
    </row>
    <row r="254" spans="32:62" x14ac:dyDescent="0.2">
      <c r="AF254" t="s">
        <v>10</v>
      </c>
      <c r="AG254">
        <v>3</v>
      </c>
      <c r="AH254" s="83">
        <f>RANK(TableOverallMaster[[#This Row],[VORP]],TableOverallMaster[VORP])+COUNTIF($AM$2:AM254,AM254)-1</f>
        <v>51</v>
      </c>
      <c r="AI254" s="115" t="str">
        <f>IFERROR(INDEX(TableTEVORP[TIGHT END],MATCH(TableOverallMaster[[#This Row],[RK]],TableTEVORP[RK],0)),"")</f>
        <v>Mark Andrews</v>
      </c>
      <c r="AJ254" s="115" t="str">
        <f t="shared" si="3"/>
        <v>TE3</v>
      </c>
      <c r="AK254" s="115">
        <f>IFERROR(INDEX(TableTEVORP[BYE],MATCH(TableOverallMaster[[#This Row],[RK]],TableTEVORP[RK],0)),"")</f>
        <v>14</v>
      </c>
      <c r="AL254" s="116">
        <f>IFERROR(INDEX(TableTEVORP[FPS],MATCH(TableOverallMaster[[#This Row],[RK]],TableTEVORP[RK],0)),"")</f>
        <v>182.29298496535898</v>
      </c>
      <c r="AM254" s="117">
        <f>IFERROR(INDEX(TableTEVORP[VORP],MATCH(TableOverallMaster[[#This Row],[RK]],TableTEVORP[RK],0)),"")</f>
        <v>0.38479435864917827</v>
      </c>
      <c r="AO254">
        <v>253</v>
      </c>
      <c r="AP254" s="118" t="str">
        <f>IFERROR(INDEX(TableOverallMaster[OVERALL PLAYER],MATCH(TableOverallRank[[#This Row],[RK]],TableOverallMaster[OVR RK],0)),"")</f>
        <v>Kimani Vidal</v>
      </c>
      <c r="AQ254" s="119" t="str">
        <f>IFERROR(INDEX(TableOverallMaster[POS RK],MATCH(TableOverallRank[[#This Row],[OVERALL PLAYER]],TableOverallMaster[OVERALL PLAYER],0)),"")</f>
        <v>RB84</v>
      </c>
      <c r="AR254" s="120">
        <f>IFERROR(INDEX(TableOverallMaster[BYE],MATCH(TableOverallRank[[#This Row],[OVERALL PLAYER]],TableOverallMaster[OVERALL PLAYER],0)),"")</f>
        <v>5</v>
      </c>
      <c r="AS254" s="119">
        <f>IFERROR(INDEX(TableOverallMaster[Custom],MATCH(TableOverallRank[[#This Row],[OVERALL PLAYER]],TableOverallMaster[OVERALL PLAYER],0)),"")</f>
        <v>22.870970628816636</v>
      </c>
      <c r="AT254" s="121">
        <f>IFERROR(INDEX(TableOverallMaster[VORP],MATCH(TableOverallRank[[#This Row],[OVERALL PLAYER]],TableOverallMaster[OVERALL PLAYER],0)),"")</f>
        <v>-0.6474160818680772</v>
      </c>
      <c r="AV254">
        <v>253</v>
      </c>
      <c r="AW254" s="122" t="str">
        <f>IFERROR(INDEX(TableWRTECalcPts[PLAYER],MATCH(TableWRTERank[[#This Row],[RK]],TableWRTECalcPts[RK],0)),"")</f>
        <v>Albert Okwuegbunam</v>
      </c>
      <c r="AX254" s="122" t="str">
        <f>IFERROR(INDEX(TableWRTECalcPts[POS RK],MATCH(TableWRTERank[[#This Row],[WR and TE COMBINED]],TableWRTECalcPts[PLAYER],0)),"")</f>
        <v>TE81</v>
      </c>
      <c r="AY254" s="122">
        <f>IFERROR(INDEX(TableWRTECalcPts[BYE],MATCH(TableWRTERank[[#This Row],[RK]],TableWRTECalcPts[RK],0)),"")</f>
        <v>5</v>
      </c>
      <c r="AZ254" s="123">
        <f>IFERROR(INDEX(TableWRTECalcPts[Custom],MATCH(TableWRTERank[[#This Row],[RK]],TableWRTECalcPts[RK],0)),"")</f>
        <v>7.0925050169705255</v>
      </c>
      <c r="BA254" s="174">
        <f>IFERROR((TableWRTERank[[#This Row],[FPS]]-INDEX(TableWRTERank[FPS],MATCH(WRTEVORPCalc,TableWRTERank[RK],0)))/INDEX(TableWRTERank[FPS],MATCH(WRTEVORPCalc,TableWRTERank[RK],0)),"")</f>
        <v>-0.95480267046311817</v>
      </c>
      <c r="BC254" t="s">
        <v>10</v>
      </c>
      <c r="BD254">
        <v>53</v>
      </c>
      <c r="BE254" s="83">
        <f>RANK(TableWRTEMaster[[#This Row],[VORP]],TableWRTEMaster[VORP])+COUNTIF($BJ$2:BJ254,BJ254)-1</f>
        <v>162</v>
      </c>
      <c r="BF254" s="115" t="str">
        <f>IFERROR(INDEX(TableTEVORP[TIGHT END],MATCH(TableWRTEMaster[[#This Row],[RK]],TableTEVORP[RK],0)),"")</f>
        <v>Luke Schoonmaker</v>
      </c>
      <c r="BG254" s="115" t="str">
        <f>_xlfn.CONCAT(TableWRTEMaster[[#This Row],[POS]],TableWRTEMaster[[#This Row],[RK]])</f>
        <v>TE53</v>
      </c>
      <c r="BH254" s="115">
        <f>IFERROR(INDEX(TableTEVORP[BYE],MATCH(TableWRTEMaster[[#This Row],[RK]],TableTEVORP[RK],0)),"")</f>
        <v>7</v>
      </c>
      <c r="BI254" s="116">
        <f>IFERROR(INDEX(TableTEVORP[FPS],MATCH(TableWRTEMaster[[#This Row],[RK]],TableTEVORP[RK],0)),"")</f>
        <v>24.051614582192396</v>
      </c>
      <c r="BJ254" s="117">
        <f>IFERROR(INDEX(TableTEVORP[VORP],MATCH(TableWRTEMaster[[#This Row],[RK]],TableTEVORP[RK],0)),"")</f>
        <v>-0.81729115798858876</v>
      </c>
    </row>
    <row r="255" spans="32:62" x14ac:dyDescent="0.2">
      <c r="AF255" t="s">
        <v>10</v>
      </c>
      <c r="AG255">
        <v>4</v>
      </c>
      <c r="AH255" s="83">
        <f>RANK(TableOverallMaster[[#This Row],[VORP]],TableOverallMaster[VORP])+COUNTIF($AM$2:AM255,AM255)-1</f>
        <v>61</v>
      </c>
      <c r="AI255" s="115" t="str">
        <f>IFERROR(INDEX(TableTEVORP[TIGHT END],MATCH(TableOverallMaster[[#This Row],[RK]],TableTEVORP[RK],0)),"")</f>
        <v>Kyle Pitts</v>
      </c>
      <c r="AJ255" s="115" t="str">
        <f t="shared" si="3"/>
        <v>TE4</v>
      </c>
      <c r="AK255" s="115">
        <f>IFERROR(INDEX(TableTEVORP[BYE],MATCH(TableOverallMaster[[#This Row],[RK]],TableTEVORP[RK],0)),"")</f>
        <v>12</v>
      </c>
      <c r="AL255" s="116">
        <f>IFERROR(INDEX(TableTEVORP[FPS],MATCH(TableOverallMaster[[#This Row],[RK]],TableTEVORP[RK],0)),"")</f>
        <v>177.62908957073282</v>
      </c>
      <c r="AM255" s="117">
        <f>IFERROR(INDEX(TableTEVORP[VORP],MATCH(TableOverallMaster[[#This Row],[RK]],TableTEVORP[RK],0)),"")</f>
        <v>0.34936493149357206</v>
      </c>
      <c r="AO255">
        <v>254</v>
      </c>
      <c r="AP255" s="118" t="str">
        <f>IFERROR(INDEX(TableOverallMaster[OVERALL PLAYER],MATCH(TableOverallRank[[#This Row],[RK]],TableOverallMaster[OVR RK],0)),"")</f>
        <v>Miles Sanders</v>
      </c>
      <c r="AQ255" s="119" t="str">
        <f>IFERROR(INDEX(TableOverallMaster[POS RK],MATCH(TableOverallRank[[#This Row],[OVERALL PLAYER]],TableOverallMaster[OVERALL PLAYER],0)),"")</f>
        <v>RB85</v>
      </c>
      <c r="AR255" s="120">
        <f>IFERROR(INDEX(TableOverallMaster[BYE],MATCH(TableOverallRank[[#This Row],[OVERALL PLAYER]],TableOverallMaster[OVERALL PLAYER],0)),"")</f>
        <v>11</v>
      </c>
      <c r="AS255" s="119">
        <f>IFERROR(INDEX(TableOverallMaster[Custom],MATCH(TableOverallRank[[#This Row],[OVERALL PLAYER]],TableOverallMaster[OVERALL PLAYER],0)),"")</f>
        <v>22.254131037480178</v>
      </c>
      <c r="AT255" s="121">
        <f>IFERROR(INDEX(TableOverallMaster[VORP],MATCH(TableOverallRank[[#This Row],[OVERALL PLAYER]],TableOverallMaster[OVERALL PLAYER],0)),"")</f>
        <v>-0.65153133360935767</v>
      </c>
      <c r="AV255">
        <v>254</v>
      </c>
      <c r="AW255" s="122" t="str">
        <f>IFERROR(INDEX(TableWRTECalcPts[PLAYER],MATCH(TableWRTERank[[#This Row],[RK]],TableWRTECalcPts[RK],0)),"")</f>
        <v>Jha'Quan Jackson</v>
      </c>
      <c r="AX255" s="122" t="str">
        <f>IFERROR(INDEX(TableWRTECalcPts[POS RK],MATCH(TableWRTERank[[#This Row],[WR and TE COMBINED]],TableWRTECalcPts[PLAYER],0)),"")</f>
        <v>WR173</v>
      </c>
      <c r="AY255" s="122">
        <f>IFERROR(INDEX(TableWRTECalcPts[BYE],MATCH(TableWRTERank[[#This Row],[RK]],TableWRTECalcPts[RK],0)),"")</f>
        <v>5</v>
      </c>
      <c r="AZ255" s="123">
        <f>IFERROR(INDEX(TableWRTECalcPts[Custom],MATCH(TableWRTERank[[#This Row],[RK]],TableWRTECalcPts[RK],0)),"")</f>
        <v>6.8794944646427991</v>
      </c>
      <c r="BA255" s="174">
        <f>IFERROR((TableWRTERank[[#This Row],[FPS]]-INDEX(TableWRTERank[FPS],MATCH(WRTEVORPCalc,TableWRTERank[RK],0)))/INDEX(TableWRTERank[FPS],MATCH(WRTEVORPCalc,TableWRTERank[RK],0)),"")</f>
        <v>-0.95616009045864225</v>
      </c>
      <c r="BC255" t="s">
        <v>10</v>
      </c>
      <c r="BD255">
        <v>54</v>
      </c>
      <c r="BE255" s="83">
        <f>RANK(TableWRTEMaster[[#This Row],[VORP]],TableWRTEMaster[VORP])+COUNTIF($BJ$2:BJ255,BJ255)-1</f>
        <v>164</v>
      </c>
      <c r="BF255" s="115" t="str">
        <f>IFERROR(INDEX(TableTEVORP[TIGHT END],MATCH(TableWRTEMaster[[#This Row],[RK]],TableTEVORP[RK],0)),"")</f>
        <v>Brenton Strange</v>
      </c>
      <c r="BG255" s="115" t="str">
        <f>_xlfn.CONCAT(TableWRTEMaster[[#This Row],[POS]],TableWRTEMaster[[#This Row],[RK]])</f>
        <v>TE54</v>
      </c>
      <c r="BH255" s="115">
        <f>IFERROR(INDEX(TableTEVORP[BYE],MATCH(TableWRTEMaster[[#This Row],[RK]],TableTEVORP[RK],0)),"")</f>
        <v>12</v>
      </c>
      <c r="BI255" s="116">
        <f>IFERROR(INDEX(TableTEVORP[FPS],MATCH(TableWRTEMaster[[#This Row],[RK]],TableTEVORP[RK],0)),"")</f>
        <v>23.035335255416182</v>
      </c>
      <c r="BJ255" s="117">
        <f>IFERROR(INDEX(TableTEVORP[VORP],MATCH(TableWRTEMaster[[#This Row],[RK]],TableTEVORP[RK],0)),"")</f>
        <v>-0.82501135566267325</v>
      </c>
    </row>
    <row r="256" spans="32:62" x14ac:dyDescent="0.2">
      <c r="AF256" t="s">
        <v>10</v>
      </c>
      <c r="AG256">
        <v>5</v>
      </c>
      <c r="AH256" s="83">
        <f>RANK(TableOverallMaster[[#This Row],[VORP]],TableOverallMaster[VORP])+COUNTIF($AM$2:AM256,AM256)-1</f>
        <v>69</v>
      </c>
      <c r="AI256" s="115" t="str">
        <f>IFERROR(INDEX(TableTEVORP[TIGHT END],MATCH(TableOverallMaster[[#This Row],[RK]],TableTEVORP[RK],0)),"")</f>
        <v>Trey McBride</v>
      </c>
      <c r="AJ256" s="115" t="str">
        <f t="shared" si="3"/>
        <v>TE5</v>
      </c>
      <c r="AK256" s="115">
        <f>IFERROR(INDEX(TableTEVORP[BYE],MATCH(TableOverallMaster[[#This Row],[RK]],TableTEVORP[RK],0)),"")</f>
        <v>11</v>
      </c>
      <c r="AL256" s="116">
        <f>IFERROR(INDEX(TableTEVORP[FPS],MATCH(TableOverallMaster[[#This Row],[RK]],TableTEVORP[RK],0)),"")</f>
        <v>170.05237121158649</v>
      </c>
      <c r="AM256" s="117">
        <f>IFERROR(INDEX(TableTEVORP[VORP],MATCH(TableOverallMaster[[#This Row],[RK]],TableTEVORP[RK],0)),"")</f>
        <v>0.2918081536350422</v>
      </c>
      <c r="AO256">
        <v>255</v>
      </c>
      <c r="AP256" s="118" t="str">
        <f>IFERROR(INDEX(TableOverallMaster[OVERALL PLAYER],MATCH(TableOverallRank[[#This Row],[RK]],TableOverallMaster[OVR RK],0)),"")</f>
        <v>Tyler Goodson</v>
      </c>
      <c r="AQ256" s="119" t="str">
        <f>IFERROR(INDEX(TableOverallMaster[POS RK],MATCH(TableOverallRank[[#This Row],[OVERALL PLAYER]],TableOverallMaster[OVERALL PLAYER],0)),"")</f>
        <v>RB86</v>
      </c>
      <c r="AR256" s="120">
        <f>IFERROR(INDEX(TableOverallMaster[BYE],MATCH(TableOverallRank[[#This Row],[OVERALL PLAYER]],TableOverallMaster[OVERALL PLAYER],0)),"")</f>
        <v>14</v>
      </c>
      <c r="AS256" s="119">
        <f>IFERROR(INDEX(TableOverallMaster[Custom],MATCH(TableOverallRank[[#This Row],[OVERALL PLAYER]],TableOverallMaster[OVERALL PLAYER],0)),"")</f>
        <v>21.431914367906273</v>
      </c>
      <c r="AT256" s="121">
        <f>IFERROR(INDEX(TableOverallMaster[VORP],MATCH(TableOverallRank[[#This Row],[OVERALL PLAYER]],TableOverallMaster[OVERALL PLAYER],0)),"")</f>
        <v>-0.65701676066153947</v>
      </c>
      <c r="AV256">
        <v>255</v>
      </c>
      <c r="AW256" s="122" t="str">
        <f>IFERROR(INDEX(TableWRTECalcPts[PLAYER],MATCH(TableWRTERank[[#This Row],[RK]],TableWRTECalcPts[RK],0)),"")</f>
        <v>Stanley Morgan</v>
      </c>
      <c r="AX256" s="122" t="str">
        <f>IFERROR(INDEX(TableWRTECalcPts[POS RK],MATCH(TableWRTERank[[#This Row],[WR and TE COMBINED]],TableWRTECalcPts[PLAYER],0)),"")</f>
        <v>WR174</v>
      </c>
      <c r="AY256" s="122">
        <f>IFERROR(INDEX(TableWRTECalcPts[BYE],MATCH(TableWRTERank[[#This Row],[RK]],TableWRTECalcPts[RK],0)),"")</f>
        <v>12</v>
      </c>
      <c r="AZ256" s="123">
        <f>IFERROR(INDEX(TableWRTECalcPts[Custom],MATCH(TableWRTERank[[#This Row],[RK]],TableWRTECalcPts[RK],0)),"")</f>
        <v>6.7321870722144546</v>
      </c>
      <c r="BA256" s="174">
        <f>IFERROR((TableWRTERank[[#This Row],[FPS]]-INDEX(TableWRTERank[FPS],MATCH(WRTEVORPCalc,TableWRTERank[RK],0)))/INDEX(TableWRTERank[FPS],MATCH(WRTEVORPCalc,TableWRTERank[RK],0)),"")</f>
        <v>-0.95709881390584062</v>
      </c>
      <c r="BC256" t="s">
        <v>10</v>
      </c>
      <c r="BD256">
        <v>55</v>
      </c>
      <c r="BE256" s="83">
        <f>RANK(TableWRTEMaster[[#This Row],[VORP]],TableWRTEMaster[VORP])+COUNTIF($BJ$2:BJ256,BJ256)-1</f>
        <v>166</v>
      </c>
      <c r="BF256" s="115" t="str">
        <f>IFERROR(INDEX(TableTEVORP[TIGHT END],MATCH(TableWRTEMaster[[#This Row],[RK]],TableTEVORP[RK],0)),"")</f>
        <v>Ko Kieft</v>
      </c>
      <c r="BG256" s="115" t="str">
        <f>_xlfn.CONCAT(TableWRTEMaster[[#This Row],[POS]],TableWRTEMaster[[#This Row],[RK]])</f>
        <v>TE55</v>
      </c>
      <c r="BH256" s="115">
        <f>IFERROR(INDEX(TableTEVORP[BYE],MATCH(TableWRTEMaster[[#This Row],[RK]],TableTEVORP[RK],0)),"")</f>
        <v>11</v>
      </c>
      <c r="BI256" s="116">
        <f>IFERROR(INDEX(TableTEVORP[FPS],MATCH(TableWRTEMaster[[#This Row],[RK]],TableTEVORP[RK],0)),"")</f>
        <v>22.234463133326038</v>
      </c>
      <c r="BJ256" s="117">
        <f>IFERROR(INDEX(TableTEVORP[VORP],MATCH(TableWRTEMaster[[#This Row],[RK]],TableTEVORP[RK],0)),"")</f>
        <v>-0.83109520577287122</v>
      </c>
    </row>
    <row r="257" spans="32:62" x14ac:dyDescent="0.2">
      <c r="AF257" t="s">
        <v>10</v>
      </c>
      <c r="AG257">
        <v>6</v>
      </c>
      <c r="AH257" s="83">
        <f>RANK(TableOverallMaster[[#This Row],[VORP]],TableOverallMaster[VORP])+COUNTIF($AM$2:AM257,AM257)-1</f>
        <v>78</v>
      </c>
      <c r="AI257" s="115" t="str">
        <f>IFERROR(INDEX(TableTEVORP[TIGHT END],MATCH(TableOverallMaster[[#This Row],[RK]],TableTEVORP[RK],0)),"")</f>
        <v>Jake Ferguson</v>
      </c>
      <c r="AJ257" s="115" t="str">
        <f t="shared" si="3"/>
        <v>TE6</v>
      </c>
      <c r="AK257" s="115">
        <f>IFERROR(INDEX(TableTEVORP[BYE],MATCH(TableOverallMaster[[#This Row],[RK]],TableTEVORP[RK],0)),"")</f>
        <v>7</v>
      </c>
      <c r="AL257" s="116">
        <f>IFERROR(INDEX(TableTEVORP[FPS],MATCH(TableOverallMaster[[#This Row],[RK]],TableTEVORP[RK],0)),"")</f>
        <v>163.6950494543639</v>
      </c>
      <c r="AM257" s="117">
        <f>IFERROR(INDEX(TableTEVORP[VORP],MATCH(TableOverallMaster[[#This Row],[RK]],TableTEVORP[RK],0)),"")</f>
        <v>0.24351456018056855</v>
      </c>
      <c r="AO257">
        <v>256</v>
      </c>
      <c r="AP257" s="118" t="str">
        <f>IFERROR(INDEX(TableOverallMaster[OVERALL PLAYER],MATCH(TableOverallRank[[#This Row],[RK]],TableOverallMaster[OVR RK],0)),"")</f>
        <v>Darnell Washington</v>
      </c>
      <c r="AQ257" s="119" t="str">
        <f>IFERROR(INDEX(TableOverallMaster[POS RK],MATCH(TableOverallRank[[#This Row],[OVERALL PLAYER]],TableOverallMaster[OVERALL PLAYER],0)),"")</f>
        <v>TE42</v>
      </c>
      <c r="AR257" s="120">
        <f>IFERROR(INDEX(TableOverallMaster[BYE],MATCH(TableOverallRank[[#This Row],[OVERALL PLAYER]],TableOverallMaster[OVERALL PLAYER],0)),"")</f>
        <v>9</v>
      </c>
      <c r="AS257" s="119">
        <f>IFERROR(INDEX(TableOverallMaster[Custom],MATCH(TableOverallRank[[#This Row],[OVERALL PLAYER]],TableOverallMaster[OVERALL PLAYER],0)),"")</f>
        <v>45.128004722701178</v>
      </c>
      <c r="AT257" s="121">
        <f>IFERROR(INDEX(TableOverallMaster[VORP],MATCH(TableOverallRank[[#This Row],[OVERALL PLAYER]],TableOverallMaster[OVERALL PLAYER],0)),"")</f>
        <v>-0.65718370145200278</v>
      </c>
      <c r="AV257">
        <v>256</v>
      </c>
      <c r="AW257" s="122" t="str">
        <f>IFERROR(INDEX(TableWRTECalcPts[PLAYER],MATCH(TableWRTERank[[#This Row],[RK]],TableWRTECalcPts[RK],0)),"")</f>
        <v>David Bell</v>
      </c>
      <c r="AX257" s="122" t="str">
        <f>IFERROR(INDEX(TableWRTECalcPts[POS RK],MATCH(TableWRTERank[[#This Row],[WR and TE COMBINED]],TableWRTECalcPts[PLAYER],0)),"")</f>
        <v>WR175</v>
      </c>
      <c r="AY257" s="122">
        <f>IFERROR(INDEX(TableWRTECalcPts[BYE],MATCH(TableWRTERank[[#This Row],[RK]],TableWRTECalcPts[RK],0)),"")</f>
        <v>10</v>
      </c>
      <c r="AZ257" s="123">
        <f>IFERROR(INDEX(TableWRTECalcPts[Custom],MATCH(TableWRTERank[[#This Row],[RK]],TableWRTECalcPts[RK],0)),"")</f>
        <v>6.426609524515027</v>
      </c>
      <c r="BA257" s="174">
        <f>IFERROR((TableWRTERank[[#This Row],[FPS]]-INDEX(TableWRTERank[FPS],MATCH(WRTEVORPCalc,TableWRTERank[RK],0)))/INDEX(TableWRTERank[FPS],MATCH(WRTEVORPCalc,TableWRTERank[RK],0)),"")</f>
        <v>-0.95904612153401947</v>
      </c>
      <c r="BC257" t="s">
        <v>10</v>
      </c>
      <c r="BD257">
        <v>56</v>
      </c>
      <c r="BE257" s="83">
        <f>RANK(TableWRTEMaster[[#This Row],[VORP]],TableWRTEMaster[VORP])+COUNTIF($BJ$2:BJ257,BJ257)-1</f>
        <v>167</v>
      </c>
      <c r="BF257" s="115" t="str">
        <f>IFERROR(INDEX(TableTEVORP[TIGHT END],MATCH(TableWRTEMaster[[#This Row],[RK]],TableTEVORP[RK],0)),"")</f>
        <v>Pharaoh Brown</v>
      </c>
      <c r="BG257" s="115" t="str">
        <f>_xlfn.CONCAT(TableWRTEMaster[[#This Row],[POS]],TableWRTEMaster[[#This Row],[RK]])</f>
        <v>TE56</v>
      </c>
      <c r="BH257" s="115">
        <f>IFERROR(INDEX(TableTEVORP[BYE],MATCH(TableWRTEMaster[[#This Row],[RK]],TableTEVORP[RK],0)),"")</f>
        <v>10</v>
      </c>
      <c r="BI257" s="116">
        <f>IFERROR(INDEX(TableTEVORP[FPS],MATCH(TableWRTEMaster[[#This Row],[RK]],TableTEVORP[RK],0)),"")</f>
        <v>21.431073332560469</v>
      </c>
      <c r="BJ257" s="117">
        <f>IFERROR(INDEX(TableTEVORP[VORP],MATCH(TableWRTEMaster[[#This Row],[RK]],TableTEVORP[RK],0)),"")</f>
        <v>-0.8371981815078281</v>
      </c>
    </row>
    <row r="258" spans="32:62" x14ac:dyDescent="0.2">
      <c r="AF258" t="s">
        <v>10</v>
      </c>
      <c r="AG258">
        <v>7</v>
      </c>
      <c r="AH258" s="83">
        <f>RANK(TableOverallMaster[[#This Row],[VORP]],TableOverallMaster[VORP])+COUNTIF($AM$2:AM258,AM258)-1</f>
        <v>80</v>
      </c>
      <c r="AI258" s="115" t="str">
        <f>IFERROR(INDEX(TableTEVORP[TIGHT END],MATCH(TableOverallMaster[[#This Row],[RK]],TableTEVORP[RK],0)),"")</f>
        <v>Evan Engram</v>
      </c>
      <c r="AJ258" s="115" t="str">
        <f t="shared" ref="AJ258:AJ301" si="4">CONCATENATE(AF258,AG258)</f>
        <v>TE7</v>
      </c>
      <c r="AK258" s="115">
        <f>IFERROR(INDEX(TableTEVORP[BYE],MATCH(TableOverallMaster[[#This Row],[RK]],TableTEVORP[RK],0)),"")</f>
        <v>12</v>
      </c>
      <c r="AL258" s="116">
        <f>IFERROR(INDEX(TableTEVORP[FPS],MATCH(TableOverallMaster[[#This Row],[RK]],TableTEVORP[RK],0)),"")</f>
        <v>162.13728753207036</v>
      </c>
      <c r="AM258" s="117">
        <f>IFERROR(INDEX(TableTEVORP[VORP],MATCH(TableOverallMaster[[#This Row],[RK]],TableTEVORP[RK],0)),"")</f>
        <v>0.23168097304324389</v>
      </c>
      <c r="AO258">
        <v>257</v>
      </c>
      <c r="AP258" s="118" t="str">
        <f>IFERROR(INDEX(TableOverallMaster[OVERALL PLAYER],MATCH(TableOverallRank[[#This Row],[RK]],TableOverallMaster[OVR RK],0)),"")</f>
        <v>Brenden Rice</v>
      </c>
      <c r="AQ258" s="119" t="str">
        <f>IFERROR(INDEX(TableOverallMaster[POS RK],MATCH(TableOverallRank[[#This Row],[OVERALL PLAYER]],TableOverallMaster[OVERALL PLAYER],0)),"")</f>
        <v>WR96</v>
      </c>
      <c r="AR258" s="120">
        <f>IFERROR(INDEX(TableOverallMaster[BYE],MATCH(TableOverallRank[[#This Row],[OVERALL PLAYER]],TableOverallMaster[OVERALL PLAYER],0)),"")</f>
        <v>5</v>
      </c>
      <c r="AS258" s="119">
        <f>IFERROR(INDEX(TableOverallMaster[Custom],MATCH(TableOverallRank[[#This Row],[OVERALL PLAYER]],TableOverallMaster[OVERALL PLAYER],0)),"")</f>
        <v>65.713634104769312</v>
      </c>
      <c r="AT258" s="121">
        <f>IFERROR(INDEX(TableOverallMaster[VORP],MATCH(TableOverallRank[[#This Row],[OVERALL PLAYER]],TableOverallMaster[OVERALL PLAYER],0)),"")</f>
        <v>-0.66436057153991213</v>
      </c>
      <c r="AV258">
        <v>257</v>
      </c>
      <c r="AW258" s="122" t="str">
        <f>IFERROR(INDEX(TableWRTECalcPts[PLAYER],MATCH(TableWRTERank[[#This Row],[RK]],TableWRTECalcPts[RK],0)),"")</f>
        <v/>
      </c>
      <c r="AX258" s="122" t="str">
        <f>IFERROR(INDEX(TableWRTECalcPts[POS RK],MATCH(TableWRTERank[[#This Row],[WR and TE COMBINED]],TableWRTECalcPts[PLAYER],0)),"")</f>
        <v>TE82</v>
      </c>
      <c r="AY258" s="122" t="str">
        <f>IFERROR(INDEX(TableWRTECalcPts[BYE],MATCH(TableWRTERank[[#This Row],[RK]],TableWRTECalcPts[RK],0)),"")</f>
        <v/>
      </c>
      <c r="AZ258" s="123" t="str">
        <f>IFERROR(INDEX(TableWRTECalcPts[Custom],MATCH(TableWRTERank[[#This Row],[RK]],TableWRTECalcPts[RK],0)),"")</f>
        <v/>
      </c>
      <c r="BA258" s="174" t="str">
        <f>IFERROR((TableWRTERank[[#This Row],[FPS]]-INDEX(TableWRTERank[FPS],MATCH(WRTEVORPCalc,TableWRTERank[RK],0)))/INDEX(TableWRTERank[FPS],MATCH(WRTEVORPCalc,TableWRTERank[RK],0)),"")</f>
        <v/>
      </c>
      <c r="BC258" t="s">
        <v>10</v>
      </c>
      <c r="BD258">
        <v>57</v>
      </c>
      <c r="BE258" s="83">
        <f>RANK(TableWRTEMaster[[#This Row],[VORP]],TableWRTEMaster[VORP])+COUNTIF($BJ$2:BJ258,BJ258)-1</f>
        <v>168</v>
      </c>
      <c r="BF258" s="115" t="str">
        <f>IFERROR(INDEX(TableTEVORP[TIGHT END],MATCH(TableWRTEMaster[[#This Row],[RK]],TableTEVORP[RK],0)),"")</f>
        <v>Jordan Akins</v>
      </c>
      <c r="BG258" s="115" t="str">
        <f>_xlfn.CONCAT(TableWRTEMaster[[#This Row],[POS]],TableWRTEMaster[[#This Row],[RK]])</f>
        <v>TE57</v>
      </c>
      <c r="BH258" s="115">
        <f>IFERROR(INDEX(TableTEVORP[BYE],MATCH(TableWRTEMaster[[#This Row],[RK]],TableTEVORP[RK],0)),"")</f>
        <v>10</v>
      </c>
      <c r="BI258" s="116">
        <f>IFERROR(INDEX(TableTEVORP[FPS],MATCH(TableWRTEMaster[[#This Row],[RK]],TableTEVORP[RK],0)),"")</f>
        <v>20.366298459374043</v>
      </c>
      <c r="BJ258" s="117">
        <f>IFERROR(INDEX(TableTEVORP[VORP],MATCH(TableWRTEMaster[[#This Row],[RK]],TableTEVORP[RK],0)),"")</f>
        <v>-0.84528677711615707</v>
      </c>
    </row>
    <row r="259" spans="32:62" x14ac:dyDescent="0.2">
      <c r="AF259" t="s">
        <v>10</v>
      </c>
      <c r="AG259">
        <v>8</v>
      </c>
      <c r="AH259" s="83">
        <f>RANK(TableOverallMaster[[#This Row],[VORP]],TableOverallMaster[VORP])+COUNTIF($AM$2:AM259,AM259)-1</f>
        <v>81</v>
      </c>
      <c r="AI259" s="115" t="str">
        <f>IFERROR(INDEX(TableTEVORP[TIGHT END],MATCH(TableOverallMaster[[#This Row],[RK]],TableTEVORP[RK],0)),"")</f>
        <v>George Kittle</v>
      </c>
      <c r="AJ259" s="115" t="str">
        <f t="shared" si="4"/>
        <v>TE8</v>
      </c>
      <c r="AK259" s="115">
        <f>IFERROR(INDEX(TableTEVORP[BYE],MATCH(TableOverallMaster[[#This Row],[RK]],TableTEVORP[RK],0)),"")</f>
        <v>9</v>
      </c>
      <c r="AL259" s="116">
        <f>IFERROR(INDEX(TableTEVORP[FPS],MATCH(TableOverallMaster[[#This Row],[RK]],TableTEVORP[RK],0)),"")</f>
        <v>161.66168890481731</v>
      </c>
      <c r="AM259" s="117">
        <f>IFERROR(INDEX(TableTEVORP[VORP],MATCH(TableOverallMaster[[#This Row],[RK]],TableTEVORP[RK],0)),"")</f>
        <v>0.22806807320441316</v>
      </c>
      <c r="AO259">
        <v>258</v>
      </c>
      <c r="AP259" s="118" t="str">
        <f>IFERROR(INDEX(TableOverallMaster[OVERALL PLAYER],MATCH(TableOverallRank[[#This Row],[RK]],TableOverallMaster[OVR RK],0)),"")</f>
        <v>Clyde Edwards-Helaire</v>
      </c>
      <c r="AQ259" s="119" t="str">
        <f>IFERROR(INDEX(TableOverallMaster[POS RK],MATCH(TableOverallRank[[#This Row],[OVERALL PLAYER]],TableOverallMaster[OVERALL PLAYER],0)),"")</f>
        <v>RB87</v>
      </c>
      <c r="AR259" s="120">
        <f>IFERROR(INDEX(TableOverallMaster[BYE],MATCH(TableOverallRank[[#This Row],[OVERALL PLAYER]],TableOverallMaster[OVERALL PLAYER],0)),"")</f>
        <v>6</v>
      </c>
      <c r="AS259" s="119">
        <f>IFERROR(INDEX(TableOverallMaster[Custom],MATCH(TableOverallRank[[#This Row],[OVERALL PLAYER]],TableOverallMaster[OVERALL PLAYER],0)),"")</f>
        <v>19.953388884589188</v>
      </c>
      <c r="AT259" s="121">
        <f>IFERROR(INDEX(TableOverallMaster[VORP],MATCH(TableOverallRank[[#This Row],[OVERALL PLAYER]],TableOverallMaster[OVERALL PLAYER],0)),"")</f>
        <v>-0.66688075878229114</v>
      </c>
      <c r="AV259">
        <v>258</v>
      </c>
      <c r="AW259" s="122" t="str">
        <f>IFERROR(INDEX(TableWRTECalcPts[PLAYER],MATCH(TableWRTERank[[#This Row],[RK]],TableWRTECalcPts[RK],0)),"")</f>
        <v/>
      </c>
      <c r="AX259" s="122" t="str">
        <f>IFERROR(INDEX(TableWRTECalcPts[POS RK],MATCH(TableWRTERank[[#This Row],[WR and TE COMBINED]],TableWRTECalcPts[PLAYER],0)),"")</f>
        <v>TE82</v>
      </c>
      <c r="AY259" s="122" t="str">
        <f>IFERROR(INDEX(TableWRTECalcPts[BYE],MATCH(TableWRTERank[[#This Row],[RK]],TableWRTECalcPts[RK],0)),"")</f>
        <v/>
      </c>
      <c r="AZ259" s="123" t="str">
        <f>IFERROR(INDEX(TableWRTECalcPts[Custom],MATCH(TableWRTERank[[#This Row],[RK]],TableWRTECalcPts[RK],0)),"")</f>
        <v/>
      </c>
      <c r="BA259" s="174" t="str">
        <f>IFERROR((TableWRTERank[[#This Row],[FPS]]-INDEX(TableWRTERank[FPS],MATCH(WRTEVORPCalc,TableWRTERank[RK],0)))/INDEX(TableWRTERank[FPS],MATCH(WRTEVORPCalc,TableWRTERank[RK],0)),"")</f>
        <v/>
      </c>
      <c r="BC259" t="s">
        <v>10</v>
      </c>
      <c r="BD259">
        <v>58</v>
      </c>
      <c r="BE259" s="83">
        <f>RANK(TableWRTEMaster[[#This Row],[VORP]],TableWRTEMaster[VORP])+COUNTIF($BJ$2:BJ259,BJ259)-1</f>
        <v>169</v>
      </c>
      <c r="BF259" s="115" t="str">
        <f>IFERROR(INDEX(TableTEVORP[TIGHT END],MATCH(TableWRTEMaster[[#This Row],[RK]],TableTEVORP[RK],0)),"")</f>
        <v>Grant Calcaterra</v>
      </c>
      <c r="BG259" s="115" t="str">
        <f>_xlfn.CONCAT(TableWRTEMaster[[#This Row],[POS]],TableWRTEMaster[[#This Row],[RK]])</f>
        <v>TE58</v>
      </c>
      <c r="BH259" s="115">
        <f>IFERROR(INDEX(TableTEVORP[BYE],MATCH(TableWRTEMaster[[#This Row],[RK]],TableTEVORP[RK],0)),"")</f>
        <v>5</v>
      </c>
      <c r="BI259" s="116">
        <f>IFERROR(INDEX(TableTEVORP[FPS],MATCH(TableWRTEMaster[[#This Row],[RK]],TableTEVORP[RK],0)),"")</f>
        <v>20.360312945280004</v>
      </c>
      <c r="BJ259" s="117">
        <f>IFERROR(INDEX(TableTEVORP[VORP],MATCH(TableWRTEMaster[[#This Row],[RK]],TableTEVORP[RK],0)),"")</f>
        <v>-0.84533224626107561</v>
      </c>
    </row>
    <row r="260" spans="32:62" x14ac:dyDescent="0.2">
      <c r="AF260" t="s">
        <v>10</v>
      </c>
      <c r="AG260">
        <v>9</v>
      </c>
      <c r="AH260" s="83">
        <f>RANK(TableOverallMaster[[#This Row],[VORP]],TableOverallMaster[VORP])+COUNTIF($AM$2:AM260,AM260)-1</f>
        <v>87</v>
      </c>
      <c r="AI260" s="115" t="str">
        <f>IFERROR(INDEX(TableTEVORP[TIGHT END],MATCH(TableOverallMaster[[#This Row],[RK]],TableTEVORP[RK],0)),"")</f>
        <v>Dalton Kincaid</v>
      </c>
      <c r="AJ260" s="115" t="str">
        <f t="shared" si="4"/>
        <v>TE9</v>
      </c>
      <c r="AK260" s="115">
        <f>IFERROR(INDEX(TableTEVORP[BYE],MATCH(TableOverallMaster[[#This Row],[RK]],TableTEVORP[RK],0)),"")</f>
        <v>12</v>
      </c>
      <c r="AL260" s="116">
        <f>IFERROR(INDEX(TableTEVORP[FPS],MATCH(TableOverallMaster[[#This Row],[RK]],TableTEVORP[RK],0)),"")</f>
        <v>157.46104686653487</v>
      </c>
      <c r="AM260" s="117">
        <f>IFERROR(INDEX(TableTEVORP[VORP],MATCH(TableOverallMaster[[#This Row],[RK]],TableTEVORP[RK],0)),"")</f>
        <v>0.19615776465126994</v>
      </c>
      <c r="AO260">
        <v>259</v>
      </c>
      <c r="AP260" s="118" t="str">
        <f>IFERROR(INDEX(TableOverallMaster[OVERALL PLAYER],MATCH(TableOverallRank[[#This Row],[RK]],TableOverallMaster[OVR RK],0)),"")</f>
        <v>Craig Reynolds</v>
      </c>
      <c r="AQ260" s="119" t="str">
        <f>IFERROR(INDEX(TableOverallMaster[POS RK],MATCH(TableOverallRank[[#This Row],[OVERALL PLAYER]],TableOverallMaster[OVERALL PLAYER],0)),"")</f>
        <v>RB88</v>
      </c>
      <c r="AR260" s="120">
        <f>IFERROR(INDEX(TableOverallMaster[BYE],MATCH(TableOverallRank[[#This Row],[OVERALL PLAYER]],TableOverallMaster[OVERALL PLAYER],0)),"")</f>
        <v>5</v>
      </c>
      <c r="AS260" s="119">
        <f>IFERROR(INDEX(TableOverallMaster[Custom],MATCH(TableOverallRank[[#This Row],[OVERALL PLAYER]],TableOverallMaster[OVERALL PLAYER],0)),"")</f>
        <v>19.745636094954225</v>
      </c>
      <c r="AT260" s="121">
        <f>IFERROR(INDEX(TableOverallMaster[VORP],MATCH(TableOverallRank[[#This Row],[OVERALL PLAYER]],TableOverallMaster[OVERALL PLAYER],0)),"")</f>
        <v>-0.66826678367645986</v>
      </c>
      <c r="AV260">
        <v>259</v>
      </c>
      <c r="AW260" s="122" t="str">
        <f>IFERROR(INDEX(TableWRTECalcPts[PLAYER],MATCH(TableWRTERank[[#This Row],[RK]],TableWRTECalcPts[RK],0)),"")</f>
        <v/>
      </c>
      <c r="AX260" s="122" t="str">
        <f>IFERROR(INDEX(TableWRTECalcPts[POS RK],MATCH(TableWRTERank[[#This Row],[WR and TE COMBINED]],TableWRTECalcPts[PLAYER],0)),"")</f>
        <v>TE82</v>
      </c>
      <c r="AY260" s="122" t="str">
        <f>IFERROR(INDEX(TableWRTECalcPts[BYE],MATCH(TableWRTERank[[#This Row],[RK]],TableWRTECalcPts[RK],0)),"")</f>
        <v/>
      </c>
      <c r="AZ260" s="123" t="str">
        <f>IFERROR(INDEX(TableWRTECalcPts[Custom],MATCH(TableWRTERank[[#This Row],[RK]],TableWRTECalcPts[RK],0)),"")</f>
        <v/>
      </c>
      <c r="BA260" s="174" t="str">
        <f>IFERROR((TableWRTERank[[#This Row],[FPS]]-INDEX(TableWRTERank[FPS],MATCH(WRTEVORPCalc,TableWRTERank[RK],0)))/INDEX(TableWRTERank[FPS],MATCH(WRTEVORPCalc,TableWRTERank[RK],0)),"")</f>
        <v/>
      </c>
      <c r="BC260" t="s">
        <v>10</v>
      </c>
      <c r="BD260">
        <v>59</v>
      </c>
      <c r="BE260" s="83">
        <f>RANK(TableWRTEMaster[[#This Row],[VORP]],TableWRTEMaster[VORP])+COUNTIF($BJ$2:BJ260,BJ260)-1</f>
        <v>173</v>
      </c>
      <c r="BF260" s="115" t="str">
        <f>IFERROR(INDEX(TableTEVORP[TIGHT END],MATCH(TableWRTEMaster[[#This Row],[RK]],TableTEVORP[RK],0)),"")</f>
        <v>James Mitchell</v>
      </c>
      <c r="BG260" s="115" t="str">
        <f>_xlfn.CONCAT(TableWRTEMaster[[#This Row],[POS]],TableWRTEMaster[[#This Row],[RK]])</f>
        <v>TE59</v>
      </c>
      <c r="BH260" s="115">
        <f>IFERROR(INDEX(TableTEVORP[BYE],MATCH(TableWRTEMaster[[#This Row],[RK]],TableTEVORP[RK],0)),"")</f>
        <v>5</v>
      </c>
      <c r="BI260" s="116">
        <f>IFERROR(INDEX(TableTEVORP[FPS],MATCH(TableWRTEMaster[[#This Row],[RK]],TableTEVORP[RK],0)),"")</f>
        <v>18.454743522522669</v>
      </c>
      <c r="BJ260" s="117">
        <f>IFERROR(INDEX(TableTEVORP[VORP],MATCH(TableWRTEMaster[[#This Row],[RK]],TableTEVORP[RK],0)),"")</f>
        <v>-0.85980796394790915</v>
      </c>
    </row>
    <row r="261" spans="32:62" x14ac:dyDescent="0.2">
      <c r="AF261" t="s">
        <v>10</v>
      </c>
      <c r="AG261">
        <v>10</v>
      </c>
      <c r="AH261" s="83">
        <f>RANK(TableOverallMaster[[#This Row],[VORP]],TableOverallMaster[VORP])+COUNTIF($AM$2:AM261,AM261)-1</f>
        <v>115</v>
      </c>
      <c r="AI261" s="115" t="str">
        <f>IFERROR(INDEX(TableTEVORP[TIGHT END],MATCH(TableOverallMaster[[#This Row],[RK]],TableTEVORP[RK],0)),"")</f>
        <v>Brock Bowers</v>
      </c>
      <c r="AJ261" s="115" t="str">
        <f t="shared" si="4"/>
        <v>TE10</v>
      </c>
      <c r="AK261" s="115">
        <f>IFERROR(INDEX(TableTEVORP[BYE],MATCH(TableOverallMaster[[#This Row],[RK]],TableTEVORP[RK],0)),"")</f>
        <v>10</v>
      </c>
      <c r="AL261" s="116">
        <f>IFERROR(INDEX(TableTEVORP[FPS],MATCH(TableOverallMaster[[#This Row],[RK]],TableTEVORP[RK],0)),"")</f>
        <v>142.6223646861975</v>
      </c>
      <c r="AM261" s="117">
        <f>IFERROR(INDEX(TableTEVORP[VORP],MATCH(TableOverallMaster[[#This Row],[RK]],TableTEVORP[RK],0)),"")</f>
        <v>8.3435251620809087E-2</v>
      </c>
      <c r="AO261">
        <v>260</v>
      </c>
      <c r="AP261" s="118" t="str">
        <f>IFERROR(INDEX(TableOverallMaster[OVERALL PLAYER],MATCH(TableOverallRank[[#This Row],[RK]],TableOverallMaster[OVR RK],0)),"")</f>
        <v>JaMycal Hasty</v>
      </c>
      <c r="AQ261" s="119" t="str">
        <f>IFERROR(INDEX(TableOverallMaster[POS RK],MATCH(TableOverallRank[[#This Row],[OVERALL PLAYER]],TableOverallMaster[OVERALL PLAYER],0)),"")</f>
        <v>RB89</v>
      </c>
      <c r="AR261" s="120">
        <f>IFERROR(INDEX(TableOverallMaster[BYE],MATCH(TableOverallRank[[#This Row],[OVERALL PLAYER]],TableOverallMaster[OVERALL PLAYER],0)),"")</f>
        <v>14</v>
      </c>
      <c r="AS261" s="119">
        <f>IFERROR(INDEX(TableOverallMaster[Custom],MATCH(TableOverallRank[[#This Row],[OVERALL PLAYER]],TableOverallMaster[OVERALL PLAYER],0)),"")</f>
        <v>19.737978312410934</v>
      </c>
      <c r="AT261" s="121">
        <f>IFERROR(INDEX(TableOverallMaster[VORP],MATCH(TableOverallRank[[#This Row],[OVERALL PLAYER]],TableOverallMaster[OVERALL PLAYER],0)),"")</f>
        <v>-0.66831787265224585</v>
      </c>
      <c r="AV261">
        <v>260</v>
      </c>
      <c r="AW261" s="122" t="str">
        <f>IFERROR(INDEX(TableWRTECalcPts[PLAYER],MATCH(TableWRTERank[[#This Row],[RK]],TableWRTECalcPts[RK],0)),"")</f>
        <v/>
      </c>
      <c r="AX261" s="122" t="str">
        <f>IFERROR(INDEX(TableWRTECalcPts[POS RK],MATCH(TableWRTERank[[#This Row],[WR and TE COMBINED]],TableWRTECalcPts[PLAYER],0)),"")</f>
        <v>TE82</v>
      </c>
      <c r="AY261" s="122" t="str">
        <f>IFERROR(INDEX(TableWRTECalcPts[BYE],MATCH(TableWRTERank[[#This Row],[RK]],TableWRTECalcPts[RK],0)),"")</f>
        <v/>
      </c>
      <c r="AZ261" s="123" t="str">
        <f>IFERROR(INDEX(TableWRTECalcPts[Custom],MATCH(TableWRTERank[[#This Row],[RK]],TableWRTECalcPts[RK],0)),"")</f>
        <v/>
      </c>
      <c r="BA261" s="174" t="str">
        <f>IFERROR((TableWRTERank[[#This Row],[FPS]]-INDEX(TableWRTERank[FPS],MATCH(WRTEVORPCalc,TableWRTERank[RK],0)))/INDEX(TableWRTERank[FPS],MATCH(WRTEVORPCalc,TableWRTERank[RK],0)),"")</f>
        <v/>
      </c>
      <c r="BC261" t="s">
        <v>10</v>
      </c>
      <c r="BD261">
        <v>60</v>
      </c>
      <c r="BE261" s="83">
        <f>RANK(TableWRTEMaster[[#This Row],[VORP]],TableWRTEMaster[VORP])+COUNTIF($BJ$2:BJ261,BJ261)-1</f>
        <v>174</v>
      </c>
      <c r="BF261" s="115" t="str">
        <f>IFERROR(INDEX(TableTEVORP[TIGHT END],MATCH(TableWRTEMaster[[#This Row],[RK]],TableTEVORP[RK],0)),"")</f>
        <v>Elijah Higgins</v>
      </c>
      <c r="BG261" s="115" t="str">
        <f>_xlfn.CONCAT(TableWRTEMaster[[#This Row],[POS]],TableWRTEMaster[[#This Row],[RK]])</f>
        <v>TE60</v>
      </c>
      <c r="BH261" s="115">
        <f>IFERROR(INDEX(TableTEVORP[BYE],MATCH(TableWRTEMaster[[#This Row],[RK]],TableTEVORP[RK],0)),"")</f>
        <v>11</v>
      </c>
      <c r="BI261" s="116">
        <f>IFERROR(INDEX(TableTEVORP[FPS],MATCH(TableWRTEMaster[[#This Row],[RK]],TableTEVORP[RK],0)),"")</f>
        <v>18.331703037823868</v>
      </c>
      <c r="BJ261" s="117">
        <f>IFERROR(INDEX(TableTEVORP[VORP],MATCH(TableWRTEMaster[[#This Row],[RK]],TableTEVORP[RK],0)),"")</f>
        <v>-0.86074264483608887</v>
      </c>
    </row>
    <row r="262" spans="32:62" x14ac:dyDescent="0.2">
      <c r="AF262" t="s">
        <v>10</v>
      </c>
      <c r="AG262">
        <v>11</v>
      </c>
      <c r="AH262" s="83">
        <f>RANK(TableOverallMaster[[#This Row],[VORP]],TableOverallMaster[VORP])+COUNTIF($AM$2:AM262,AM262)-1</f>
        <v>118</v>
      </c>
      <c r="AI262" s="115" t="str">
        <f>IFERROR(INDEX(TableTEVORP[TIGHT END],MATCH(TableOverallMaster[[#This Row],[RK]],TableTEVORP[RK],0)),"")</f>
        <v>David Njoku</v>
      </c>
      <c r="AJ262" s="115" t="str">
        <f t="shared" si="4"/>
        <v>TE11</v>
      </c>
      <c r="AK262" s="115">
        <f>IFERROR(INDEX(TableTEVORP[BYE],MATCH(TableOverallMaster[[#This Row],[RK]],TableTEVORP[RK],0)),"")</f>
        <v>10</v>
      </c>
      <c r="AL262" s="116">
        <f>IFERROR(INDEX(TableTEVORP[FPS],MATCH(TableOverallMaster[[#This Row],[RK]],TableTEVORP[RK],0)),"")</f>
        <v>138.11830343849996</v>
      </c>
      <c r="AM262" s="117">
        <f>IFERROR(INDEX(TableTEVORP[VORP],MATCH(TableOverallMaster[[#This Row],[RK]],TableTEVORP[RK],0)),"")</f>
        <v>4.9220009558657442E-2</v>
      </c>
      <c r="AO262">
        <v>261</v>
      </c>
      <c r="AP262" s="118" t="str">
        <f>IFERROR(INDEX(TableOverallMaster[OVERALL PLAYER],MATCH(TableOverallRank[[#This Row],[RK]],TableOverallMaster[OVR RK],0)),"")</f>
        <v>Josh Oliver</v>
      </c>
      <c r="AQ262" s="119" t="str">
        <f>IFERROR(INDEX(TableOverallMaster[POS RK],MATCH(TableOverallRank[[#This Row],[OVERALL PLAYER]],TableOverallMaster[OVERALL PLAYER],0)),"")</f>
        <v>TE43</v>
      </c>
      <c r="AR262" s="120">
        <f>IFERROR(INDEX(TableOverallMaster[BYE],MATCH(TableOverallRank[[#This Row],[OVERALL PLAYER]],TableOverallMaster[OVERALL PLAYER],0)),"")</f>
        <v>6</v>
      </c>
      <c r="AS262" s="119">
        <f>IFERROR(INDEX(TableOverallMaster[Custom],MATCH(TableOverallRank[[#This Row],[OVERALL PLAYER]],TableOverallMaster[OVERALL PLAYER],0)),"")</f>
        <v>43.132444729764075</v>
      </c>
      <c r="AT262" s="121">
        <f>IFERROR(INDEX(TableOverallMaster[VORP],MATCH(TableOverallRank[[#This Row],[OVERALL PLAYER]],TableOverallMaster[OVERALL PLAYER],0)),"")</f>
        <v>-0.67234303531825357</v>
      </c>
      <c r="AV262">
        <v>261</v>
      </c>
      <c r="AW262" s="122" t="str">
        <f>IFERROR(INDEX(TableWRTECalcPts[PLAYER],MATCH(TableWRTERank[[#This Row],[RK]],TableWRTECalcPts[RK],0)),"")</f>
        <v/>
      </c>
      <c r="AX262" s="122" t="str">
        <f>IFERROR(INDEX(TableWRTECalcPts[POS RK],MATCH(TableWRTERank[[#This Row],[WR and TE COMBINED]],TableWRTECalcPts[PLAYER],0)),"")</f>
        <v>TE82</v>
      </c>
      <c r="AY262" s="122" t="str">
        <f>IFERROR(INDEX(TableWRTECalcPts[BYE],MATCH(TableWRTERank[[#This Row],[RK]],TableWRTECalcPts[RK],0)),"")</f>
        <v/>
      </c>
      <c r="AZ262" s="123" t="str">
        <f>IFERROR(INDEX(TableWRTECalcPts[Custom],MATCH(TableWRTERank[[#This Row],[RK]],TableWRTECalcPts[RK],0)),"")</f>
        <v/>
      </c>
      <c r="BA262" s="174" t="str">
        <f>IFERROR((TableWRTERank[[#This Row],[FPS]]-INDEX(TableWRTERank[FPS],MATCH(WRTEVORPCalc,TableWRTERank[RK],0)))/INDEX(TableWRTERank[FPS],MATCH(WRTEVORPCalc,TableWRTERank[RK],0)),"")</f>
        <v/>
      </c>
      <c r="BC262" t="s">
        <v>10</v>
      </c>
      <c r="BD262">
        <v>61</v>
      </c>
      <c r="BE262" s="83">
        <f>RANK(TableWRTEMaster[[#This Row],[VORP]],TableWRTEMaster[VORP])+COUNTIF($BJ$2:BJ262,BJ262)-1</f>
        <v>175</v>
      </c>
      <c r="BF262" s="115" t="str">
        <f>IFERROR(INDEX(TableTEVORP[TIGHT END],MATCH(TableWRTEMaster[[#This Row],[RK]],TableTEVORP[RK],0)),"")</f>
        <v>Josh Whyle</v>
      </c>
      <c r="BG262" s="115" t="str">
        <f>_xlfn.CONCAT(TableWRTEMaster[[#This Row],[POS]],TableWRTEMaster[[#This Row],[RK]])</f>
        <v>TE61</v>
      </c>
      <c r="BH262" s="115">
        <f>IFERROR(INDEX(TableTEVORP[BYE],MATCH(TableWRTEMaster[[#This Row],[RK]],TableTEVORP[RK],0)),"")</f>
        <v>5</v>
      </c>
      <c r="BI262" s="116">
        <f>IFERROR(INDEX(TableTEVORP[FPS],MATCH(TableWRTEMaster[[#This Row],[RK]],TableTEVORP[RK],0)),"")</f>
        <v>18.05009058043116</v>
      </c>
      <c r="BJ262" s="117">
        <f>IFERROR(INDEX(TableTEVORP[VORP],MATCH(TableWRTEMaster[[#This Row],[RK]],TableTEVORP[RK],0)),"")</f>
        <v>-0.86288192267169439</v>
      </c>
    </row>
    <row r="263" spans="32:62" x14ac:dyDescent="0.2">
      <c r="AF263" t="s">
        <v>10</v>
      </c>
      <c r="AG263">
        <v>12</v>
      </c>
      <c r="AH263" s="83">
        <f>RANK(TableOverallMaster[[#This Row],[VORP]],TableOverallMaster[VORP])+COUNTIF($AM$2:AM263,AM263)-1</f>
        <v>132</v>
      </c>
      <c r="AI263" s="115" t="str">
        <f>IFERROR(INDEX(TableTEVORP[TIGHT END],MATCH(TableOverallMaster[[#This Row],[RK]],TableTEVORP[RK],0)),"")</f>
        <v>T.J. Hockenson</v>
      </c>
      <c r="AJ263" s="115" t="str">
        <f t="shared" si="4"/>
        <v>TE12</v>
      </c>
      <c r="AK263" s="115">
        <f>IFERROR(INDEX(TableTEVORP[BYE],MATCH(TableOverallMaster[[#This Row],[RK]],TableTEVORP[RK],0)),"")</f>
        <v>6</v>
      </c>
      <c r="AL263" s="116">
        <f>IFERROR(INDEX(TableTEVORP[FPS],MATCH(TableOverallMaster[[#This Row],[RK]],TableTEVORP[RK],0)),"")</f>
        <v>131.63902916472006</v>
      </c>
      <c r="AM263" s="117">
        <f>IFERROR(INDEX(TableTEVORP[VORP],MATCH(TableOverallMaster[[#This Row],[RK]],TableTEVORP[RK],0)),"")</f>
        <v>0</v>
      </c>
      <c r="AO263">
        <v>262</v>
      </c>
      <c r="AP263" s="118" t="str">
        <f>IFERROR(INDEX(TableOverallMaster[OVERALL PLAYER],MATCH(TableOverallRank[[#This Row],[RK]],TableOverallMaster[OVR RK],0)),"")</f>
        <v>Jalen Nailor</v>
      </c>
      <c r="AQ263" s="119" t="str">
        <f>IFERROR(INDEX(TableOverallMaster[POS RK],MATCH(TableOverallRank[[#This Row],[OVERALL PLAYER]],TableOverallMaster[OVERALL PLAYER],0)),"")</f>
        <v>WR97</v>
      </c>
      <c r="AR263" s="120">
        <f>IFERROR(INDEX(TableOverallMaster[BYE],MATCH(TableOverallRank[[#This Row],[OVERALL PLAYER]],TableOverallMaster[OVERALL PLAYER],0)),"")</f>
        <v>6</v>
      </c>
      <c r="AS263" s="119">
        <f>IFERROR(INDEX(TableOverallMaster[Custom],MATCH(TableOverallRank[[#This Row],[OVERALL PLAYER]],TableOverallMaster[OVERALL PLAYER],0)),"")</f>
        <v>64.716988902047987</v>
      </c>
      <c r="AT263" s="121">
        <f>IFERROR(INDEX(TableOverallMaster[VORP],MATCH(TableOverallRank[[#This Row],[OVERALL PLAYER]],TableOverallMaster[OVERALL PLAYER],0)),"")</f>
        <v>-0.67248434180518191</v>
      </c>
      <c r="AV263">
        <v>262</v>
      </c>
      <c r="AW263" s="122" t="str">
        <f>IFERROR(INDEX(TableWRTECalcPts[PLAYER],MATCH(TableWRTERank[[#This Row],[RK]],TableWRTECalcPts[RK],0)),"")</f>
        <v/>
      </c>
      <c r="AX263" s="122" t="str">
        <f>IFERROR(INDEX(TableWRTECalcPts[POS RK],MATCH(TableWRTERank[[#This Row],[WR and TE COMBINED]],TableWRTECalcPts[PLAYER],0)),"")</f>
        <v>TE82</v>
      </c>
      <c r="AY263" s="122" t="str">
        <f>IFERROR(INDEX(TableWRTECalcPts[BYE],MATCH(TableWRTERank[[#This Row],[RK]],TableWRTECalcPts[RK],0)),"")</f>
        <v/>
      </c>
      <c r="AZ263" s="123" t="str">
        <f>IFERROR(INDEX(TableWRTECalcPts[Custom],MATCH(TableWRTERank[[#This Row],[RK]],TableWRTECalcPts[RK],0)),"")</f>
        <v/>
      </c>
      <c r="BA263" s="174" t="str">
        <f>IFERROR((TableWRTERank[[#This Row],[FPS]]-INDEX(TableWRTERank[FPS],MATCH(WRTEVORPCalc,TableWRTERank[RK],0)))/INDEX(TableWRTERank[FPS],MATCH(WRTEVORPCalc,TableWRTERank[RK],0)),"")</f>
        <v/>
      </c>
      <c r="BC263" t="s">
        <v>10</v>
      </c>
      <c r="BD263">
        <v>62</v>
      </c>
      <c r="BE263" s="83">
        <f>RANK(TableWRTEMaster[[#This Row],[VORP]],TableWRTEMaster[VORP])+COUNTIF($BJ$2:BJ263,BJ263)-1</f>
        <v>176</v>
      </c>
      <c r="BF263" s="115" t="str">
        <f>IFERROR(INDEX(TableTEVORP[TIGHT END],MATCH(TableWRTEMaster[[#This Row],[RK]],TableTEVORP[RK],0)),"")</f>
        <v>Robert Tonyan</v>
      </c>
      <c r="BG263" s="115" t="str">
        <f>_xlfn.CONCAT(TableWRTEMaster[[#This Row],[POS]],TableWRTEMaster[[#This Row],[RK]])</f>
        <v>TE62</v>
      </c>
      <c r="BH263" s="115">
        <f>IFERROR(INDEX(TableTEVORP[BYE],MATCH(TableWRTEMaster[[#This Row],[RK]],TableTEVORP[RK],0)),"")</f>
        <v>6</v>
      </c>
      <c r="BI263" s="116">
        <f>IFERROR(INDEX(TableTEVORP[FPS],MATCH(TableWRTEMaster[[#This Row],[RK]],TableTEVORP[RK],0)),"")</f>
        <v>17.787149326799572</v>
      </c>
      <c r="BJ263" s="117">
        <f>IFERROR(INDEX(TableTEVORP[VORP],MATCH(TableWRTEMaster[[#This Row],[RK]],TableTEVORP[RK],0)),"")</f>
        <v>-0.86487936412427879</v>
      </c>
    </row>
    <row r="264" spans="32:62" x14ac:dyDescent="0.2">
      <c r="AF264" t="s">
        <v>10</v>
      </c>
      <c r="AG264">
        <v>13</v>
      </c>
      <c r="AH264" s="83">
        <f>RANK(TableOverallMaster[[#This Row],[VORP]],TableOverallMaster[VORP])+COUNTIF($AM$2:AM264,AM264)-1</f>
        <v>141</v>
      </c>
      <c r="AI264" s="115" t="str">
        <f>IFERROR(INDEX(TableTEVORP[TIGHT END],MATCH(TableOverallMaster[[#This Row],[RK]],TableTEVORP[RK],0)),"")</f>
        <v>Dallas Goedert</v>
      </c>
      <c r="AJ264" s="115" t="str">
        <f t="shared" si="4"/>
        <v>TE13</v>
      </c>
      <c r="AK264" s="115">
        <f>IFERROR(INDEX(TableTEVORP[BYE],MATCH(TableOverallMaster[[#This Row],[RK]],TableTEVORP[RK],0)),"")</f>
        <v>5</v>
      </c>
      <c r="AL264" s="116">
        <f>IFERROR(INDEX(TableTEVORP[FPS],MATCH(TableOverallMaster[[#This Row],[RK]],TableTEVORP[RK],0)),"")</f>
        <v>123.25352037647167</v>
      </c>
      <c r="AM264" s="117">
        <f>IFERROR(INDEX(TableTEVORP[VORP],MATCH(TableOverallMaster[[#This Row],[RK]],TableTEVORP[RK],0)),"")</f>
        <v>-6.3700779635465041E-2</v>
      </c>
      <c r="AO264">
        <v>263</v>
      </c>
      <c r="AP264" s="118" t="str">
        <f>IFERROR(INDEX(TableOverallMaster[OVERALL PLAYER],MATCH(TableOverallRank[[#This Row],[RK]],TableOverallMaster[OVR RK],0)),"")</f>
        <v>Ricky Pearsall</v>
      </c>
      <c r="AQ264" s="119" t="str">
        <f>IFERROR(INDEX(TableOverallMaster[POS RK],MATCH(TableOverallRank[[#This Row],[OVERALL PLAYER]],TableOverallMaster[OVERALL PLAYER],0)),"")</f>
        <v>WR98</v>
      </c>
      <c r="AR264" s="120">
        <f>IFERROR(INDEX(TableOverallMaster[BYE],MATCH(TableOverallRank[[#This Row],[OVERALL PLAYER]],TableOverallMaster[OVERALL PLAYER],0)),"")</f>
        <v>9</v>
      </c>
      <c r="AS264" s="119">
        <f>IFERROR(INDEX(TableOverallMaster[Custom],MATCH(TableOverallRank[[#This Row],[OVERALL PLAYER]],TableOverallMaster[OVERALL PLAYER],0)),"")</f>
        <v>64.515491200216616</v>
      </c>
      <c r="AT264" s="121">
        <f>IFERROR(INDEX(TableOverallMaster[VORP],MATCH(TableOverallRank[[#This Row],[OVERALL PLAYER]],TableOverallMaster[OVERALL PLAYER],0)),"")</f>
        <v>-0.67412677286709666</v>
      </c>
      <c r="AV264">
        <v>263</v>
      </c>
      <c r="AW264" s="122" t="str">
        <f>IFERROR(INDEX(TableWRTECalcPts[PLAYER],MATCH(TableWRTERank[[#This Row],[RK]],TableWRTECalcPts[RK],0)),"")</f>
        <v/>
      </c>
      <c r="AX264" s="122" t="str">
        <f>IFERROR(INDEX(TableWRTECalcPts[POS RK],MATCH(TableWRTERank[[#This Row],[WR and TE COMBINED]],TableWRTECalcPts[PLAYER],0)),"")</f>
        <v>TE82</v>
      </c>
      <c r="AY264" s="122" t="str">
        <f>IFERROR(INDEX(TableWRTECalcPts[BYE],MATCH(TableWRTERank[[#This Row],[RK]],TableWRTECalcPts[RK],0)),"")</f>
        <v/>
      </c>
      <c r="AZ264" s="123" t="str">
        <f>IFERROR(INDEX(TableWRTECalcPts[Custom],MATCH(TableWRTERank[[#This Row],[RK]],TableWRTECalcPts[RK],0)),"")</f>
        <v/>
      </c>
      <c r="BA264" s="174" t="str">
        <f>IFERROR((TableWRTERank[[#This Row],[FPS]]-INDEX(TableWRTERank[FPS],MATCH(WRTEVORPCalc,TableWRTERank[RK],0)))/INDEX(TableWRTERank[FPS],MATCH(WRTEVORPCalc,TableWRTERank[RK],0)),"")</f>
        <v/>
      </c>
      <c r="BC264" t="s">
        <v>10</v>
      </c>
      <c r="BD264">
        <v>63</v>
      </c>
      <c r="BE264" s="83">
        <f>RANK(TableWRTEMaster[[#This Row],[VORP]],TableWRTEMaster[VORP])+COUNTIF($BJ$2:BJ264,BJ264)-1</f>
        <v>177</v>
      </c>
      <c r="BF264" s="115" t="str">
        <f>IFERROR(INDEX(TableTEVORP[TIGHT END],MATCH(TableWRTEMaster[[#This Row],[RK]],TableTEVORP[RK],0)),"")</f>
        <v>Erick All</v>
      </c>
      <c r="BG264" s="115" t="str">
        <f>_xlfn.CONCAT(TableWRTEMaster[[#This Row],[POS]],TableWRTEMaster[[#This Row],[RK]])</f>
        <v>TE63</v>
      </c>
      <c r="BH264" s="115">
        <f>IFERROR(INDEX(TableTEVORP[BYE],MATCH(TableWRTEMaster[[#This Row],[RK]],TableTEVORP[RK],0)),"")</f>
        <v>12</v>
      </c>
      <c r="BI264" s="116">
        <f>IFERROR(INDEX(TableTEVORP[FPS],MATCH(TableWRTEMaster[[#This Row],[RK]],TableTEVORP[RK],0)),"")</f>
        <v>17.628349629906413</v>
      </c>
      <c r="BJ264" s="117">
        <f>IFERROR(INDEX(TableTEVORP[VORP],MATCH(TableWRTEMaster[[#This Row],[RK]],TableTEVORP[RK],0)),"")</f>
        <v>-0.86608569098570276</v>
      </c>
    </row>
    <row r="265" spans="32:62" x14ac:dyDescent="0.2">
      <c r="AF265" t="s">
        <v>10</v>
      </c>
      <c r="AG265">
        <v>14</v>
      </c>
      <c r="AH265" s="83">
        <f>RANK(TableOverallMaster[[#This Row],[VORP]],TableOverallMaster[VORP])+COUNTIF($AM$2:AM265,AM265)-1</f>
        <v>158</v>
      </c>
      <c r="AI265" s="115" t="str">
        <f>IFERROR(INDEX(TableTEVORP[TIGHT END],MATCH(TableOverallMaster[[#This Row],[RK]],TableTEVORP[RK],0)),"")</f>
        <v>Chigoziem Okonkwo</v>
      </c>
      <c r="AJ265" s="115" t="str">
        <f t="shared" si="4"/>
        <v>TE14</v>
      </c>
      <c r="AK265" s="115">
        <f>IFERROR(INDEX(TableTEVORP[BYE],MATCH(TableOverallMaster[[#This Row],[RK]],TableTEVORP[RK],0)),"")</f>
        <v>5</v>
      </c>
      <c r="AL265" s="116">
        <f>IFERROR(INDEX(TableTEVORP[FPS],MATCH(TableOverallMaster[[#This Row],[RK]],TableTEVORP[RK],0)),"")</f>
        <v>110.39226567248875</v>
      </c>
      <c r="AM265" s="117">
        <f>IFERROR(INDEX(TableTEVORP[VORP],MATCH(TableOverallMaster[[#This Row],[RK]],TableTEVORP[RK],0)),"")</f>
        <v>-0.16140170302870596</v>
      </c>
      <c r="AO265">
        <v>264</v>
      </c>
      <c r="AP265" s="118" t="str">
        <f>IFERROR(INDEX(TableOverallMaster[OVERALL PLAYER],MATCH(TableOverallRank[[#This Row],[RK]],TableOverallMaster[OVR RK],0)),"")</f>
        <v>Pierre Strong</v>
      </c>
      <c r="AQ265" s="119" t="str">
        <f>IFERROR(INDEX(TableOverallMaster[POS RK],MATCH(TableOverallRank[[#This Row],[OVERALL PLAYER]],TableOverallMaster[OVERALL PLAYER],0)),"")</f>
        <v>RB90</v>
      </c>
      <c r="AR265" s="120">
        <f>IFERROR(INDEX(TableOverallMaster[BYE],MATCH(TableOverallRank[[#This Row],[OVERALL PLAYER]],TableOverallMaster[OVERALL PLAYER],0)),"")</f>
        <v>10</v>
      </c>
      <c r="AS265" s="119">
        <f>IFERROR(INDEX(TableOverallMaster[Custom],MATCH(TableOverallRank[[#This Row],[OVERALL PLAYER]],TableOverallMaster[OVERALL PLAYER],0)),"")</f>
        <v>18.346231257200003</v>
      </c>
      <c r="AT265" s="121">
        <f>IFERROR(INDEX(TableOverallMaster[VORP],MATCH(TableOverallRank[[#This Row],[OVERALL PLAYER]],TableOverallMaster[OVERALL PLAYER],0)),"")</f>
        <v>-0.6776029275884401</v>
      </c>
      <c r="AV265">
        <v>264</v>
      </c>
      <c r="AW265" s="122" t="str">
        <f>IFERROR(INDEX(TableWRTECalcPts[PLAYER],MATCH(TableWRTERank[[#This Row],[RK]],TableWRTECalcPts[RK],0)),"")</f>
        <v/>
      </c>
      <c r="AX265" s="122" t="str">
        <f>IFERROR(INDEX(TableWRTECalcPts[POS RK],MATCH(TableWRTERank[[#This Row],[WR and TE COMBINED]],TableWRTECalcPts[PLAYER],0)),"")</f>
        <v>TE82</v>
      </c>
      <c r="AY265" s="122" t="str">
        <f>IFERROR(INDEX(TableWRTECalcPts[BYE],MATCH(TableWRTERank[[#This Row],[RK]],TableWRTECalcPts[RK],0)),"")</f>
        <v/>
      </c>
      <c r="AZ265" s="123" t="str">
        <f>IFERROR(INDEX(TableWRTECalcPts[Custom],MATCH(TableWRTERank[[#This Row],[RK]],TableWRTECalcPts[RK],0)),"")</f>
        <v/>
      </c>
      <c r="BA265" s="174" t="str">
        <f>IFERROR((TableWRTERank[[#This Row],[FPS]]-INDEX(TableWRTERank[FPS],MATCH(WRTEVORPCalc,TableWRTERank[RK],0)))/INDEX(TableWRTERank[FPS],MATCH(WRTEVORPCalc,TableWRTERank[RK],0)),"")</f>
        <v/>
      </c>
      <c r="BC265" t="s">
        <v>10</v>
      </c>
      <c r="BD265">
        <v>64</v>
      </c>
      <c r="BE265" s="83">
        <f>RANK(TableWRTEMaster[[#This Row],[VORP]],TableWRTEMaster[VORP])+COUNTIF($BJ$2:BJ265,BJ265)-1</f>
        <v>180</v>
      </c>
      <c r="BF265" s="115" t="str">
        <f>IFERROR(INDEX(TableTEVORP[TIGHT END],MATCH(TableWRTEMaster[[#This Row],[RK]],TableTEVORP[RK],0)),"")</f>
        <v>Logan Thomas</v>
      </c>
      <c r="BG265" s="115" t="str">
        <f>_xlfn.CONCAT(TableWRTEMaster[[#This Row],[POS]],TableWRTEMaster[[#This Row],[RK]])</f>
        <v>TE64</v>
      </c>
      <c r="BH265" s="115">
        <f>IFERROR(INDEX(TableTEVORP[BYE],MATCH(TableWRTEMaster[[#This Row],[RK]],TableTEVORP[RK],0)),"")</f>
        <v>9</v>
      </c>
      <c r="BI265" s="116">
        <f>IFERROR(INDEX(TableTEVORP[FPS],MATCH(TableWRTEMaster[[#This Row],[RK]],TableTEVORP[RK],0)),"")</f>
        <v>14.762780687885456</v>
      </c>
      <c r="BJ265" s="117">
        <f>IFERROR(INDEX(TableTEVORP[VORP],MATCH(TableWRTEMaster[[#This Row],[RK]],TableTEVORP[RK],0)),"")</f>
        <v>-0.88785407502958136</v>
      </c>
    </row>
    <row r="266" spans="32:62" x14ac:dyDescent="0.2">
      <c r="AF266" t="s">
        <v>10</v>
      </c>
      <c r="AG266">
        <v>15</v>
      </c>
      <c r="AH266" s="83">
        <f>RANK(TableOverallMaster[[#This Row],[VORP]],TableOverallMaster[VORP])+COUNTIF($AM$2:AM266,AM266)-1</f>
        <v>163</v>
      </c>
      <c r="AI266" s="115" t="str">
        <f>IFERROR(INDEX(TableTEVORP[TIGHT END],MATCH(TableOverallMaster[[#This Row],[RK]],TableTEVORP[RK],0)),"")</f>
        <v>Hunter Henry</v>
      </c>
      <c r="AJ266" s="115" t="str">
        <f t="shared" si="4"/>
        <v>TE15</v>
      </c>
      <c r="AK266" s="115">
        <f>IFERROR(INDEX(TableTEVORP[BYE],MATCH(TableOverallMaster[[#This Row],[RK]],TableTEVORP[RK],0)),"")</f>
        <v>14</v>
      </c>
      <c r="AL266" s="116">
        <f>IFERROR(INDEX(TableTEVORP[FPS],MATCH(TableOverallMaster[[#This Row],[RK]],TableTEVORP[RK],0)),"")</f>
        <v>101.64388453660112</v>
      </c>
      <c r="AM266" s="117">
        <f>IFERROR(INDEX(TableTEVORP[VORP],MATCH(TableOverallMaster[[#This Row],[RK]],TableTEVORP[RK],0)),"")</f>
        <v>-0.22785905379616542</v>
      </c>
      <c r="AO266">
        <v>265</v>
      </c>
      <c r="AP266" s="118" t="str">
        <f>IFERROR(INDEX(TableOverallMaster[OVERALL PLAYER],MATCH(TableOverallRank[[#This Row],[RK]],TableOverallMaster[OVR RK],0)),"")</f>
        <v>Justin Fields</v>
      </c>
      <c r="AQ266" s="119" t="str">
        <f>IFERROR(INDEX(TableOverallMaster[POS RK],MATCH(TableOverallRank[[#This Row],[OVERALL PLAYER]],TableOverallMaster[OVERALL PLAYER],0)),"")</f>
        <v>QB34</v>
      </c>
      <c r="AR266" s="120">
        <f>IFERROR(INDEX(TableOverallMaster[BYE],MATCH(TableOverallRank[[#This Row],[OVERALL PLAYER]],TableOverallMaster[OVERALL PLAYER],0)),"")</f>
        <v>9</v>
      </c>
      <c r="AS266" s="119">
        <f>IFERROR(INDEX(TableOverallMaster[Custom],MATCH(TableOverallRank[[#This Row],[OVERALL PLAYER]],TableOverallMaster[OVERALL PLAYER],0)),"")</f>
        <v>84.962265033129825</v>
      </c>
      <c r="AT266" s="121">
        <f>IFERROR(INDEX(TableOverallMaster[VORP],MATCH(TableOverallRank[[#This Row],[OVERALL PLAYER]],TableOverallMaster[OVERALL PLAYER],0)),"")</f>
        <v>-0.67877584533177526</v>
      </c>
      <c r="AV266">
        <v>265</v>
      </c>
      <c r="AW266" s="122" t="str">
        <f>IFERROR(INDEX(TableWRTECalcPts[PLAYER],MATCH(TableWRTERank[[#This Row],[RK]],TableWRTECalcPts[RK],0)),"")</f>
        <v/>
      </c>
      <c r="AX266" s="122" t="str">
        <f>IFERROR(INDEX(TableWRTECalcPts[POS RK],MATCH(TableWRTERank[[#This Row],[WR and TE COMBINED]],TableWRTECalcPts[PLAYER],0)),"")</f>
        <v>TE82</v>
      </c>
      <c r="AY266" s="122" t="str">
        <f>IFERROR(INDEX(TableWRTECalcPts[BYE],MATCH(TableWRTERank[[#This Row],[RK]],TableWRTECalcPts[RK],0)),"")</f>
        <v/>
      </c>
      <c r="AZ266" s="123" t="str">
        <f>IFERROR(INDEX(TableWRTECalcPts[Custom],MATCH(TableWRTERank[[#This Row],[RK]],TableWRTECalcPts[RK],0)),"")</f>
        <v/>
      </c>
      <c r="BA266" s="174" t="str">
        <f>IFERROR((TableWRTERank[[#This Row],[FPS]]-INDEX(TableWRTERank[FPS],MATCH(WRTEVORPCalc,TableWRTERank[RK],0)))/INDEX(TableWRTERank[FPS],MATCH(WRTEVORPCalc,TableWRTERank[RK],0)),"")</f>
        <v/>
      </c>
      <c r="BC266" t="s">
        <v>10</v>
      </c>
      <c r="BD266">
        <v>65</v>
      </c>
      <c r="BE266" s="83">
        <f>RANK(TableWRTEMaster[[#This Row],[VORP]],TableWRTEMaster[VORP])+COUNTIF($BJ$2:BJ266,BJ266)-1</f>
        <v>181</v>
      </c>
      <c r="BF266" s="115" t="str">
        <f>IFERROR(INDEX(TableTEVORP[TIGHT END],MATCH(TableWRTEMaster[[#This Row],[RK]],TableTEVORP[RK],0)),"")</f>
        <v>Harrison Bryant</v>
      </c>
      <c r="BG266" s="115" t="str">
        <f>_xlfn.CONCAT(TableWRTEMaster[[#This Row],[POS]],TableWRTEMaster[[#This Row],[RK]])</f>
        <v>TE65</v>
      </c>
      <c r="BH266" s="115">
        <f>IFERROR(INDEX(TableTEVORP[BYE],MATCH(TableWRTEMaster[[#This Row],[RK]],TableTEVORP[RK],0)),"")</f>
        <v>10</v>
      </c>
      <c r="BI266" s="116">
        <f>IFERROR(INDEX(TableTEVORP[FPS],MATCH(TableWRTEMaster[[#This Row],[RK]],TableTEVORP[RK],0)),"")</f>
        <v>13.931348290998656</v>
      </c>
      <c r="BJ266" s="117">
        <f>IFERROR(INDEX(TableTEVORP[VORP],MATCH(TableWRTEMaster[[#This Row],[RK]],TableTEVORP[RK],0)),"")</f>
        <v>-0.89417007722256636</v>
      </c>
    </row>
    <row r="267" spans="32:62" x14ac:dyDescent="0.2">
      <c r="AF267" t="s">
        <v>10</v>
      </c>
      <c r="AG267">
        <v>16</v>
      </c>
      <c r="AH267" s="83">
        <f>RANK(TableOverallMaster[[#This Row],[VORP]],TableOverallMaster[VORP])+COUNTIF($AM$2:AM267,AM267)-1</f>
        <v>168</v>
      </c>
      <c r="AI267" s="115" t="str">
        <f>IFERROR(INDEX(TableTEVORP[TIGHT END],MATCH(TableOverallMaster[[#This Row],[RK]],TableTEVORP[RK],0)),"")</f>
        <v>Cole Kmet</v>
      </c>
      <c r="AJ267" s="115" t="str">
        <f t="shared" si="4"/>
        <v>TE16</v>
      </c>
      <c r="AK267" s="115">
        <f>IFERROR(INDEX(TableTEVORP[BYE],MATCH(TableOverallMaster[[#This Row],[RK]],TableTEVORP[RK],0)),"")</f>
        <v>7</v>
      </c>
      <c r="AL267" s="116">
        <f>IFERROR(INDEX(TableTEVORP[FPS],MATCH(TableOverallMaster[[#This Row],[RK]],TableTEVORP[RK],0)),"")</f>
        <v>99.558300157164425</v>
      </c>
      <c r="AM267" s="117">
        <f>IFERROR(INDEX(TableTEVORP[VORP],MATCH(TableOverallMaster[[#This Row],[RK]],TableTEVORP[RK],0)),"")</f>
        <v>-0.24370226072856388</v>
      </c>
      <c r="AO267">
        <v>266</v>
      </c>
      <c r="AP267" s="118" t="str">
        <f>IFERROR(INDEX(TableOverallMaster[OVERALL PLAYER],MATCH(TableOverallRank[[#This Row],[RK]],TableOverallMaster[OVR RK],0)),"")</f>
        <v>Israel Abanikanda</v>
      </c>
      <c r="AQ267" s="119" t="str">
        <f>IFERROR(INDEX(TableOverallMaster[POS RK],MATCH(TableOverallRank[[#This Row],[OVERALL PLAYER]],TableOverallMaster[OVERALL PLAYER],0)),"")</f>
        <v>RB91</v>
      </c>
      <c r="AR267" s="120">
        <f>IFERROR(INDEX(TableOverallMaster[BYE],MATCH(TableOverallRank[[#This Row],[OVERALL PLAYER]],TableOverallMaster[OVERALL PLAYER],0)),"")</f>
        <v>12</v>
      </c>
      <c r="AS267" s="119">
        <f>IFERROR(INDEX(TableOverallMaster[Custom],MATCH(TableOverallRank[[#This Row],[OVERALL PLAYER]],TableOverallMaster[OVERALL PLAYER],0)),"")</f>
        <v>17.414630244290926</v>
      </c>
      <c r="AT267" s="121">
        <f>IFERROR(INDEX(TableOverallMaster[VORP],MATCH(TableOverallRank[[#This Row],[OVERALL PLAYER]],TableOverallMaster[OVERALL PLAYER],0)),"")</f>
        <v>-0.68381811342345822</v>
      </c>
      <c r="AV267">
        <v>266</v>
      </c>
      <c r="AW267" s="122" t="str">
        <f>IFERROR(INDEX(TableWRTECalcPts[PLAYER],MATCH(TableWRTERank[[#This Row],[RK]],TableWRTECalcPts[RK],0)),"")</f>
        <v/>
      </c>
      <c r="AX267" s="122" t="str">
        <f>IFERROR(INDEX(TableWRTECalcPts[POS RK],MATCH(TableWRTERank[[#This Row],[WR and TE COMBINED]],TableWRTECalcPts[PLAYER],0)),"")</f>
        <v>TE82</v>
      </c>
      <c r="AY267" s="122" t="str">
        <f>IFERROR(INDEX(TableWRTECalcPts[BYE],MATCH(TableWRTERank[[#This Row],[RK]],TableWRTECalcPts[RK],0)),"")</f>
        <v/>
      </c>
      <c r="AZ267" s="123" t="str">
        <f>IFERROR(INDEX(TableWRTECalcPts[Custom],MATCH(TableWRTERank[[#This Row],[RK]],TableWRTECalcPts[RK],0)),"")</f>
        <v/>
      </c>
      <c r="BA267" s="174" t="str">
        <f>IFERROR((TableWRTERank[[#This Row],[FPS]]-INDEX(TableWRTERank[FPS],MATCH(WRTEVORPCalc,TableWRTERank[RK],0)))/INDEX(TableWRTERank[FPS],MATCH(WRTEVORPCalc,TableWRTERank[RK],0)),"")</f>
        <v/>
      </c>
      <c r="BC267" t="s">
        <v>10</v>
      </c>
      <c r="BD267">
        <v>66</v>
      </c>
      <c r="BE267" s="83">
        <f>RANK(TableWRTEMaster[[#This Row],[VORP]],TableWRTEMaster[VORP])+COUNTIF($BJ$2:BJ267,BJ267)-1</f>
        <v>182</v>
      </c>
      <c r="BF267" s="115" t="str">
        <f>IFERROR(INDEX(TableTEVORP[TIGHT END],MATCH(TableWRTEMaster[[#This Row],[RK]],TableTEVORP[RK],0)),"")</f>
        <v>Brock Wright</v>
      </c>
      <c r="BG267" s="115" t="str">
        <f>_xlfn.CONCAT(TableWRTEMaster[[#This Row],[POS]],TableWRTEMaster[[#This Row],[RK]])</f>
        <v>TE66</v>
      </c>
      <c r="BH267" s="115">
        <f>IFERROR(INDEX(TableTEVORP[BYE],MATCH(TableWRTEMaster[[#This Row],[RK]],TableTEVORP[RK],0)),"")</f>
        <v>5</v>
      </c>
      <c r="BI267" s="116">
        <f>IFERROR(INDEX(TableTEVORP[FPS],MATCH(TableWRTEMaster[[#This Row],[RK]],TableTEVORP[RK],0)),"")</f>
        <v>11.88556874619356</v>
      </c>
      <c r="BJ267" s="117">
        <f>IFERROR(INDEX(TableTEVORP[VORP],MATCH(TableWRTEMaster[[#This Row],[RK]],TableTEVORP[RK],0)),"")</f>
        <v>-0.9097109054844128</v>
      </c>
    </row>
    <row r="268" spans="32:62" x14ac:dyDescent="0.2">
      <c r="AF268" t="s">
        <v>10</v>
      </c>
      <c r="AG268">
        <v>17</v>
      </c>
      <c r="AH268" s="83">
        <f>RANK(TableOverallMaster[[#This Row],[VORP]],TableOverallMaster[VORP])+COUNTIF($AM$2:AM268,AM268)-1</f>
        <v>171</v>
      </c>
      <c r="AI268" s="115" t="str">
        <f>IFERROR(INDEX(TableTEVORP[TIGHT END],MATCH(TableOverallMaster[[#This Row],[RK]],TableTEVORP[RK],0)),"")</f>
        <v>Dalton Schultz</v>
      </c>
      <c r="AJ268" s="115" t="str">
        <f t="shared" si="4"/>
        <v>TE17</v>
      </c>
      <c r="AK268" s="115">
        <f>IFERROR(INDEX(TableTEVORP[BYE],MATCH(TableOverallMaster[[#This Row],[RK]],TableTEVORP[RK],0)),"")</f>
        <v>14</v>
      </c>
      <c r="AL268" s="116">
        <f>IFERROR(INDEX(TableTEVORP[FPS],MATCH(TableOverallMaster[[#This Row],[RK]],TableTEVORP[RK],0)),"")</f>
        <v>98.459944410737833</v>
      </c>
      <c r="AM268" s="117">
        <f>IFERROR(INDEX(TableTEVORP[VORP],MATCH(TableOverallMaster[[#This Row],[RK]],TableTEVORP[RK],0)),"")</f>
        <v>-0.25204595449017786</v>
      </c>
      <c r="AO268">
        <v>267</v>
      </c>
      <c r="AP268" s="118" t="str">
        <f>IFERROR(INDEX(TableOverallMaster[OVERALL PLAYER],MATCH(TableOverallRank[[#This Row],[RK]],TableOverallMaster[OVR RK],0)),"")</f>
        <v>Cedrick Wilson</v>
      </c>
      <c r="AQ268" s="119" t="str">
        <f>IFERROR(INDEX(TableOverallMaster[POS RK],MATCH(TableOverallRank[[#This Row],[OVERALL PLAYER]],TableOverallMaster[OVERALL PLAYER],0)),"")</f>
        <v>WR99</v>
      </c>
      <c r="AR268" s="120">
        <f>IFERROR(INDEX(TableOverallMaster[BYE],MATCH(TableOverallRank[[#This Row],[OVERALL PLAYER]],TableOverallMaster[OVERALL PLAYER],0)),"")</f>
        <v>12</v>
      </c>
      <c r="AS268" s="119">
        <f>IFERROR(INDEX(TableOverallMaster[Custom],MATCH(TableOverallRank[[#This Row],[OVERALL PLAYER]],TableOverallMaster[OVERALL PLAYER],0)),"")</f>
        <v>63.135295687497305</v>
      </c>
      <c r="AT268" s="121">
        <f>IFERROR(INDEX(TableOverallMaster[VORP],MATCH(TableOverallRank[[#This Row],[OVERALL PLAYER]],TableOverallMaster[OVERALL PLAYER],0)),"")</f>
        <v>-0.68537690604977042</v>
      </c>
      <c r="AV268">
        <v>267</v>
      </c>
      <c r="AW268" s="122" t="str">
        <f>IFERROR(INDEX(TableWRTECalcPts[PLAYER],MATCH(TableWRTERank[[#This Row],[RK]],TableWRTECalcPts[RK],0)),"")</f>
        <v/>
      </c>
      <c r="AX268" s="122" t="str">
        <f>IFERROR(INDEX(TableWRTECalcPts[POS RK],MATCH(TableWRTERank[[#This Row],[WR and TE COMBINED]],TableWRTECalcPts[PLAYER],0)),"")</f>
        <v>TE82</v>
      </c>
      <c r="AY268" s="122" t="str">
        <f>IFERROR(INDEX(TableWRTECalcPts[BYE],MATCH(TableWRTERank[[#This Row],[RK]],TableWRTECalcPts[RK],0)),"")</f>
        <v/>
      </c>
      <c r="AZ268" s="123" t="str">
        <f>IFERROR(INDEX(TableWRTECalcPts[Custom],MATCH(TableWRTERank[[#This Row],[RK]],TableWRTECalcPts[RK],0)),"")</f>
        <v/>
      </c>
      <c r="BA268" s="174" t="str">
        <f>IFERROR((TableWRTERank[[#This Row],[FPS]]-INDEX(TableWRTERank[FPS],MATCH(WRTEVORPCalc,TableWRTERank[RK],0)))/INDEX(TableWRTERank[FPS],MATCH(WRTEVORPCalc,TableWRTERank[RK],0)),"")</f>
        <v/>
      </c>
      <c r="BC268" t="s">
        <v>10</v>
      </c>
      <c r="BD268">
        <v>67</v>
      </c>
      <c r="BE268" s="83">
        <f>RANK(TableWRTEMaster[[#This Row],[VORP]],TableWRTEMaster[VORP])+COUNTIF($BJ$2:BJ268,BJ268)-1</f>
        <v>183</v>
      </c>
      <c r="BF268" s="115" t="str">
        <f>IFERROR(INDEX(TableTEVORP[TIGHT END],MATCH(TableWRTEMaster[[#This Row],[RK]],TableTEVORP[RK],0)),"")</f>
        <v>Luke Farrell</v>
      </c>
      <c r="BG268" s="115" t="str">
        <f>_xlfn.CONCAT(TableWRTEMaster[[#This Row],[POS]],TableWRTEMaster[[#This Row],[RK]])</f>
        <v>TE67</v>
      </c>
      <c r="BH268" s="115">
        <f>IFERROR(INDEX(TableTEVORP[BYE],MATCH(TableWRTEMaster[[#This Row],[RK]],TableTEVORP[RK],0)),"")</f>
        <v>12</v>
      </c>
      <c r="BI268" s="116">
        <f>IFERROR(INDEX(TableTEVORP[FPS],MATCH(TableWRTEMaster[[#This Row],[RK]],TableTEVORP[RK],0)),"")</f>
        <v>11.845446054100696</v>
      </c>
      <c r="BJ268" s="117">
        <f>IFERROR(INDEX(TableTEVORP[VORP],MATCH(TableWRTEMaster[[#This Row],[RK]],TableTEVORP[RK],0)),"")</f>
        <v>-0.91001569876910537</v>
      </c>
    </row>
    <row r="269" spans="32:62" x14ac:dyDescent="0.2">
      <c r="AF269" t="s">
        <v>10</v>
      </c>
      <c r="AG269">
        <v>18</v>
      </c>
      <c r="AH269" s="83">
        <f>RANK(TableOverallMaster[[#This Row],[VORP]],TableOverallMaster[VORP])+COUNTIF($AM$2:AM269,AM269)-1</f>
        <v>175</v>
      </c>
      <c r="AI269" s="115" t="str">
        <f>IFERROR(INDEX(TableTEVORP[TIGHT END],MATCH(TableOverallMaster[[#This Row],[RK]],TableTEVORP[RK],0)),"")</f>
        <v>Mike Gesicki</v>
      </c>
      <c r="AJ269" s="115" t="str">
        <f t="shared" si="4"/>
        <v>TE18</v>
      </c>
      <c r="AK269" s="115">
        <f>IFERROR(INDEX(TableTEVORP[BYE],MATCH(TableOverallMaster[[#This Row],[RK]],TableTEVORP[RK],0)),"")</f>
        <v>12</v>
      </c>
      <c r="AL269" s="116">
        <f>IFERROR(INDEX(TableTEVORP[FPS],MATCH(TableOverallMaster[[#This Row],[RK]],TableTEVORP[RK],0)),"")</f>
        <v>96.879813101035438</v>
      </c>
      <c r="AM269" s="117">
        <f>IFERROR(INDEX(TableTEVORP[VORP],MATCH(TableOverallMaster[[#This Row],[RK]],TableTEVORP[RK],0)),"")</f>
        <v>-0.26404947137820634</v>
      </c>
      <c r="AO269">
        <v>268</v>
      </c>
      <c r="AP269" s="118" t="str">
        <f>IFERROR(INDEX(TableOverallMaster[OVERALL PLAYER],MATCH(TableOverallRank[[#This Row],[RK]],TableOverallMaster[OVR RK],0)),"")</f>
        <v>Tyquan Thornton</v>
      </c>
      <c r="AQ269" s="119" t="str">
        <f>IFERROR(INDEX(TableOverallMaster[POS RK],MATCH(TableOverallRank[[#This Row],[OVERALL PLAYER]],TableOverallMaster[OVERALL PLAYER],0)),"")</f>
        <v>WR100</v>
      </c>
      <c r="AR269" s="120">
        <f>IFERROR(INDEX(TableOverallMaster[BYE],MATCH(TableOverallRank[[#This Row],[OVERALL PLAYER]],TableOverallMaster[OVERALL PLAYER],0)),"")</f>
        <v>14</v>
      </c>
      <c r="AS269" s="119">
        <f>IFERROR(INDEX(TableOverallMaster[Custom],MATCH(TableOverallRank[[#This Row],[OVERALL PLAYER]],TableOverallMaster[OVERALL PLAYER],0)),"")</f>
        <v>63.087701683529595</v>
      </c>
      <c r="AT269" s="121">
        <f>IFERROR(INDEX(TableOverallMaster[VORP],MATCH(TableOverallRank[[#This Row],[OVERALL PLAYER]],TableOverallMaster[OVERALL PLAYER],0)),"")</f>
        <v>-0.68576485027825052</v>
      </c>
      <c r="AV269">
        <v>268</v>
      </c>
      <c r="AW269" s="122" t="str">
        <f>IFERROR(INDEX(TableWRTECalcPts[PLAYER],MATCH(TableWRTERank[[#This Row],[RK]],TableWRTECalcPts[RK],0)),"")</f>
        <v/>
      </c>
      <c r="AX269" s="122" t="str">
        <f>IFERROR(INDEX(TableWRTECalcPts[POS RK],MATCH(TableWRTERank[[#This Row],[WR and TE COMBINED]],TableWRTECalcPts[PLAYER],0)),"")</f>
        <v>TE82</v>
      </c>
      <c r="AY269" s="122" t="str">
        <f>IFERROR(INDEX(TableWRTECalcPts[BYE],MATCH(TableWRTERank[[#This Row],[RK]],TableWRTECalcPts[RK],0)),"")</f>
        <v/>
      </c>
      <c r="AZ269" s="123" t="str">
        <f>IFERROR(INDEX(TableWRTECalcPts[Custom],MATCH(TableWRTERank[[#This Row],[RK]],TableWRTECalcPts[RK],0)),"")</f>
        <v/>
      </c>
      <c r="BA269" s="174" t="str">
        <f>IFERROR((TableWRTERank[[#This Row],[FPS]]-INDEX(TableWRTERank[FPS],MATCH(WRTEVORPCalc,TableWRTERank[RK],0)))/INDEX(TableWRTERank[FPS],MATCH(WRTEVORPCalc,TableWRTERank[RK],0)),"")</f>
        <v/>
      </c>
      <c r="BC269" t="s">
        <v>10</v>
      </c>
      <c r="BD269">
        <v>68</v>
      </c>
      <c r="BE269" s="83">
        <f>RANK(TableWRTEMaster[[#This Row],[VORP]],TableWRTEMaster[VORP])+COUNTIF($BJ$2:BJ269,BJ269)-1</f>
        <v>184</v>
      </c>
      <c r="BF269" s="115" t="str">
        <f>IFERROR(INDEX(TableTEVORP[TIGHT END],MATCH(TableWRTEMaster[[#This Row],[RK]],TableTEVORP[RK],0)),"")</f>
        <v>Ian Thomas</v>
      </c>
      <c r="BG269" s="115" t="str">
        <f>_xlfn.CONCAT(TableWRTEMaster[[#This Row],[POS]],TableWRTEMaster[[#This Row],[RK]])</f>
        <v>TE68</v>
      </c>
      <c r="BH269" s="115">
        <f>IFERROR(INDEX(TableTEVORP[BYE],MATCH(TableWRTEMaster[[#This Row],[RK]],TableTEVORP[RK],0)),"")</f>
        <v>11</v>
      </c>
      <c r="BI269" s="116">
        <f>IFERROR(INDEX(TableTEVORP[FPS],MATCH(TableWRTEMaster[[#This Row],[RK]],TableTEVORP[RK],0)),"")</f>
        <v>11.009039341968327</v>
      </c>
      <c r="BJ269" s="117">
        <f>IFERROR(INDEX(TableTEVORP[VORP],MATCH(TableWRTEMaster[[#This Row],[RK]],TableTEVORP[RK],0)),"")</f>
        <v>-0.91636948850334721</v>
      </c>
    </row>
    <row r="270" spans="32:62" x14ac:dyDescent="0.2">
      <c r="AF270" t="s">
        <v>10</v>
      </c>
      <c r="AG270">
        <v>19</v>
      </c>
      <c r="AH270" s="83">
        <f>RANK(TableOverallMaster[[#This Row],[VORP]],TableOverallMaster[VORP])+COUNTIF($AM$2:AM270,AM270)-1</f>
        <v>178</v>
      </c>
      <c r="AI270" s="115" t="str">
        <f>IFERROR(INDEX(TableTEVORP[TIGHT END],MATCH(TableOverallMaster[[#This Row],[RK]],TableTEVORP[RK],0)),"")</f>
        <v>Luke Musgrave</v>
      </c>
      <c r="AJ270" s="115" t="str">
        <f t="shared" si="4"/>
        <v>TE19</v>
      </c>
      <c r="AK270" s="115">
        <f>IFERROR(INDEX(TableTEVORP[BYE],MATCH(TableOverallMaster[[#This Row],[RK]],TableTEVORP[RK],0)),"")</f>
        <v>10</v>
      </c>
      <c r="AL270" s="116">
        <f>IFERROR(INDEX(TableTEVORP[FPS],MATCH(TableOverallMaster[[#This Row],[RK]],TableTEVORP[RK],0)),"")</f>
        <v>95.806678079854066</v>
      </c>
      <c r="AM270" s="117">
        <f>IFERROR(INDEX(TableTEVORP[VORP],MATCH(TableOverallMaster[[#This Row],[RK]],TableTEVORP[RK],0)),"")</f>
        <v>-0.27220157511211157</v>
      </c>
      <c r="AO270">
        <v>269</v>
      </c>
      <c r="AP270" s="118" t="str">
        <f>IFERROR(INDEX(TableOverallMaster[OVERALL PLAYER],MATCH(TableOverallRank[[#This Row],[RK]],TableOverallMaster[OVR RK],0)),"")</f>
        <v>Keillan Robinson</v>
      </c>
      <c r="AQ270" s="119" t="str">
        <f>IFERROR(INDEX(TableOverallMaster[POS RK],MATCH(TableOverallRank[[#This Row],[OVERALL PLAYER]],TableOverallMaster[OVERALL PLAYER],0)),"")</f>
        <v>RB92</v>
      </c>
      <c r="AR270" s="120">
        <f>IFERROR(INDEX(TableOverallMaster[BYE],MATCH(TableOverallRank[[#This Row],[OVERALL PLAYER]],TableOverallMaster[OVERALL PLAYER],0)),"")</f>
        <v>12</v>
      </c>
      <c r="AS270" s="119">
        <f>IFERROR(INDEX(TableOverallMaster[Custom],MATCH(TableOverallRank[[#This Row],[OVERALL PLAYER]],TableOverallMaster[OVERALL PLAYER],0)),"")</f>
        <v>16.817457293879201</v>
      </c>
      <c r="AT270" s="121">
        <f>IFERROR(INDEX(TableOverallMaster[VORP],MATCH(TableOverallRank[[#This Row],[OVERALL PLAYER]],TableOverallMaster[OVERALL PLAYER],0)),"")</f>
        <v>-0.68780215896551378</v>
      </c>
      <c r="AV270">
        <v>269</v>
      </c>
      <c r="AW270" s="122" t="str">
        <f>IFERROR(INDEX(TableWRTECalcPts[PLAYER],MATCH(TableWRTERank[[#This Row],[RK]],TableWRTECalcPts[RK],0)),"")</f>
        <v/>
      </c>
      <c r="AX270" s="122" t="str">
        <f>IFERROR(INDEX(TableWRTECalcPts[POS RK],MATCH(TableWRTERank[[#This Row],[WR and TE COMBINED]],TableWRTECalcPts[PLAYER],0)),"")</f>
        <v>TE82</v>
      </c>
      <c r="AY270" s="122" t="str">
        <f>IFERROR(INDEX(TableWRTECalcPts[BYE],MATCH(TableWRTERank[[#This Row],[RK]],TableWRTECalcPts[RK],0)),"")</f>
        <v/>
      </c>
      <c r="AZ270" s="123" t="str">
        <f>IFERROR(INDEX(TableWRTECalcPts[Custom],MATCH(TableWRTERank[[#This Row],[RK]],TableWRTECalcPts[RK],0)),"")</f>
        <v/>
      </c>
      <c r="BA270" s="174" t="str">
        <f>IFERROR((TableWRTERank[[#This Row],[FPS]]-INDEX(TableWRTERank[FPS],MATCH(WRTEVORPCalc,TableWRTERank[RK],0)))/INDEX(TableWRTERank[FPS],MATCH(WRTEVORPCalc,TableWRTERank[RK],0)),"")</f>
        <v/>
      </c>
      <c r="BC270" t="s">
        <v>10</v>
      </c>
      <c r="BD270">
        <v>69</v>
      </c>
      <c r="BE270" s="83">
        <f>RANK(TableWRTEMaster[[#This Row],[VORP]],TableWRTEMaster[VORP])+COUNTIF($BJ$2:BJ270,BJ270)-1</f>
        <v>185</v>
      </c>
      <c r="BF270" s="115" t="str">
        <f>IFERROR(INDEX(TableTEVORP[TIGHT END],MATCH(TableWRTEMaster[[#This Row],[RK]],TableTEVORP[RK],0)),"")</f>
        <v>Julian Hill</v>
      </c>
      <c r="BG270" s="115" t="str">
        <f>_xlfn.CONCAT(TableWRTEMaster[[#This Row],[POS]],TableWRTEMaster[[#This Row],[RK]])</f>
        <v>TE69</v>
      </c>
      <c r="BH270" s="115">
        <f>IFERROR(INDEX(TableTEVORP[BYE],MATCH(TableWRTEMaster[[#This Row],[RK]],TableTEVORP[RK],0)),"")</f>
        <v>6</v>
      </c>
      <c r="BI270" s="116">
        <f>IFERROR(INDEX(TableTEVORP[FPS],MATCH(TableWRTEMaster[[#This Row],[RK]],TableTEVORP[RK],0)),"")</f>
        <v>10.861141758436784</v>
      </c>
      <c r="BJ270" s="117">
        <f>IFERROR(INDEX(TableTEVORP[VORP],MATCH(TableWRTEMaster[[#This Row],[RK]],TableTEVORP[RK],0)),"")</f>
        <v>-0.91749299711982657</v>
      </c>
    </row>
    <row r="271" spans="32:62" x14ac:dyDescent="0.2">
      <c r="AF271" t="s">
        <v>10</v>
      </c>
      <c r="AG271">
        <v>20</v>
      </c>
      <c r="AH271" s="83">
        <f>RANK(TableOverallMaster[[#This Row],[VORP]],TableOverallMaster[VORP])+COUNTIF($AM$2:AM271,AM271)-1</f>
        <v>180</v>
      </c>
      <c r="AI271" s="115" t="str">
        <f>IFERROR(INDEX(TableTEVORP[TIGHT END],MATCH(TableOverallMaster[[#This Row],[RK]],TableTEVORP[RK],0)),"")</f>
        <v>Cade Otton</v>
      </c>
      <c r="AJ271" s="115" t="str">
        <f t="shared" si="4"/>
        <v>TE20</v>
      </c>
      <c r="AK271" s="115">
        <f>IFERROR(INDEX(TableTEVORP[BYE],MATCH(TableOverallMaster[[#This Row],[RK]],TableTEVORP[RK],0)),"")</f>
        <v>11</v>
      </c>
      <c r="AL271" s="116">
        <f>IFERROR(INDEX(TableTEVORP[FPS],MATCH(TableOverallMaster[[#This Row],[RK]],TableTEVORP[RK],0)),"")</f>
        <v>93.69854319917674</v>
      </c>
      <c r="AM271" s="117">
        <f>IFERROR(INDEX(TableTEVORP[VORP],MATCH(TableOverallMaster[[#This Row],[RK]],TableTEVORP[RK],0)),"")</f>
        <v>-0.28821608763209844</v>
      </c>
      <c r="AO271">
        <v>270</v>
      </c>
      <c r="AP271" s="118" t="str">
        <f>IFERROR(INDEX(TableOverallMaster[OVERALL PLAYER],MATCH(TableOverallRank[[#This Row],[RK]],TableOverallMaster[OVR RK],0)),"")</f>
        <v>Tyler Higbee</v>
      </c>
      <c r="AQ271" s="119" t="str">
        <f>IFERROR(INDEX(TableOverallMaster[POS RK],MATCH(TableOverallRank[[#This Row],[OVERALL PLAYER]],TableOverallMaster[OVERALL PLAYER],0)),"")</f>
        <v>TE44</v>
      </c>
      <c r="AR271" s="120">
        <f>IFERROR(INDEX(TableOverallMaster[BYE],MATCH(TableOverallRank[[#This Row],[OVERALL PLAYER]],TableOverallMaster[OVERALL PLAYER],0)),"")</f>
        <v>6</v>
      </c>
      <c r="AS271" s="119">
        <f>IFERROR(INDEX(TableOverallMaster[Custom],MATCH(TableOverallRank[[#This Row],[OVERALL PLAYER]],TableOverallMaster[OVERALL PLAYER],0)),"")</f>
        <v>40.797864195877821</v>
      </c>
      <c r="AT271" s="121">
        <f>IFERROR(INDEX(TableOverallMaster[VORP],MATCH(TableOverallRank[[#This Row],[OVERALL PLAYER]],TableOverallMaster[OVERALL PLAYER],0)),"")</f>
        <v>-0.69007774932138544</v>
      </c>
      <c r="AV271">
        <v>270</v>
      </c>
      <c r="AW271" s="122" t="str">
        <f>IFERROR(INDEX(TableWRTECalcPts[PLAYER],MATCH(TableWRTERank[[#This Row],[RK]],TableWRTECalcPts[RK],0)),"")</f>
        <v/>
      </c>
      <c r="AX271" s="122" t="str">
        <f>IFERROR(INDEX(TableWRTECalcPts[POS RK],MATCH(TableWRTERank[[#This Row],[WR and TE COMBINED]],TableWRTECalcPts[PLAYER],0)),"")</f>
        <v>TE82</v>
      </c>
      <c r="AY271" s="122" t="str">
        <f>IFERROR(INDEX(TableWRTECalcPts[BYE],MATCH(TableWRTERank[[#This Row],[RK]],TableWRTECalcPts[RK],0)),"")</f>
        <v/>
      </c>
      <c r="AZ271" s="123" t="str">
        <f>IFERROR(INDEX(TableWRTECalcPts[Custom],MATCH(TableWRTERank[[#This Row],[RK]],TableWRTECalcPts[RK],0)),"")</f>
        <v/>
      </c>
      <c r="BA271" s="174" t="str">
        <f>IFERROR((TableWRTERank[[#This Row],[FPS]]-INDEX(TableWRTERank[FPS],MATCH(WRTEVORPCalc,TableWRTERank[RK],0)))/INDEX(TableWRTERank[FPS],MATCH(WRTEVORPCalc,TableWRTERank[RK],0)),"")</f>
        <v/>
      </c>
      <c r="BC271" t="s">
        <v>10</v>
      </c>
      <c r="BD271">
        <v>70</v>
      </c>
      <c r="BE271" s="83">
        <f>RANK(TableWRTEMaster[[#This Row],[VORP]],TableWRTEMaster[VORP])+COUNTIF($BJ$2:BJ271,BJ271)-1</f>
        <v>189</v>
      </c>
      <c r="BF271" s="115" t="str">
        <f>IFERROR(INDEX(TableTEVORP[TIGHT END],MATCH(TableWRTEMaster[[#This Row],[RK]],TableTEVORP[RK],0)),"")</f>
        <v>Durham Smythe</v>
      </c>
      <c r="BG271" s="115" t="str">
        <f>_xlfn.CONCAT(TableWRTEMaster[[#This Row],[POS]],TableWRTEMaster[[#This Row],[RK]])</f>
        <v>TE70</v>
      </c>
      <c r="BH271" s="115">
        <f>IFERROR(INDEX(TableTEVORP[BYE],MATCH(TableWRTEMaster[[#This Row],[RK]],TableTEVORP[RK],0)),"")</f>
        <v>6</v>
      </c>
      <c r="BI271" s="116">
        <f>IFERROR(INDEX(TableTEVORP[FPS],MATCH(TableWRTEMaster[[#This Row],[RK]],TableTEVORP[RK],0)),"")</f>
        <v>9.7230845072298351</v>
      </c>
      <c r="BJ271" s="117">
        <f>IFERROR(INDEX(TableTEVORP[VORP],MATCH(TableWRTEMaster[[#This Row],[RK]],TableTEVORP[RK],0)),"")</f>
        <v>-0.92613828460354775</v>
      </c>
    </row>
    <row r="272" spans="32:62" x14ac:dyDescent="0.2">
      <c r="AF272" t="s">
        <v>10</v>
      </c>
      <c r="AG272">
        <v>21</v>
      </c>
      <c r="AH272" s="83">
        <f>RANK(TableOverallMaster[[#This Row],[VORP]],TableOverallMaster[VORP])+COUNTIF($AM$2:AM272,AM272)-1</f>
        <v>182</v>
      </c>
      <c r="AI272" s="115" t="str">
        <f>IFERROR(INDEX(TableTEVORP[TIGHT END],MATCH(TableOverallMaster[[#This Row],[RK]],TableTEVORP[RK],0)),"")</f>
        <v>Tyler Conklin</v>
      </c>
      <c r="AJ272" s="115" t="str">
        <f t="shared" si="4"/>
        <v>TE21</v>
      </c>
      <c r="AK272" s="115">
        <f>IFERROR(INDEX(TableTEVORP[BYE],MATCH(TableOverallMaster[[#This Row],[RK]],TableTEVORP[RK],0)),"")</f>
        <v>12</v>
      </c>
      <c r="AL272" s="116">
        <f>IFERROR(INDEX(TableTEVORP[FPS],MATCH(TableOverallMaster[[#This Row],[RK]],TableTEVORP[RK],0)),"")</f>
        <v>92.077826494206874</v>
      </c>
      <c r="AM272" s="117">
        <f>IFERROR(INDEX(TableTEVORP[VORP],MATCH(TableOverallMaster[[#This Row],[RK]],TableTEVORP[RK],0)),"")</f>
        <v>-0.30052791274394924</v>
      </c>
      <c r="AO272">
        <v>271</v>
      </c>
      <c r="AP272" s="118" t="str">
        <f>IFERROR(INDEX(TableOverallMaster[OVERALL PLAYER],MATCH(TableOverallRank[[#This Row],[RK]],TableOverallMaster[OVR RK],0)),"")</f>
        <v>Taysom Hill</v>
      </c>
      <c r="AQ272" s="119" t="str">
        <f>IFERROR(INDEX(TableOverallMaster[POS RK],MATCH(TableOverallRank[[#This Row],[OVERALL PLAYER]],TableOverallMaster[OVERALL PLAYER],0)),"")</f>
        <v>TE45</v>
      </c>
      <c r="AR272" s="120">
        <f>IFERROR(INDEX(TableOverallMaster[BYE],MATCH(TableOverallRank[[#This Row],[OVERALL PLAYER]],TableOverallMaster[OVERALL PLAYER],0)),"")</f>
        <v>12</v>
      </c>
      <c r="AS272" s="119">
        <f>IFERROR(INDEX(TableOverallMaster[Custom],MATCH(TableOverallRank[[#This Row],[OVERALL PLAYER]],TableOverallMaster[OVERALL PLAYER],0)),"")</f>
        <v>40.294182781789544</v>
      </c>
      <c r="AT272" s="121">
        <f>IFERROR(INDEX(TableOverallMaster[VORP],MATCH(TableOverallRank[[#This Row],[OVERALL PLAYER]],TableOverallMaster[OVERALL PLAYER],0)),"")</f>
        <v>-0.69390398092825956</v>
      </c>
      <c r="AV272">
        <v>271</v>
      </c>
      <c r="AW272" s="122" t="str">
        <f>IFERROR(INDEX(TableWRTECalcPts[PLAYER],MATCH(TableWRTERank[[#This Row],[RK]],TableWRTECalcPts[RK],0)),"")</f>
        <v/>
      </c>
      <c r="AX272" s="122" t="str">
        <f>IFERROR(INDEX(TableWRTECalcPts[POS RK],MATCH(TableWRTERank[[#This Row],[WR and TE COMBINED]],TableWRTECalcPts[PLAYER],0)),"")</f>
        <v>TE82</v>
      </c>
      <c r="AY272" s="122" t="str">
        <f>IFERROR(INDEX(TableWRTECalcPts[BYE],MATCH(TableWRTERank[[#This Row],[RK]],TableWRTECalcPts[RK],0)),"")</f>
        <v/>
      </c>
      <c r="AZ272" s="123" t="str">
        <f>IFERROR(INDEX(TableWRTECalcPts[Custom],MATCH(TableWRTERank[[#This Row],[RK]],TableWRTECalcPts[RK],0)),"")</f>
        <v/>
      </c>
      <c r="BA272" s="174" t="str">
        <f>IFERROR((TableWRTERank[[#This Row],[FPS]]-INDEX(TableWRTERank[FPS],MATCH(WRTEVORPCalc,TableWRTERank[RK],0)))/INDEX(TableWRTERank[FPS],MATCH(WRTEVORPCalc,TableWRTERank[RK],0)),"")</f>
        <v/>
      </c>
      <c r="BC272" t="s">
        <v>10</v>
      </c>
      <c r="BD272">
        <v>71</v>
      </c>
      <c r="BE272" s="83">
        <f>RANK(TableWRTEMaster[[#This Row],[VORP]],TableWRTEMaster[VORP])+COUNTIF($BJ$2:BJ272,BJ272)-1</f>
        <v>191</v>
      </c>
      <c r="BF272" s="115" t="str">
        <f>IFERROR(INDEX(TableTEVORP[TIGHT END],MATCH(TableWRTEMaster[[#This Row],[RK]],TableTEVORP[RK],0)),"")</f>
        <v>Chris Manhertz</v>
      </c>
      <c r="BG272" s="115" t="str">
        <f>_xlfn.CONCAT(TableWRTEMaster[[#This Row],[POS]],TableWRTEMaster[[#This Row],[RK]])</f>
        <v>TE71</v>
      </c>
      <c r="BH272" s="115">
        <f>IFERROR(INDEX(TableTEVORP[BYE],MATCH(TableWRTEMaster[[#This Row],[RK]],TableTEVORP[RK],0)),"")</f>
        <v>11</v>
      </c>
      <c r="BI272" s="116">
        <f>IFERROR(INDEX(TableTEVORP[FPS],MATCH(TableWRTEMaster[[#This Row],[RK]],TableTEVORP[RK],0)),"")</f>
        <v>8.4511644931076084</v>
      </c>
      <c r="BJ272" s="117">
        <f>IFERROR(INDEX(TableTEVORP[VORP],MATCH(TableWRTEMaster[[#This Row],[RK]],TableTEVORP[RK],0)),"")</f>
        <v>-0.93580046475021739</v>
      </c>
    </row>
    <row r="273" spans="32:62" x14ac:dyDescent="0.2">
      <c r="AF273" t="s">
        <v>10</v>
      </c>
      <c r="AG273">
        <v>22</v>
      </c>
      <c r="AH273" s="83">
        <f>RANK(TableOverallMaster[[#This Row],[VORP]],TableOverallMaster[VORP])+COUNTIF($AM$2:AM273,AM273)-1</f>
        <v>183</v>
      </c>
      <c r="AI273" s="115" t="str">
        <f>IFERROR(INDEX(TableTEVORP[TIGHT END],MATCH(TableOverallMaster[[#This Row],[RK]],TableTEVORP[RK],0)),"")</f>
        <v>Juwan Johnson</v>
      </c>
      <c r="AJ273" s="115" t="str">
        <f t="shared" si="4"/>
        <v>TE22</v>
      </c>
      <c r="AK273" s="115">
        <f>IFERROR(INDEX(TableTEVORP[BYE],MATCH(TableOverallMaster[[#This Row],[RK]],TableTEVORP[RK],0)),"")</f>
        <v>12</v>
      </c>
      <c r="AL273" s="116">
        <f>IFERROR(INDEX(TableTEVORP[FPS],MATCH(TableOverallMaster[[#This Row],[RK]],TableTEVORP[RK],0)),"")</f>
        <v>91.985181995682751</v>
      </c>
      <c r="AM273" s="117">
        <f>IFERROR(INDEX(TableTEVORP[VORP],MATCH(TableOverallMaster[[#This Row],[RK]],TableTEVORP[RK],0)),"")</f>
        <v>-0.3012316895729944</v>
      </c>
      <c r="AO273">
        <v>272</v>
      </c>
      <c r="AP273" s="118" t="str">
        <f>IFERROR(INDEX(TableOverallMaster[OVERALL PLAYER],MATCH(TableOverallRank[[#This Row],[RK]],TableOverallMaster[OVR RK],0)),"")</f>
        <v>Hassan Haskins</v>
      </c>
      <c r="AQ273" s="119" t="str">
        <f>IFERROR(INDEX(TableOverallMaster[POS RK],MATCH(TableOverallRank[[#This Row],[OVERALL PLAYER]],TableOverallMaster[OVERALL PLAYER],0)),"")</f>
        <v>RB93</v>
      </c>
      <c r="AR273" s="120">
        <f>IFERROR(INDEX(TableOverallMaster[BYE],MATCH(TableOverallRank[[#This Row],[OVERALL PLAYER]],TableOverallMaster[OVERALL PLAYER],0)),"")</f>
        <v>5</v>
      </c>
      <c r="AS273" s="119">
        <f>IFERROR(INDEX(TableOverallMaster[Custom],MATCH(TableOverallRank[[#This Row],[OVERALL PLAYER]],TableOverallMaster[OVERALL PLAYER],0)),"")</f>
        <v>15.651052764334191</v>
      </c>
      <c r="AT273" s="121">
        <f>IFERROR(INDEX(TableOverallMaster[VORP],MATCH(TableOverallRank[[#This Row],[OVERALL PLAYER]],TableOverallMaster[OVERALL PLAYER],0)),"")</f>
        <v>-0.69558383890088826</v>
      </c>
      <c r="AV273">
        <v>272</v>
      </c>
      <c r="AW273" s="122" t="str">
        <f>IFERROR(INDEX(TableWRTECalcPts[PLAYER],MATCH(TableWRTERank[[#This Row],[RK]],TableWRTECalcPts[RK],0)),"")</f>
        <v/>
      </c>
      <c r="AX273" s="122" t="str">
        <f>IFERROR(INDEX(TableWRTECalcPts[POS RK],MATCH(TableWRTERank[[#This Row],[WR and TE COMBINED]],TableWRTECalcPts[PLAYER],0)),"")</f>
        <v>TE82</v>
      </c>
      <c r="AY273" s="122" t="str">
        <f>IFERROR(INDEX(TableWRTECalcPts[BYE],MATCH(TableWRTERank[[#This Row],[RK]],TableWRTECalcPts[RK],0)),"")</f>
        <v/>
      </c>
      <c r="AZ273" s="123" t="str">
        <f>IFERROR(INDEX(TableWRTECalcPts[Custom],MATCH(TableWRTERank[[#This Row],[RK]],TableWRTECalcPts[RK],0)),"")</f>
        <v/>
      </c>
      <c r="BA273" s="174" t="str">
        <f>IFERROR((TableWRTERank[[#This Row],[FPS]]-INDEX(TableWRTERank[FPS],MATCH(WRTEVORPCalc,TableWRTERank[RK],0)))/INDEX(TableWRTERank[FPS],MATCH(WRTEVORPCalc,TableWRTERank[RK],0)),"")</f>
        <v/>
      </c>
      <c r="BC273" t="s">
        <v>10</v>
      </c>
      <c r="BD273">
        <v>72</v>
      </c>
      <c r="BE273" s="83">
        <f>RANK(TableWRTEMaster[[#This Row],[VORP]],TableWRTEMaster[VORP])+COUNTIF($BJ$2:BJ273,BJ273)-1</f>
        <v>192</v>
      </c>
      <c r="BF273" s="115" t="str">
        <f>IFERROR(INDEX(TableTEVORP[TIGHT END],MATCH(TableWRTEMaster[[#This Row],[RK]],TableTEVORP[RK],0)),"")</f>
        <v>Brevin Jordan</v>
      </c>
      <c r="BG273" s="115" t="str">
        <f>_xlfn.CONCAT(TableWRTEMaster[[#This Row],[POS]],TableWRTEMaster[[#This Row],[RK]])</f>
        <v>TE72</v>
      </c>
      <c r="BH273" s="115">
        <f>IFERROR(INDEX(TableTEVORP[BYE],MATCH(TableWRTEMaster[[#This Row],[RK]],TableTEVORP[RK],0)),"")</f>
        <v>14</v>
      </c>
      <c r="BI273" s="116">
        <f>IFERROR(INDEX(TableTEVORP[FPS],MATCH(TableWRTEMaster[[#This Row],[RK]],TableTEVORP[RK],0)),"")</f>
        <v>8.445582617471997</v>
      </c>
      <c r="BJ273" s="117">
        <f>IFERROR(INDEX(TableTEVORP[VORP],MATCH(TableWRTEMaster[[#This Row],[RK]],TableTEVORP[RK],0)),"")</f>
        <v>-0.93584286764296909</v>
      </c>
    </row>
    <row r="274" spans="32:62" x14ac:dyDescent="0.2">
      <c r="AF274" t="s">
        <v>10</v>
      </c>
      <c r="AG274">
        <v>23</v>
      </c>
      <c r="AH274" s="83">
        <f>RANK(TableOverallMaster[[#This Row],[VORP]],TableOverallMaster[VORP])+COUNTIF($AM$2:AM274,AM274)-1</f>
        <v>193</v>
      </c>
      <c r="AI274" s="115" t="str">
        <f>IFERROR(INDEX(TableTEVORP[TIGHT END],MATCH(TableOverallMaster[[#This Row],[RK]],TableTEVORP[RK],0)),"")</f>
        <v>Jonnu Smith</v>
      </c>
      <c r="AJ274" s="115" t="str">
        <f t="shared" si="4"/>
        <v>TE23</v>
      </c>
      <c r="AK274" s="115">
        <f>IFERROR(INDEX(TableTEVORP[BYE],MATCH(TableOverallMaster[[#This Row],[RK]],TableTEVORP[RK],0)),"")</f>
        <v>6</v>
      </c>
      <c r="AL274" s="116">
        <f>IFERROR(INDEX(TableTEVORP[FPS],MATCH(TableOverallMaster[[#This Row],[RK]],TableTEVORP[RK],0)),"")</f>
        <v>85.626365410456145</v>
      </c>
      <c r="AM274" s="117">
        <f>IFERROR(INDEX(TableTEVORP[VORP],MATCH(TableOverallMaster[[#This Row],[RK]],TableTEVORP[RK],0)),"")</f>
        <v>-0.3495366385351279</v>
      </c>
      <c r="AO274">
        <v>273</v>
      </c>
      <c r="AP274" s="118" t="str">
        <f>IFERROR(INDEX(TableOverallMaster[OVERALL PLAYER],MATCH(TableOverallRank[[#This Row],[RK]],TableOverallMaster[OVR RK],0)),"")</f>
        <v>Jeremy Ruckert</v>
      </c>
      <c r="AQ274" s="119" t="str">
        <f>IFERROR(INDEX(TableOverallMaster[POS RK],MATCH(TableOverallRank[[#This Row],[OVERALL PLAYER]],TableOverallMaster[OVERALL PLAYER],0)),"")</f>
        <v>TE46</v>
      </c>
      <c r="AR274" s="120">
        <f>IFERROR(INDEX(TableOverallMaster[BYE],MATCH(TableOverallRank[[#This Row],[OVERALL PLAYER]],TableOverallMaster[OVERALL PLAYER],0)),"")</f>
        <v>12</v>
      </c>
      <c r="AS274" s="119">
        <f>IFERROR(INDEX(TableOverallMaster[Custom],MATCH(TableOverallRank[[#This Row],[OVERALL PLAYER]],TableOverallMaster[OVERALL PLAYER],0)),"")</f>
        <v>40.072235990399271</v>
      </c>
      <c r="AT274" s="121">
        <f>IFERROR(INDEX(TableOverallMaster[VORP],MATCH(TableOverallRank[[#This Row],[OVERALL PLAYER]],TableOverallMaster[OVERALL PLAYER],0)),"")</f>
        <v>-0.6955900066669678</v>
      </c>
      <c r="AV274">
        <v>273</v>
      </c>
      <c r="AW274" s="122" t="str">
        <f>IFERROR(INDEX(TableWRTECalcPts[PLAYER],MATCH(TableWRTERank[[#This Row],[RK]],TableWRTECalcPts[RK],0)),"")</f>
        <v/>
      </c>
      <c r="AX274" s="122" t="str">
        <f>IFERROR(INDEX(TableWRTECalcPts[POS RK],MATCH(TableWRTERank[[#This Row],[WR and TE COMBINED]],TableWRTECalcPts[PLAYER],0)),"")</f>
        <v>TE82</v>
      </c>
      <c r="AY274" s="122" t="str">
        <f>IFERROR(INDEX(TableWRTECalcPts[BYE],MATCH(TableWRTERank[[#This Row],[RK]],TableWRTECalcPts[RK],0)),"")</f>
        <v/>
      </c>
      <c r="AZ274" s="123" t="str">
        <f>IFERROR(INDEX(TableWRTECalcPts[Custom],MATCH(TableWRTERank[[#This Row],[RK]],TableWRTECalcPts[RK],0)),"")</f>
        <v/>
      </c>
      <c r="BA274" s="174" t="str">
        <f>IFERROR((TableWRTERank[[#This Row],[FPS]]-INDEX(TableWRTERank[FPS],MATCH(WRTEVORPCalc,TableWRTERank[RK],0)))/INDEX(TableWRTERank[FPS],MATCH(WRTEVORPCalc,TableWRTERank[RK],0)),"")</f>
        <v/>
      </c>
      <c r="BC274" t="s">
        <v>10</v>
      </c>
      <c r="BD274">
        <v>73</v>
      </c>
      <c r="BE274" s="83">
        <f>RANK(TableWRTEMaster[[#This Row],[VORP]],TableWRTEMaster[VORP])+COUNTIF($BJ$2:BJ274,BJ274)-1</f>
        <v>193</v>
      </c>
      <c r="BF274" s="115" t="str">
        <f>IFERROR(INDEX(TableTEVORP[TIGHT END],MATCH(TableWRTEMaster[[#This Row],[RK]],TableTEVORP[RK],0)),"")</f>
        <v>Tanner Hudson</v>
      </c>
      <c r="BG274" s="115" t="str">
        <f>_xlfn.CONCAT(TableWRTEMaster[[#This Row],[POS]],TableWRTEMaster[[#This Row],[RK]])</f>
        <v>TE73</v>
      </c>
      <c r="BH274" s="115">
        <f>IFERROR(INDEX(TableTEVORP[BYE],MATCH(TableWRTEMaster[[#This Row],[RK]],TableTEVORP[RK],0)),"")</f>
        <v>12</v>
      </c>
      <c r="BI274" s="116">
        <f>IFERROR(INDEX(TableTEVORP[FPS],MATCH(TableWRTEMaster[[#This Row],[RK]],TableTEVORP[RK],0)),"")</f>
        <v>8.400592059036688</v>
      </c>
      <c r="BJ274" s="117">
        <f>IFERROR(INDEX(TableTEVORP[VORP],MATCH(TableWRTEMaster[[#This Row],[RK]],TableTEVORP[RK],0)),"")</f>
        <v>-0.93618463982649847</v>
      </c>
    </row>
    <row r="275" spans="32:62" x14ac:dyDescent="0.2">
      <c r="AF275" t="s">
        <v>10</v>
      </c>
      <c r="AG275">
        <v>24</v>
      </c>
      <c r="AH275" s="83">
        <f>RANK(TableOverallMaster[[#This Row],[VORP]],TableOverallMaster[VORP])+COUNTIF($AM$2:AM275,AM275)-1</f>
        <v>196</v>
      </c>
      <c r="AI275" s="115" t="str">
        <f>IFERROR(INDEX(TableTEVORP[TIGHT END],MATCH(TableOverallMaster[[#This Row],[RK]],TableTEVORP[RK],0)),"")</f>
        <v>Pat Freiermuth</v>
      </c>
      <c r="AJ275" s="115" t="str">
        <f t="shared" si="4"/>
        <v>TE24</v>
      </c>
      <c r="AK275" s="115">
        <f>IFERROR(INDEX(TableTEVORP[BYE],MATCH(TableOverallMaster[[#This Row],[RK]],TableTEVORP[RK],0)),"")</f>
        <v>9</v>
      </c>
      <c r="AL275" s="116">
        <f>IFERROR(INDEX(TableTEVORP[FPS],MATCH(TableOverallMaster[[#This Row],[RK]],TableTEVORP[RK],0)),"")</f>
        <v>84.255051648368294</v>
      </c>
      <c r="AM275" s="117">
        <f>IFERROR(INDEX(TableTEVORP[VORP],MATCH(TableOverallMaster[[#This Row],[RK]],TableTEVORP[RK],0)),"")</f>
        <v>-0.35995386639520216</v>
      </c>
      <c r="AO275">
        <v>274</v>
      </c>
      <c r="AP275" s="118" t="str">
        <f>IFERROR(INDEX(TableOverallMaster[OVERALL PLAYER],MATCH(TableOverallRank[[#This Row],[RK]],TableOverallMaster[OVR RK],0)),"")</f>
        <v>Emanuel Wilson</v>
      </c>
      <c r="AQ275" s="119" t="str">
        <f>IFERROR(INDEX(TableOverallMaster[POS RK],MATCH(TableOverallRank[[#This Row],[OVERALL PLAYER]],TableOverallMaster[OVERALL PLAYER],0)),"")</f>
        <v>RB94</v>
      </c>
      <c r="AR275" s="120">
        <f>IFERROR(INDEX(TableOverallMaster[BYE],MATCH(TableOverallRank[[#This Row],[OVERALL PLAYER]],TableOverallMaster[OVERALL PLAYER],0)),"")</f>
        <v>10</v>
      </c>
      <c r="AS275" s="119">
        <f>IFERROR(INDEX(TableOverallMaster[Custom],MATCH(TableOverallRank[[#This Row],[OVERALL PLAYER]],TableOverallMaster[OVERALL PLAYER],0)),"")</f>
        <v>14.378845048288003</v>
      </c>
      <c r="AT275" s="121">
        <f>IFERROR(INDEX(TableOverallMaster[VORP],MATCH(TableOverallRank[[#This Row],[OVERALL PLAYER]],TableOverallMaster[OVERALL PLAYER],0)),"")</f>
        <v>-0.70407138589408014</v>
      </c>
      <c r="AV275">
        <v>274</v>
      </c>
      <c r="AW275" s="122" t="str">
        <f>IFERROR(INDEX(TableWRTECalcPts[PLAYER],MATCH(TableWRTERank[[#This Row],[RK]],TableWRTECalcPts[RK],0)),"")</f>
        <v/>
      </c>
      <c r="AX275" s="122" t="str">
        <f>IFERROR(INDEX(TableWRTECalcPts[POS RK],MATCH(TableWRTERank[[#This Row],[WR and TE COMBINED]],TableWRTECalcPts[PLAYER],0)),"")</f>
        <v>TE82</v>
      </c>
      <c r="AY275" s="122" t="str">
        <f>IFERROR(INDEX(TableWRTECalcPts[BYE],MATCH(TableWRTERank[[#This Row],[RK]],TableWRTECalcPts[RK],0)),"")</f>
        <v/>
      </c>
      <c r="AZ275" s="123" t="str">
        <f>IFERROR(INDEX(TableWRTECalcPts[Custom],MATCH(TableWRTERank[[#This Row],[RK]],TableWRTECalcPts[RK],0)),"")</f>
        <v/>
      </c>
      <c r="BA275" s="174" t="str">
        <f>IFERROR((TableWRTERank[[#This Row],[FPS]]-INDEX(TableWRTERank[FPS],MATCH(WRTEVORPCalc,TableWRTERank[RK],0)))/INDEX(TableWRTERank[FPS],MATCH(WRTEVORPCalc,TableWRTERank[RK],0)),"")</f>
        <v/>
      </c>
      <c r="BC275" t="s">
        <v>10</v>
      </c>
      <c r="BD275">
        <v>74</v>
      </c>
      <c r="BE275" s="83">
        <f>RANK(TableWRTEMaster[[#This Row],[VORP]],TableWRTEMaster[VORP])+COUNTIF($BJ$2:BJ275,BJ275)-1</f>
        <v>194</v>
      </c>
      <c r="BF275" s="115" t="str">
        <f>IFERROR(INDEX(TableTEVORP[TIGHT END],MATCH(TableWRTEMaster[[#This Row],[RK]],TableTEVORP[RK],0)),"")</f>
        <v>Foster Moreau</v>
      </c>
      <c r="BG275" s="115" t="str">
        <f>_xlfn.CONCAT(TableWRTEMaster[[#This Row],[POS]],TableWRTEMaster[[#This Row],[RK]])</f>
        <v>TE74</v>
      </c>
      <c r="BH275" s="115">
        <f>IFERROR(INDEX(TableTEVORP[BYE],MATCH(TableWRTEMaster[[#This Row],[RK]],TableTEVORP[RK],0)),"")</f>
        <v>12</v>
      </c>
      <c r="BI275" s="116">
        <f>IFERROR(INDEX(TableTEVORP[FPS],MATCH(TableWRTEMaster[[#This Row],[RK]],TableTEVORP[RK],0)),"")</f>
        <v>8.164501865644608</v>
      </c>
      <c r="BJ275" s="117">
        <f>IFERROR(INDEX(TableTEVORP[VORP],MATCH(TableWRTEMaster[[#This Row],[RK]],TableTEVORP[RK],0)),"")</f>
        <v>-0.93797810636062684</v>
      </c>
    </row>
    <row r="276" spans="32:62" x14ac:dyDescent="0.2">
      <c r="AF276" t="s">
        <v>10</v>
      </c>
      <c r="AG276">
        <v>25</v>
      </c>
      <c r="AH276" s="83">
        <f>RANK(TableOverallMaster[[#This Row],[VORP]],TableOverallMaster[VORP])+COUNTIF($AM$2:AM276,AM276)-1</f>
        <v>205</v>
      </c>
      <c r="AI276" s="115" t="str">
        <f>IFERROR(INDEX(TableTEVORP[TIGHT END],MATCH(TableOverallMaster[[#This Row],[RK]],TableTEVORP[RK],0)),"")</f>
        <v>Colby Parkinson</v>
      </c>
      <c r="AJ276" s="115" t="str">
        <f t="shared" si="4"/>
        <v>TE25</v>
      </c>
      <c r="AK276" s="115">
        <f>IFERROR(INDEX(TableTEVORP[BYE],MATCH(TableOverallMaster[[#This Row],[RK]],TableTEVORP[RK],0)),"")</f>
        <v>6</v>
      </c>
      <c r="AL276" s="116">
        <f>IFERROR(INDEX(TableTEVORP[FPS],MATCH(TableOverallMaster[[#This Row],[RK]],TableTEVORP[RK],0)),"")</f>
        <v>81.17558367219813</v>
      </c>
      <c r="AM276" s="117">
        <f>IFERROR(INDEX(TableTEVORP[VORP],MATCH(TableOverallMaster[[#This Row],[RK]],TableTEVORP[RK],0)),"")</f>
        <v>-0.38334714113833951</v>
      </c>
      <c r="AO276">
        <v>275</v>
      </c>
      <c r="AP276" s="118" t="str">
        <f>IFERROR(INDEX(TableOverallMaster[OVERALL PLAYER],MATCH(TableOverallRank[[#This Row],[RK]],TableOverallMaster[OVR RK],0)),"")</f>
        <v>Jauan Jennings</v>
      </c>
      <c r="AQ276" s="119" t="str">
        <f>IFERROR(INDEX(TableOverallMaster[POS RK],MATCH(TableOverallRank[[#This Row],[OVERALL PLAYER]],TableOverallMaster[OVERALL PLAYER],0)),"")</f>
        <v>WR101</v>
      </c>
      <c r="AR276" s="120">
        <f>IFERROR(INDEX(TableOverallMaster[BYE],MATCH(TableOverallRank[[#This Row],[OVERALL PLAYER]],TableOverallMaster[OVERALL PLAYER],0)),"")</f>
        <v>9</v>
      </c>
      <c r="AS276" s="119">
        <f>IFERROR(INDEX(TableOverallMaster[Custom],MATCH(TableOverallRank[[#This Row],[OVERALL PLAYER]],TableOverallMaster[OVERALL PLAYER],0)),"")</f>
        <v>60.696683892896807</v>
      </c>
      <c r="AT276" s="121">
        <f>IFERROR(INDEX(TableOverallMaster[VORP],MATCH(TableOverallRank[[#This Row],[OVERALL PLAYER]],TableOverallMaster[OVERALL PLAYER],0)),"")</f>
        <v>-0.70525431270503625</v>
      </c>
      <c r="AV276">
        <v>275</v>
      </c>
      <c r="AW276" s="122" t="str">
        <f>IFERROR(INDEX(TableWRTECalcPts[PLAYER],MATCH(TableWRTERank[[#This Row],[RK]],TableWRTECalcPts[RK],0)),"")</f>
        <v/>
      </c>
      <c r="AX276" s="122" t="str">
        <f>IFERROR(INDEX(TableWRTECalcPts[POS RK],MATCH(TableWRTERank[[#This Row],[WR and TE COMBINED]],TableWRTECalcPts[PLAYER],0)),"")</f>
        <v>TE82</v>
      </c>
      <c r="AY276" s="122" t="str">
        <f>IFERROR(INDEX(TableWRTECalcPts[BYE],MATCH(TableWRTERank[[#This Row],[RK]],TableWRTECalcPts[RK],0)),"")</f>
        <v/>
      </c>
      <c r="AZ276" s="123" t="str">
        <f>IFERROR(INDEX(TableWRTECalcPts[Custom],MATCH(TableWRTERank[[#This Row],[RK]],TableWRTECalcPts[RK],0)),"")</f>
        <v/>
      </c>
      <c r="BA276" s="174" t="str">
        <f>IFERROR((TableWRTERank[[#This Row],[FPS]]-INDEX(TableWRTERank[FPS],MATCH(WRTEVORPCalc,TableWRTERank[RK],0)))/INDEX(TableWRTERank[FPS],MATCH(WRTEVORPCalc,TableWRTERank[RK],0)),"")</f>
        <v/>
      </c>
      <c r="BC276" t="s">
        <v>10</v>
      </c>
      <c r="BD276">
        <v>75</v>
      </c>
      <c r="BE276" s="83">
        <f>RANK(TableWRTEMaster[[#This Row],[VORP]],TableWRTEMaster[VORP])+COUNTIF($BJ$2:BJ276,BJ276)-1</f>
        <v>195</v>
      </c>
      <c r="BF276" s="115" t="str">
        <f>IFERROR(INDEX(TableTEVORP[TIGHT END],MATCH(TableWRTEMaster[[#This Row],[RK]],TableTEVORP[RK],0)),"")</f>
        <v>Drew Ogletree</v>
      </c>
      <c r="BG276" s="115" t="str">
        <f>_xlfn.CONCAT(TableWRTEMaster[[#This Row],[POS]],TableWRTEMaster[[#This Row],[RK]])</f>
        <v>TE75</v>
      </c>
      <c r="BH276" s="115">
        <f>IFERROR(INDEX(TableTEVORP[BYE],MATCH(TableWRTEMaster[[#This Row],[RK]],TableTEVORP[RK],0)),"")</f>
        <v>14</v>
      </c>
      <c r="BI276" s="116">
        <f>IFERROR(INDEX(TableTEVORP[FPS],MATCH(TableWRTEMaster[[#This Row],[RK]],TableTEVORP[RK],0)),"")</f>
        <v>8.1134607937152001</v>
      </c>
      <c r="BJ276" s="117">
        <f>IFERROR(INDEX(TableTEVORP[VORP],MATCH(TableWRTEMaster[[#This Row],[RK]],TableTEVORP[RK],0)),"")</f>
        <v>-0.93836584145904922</v>
      </c>
    </row>
    <row r="277" spans="32:62" x14ac:dyDescent="0.2">
      <c r="AF277" t="s">
        <v>10</v>
      </c>
      <c r="AG277">
        <v>26</v>
      </c>
      <c r="AH277" s="83">
        <f>RANK(TableOverallMaster[[#This Row],[VORP]],TableOverallMaster[VORP])+COUNTIF($AM$2:AM277,AM277)-1</f>
        <v>207</v>
      </c>
      <c r="AI277" s="115" t="str">
        <f>IFERROR(INDEX(TableTEVORP[TIGHT END],MATCH(TableOverallMaster[[#This Row],[RK]],TableTEVORP[RK],0)),"")</f>
        <v>Isaiah Likely</v>
      </c>
      <c r="AJ277" s="115" t="str">
        <f t="shared" si="4"/>
        <v>TE26</v>
      </c>
      <c r="AK277" s="115">
        <f>IFERROR(INDEX(TableTEVORP[BYE],MATCH(TableOverallMaster[[#This Row],[RK]],TableTEVORP[RK],0)),"")</f>
        <v>14</v>
      </c>
      <c r="AL277" s="116">
        <f>IFERROR(INDEX(TableTEVORP[FPS],MATCH(TableOverallMaster[[#This Row],[RK]],TableTEVORP[RK],0)),"")</f>
        <v>80.196752536282389</v>
      </c>
      <c r="AM277" s="117">
        <f>IFERROR(INDEX(TableTEVORP[VORP],MATCH(TableOverallMaster[[#This Row],[RK]],TableTEVORP[RK],0)),"")</f>
        <v>-0.39078286245994637</v>
      </c>
      <c r="AO277">
        <v>276</v>
      </c>
      <c r="AP277" s="118" t="str">
        <f>IFERROR(INDEX(TableOverallMaster[OVERALL PLAYER],MATCH(TableOverallRank[[#This Row],[RK]],TableOverallMaster[OVR RK],0)),"")</f>
        <v>Ronnie Rivers</v>
      </c>
      <c r="AQ277" s="119" t="str">
        <f>IFERROR(INDEX(TableOverallMaster[POS RK],MATCH(TableOverallRank[[#This Row],[OVERALL PLAYER]],TableOverallMaster[OVERALL PLAYER],0)),"")</f>
        <v>RB95</v>
      </c>
      <c r="AR277" s="120">
        <f>IFERROR(INDEX(TableOverallMaster[BYE],MATCH(TableOverallRank[[#This Row],[OVERALL PLAYER]],TableOverallMaster[OVERALL PLAYER],0)),"")</f>
        <v>6</v>
      </c>
      <c r="AS277" s="119">
        <f>IFERROR(INDEX(TableOverallMaster[Custom],MATCH(TableOverallRank[[#This Row],[OVERALL PLAYER]],TableOverallMaster[OVERALL PLAYER],0)),"")</f>
        <v>14.014172186551225</v>
      </c>
      <c r="AT277" s="121">
        <f>IFERROR(INDEX(TableOverallMaster[VORP],MATCH(TableOverallRank[[#This Row],[OVERALL PLAYER]],TableOverallMaster[OVERALL PLAYER],0)),"")</f>
        <v>-0.70650430467934888</v>
      </c>
      <c r="AV277">
        <v>276</v>
      </c>
      <c r="AW277" s="122" t="str">
        <f>IFERROR(INDEX(TableWRTECalcPts[PLAYER],MATCH(TableWRTERank[[#This Row],[RK]],TableWRTECalcPts[RK],0)),"")</f>
        <v/>
      </c>
      <c r="AX277" s="122" t="str">
        <f>IFERROR(INDEX(TableWRTECalcPts[POS RK],MATCH(TableWRTERank[[#This Row],[WR and TE COMBINED]],TableWRTECalcPts[PLAYER],0)),"")</f>
        <v>TE82</v>
      </c>
      <c r="AY277" s="122" t="str">
        <f>IFERROR(INDEX(TableWRTECalcPts[BYE],MATCH(TableWRTERank[[#This Row],[RK]],TableWRTECalcPts[RK],0)),"")</f>
        <v/>
      </c>
      <c r="AZ277" s="123" t="str">
        <f>IFERROR(INDEX(TableWRTECalcPts[Custom],MATCH(TableWRTERank[[#This Row],[RK]],TableWRTECalcPts[RK],0)),"")</f>
        <v/>
      </c>
      <c r="BA277" s="174" t="str">
        <f>IFERROR((TableWRTERank[[#This Row],[FPS]]-INDEX(TableWRTERank[FPS],MATCH(WRTEVORPCalc,TableWRTERank[RK],0)))/INDEX(TableWRTERank[FPS],MATCH(WRTEVORPCalc,TableWRTERank[RK],0)),"")</f>
        <v/>
      </c>
      <c r="BC277" t="s">
        <v>10</v>
      </c>
      <c r="BD277">
        <v>76</v>
      </c>
      <c r="BE277" s="83">
        <f>RANK(TableWRTEMaster[[#This Row],[VORP]],TableWRTEMaster[VORP])+COUNTIF($BJ$2:BJ277,BJ277)-1</f>
        <v>196</v>
      </c>
      <c r="BF277" s="115" t="str">
        <f>IFERROR(INDEX(TableTEVORP[TIGHT END],MATCH(TableWRTEMaster[[#This Row],[RK]],TableTEVORP[RK],0)),"")</f>
        <v>Quintin Morris</v>
      </c>
      <c r="BG277" s="115" t="str">
        <f>_xlfn.CONCAT(TableWRTEMaster[[#This Row],[POS]],TableWRTEMaster[[#This Row],[RK]])</f>
        <v>TE76</v>
      </c>
      <c r="BH277" s="115">
        <f>IFERROR(INDEX(TableTEVORP[BYE],MATCH(TableWRTEMaster[[#This Row],[RK]],TableTEVORP[RK],0)),"")</f>
        <v>12</v>
      </c>
      <c r="BI277" s="116">
        <f>IFERROR(INDEX(TableTEVORP[FPS],MATCH(TableWRTEMaster[[#This Row],[RK]],TableTEVORP[RK],0)),"")</f>
        <v>7.6552101834066537</v>
      </c>
      <c r="BJ277" s="117">
        <f>IFERROR(INDEX(TableTEVORP[VORP],MATCH(TableWRTEMaster[[#This Row],[RK]],TableTEVORP[RK],0)),"")</f>
        <v>-0.94184695654487338</v>
      </c>
    </row>
    <row r="278" spans="32:62" x14ac:dyDescent="0.2">
      <c r="AF278" t="s">
        <v>10</v>
      </c>
      <c r="AG278">
        <v>27</v>
      </c>
      <c r="AH278" s="83">
        <f>RANK(TableOverallMaster[[#This Row],[VORP]],TableOverallMaster[VORP])+COUNTIF($AM$2:AM278,AM278)-1</f>
        <v>209</v>
      </c>
      <c r="AI278" s="115" t="str">
        <f>IFERROR(INDEX(TableTEVORP[TIGHT END],MATCH(TableOverallMaster[[#This Row],[RK]],TableTEVORP[RK],0)),"")</f>
        <v>Hayden Hurst</v>
      </c>
      <c r="AJ278" s="115" t="str">
        <f t="shared" si="4"/>
        <v>TE27</v>
      </c>
      <c r="AK278" s="115">
        <f>IFERROR(INDEX(TableTEVORP[BYE],MATCH(TableOverallMaster[[#This Row],[RK]],TableTEVORP[RK],0)),"")</f>
        <v>5</v>
      </c>
      <c r="AL278" s="116">
        <f>IFERROR(INDEX(TableTEVORP[FPS],MATCH(TableOverallMaster[[#This Row],[RK]],TableTEVORP[RK],0)),"")</f>
        <v>79.726833329761405</v>
      </c>
      <c r="AM278" s="117">
        <f>IFERROR(INDEX(TableTEVORP[VORP],MATCH(TableOverallMaster[[#This Row],[RK]],TableTEVORP[RK],0)),"")</f>
        <v>-0.39435261840165098</v>
      </c>
      <c r="AO278">
        <v>277</v>
      </c>
      <c r="AP278" s="118" t="str">
        <f>IFERROR(INDEX(TableOverallMaster[OVERALL PLAYER],MATCH(TableOverallRank[[#This Row],[RK]],TableOverallMaster[OVR RK],0)),"")</f>
        <v>Trayveon Williams</v>
      </c>
      <c r="AQ278" s="119" t="str">
        <f>IFERROR(INDEX(TableOverallMaster[POS RK],MATCH(TableOverallRank[[#This Row],[OVERALL PLAYER]],TableOverallMaster[OVERALL PLAYER],0)),"")</f>
        <v>RB96</v>
      </c>
      <c r="AR278" s="120">
        <f>IFERROR(INDEX(TableOverallMaster[BYE],MATCH(TableOverallRank[[#This Row],[OVERALL PLAYER]],TableOverallMaster[OVERALL PLAYER],0)),"")</f>
        <v>12</v>
      </c>
      <c r="AS278" s="119">
        <f>IFERROR(INDEX(TableOverallMaster[Custom],MATCH(TableOverallRank[[#This Row],[OVERALL PLAYER]],TableOverallMaster[OVERALL PLAYER],0)),"")</f>
        <v>13.785328291377642</v>
      </c>
      <c r="AT278" s="121">
        <f>IFERROR(INDEX(TableOverallMaster[VORP],MATCH(TableOverallRank[[#This Row],[OVERALL PLAYER]],TableOverallMaster[OVERALL PLAYER],0)),"")</f>
        <v>-0.70803103910321108</v>
      </c>
      <c r="AV278">
        <v>277</v>
      </c>
      <c r="AW278" s="122" t="str">
        <f>IFERROR(INDEX(TableWRTECalcPts[PLAYER],MATCH(TableWRTERank[[#This Row],[RK]],TableWRTECalcPts[RK],0)),"")</f>
        <v/>
      </c>
      <c r="AX278" s="122" t="str">
        <f>IFERROR(INDEX(TableWRTECalcPts[POS RK],MATCH(TableWRTERank[[#This Row],[WR and TE COMBINED]],TableWRTECalcPts[PLAYER],0)),"")</f>
        <v>TE82</v>
      </c>
      <c r="AY278" s="122" t="str">
        <f>IFERROR(INDEX(TableWRTECalcPts[BYE],MATCH(TableWRTERank[[#This Row],[RK]],TableWRTECalcPts[RK],0)),"")</f>
        <v/>
      </c>
      <c r="AZ278" s="123" t="str">
        <f>IFERROR(INDEX(TableWRTECalcPts[Custom],MATCH(TableWRTERank[[#This Row],[RK]],TableWRTECalcPts[RK],0)),"")</f>
        <v/>
      </c>
      <c r="BA278" s="174" t="str">
        <f>IFERROR((TableWRTERank[[#This Row],[FPS]]-INDEX(TableWRTERank[FPS],MATCH(WRTEVORPCalc,TableWRTERank[RK],0)))/INDEX(TableWRTERank[FPS],MATCH(WRTEVORPCalc,TableWRTERank[RK],0)),"")</f>
        <v/>
      </c>
      <c r="BC278" t="s">
        <v>10</v>
      </c>
      <c r="BD278">
        <v>77</v>
      </c>
      <c r="BE278" s="83">
        <f>RANK(TableWRTEMaster[[#This Row],[VORP]],TableWRTEMaster[VORP])+COUNTIF($BJ$2:BJ278,BJ278)-1</f>
        <v>197</v>
      </c>
      <c r="BF278" s="115" t="str">
        <f>IFERROR(INDEX(TableTEVORP[TIGHT END],MATCH(TableWRTEMaster[[#This Row],[RK]],TableTEVORP[RK],0)),"")</f>
        <v>AJ Barner</v>
      </c>
      <c r="BG278" s="115" t="str">
        <f>_xlfn.CONCAT(TableWRTEMaster[[#This Row],[POS]],TableWRTEMaster[[#This Row],[RK]])</f>
        <v>TE77</v>
      </c>
      <c r="BH278" s="115">
        <f>IFERROR(INDEX(TableTEVORP[BYE],MATCH(TableWRTEMaster[[#This Row],[RK]],TableTEVORP[RK],0)),"")</f>
        <v>10</v>
      </c>
      <c r="BI278" s="116">
        <f>IFERROR(INDEX(TableTEVORP[FPS],MATCH(TableWRTEMaster[[#This Row],[RK]],TableTEVORP[RK],0)),"")</f>
        <v>7.5622302815145783</v>
      </c>
      <c r="BJ278" s="117">
        <f>IFERROR(INDEX(TableTEVORP[VORP],MATCH(TableWRTEMaster[[#This Row],[RK]],TableTEVORP[RK],0)),"")</f>
        <v>-0.94255328127608762</v>
      </c>
    </row>
    <row r="279" spans="32:62" x14ac:dyDescent="0.2">
      <c r="AF279" t="s">
        <v>10</v>
      </c>
      <c r="AG279">
        <v>28</v>
      </c>
      <c r="AH279" s="83">
        <f>RANK(TableOverallMaster[[#This Row],[VORP]],TableOverallMaster[VORP])+COUNTIF($AM$2:AM279,AM279)-1</f>
        <v>210</v>
      </c>
      <c r="AI279" s="115" t="str">
        <f>IFERROR(INDEX(TableTEVORP[TIGHT END],MATCH(TableOverallMaster[[#This Row],[RK]],TableTEVORP[RK],0)),"")</f>
        <v>Ben Sinnott</v>
      </c>
      <c r="AJ279" s="115" t="str">
        <f t="shared" si="4"/>
        <v>TE28</v>
      </c>
      <c r="AK279" s="115">
        <f>IFERROR(INDEX(TableTEVORP[BYE],MATCH(TableOverallMaster[[#This Row],[RK]],TableTEVORP[RK],0)),"")</f>
        <v>14</v>
      </c>
      <c r="AL279" s="116">
        <f>IFERROR(INDEX(TableTEVORP[FPS],MATCH(TableOverallMaster[[#This Row],[RK]],TableTEVORP[RK],0)),"")</f>
        <v>79.489285396192031</v>
      </c>
      <c r="AM279" s="117">
        <f>IFERROR(INDEX(TableTEVORP[VORP],MATCH(TableOverallMaster[[#This Row],[RK]],TableTEVORP[RK],0)),"")</f>
        <v>-0.39615715870460422</v>
      </c>
      <c r="AO279">
        <v>278</v>
      </c>
      <c r="AP279" s="118" t="str">
        <f>IFERROR(INDEX(TableOverallMaster[OVERALL PLAYER],MATCH(TableOverallRank[[#This Row],[RK]],TableOverallMaster[OVR RK],0)),"")</f>
        <v>Ty Johnson</v>
      </c>
      <c r="AQ279" s="119" t="str">
        <f>IFERROR(INDEX(TableOverallMaster[POS RK],MATCH(TableOverallRank[[#This Row],[OVERALL PLAYER]],TableOverallMaster[OVERALL PLAYER],0)),"")</f>
        <v>RB97</v>
      </c>
      <c r="AR279" s="120">
        <f>IFERROR(INDEX(TableOverallMaster[BYE],MATCH(TableOverallRank[[#This Row],[OVERALL PLAYER]],TableOverallMaster[OVERALL PLAYER],0)),"")</f>
        <v>12</v>
      </c>
      <c r="AS279" s="119">
        <f>IFERROR(INDEX(TableOverallMaster[Custom],MATCH(TableOverallRank[[#This Row],[OVERALL PLAYER]],TableOverallMaster[OVERALL PLAYER],0)),"")</f>
        <v>13.759009396897017</v>
      </c>
      <c r="AT279" s="121">
        <f>IFERROR(INDEX(TableOverallMaster[VORP],MATCH(TableOverallRank[[#This Row],[OVERALL PLAYER]],TableOverallMaster[OVERALL PLAYER],0)),"")</f>
        <v>-0.70820662588113714</v>
      </c>
      <c r="AV279">
        <v>278</v>
      </c>
      <c r="AW279" s="122" t="str">
        <f>IFERROR(INDEX(TableWRTECalcPts[PLAYER],MATCH(TableWRTERank[[#This Row],[RK]],TableWRTECalcPts[RK],0)),"")</f>
        <v/>
      </c>
      <c r="AX279" s="122" t="str">
        <f>IFERROR(INDEX(TableWRTECalcPts[POS RK],MATCH(TableWRTERank[[#This Row],[WR and TE COMBINED]],TableWRTECalcPts[PLAYER],0)),"")</f>
        <v>TE82</v>
      </c>
      <c r="AY279" s="122" t="str">
        <f>IFERROR(INDEX(TableWRTECalcPts[BYE],MATCH(TableWRTERank[[#This Row],[RK]],TableWRTECalcPts[RK],0)),"")</f>
        <v/>
      </c>
      <c r="AZ279" s="123" t="str">
        <f>IFERROR(INDEX(TableWRTECalcPts[Custom],MATCH(TableWRTERank[[#This Row],[RK]],TableWRTECalcPts[RK],0)),"")</f>
        <v/>
      </c>
      <c r="BA279" s="174" t="str">
        <f>IFERROR((TableWRTERank[[#This Row],[FPS]]-INDEX(TableWRTERank[FPS],MATCH(WRTEVORPCalc,TableWRTERank[RK],0)))/INDEX(TableWRTERank[FPS],MATCH(WRTEVORPCalc,TableWRTERank[RK],0)),"")</f>
        <v/>
      </c>
      <c r="BC279" t="s">
        <v>10</v>
      </c>
      <c r="BD279">
        <v>78</v>
      </c>
      <c r="BE279" s="83">
        <f>RANK(TableWRTEMaster[[#This Row],[VORP]],TableWRTEMaster[VORP])+COUNTIF($BJ$2:BJ279,BJ279)-1</f>
        <v>198</v>
      </c>
      <c r="BF279" s="115" t="str">
        <f>IFERROR(INDEX(TableTEVORP[TIGHT END],MATCH(TableWRTEMaster[[#This Row],[RK]],TableTEVORP[RK],0)),"")</f>
        <v>Charlie Kolar</v>
      </c>
      <c r="BG279" s="115" t="str">
        <f>_xlfn.CONCAT(TableWRTEMaster[[#This Row],[POS]],TableWRTEMaster[[#This Row],[RK]])</f>
        <v>TE78</v>
      </c>
      <c r="BH279" s="115">
        <f>IFERROR(INDEX(TableTEVORP[BYE],MATCH(TableWRTEMaster[[#This Row],[RK]],TableTEVORP[RK],0)),"")</f>
        <v>14</v>
      </c>
      <c r="BI279" s="116">
        <f>IFERROR(INDEX(TableTEVORP[FPS],MATCH(TableWRTEMaster[[#This Row],[RK]],TableTEVORP[RK],0)),"")</f>
        <v>7.5544888352407575</v>
      </c>
      <c r="BJ279" s="117">
        <f>IFERROR(INDEX(TableTEVORP[VORP],MATCH(TableWRTEMaster[[#This Row],[RK]],TableTEVORP[RK],0)),"")</f>
        <v>-0.94261208941469921</v>
      </c>
    </row>
    <row r="280" spans="32:62" x14ac:dyDescent="0.2">
      <c r="AF280" t="s">
        <v>10</v>
      </c>
      <c r="AG280">
        <v>29</v>
      </c>
      <c r="AH280" s="83">
        <f>RANK(TableOverallMaster[[#This Row],[VORP]],TableOverallMaster[VORP])+COUNTIF($AM$2:AM280,AM280)-1</f>
        <v>211</v>
      </c>
      <c r="AI280" s="115" t="str">
        <f>IFERROR(INDEX(TableTEVORP[TIGHT END],MATCH(TableOverallMaster[[#This Row],[RK]],TableTEVORP[RK],0)),"")</f>
        <v>Noah Fant</v>
      </c>
      <c r="AJ280" s="115" t="str">
        <f t="shared" si="4"/>
        <v>TE29</v>
      </c>
      <c r="AK280" s="115">
        <f>IFERROR(INDEX(TableTEVORP[BYE],MATCH(TableOverallMaster[[#This Row],[RK]],TableTEVORP[RK],0)),"")</f>
        <v>10</v>
      </c>
      <c r="AL280" s="116">
        <f>IFERROR(INDEX(TableTEVORP[FPS],MATCH(TableOverallMaster[[#This Row],[RK]],TableTEVORP[RK],0)),"")</f>
        <v>76.39024214942178</v>
      </c>
      <c r="AM280" s="117">
        <f>IFERROR(INDEX(TableTEVORP[VORP],MATCH(TableOverallMaster[[#This Row],[RK]],TableTEVORP[RK],0)),"")</f>
        <v>-0.41969913760276528</v>
      </c>
      <c r="AO280">
        <v>279</v>
      </c>
      <c r="AP280" s="118" t="str">
        <f>IFERROR(INDEX(TableOverallMaster[OVERALL PLAYER],MATCH(TableOverallRank[[#This Row],[RK]],TableOverallMaster[OVR RK],0)),"")</f>
        <v>Deuce Vaughn</v>
      </c>
      <c r="AQ280" s="119" t="str">
        <f>IFERROR(INDEX(TableOverallMaster[POS RK],MATCH(TableOverallRank[[#This Row],[OVERALL PLAYER]],TableOverallMaster[OVERALL PLAYER],0)),"")</f>
        <v>RB98</v>
      </c>
      <c r="AR280" s="120">
        <f>IFERROR(INDEX(TableOverallMaster[BYE],MATCH(TableOverallRank[[#This Row],[OVERALL PLAYER]],TableOverallMaster[OVERALL PLAYER],0)),"")</f>
        <v>7</v>
      </c>
      <c r="AS280" s="119">
        <f>IFERROR(INDEX(TableOverallMaster[Custom],MATCH(TableOverallRank[[#This Row],[OVERALL PLAYER]],TableOverallMaster[OVERALL PLAYER],0)),"")</f>
        <v>13.132523562740179</v>
      </c>
      <c r="AT280" s="121">
        <f>IFERROR(INDEX(TableOverallMaster[VORP],MATCH(TableOverallRank[[#This Row],[OVERALL PLAYER]],TableOverallMaster[OVERALL PLAYER],0)),"")</f>
        <v>-0.71238623263159806</v>
      </c>
      <c r="AV280">
        <v>279</v>
      </c>
      <c r="AW280" s="122" t="str">
        <f>IFERROR(INDEX(TableWRTECalcPts[PLAYER],MATCH(TableWRTERank[[#This Row],[RK]],TableWRTECalcPts[RK],0)),"")</f>
        <v/>
      </c>
      <c r="AX280" s="122" t="str">
        <f>IFERROR(INDEX(TableWRTECalcPts[POS RK],MATCH(TableWRTERank[[#This Row],[WR and TE COMBINED]],TableWRTECalcPts[PLAYER],0)),"")</f>
        <v>TE82</v>
      </c>
      <c r="AY280" s="122" t="str">
        <f>IFERROR(INDEX(TableWRTECalcPts[BYE],MATCH(TableWRTERank[[#This Row],[RK]],TableWRTECalcPts[RK],0)),"")</f>
        <v/>
      </c>
      <c r="AZ280" s="123" t="str">
        <f>IFERROR(INDEX(TableWRTECalcPts[Custom],MATCH(TableWRTERank[[#This Row],[RK]],TableWRTECalcPts[RK],0)),"")</f>
        <v/>
      </c>
      <c r="BA280" s="174" t="str">
        <f>IFERROR((TableWRTERank[[#This Row],[FPS]]-INDEX(TableWRTERank[FPS],MATCH(WRTEVORPCalc,TableWRTERank[RK],0)))/INDEX(TableWRTERank[FPS],MATCH(WRTEVORPCalc,TableWRTERank[RK],0)),"")</f>
        <v/>
      </c>
      <c r="BC280" t="s">
        <v>10</v>
      </c>
      <c r="BD280">
        <v>79</v>
      </c>
      <c r="BE280" s="83">
        <f>RANK(TableWRTEMaster[[#This Row],[VORP]],TableWRTEMaster[VORP])+COUNTIF($BJ$2:BJ280,BJ280)-1</f>
        <v>199</v>
      </c>
      <c r="BF280" s="115" t="str">
        <f>IFERROR(INDEX(TableTEVORP[TIGHT END],MATCH(TableWRTEMaster[[#This Row],[RK]],TableTEVORP[RK],0)),"")</f>
        <v>Tip Reiman</v>
      </c>
      <c r="BG280" s="115" t="str">
        <f>_xlfn.CONCAT(TableWRTEMaster[[#This Row],[POS]],TableWRTEMaster[[#This Row],[RK]])</f>
        <v>TE79</v>
      </c>
      <c r="BH280" s="115">
        <f>IFERROR(INDEX(TableTEVORP[BYE],MATCH(TableWRTEMaster[[#This Row],[RK]],TableTEVORP[RK],0)),"")</f>
        <v>11</v>
      </c>
      <c r="BI280" s="116">
        <f>IFERROR(INDEX(TableTEVORP[FPS],MATCH(TableWRTEMaster[[#This Row],[RK]],TableTEVORP[RK],0)),"")</f>
        <v>7.3577361734200606</v>
      </c>
      <c r="BJ280" s="117">
        <f>IFERROR(INDEX(TableTEVORP[VORP],MATCH(TableWRTEMaster[[#This Row],[RK]],TableTEVORP[RK],0)),"")</f>
        <v>-0.94410672716057997</v>
      </c>
    </row>
    <row r="281" spans="32:62" x14ac:dyDescent="0.2">
      <c r="AF281" t="s">
        <v>10</v>
      </c>
      <c r="AG281">
        <v>30</v>
      </c>
      <c r="AH281" s="83">
        <f>RANK(TableOverallMaster[[#This Row],[VORP]],TableOverallMaster[VORP])+COUNTIF($AM$2:AM281,AM281)-1</f>
        <v>215</v>
      </c>
      <c r="AI281" s="115" t="str">
        <f>IFERROR(INDEX(TableTEVORP[TIGHT END],MATCH(TableOverallMaster[[#This Row],[RK]],TableTEVORP[RK],0)),"")</f>
        <v>Theo Johnson</v>
      </c>
      <c r="AJ281" s="115" t="str">
        <f t="shared" si="4"/>
        <v>TE30</v>
      </c>
      <c r="AK281" s="115">
        <f>IFERROR(INDEX(TableTEVORP[BYE],MATCH(TableOverallMaster[[#This Row],[RK]],TableTEVORP[RK],0)),"")</f>
        <v>11</v>
      </c>
      <c r="AL281" s="116">
        <f>IFERROR(INDEX(TableTEVORP[FPS],MATCH(TableOverallMaster[[#This Row],[RK]],TableTEVORP[RK],0)),"")</f>
        <v>74.308369090843826</v>
      </c>
      <c r="AM281" s="117">
        <f>IFERROR(INDEX(TableTEVORP[VORP],MATCH(TableOverallMaster[[#This Row],[RK]],TableTEVORP[RK],0)),"")</f>
        <v>-0.43551415137024685</v>
      </c>
      <c r="AO281">
        <v>280</v>
      </c>
      <c r="AP281" s="118" t="str">
        <f>IFERROR(INDEX(TableOverallMaster[OVERALL PLAYER],MATCH(TableOverallRank[[#This Row],[RK]],TableOverallMaster[OVR RK],0)),"")</f>
        <v>Raheem Blackshear</v>
      </c>
      <c r="AQ281" s="119" t="str">
        <f>IFERROR(INDEX(TableOverallMaster[POS RK],MATCH(TableOverallRank[[#This Row],[OVERALL PLAYER]],TableOverallMaster[OVERALL PLAYER],0)),"")</f>
        <v>RB99</v>
      </c>
      <c r="AR281" s="120">
        <f>IFERROR(INDEX(TableOverallMaster[BYE],MATCH(TableOverallRank[[#This Row],[OVERALL PLAYER]],TableOverallMaster[OVERALL PLAYER],0)),"")</f>
        <v>11</v>
      </c>
      <c r="AS281" s="119">
        <f>IFERROR(INDEX(TableOverallMaster[Custom],MATCH(TableOverallRank[[#This Row],[OVERALL PLAYER]],TableOverallMaster[OVERALL PLAYER],0)),"")</f>
        <v>13.006320665241072</v>
      </c>
      <c r="AT281" s="121">
        <f>IFERROR(INDEX(TableOverallMaster[VORP],MATCH(TableOverallRank[[#This Row],[OVERALL PLAYER]],TableOverallMaster[OVERALL PLAYER],0)),"")</f>
        <v>-0.71322819657324876</v>
      </c>
      <c r="AV281">
        <v>280</v>
      </c>
      <c r="AW281" s="122" t="str">
        <f>IFERROR(INDEX(TableWRTECalcPts[PLAYER],MATCH(TableWRTERank[[#This Row],[RK]],TableWRTECalcPts[RK],0)),"")</f>
        <v/>
      </c>
      <c r="AX281" s="122" t="str">
        <f>IFERROR(INDEX(TableWRTECalcPts[POS RK],MATCH(TableWRTERank[[#This Row],[WR and TE COMBINED]],TableWRTECalcPts[PLAYER],0)),"")</f>
        <v>TE82</v>
      </c>
      <c r="AY281" s="122" t="str">
        <f>IFERROR(INDEX(TableWRTECalcPts[BYE],MATCH(TableWRTERank[[#This Row],[RK]],TableWRTECalcPts[RK],0)),"")</f>
        <v/>
      </c>
      <c r="AZ281" s="123" t="str">
        <f>IFERROR(INDEX(TableWRTECalcPts[Custom],MATCH(TableWRTERank[[#This Row],[RK]],TableWRTECalcPts[RK],0)),"")</f>
        <v/>
      </c>
      <c r="BA281" s="174" t="str">
        <f>IFERROR((TableWRTERank[[#This Row],[FPS]]-INDEX(TableWRTERank[FPS],MATCH(WRTEVORPCalc,TableWRTERank[RK],0)))/INDEX(TableWRTERank[FPS],MATCH(WRTEVORPCalc,TableWRTERank[RK],0)),"")</f>
        <v/>
      </c>
      <c r="BC281" t="s">
        <v>10</v>
      </c>
      <c r="BD281">
        <v>80</v>
      </c>
      <c r="BE281" s="83">
        <f>RANK(TableWRTEMaster[[#This Row],[VORP]],TableWRTEMaster[VORP])+COUNTIF($BJ$2:BJ281,BJ281)-1</f>
        <v>200</v>
      </c>
      <c r="BF281" s="115" t="str">
        <f>IFERROR(INDEX(TableTEVORP[TIGHT END],MATCH(TableWRTEMaster[[#This Row],[RK]],TableTEVORP[RK],0)),"")</f>
        <v>Payne Durham</v>
      </c>
      <c r="BG281" s="115" t="str">
        <f>_xlfn.CONCAT(TableWRTEMaster[[#This Row],[POS]],TableWRTEMaster[[#This Row],[RK]])</f>
        <v>TE80</v>
      </c>
      <c r="BH281" s="115">
        <f>IFERROR(INDEX(TableTEVORP[BYE],MATCH(TableWRTEMaster[[#This Row],[RK]],TableTEVORP[RK],0)),"")</f>
        <v>11</v>
      </c>
      <c r="BI281" s="116">
        <f>IFERROR(INDEX(TableTEVORP[FPS],MATCH(TableWRTEMaster[[#This Row],[RK]],TableTEVORP[RK],0)),"")</f>
        <v>7.1511440444958074</v>
      </c>
      <c r="BJ281" s="117">
        <f>IFERROR(INDEX(TableTEVORP[VORP],MATCH(TableWRTEMaster[[#This Row],[RK]],TableTEVORP[RK],0)),"")</f>
        <v>-0.94567611072588831</v>
      </c>
    </row>
    <row r="282" spans="32:62" x14ac:dyDescent="0.2">
      <c r="AF282" t="s">
        <v>10</v>
      </c>
      <c r="AG282">
        <v>31</v>
      </c>
      <c r="AH282" s="83">
        <f>RANK(TableOverallMaster[[#This Row],[VORP]],TableOverallMaster[VORP])+COUNTIF($AM$2:AM282,AM282)-1</f>
        <v>218</v>
      </c>
      <c r="AI282" s="115" t="str">
        <f>IFERROR(INDEX(TableTEVORP[TIGHT END],MATCH(TableOverallMaster[[#This Row],[RK]],TableTEVORP[RK],0)),"")</f>
        <v>Greg Dulcich</v>
      </c>
      <c r="AJ282" s="115" t="str">
        <f t="shared" si="4"/>
        <v>TE31</v>
      </c>
      <c r="AK282" s="115">
        <f>IFERROR(INDEX(TableTEVORP[BYE],MATCH(TableOverallMaster[[#This Row],[RK]],TableTEVORP[RK],0)),"")</f>
        <v>14</v>
      </c>
      <c r="AL282" s="116">
        <f>IFERROR(INDEX(TableTEVORP[FPS],MATCH(TableOverallMaster[[#This Row],[RK]],TableTEVORP[RK],0)),"")</f>
        <v>72.597638439045213</v>
      </c>
      <c r="AM282" s="117">
        <f>IFERROR(INDEX(TableTEVORP[VORP],MATCH(TableOverallMaster[[#This Row],[RK]],TableTEVORP[RK],0)),"")</f>
        <v>-0.44850977024295957</v>
      </c>
      <c r="AO282">
        <v>281</v>
      </c>
      <c r="AP282" s="118" t="str">
        <f>IFERROR(INDEX(TableOverallMaster[OVERALL PLAYER],MATCH(TableOverallRank[[#This Row],[RK]],TableOverallMaster[OVR RK],0)),"")</f>
        <v>Jeremy McNichols</v>
      </c>
      <c r="AQ282" s="119" t="str">
        <f>IFERROR(INDEX(TableOverallMaster[POS RK],MATCH(TableOverallRank[[#This Row],[OVERALL PLAYER]],TableOverallMaster[OVERALL PLAYER],0)),"")</f>
        <v>RB100</v>
      </c>
      <c r="AR282" s="120">
        <f>IFERROR(INDEX(TableOverallMaster[BYE],MATCH(TableOverallRank[[#This Row],[OVERALL PLAYER]],TableOverallMaster[OVERALL PLAYER],0)),"")</f>
        <v>14</v>
      </c>
      <c r="AS282" s="119">
        <f>IFERROR(INDEX(TableOverallMaster[Custom],MATCH(TableOverallRank[[#This Row],[OVERALL PLAYER]],TableOverallMaster[OVERALL PLAYER],0)),"")</f>
        <v>12.903486134583991</v>
      </c>
      <c r="AT282" s="121">
        <f>IFERROR(INDEX(TableOverallMaster[VORP],MATCH(TableOverallRank[[#This Row],[OVERALL PLAYER]],TableOverallMaster[OVERALL PLAYER],0)),"")</f>
        <v>-0.71391425821276422</v>
      </c>
      <c r="AY282" s="57"/>
      <c r="AZ282" s="114"/>
    </row>
    <row r="283" spans="32:62" x14ac:dyDescent="0.2">
      <c r="AF283" t="s">
        <v>10</v>
      </c>
      <c r="AG283">
        <v>32</v>
      </c>
      <c r="AH283" s="83">
        <f>RANK(TableOverallMaster[[#This Row],[VORP]],TableOverallMaster[VORP])+COUNTIF($AM$2:AM283,AM283)-1</f>
        <v>222</v>
      </c>
      <c r="AI283" s="115" t="str">
        <f>IFERROR(INDEX(TableTEVORP[TIGHT END],MATCH(TableOverallMaster[[#This Row],[RK]],TableTEVORP[RK],0)),"")</f>
        <v>Tucker Kraft</v>
      </c>
      <c r="AJ283" s="115" t="str">
        <f t="shared" si="4"/>
        <v>TE32</v>
      </c>
      <c r="AK283" s="115">
        <f>IFERROR(INDEX(TableTEVORP[BYE],MATCH(TableOverallMaster[[#This Row],[RK]],TableTEVORP[RK],0)),"")</f>
        <v>10</v>
      </c>
      <c r="AL283" s="116">
        <f>IFERROR(INDEX(TableTEVORP[FPS],MATCH(TableOverallMaster[[#This Row],[RK]],TableTEVORP[RK],0)),"")</f>
        <v>65.127360408954189</v>
      </c>
      <c r="AM283" s="117">
        <f>IFERROR(INDEX(TableTEVORP[VORP],MATCH(TableOverallMaster[[#This Row],[RK]],TableTEVORP[RK],0)),"")</f>
        <v>-0.50525797081456558</v>
      </c>
      <c r="AO283">
        <v>282</v>
      </c>
      <c r="AP283" s="118" t="str">
        <f>IFERROR(INDEX(TableOverallMaster[OVERALL PLAYER],MATCH(TableOverallRank[[#This Row],[RK]],TableOverallMaster[OVR RK],0)),"")</f>
        <v>Jacoby Brissett</v>
      </c>
      <c r="AQ283" s="119" t="str">
        <f>IFERROR(INDEX(TableOverallMaster[POS RK],MATCH(TableOverallRank[[#This Row],[OVERALL PLAYER]],TableOverallMaster[OVERALL PLAYER],0)),"")</f>
        <v>QB35</v>
      </c>
      <c r="AR283" s="120">
        <f>IFERROR(INDEX(TableOverallMaster[BYE],MATCH(TableOverallRank[[#This Row],[OVERALL PLAYER]],TableOverallMaster[OVERALL PLAYER],0)),"")</f>
        <v>14</v>
      </c>
      <c r="AS283" s="119">
        <f>IFERROR(INDEX(TableOverallMaster[Custom],MATCH(TableOverallRank[[#This Row],[OVERALL PLAYER]],TableOverallMaster[OVERALL PLAYER],0)),"")</f>
        <v>71.758407648976288</v>
      </c>
      <c r="AT283" s="121">
        <f>IFERROR(INDEX(TableOverallMaster[VORP],MATCH(TableOverallRank[[#This Row],[OVERALL PLAYER]],TableOverallMaster[OVERALL PLAYER],0)),"")</f>
        <v>-0.71945831805908977</v>
      </c>
      <c r="AY283" s="57"/>
      <c r="AZ283" s="114"/>
    </row>
    <row r="284" spans="32:62" x14ac:dyDescent="0.2">
      <c r="AF284" t="s">
        <v>10</v>
      </c>
      <c r="AG284">
        <v>33</v>
      </c>
      <c r="AH284" s="83">
        <f>RANK(TableOverallMaster[[#This Row],[VORP]],TableOverallMaster[VORP])+COUNTIF($AM$2:AM284,AM284)-1</f>
        <v>227</v>
      </c>
      <c r="AI284" s="115" t="str">
        <f>IFERROR(INDEX(TableTEVORP[TIGHT END],MATCH(TableOverallMaster[[#This Row],[RK]],TableTEVORP[RK],0)),"")</f>
        <v>Michael Mayer</v>
      </c>
      <c r="AJ284" s="115" t="str">
        <f t="shared" si="4"/>
        <v>TE33</v>
      </c>
      <c r="AK284" s="115">
        <f>IFERROR(INDEX(TableTEVORP[BYE],MATCH(TableOverallMaster[[#This Row],[RK]],TableTEVORP[RK],0)),"")</f>
        <v>10</v>
      </c>
      <c r="AL284" s="116">
        <f>IFERROR(INDEX(TableTEVORP[FPS],MATCH(TableOverallMaster[[#This Row],[RK]],TableTEVORP[RK],0)),"")</f>
        <v>63.541282229215099</v>
      </c>
      <c r="AM284" s="117">
        <f>IFERROR(INDEX(TableTEVORP[VORP],MATCH(TableOverallMaster[[#This Row],[RK]],TableTEVORP[RK],0)),"")</f>
        <v>-0.51730666328672303</v>
      </c>
      <c r="AO284">
        <v>283</v>
      </c>
      <c r="AP284" s="118" t="str">
        <f>IFERROR(INDEX(TableOverallMaster[OVERALL PLAYER],MATCH(TableOverallRank[[#This Row],[RK]],TableOverallMaster[OVR RK],0)),"")</f>
        <v>Jonathan Mingo</v>
      </c>
      <c r="AQ284" s="119" t="str">
        <f>IFERROR(INDEX(TableOverallMaster[POS RK],MATCH(TableOverallRank[[#This Row],[OVERALL PLAYER]],TableOverallMaster[OVERALL PLAYER],0)),"")</f>
        <v>WR102</v>
      </c>
      <c r="AR284" s="120">
        <f>IFERROR(INDEX(TableOverallMaster[BYE],MATCH(TableOverallRank[[#This Row],[OVERALL PLAYER]],TableOverallMaster[OVERALL PLAYER],0)),"")</f>
        <v>11</v>
      </c>
      <c r="AS284" s="119">
        <f>IFERROR(INDEX(TableOverallMaster[Custom],MATCH(TableOverallRank[[#This Row],[OVERALL PLAYER]],TableOverallMaster[OVERALL PLAYER],0)),"")</f>
        <v>58.748444769088849</v>
      </c>
      <c r="AT284" s="121">
        <f>IFERROR(INDEX(TableOverallMaster[VORP],MATCH(TableOverallRank[[#This Row],[OVERALL PLAYER]],TableOverallMaster[OVERALL PLAYER],0)),"")</f>
        <v>-0.72113463503078534</v>
      </c>
      <c r="AY284" s="57"/>
      <c r="AZ284" s="114"/>
    </row>
    <row r="285" spans="32:62" x14ac:dyDescent="0.2">
      <c r="AF285" t="s">
        <v>10</v>
      </c>
      <c r="AG285">
        <v>34</v>
      </c>
      <c r="AH285" s="83">
        <f>RANK(TableOverallMaster[[#This Row],[VORP]],TableOverallMaster[VORP])+COUNTIF($AM$2:AM285,AM285)-1</f>
        <v>231</v>
      </c>
      <c r="AI285" s="115" t="str">
        <f>IFERROR(INDEX(TableTEVORP[TIGHT END],MATCH(TableOverallMaster[[#This Row],[RK]],TableTEVORP[RK],0)),"")</f>
        <v>Tommy Tremble</v>
      </c>
      <c r="AJ285" s="115" t="str">
        <f t="shared" si="4"/>
        <v>TE34</v>
      </c>
      <c r="AK285" s="115">
        <f>IFERROR(INDEX(TableTEVORP[BYE],MATCH(TableOverallMaster[[#This Row],[RK]],TableTEVORP[RK],0)),"")</f>
        <v>11</v>
      </c>
      <c r="AL285" s="116">
        <f>IFERROR(INDEX(TableTEVORP[FPS],MATCH(TableOverallMaster[[#This Row],[RK]],TableTEVORP[RK],0)),"")</f>
        <v>59.441486316951199</v>
      </c>
      <c r="AM285" s="117">
        <f>IFERROR(INDEX(TableTEVORP[VORP],MATCH(TableOverallMaster[[#This Row],[RK]],TableTEVORP[RK],0)),"")</f>
        <v>-0.54845089109118239</v>
      </c>
      <c r="AO285">
        <v>284</v>
      </c>
      <c r="AP285" s="118" t="str">
        <f>IFERROR(INDEX(TableOverallMaster[OVERALL PLAYER],MATCH(TableOverallRank[[#This Row],[RK]],TableOverallMaster[OVR RK],0)),"")</f>
        <v>Calvin Austin</v>
      </c>
      <c r="AQ285" s="119" t="str">
        <f>IFERROR(INDEX(TableOverallMaster[POS RK],MATCH(TableOverallRank[[#This Row],[OVERALL PLAYER]],TableOverallMaster[OVERALL PLAYER],0)),"")</f>
        <v>WR103</v>
      </c>
      <c r="AR285" s="120">
        <f>IFERROR(INDEX(TableOverallMaster[BYE],MATCH(TableOverallRank[[#This Row],[OVERALL PLAYER]],TableOverallMaster[OVERALL PLAYER],0)),"")</f>
        <v>9</v>
      </c>
      <c r="AS285" s="119">
        <f>IFERROR(INDEX(TableOverallMaster[Custom],MATCH(TableOverallRank[[#This Row],[OVERALL PLAYER]],TableOverallMaster[OVERALL PLAYER],0)),"")</f>
        <v>58.376500767336978</v>
      </c>
      <c r="AT285" s="121">
        <f>IFERROR(INDEX(TableOverallMaster[VORP],MATCH(TableOverallRank[[#This Row],[OVERALL PLAYER]],TableOverallMaster[OVERALL PLAYER],0)),"")</f>
        <v>-0.72416639358791968</v>
      </c>
      <c r="AY285" s="57"/>
      <c r="AZ285" s="114"/>
    </row>
    <row r="286" spans="32:62" x14ac:dyDescent="0.2">
      <c r="AF286" t="s">
        <v>10</v>
      </c>
      <c r="AG286">
        <v>35</v>
      </c>
      <c r="AH286" s="83">
        <f>RANK(TableOverallMaster[[#This Row],[VORP]],TableOverallMaster[VORP])+COUNTIF($AM$2:AM286,AM286)-1</f>
        <v>232</v>
      </c>
      <c r="AI286" s="115" t="str">
        <f>IFERROR(INDEX(TableTEVORP[TIGHT END],MATCH(TableOverallMaster[[#This Row],[RK]],TableTEVORP[RK],0)),"")</f>
        <v>Ja'Tavion Sanders</v>
      </c>
      <c r="AJ286" s="115" t="str">
        <f t="shared" si="4"/>
        <v>TE35</v>
      </c>
      <c r="AK286" s="115">
        <f>IFERROR(INDEX(TableTEVORP[BYE],MATCH(TableOverallMaster[[#This Row],[RK]],TableTEVORP[RK],0)),"")</f>
        <v>11</v>
      </c>
      <c r="AL286" s="116">
        <f>IFERROR(INDEX(TableTEVORP[FPS],MATCH(TableOverallMaster[[#This Row],[RK]],TableTEVORP[RK],0)),"")</f>
        <v>59.212657014771921</v>
      </c>
      <c r="AM286" s="117">
        <f>IFERROR(INDEX(TableTEVORP[VORP],MATCH(TableOverallMaster[[#This Row],[RK]],TableTEVORP[RK],0)),"")</f>
        <v>-0.55018920003824201</v>
      </c>
      <c r="AO286">
        <v>285</v>
      </c>
      <c r="AP286" s="118" t="str">
        <f>IFERROR(INDEX(TableOverallMaster[OVERALL PLAYER],MATCH(TableOverallRank[[#This Row],[RK]],TableOverallMaster[OVR RK],0)),"")</f>
        <v>Austin Hooper</v>
      </c>
      <c r="AQ286" s="119" t="str">
        <f>IFERROR(INDEX(TableOverallMaster[POS RK],MATCH(TableOverallRank[[#This Row],[OVERALL PLAYER]],TableOverallMaster[OVERALL PLAYER],0)),"")</f>
        <v>TE47</v>
      </c>
      <c r="AR286" s="120">
        <f>IFERROR(INDEX(TableOverallMaster[BYE],MATCH(TableOverallRank[[#This Row],[OVERALL PLAYER]],TableOverallMaster[OVERALL PLAYER],0)),"")</f>
        <v>14</v>
      </c>
      <c r="AS286" s="119">
        <f>IFERROR(INDEX(TableOverallMaster[Custom],MATCH(TableOverallRank[[#This Row],[OVERALL PLAYER]],TableOverallMaster[OVERALL PLAYER],0)),"")</f>
        <v>35.870510360635265</v>
      </c>
      <c r="AT286" s="121">
        <f>IFERROR(INDEX(TableOverallMaster[VORP],MATCH(TableOverallRank[[#This Row],[OVERALL PLAYER]],TableOverallMaster[OVERALL PLAYER],0)),"")</f>
        <v>-0.72750854675667309</v>
      </c>
      <c r="AY286" s="57"/>
      <c r="AZ286" s="114"/>
    </row>
    <row r="287" spans="32:62" x14ac:dyDescent="0.2">
      <c r="AF287" t="s">
        <v>10</v>
      </c>
      <c r="AG287">
        <v>36</v>
      </c>
      <c r="AH287" s="83">
        <f>RANK(TableOverallMaster[[#This Row],[VORP]],TableOverallMaster[VORP])+COUNTIF($AM$2:AM287,AM287)-1</f>
        <v>234</v>
      </c>
      <c r="AI287" s="115" t="str">
        <f>IFERROR(INDEX(TableTEVORP[TIGHT END],MATCH(TableOverallMaster[[#This Row],[RK]],TableTEVORP[RK],0)),"")</f>
        <v>Dawson Knox</v>
      </c>
      <c r="AJ287" s="115" t="str">
        <f t="shared" si="4"/>
        <v>TE36</v>
      </c>
      <c r="AK287" s="115">
        <f>IFERROR(INDEX(TableTEVORP[BYE],MATCH(TableOverallMaster[[#This Row],[RK]],TableTEVORP[RK],0)),"")</f>
        <v>12</v>
      </c>
      <c r="AL287" s="116">
        <f>IFERROR(INDEX(TableTEVORP[FPS],MATCH(TableOverallMaster[[#This Row],[RK]],TableTEVORP[RK],0)),"")</f>
        <v>58.149530922381004</v>
      </c>
      <c r="AM287" s="117">
        <f>IFERROR(INDEX(TableTEVORP[VORP],MATCH(TableOverallMaster[[#This Row],[RK]],TableTEVORP[RK],0)),"")</f>
        <v>-0.55826527063171794</v>
      </c>
      <c r="AO287">
        <v>286</v>
      </c>
      <c r="AP287" s="118" t="str">
        <f>IFERROR(INDEX(TableOverallMaster[OVERALL PLAYER],MATCH(TableOverallRank[[#This Row],[RK]],TableOverallMaster[OVR RK],0)),"")</f>
        <v>Malik Washington</v>
      </c>
      <c r="AQ287" s="119" t="str">
        <f>IFERROR(INDEX(TableOverallMaster[POS RK],MATCH(TableOverallRank[[#This Row],[OVERALL PLAYER]],TableOverallMaster[OVERALL PLAYER],0)),"")</f>
        <v>WR104</v>
      </c>
      <c r="AR287" s="120">
        <f>IFERROR(INDEX(TableOverallMaster[BYE],MATCH(TableOverallRank[[#This Row],[OVERALL PLAYER]],TableOverallMaster[OVERALL PLAYER],0)),"")</f>
        <v>6</v>
      </c>
      <c r="AS287" s="119">
        <f>IFERROR(INDEX(TableOverallMaster[Custom],MATCH(TableOverallRank[[#This Row],[OVERALL PLAYER]],TableOverallMaster[OVERALL PLAYER],0)),"")</f>
        <v>56.740369681564793</v>
      </c>
      <c r="AT287" s="121">
        <f>IFERROR(INDEX(TableOverallMaster[VORP],MATCH(TableOverallRank[[#This Row],[OVERALL PLAYER]],TableOverallMaster[OVERALL PLAYER],0)),"")</f>
        <v>-0.73750268721416412</v>
      </c>
      <c r="AY287" s="57"/>
      <c r="AZ287" s="114"/>
    </row>
    <row r="288" spans="32:62" x14ac:dyDescent="0.2">
      <c r="AF288" t="s">
        <v>10</v>
      </c>
      <c r="AG288">
        <v>37</v>
      </c>
      <c r="AH288" s="83">
        <f>RANK(TableOverallMaster[[#This Row],[VORP]],TableOverallMaster[VORP])+COUNTIF($AM$2:AM288,AM288)-1</f>
        <v>237</v>
      </c>
      <c r="AI288" s="115" t="str">
        <f>IFERROR(INDEX(TableTEVORP[TIGHT END],MATCH(TableOverallMaster[[#This Row],[RK]],TableTEVORP[RK],0)),"")</f>
        <v>Zach Ertz</v>
      </c>
      <c r="AJ288" s="115" t="str">
        <f t="shared" si="4"/>
        <v>TE37</v>
      </c>
      <c r="AK288" s="115">
        <f>IFERROR(INDEX(TableTEVORP[BYE],MATCH(TableOverallMaster[[#This Row],[RK]],TableTEVORP[RK],0)),"")</f>
        <v>14</v>
      </c>
      <c r="AL288" s="116">
        <f>IFERROR(INDEX(TableTEVORP[FPS],MATCH(TableOverallMaster[[#This Row],[RK]],TableTEVORP[RK],0)),"")</f>
        <v>56.143588018518017</v>
      </c>
      <c r="AM288" s="117">
        <f>IFERROR(INDEX(TableTEVORP[VORP],MATCH(TableOverallMaster[[#This Row],[RK]],TableTEVORP[RK],0)),"")</f>
        <v>-0.57350347860538009</v>
      </c>
      <c r="AO288">
        <v>287</v>
      </c>
      <c r="AP288" s="118" t="str">
        <f>IFERROR(INDEX(TableOverallMaster[OVERALL PLAYER],MATCH(TableOverallRank[[#This Row],[RK]],TableOverallMaster[OVR RK],0)),"")</f>
        <v>Drew Lock</v>
      </c>
      <c r="AQ288" s="119" t="str">
        <f>IFERROR(INDEX(TableOverallMaster[POS RK],MATCH(TableOverallRank[[#This Row],[OVERALL PLAYER]],TableOverallMaster[OVERALL PLAYER],0)),"")</f>
        <v>QB36</v>
      </c>
      <c r="AR288" s="120">
        <f>IFERROR(INDEX(TableOverallMaster[BYE],MATCH(TableOverallRank[[#This Row],[OVERALL PLAYER]],TableOverallMaster[OVERALL PLAYER],0)),"")</f>
        <v>11</v>
      </c>
      <c r="AS288" s="119">
        <f>IFERROR(INDEX(TableOverallMaster[Custom],MATCH(TableOverallRank[[#This Row],[OVERALL PLAYER]],TableOverallMaster[OVERALL PLAYER],0)),"")</f>
        <v>66.139166646074798</v>
      </c>
      <c r="AT288" s="121">
        <f>IFERROR(INDEX(TableOverallMaster[VORP],MATCH(TableOverallRank[[#This Row],[OVERALL PLAYER]],TableOverallMaster[OVERALL PLAYER],0)),"")</f>
        <v>-0.74247852265578906</v>
      </c>
      <c r="AY288" s="57"/>
      <c r="AZ288" s="114"/>
    </row>
    <row r="289" spans="32:52" x14ac:dyDescent="0.2">
      <c r="AF289" t="s">
        <v>10</v>
      </c>
      <c r="AG289">
        <v>38</v>
      </c>
      <c r="AH289" s="83">
        <f>RANK(TableOverallMaster[[#This Row],[VORP]],TableOverallMaster[VORP])+COUNTIF($AM$2:AM289,AM289)-1</f>
        <v>241</v>
      </c>
      <c r="AI289" s="115" t="str">
        <f>IFERROR(INDEX(TableTEVORP[TIGHT END],MATCH(TableOverallMaster[[#This Row],[RK]],TableTEVORP[RK],0)),"")</f>
        <v>Daniel Bellinger</v>
      </c>
      <c r="AJ289" s="115" t="str">
        <f t="shared" si="4"/>
        <v>TE38</v>
      </c>
      <c r="AK289" s="115">
        <f>IFERROR(INDEX(TableTEVORP[BYE],MATCH(TableOverallMaster[[#This Row],[RK]],TableTEVORP[RK],0)),"")</f>
        <v>11</v>
      </c>
      <c r="AL289" s="116">
        <f>IFERROR(INDEX(TableTEVORP[FPS],MATCH(TableOverallMaster[[#This Row],[RK]],TableTEVORP[RK],0)),"")</f>
        <v>52.988011934465121</v>
      </c>
      <c r="AM289" s="117">
        <f>IFERROR(INDEX(TableTEVORP[VORP],MATCH(TableOverallMaster[[#This Row],[RK]],TableTEVORP[RK],0)),"")</f>
        <v>-0.59747491096913841</v>
      </c>
      <c r="AO289">
        <v>288</v>
      </c>
      <c r="AP289" s="118" t="str">
        <f>IFERROR(INDEX(TableOverallMaster[OVERALL PLAYER],MATCH(TableOverallRank[[#This Row],[RK]],TableOverallMaster[OVR RK],0)),"")</f>
        <v>Jordan Whittington</v>
      </c>
      <c r="AQ289" s="119" t="str">
        <f>IFERROR(INDEX(TableOverallMaster[POS RK],MATCH(TableOverallRank[[#This Row],[OVERALL PLAYER]],TableOverallMaster[OVERALL PLAYER],0)),"")</f>
        <v>WR105</v>
      </c>
      <c r="AR289" s="120">
        <f>IFERROR(INDEX(TableOverallMaster[BYE],MATCH(TableOverallRank[[#This Row],[OVERALL PLAYER]],TableOverallMaster[OVERALL PLAYER],0)),"")</f>
        <v>6</v>
      </c>
      <c r="AS289" s="119">
        <f>IFERROR(INDEX(TableOverallMaster[Custom],MATCH(TableOverallRank[[#This Row],[OVERALL PLAYER]],TableOverallMaster[OVERALL PLAYER],0)),"")</f>
        <v>55.873140032859624</v>
      </c>
      <c r="AT289" s="121">
        <f>IFERROR(INDEX(TableOverallMaster[VORP],MATCH(TableOverallRank[[#This Row],[OVERALL PLAYER]],TableOverallMaster[OVERALL PLAYER],0)),"")</f>
        <v>-0.74457157633746962</v>
      </c>
      <c r="AY289" s="57"/>
      <c r="AZ289" s="114"/>
    </row>
    <row r="290" spans="32:52" x14ac:dyDescent="0.2">
      <c r="AF290" t="s">
        <v>10</v>
      </c>
      <c r="AG290">
        <v>39</v>
      </c>
      <c r="AH290" s="83">
        <f>RANK(TableOverallMaster[[#This Row],[VORP]],TableOverallMaster[VORP])+COUNTIF($AM$2:AM290,AM290)-1</f>
        <v>243</v>
      </c>
      <c r="AI290" s="115" t="str">
        <f>IFERROR(INDEX(TableTEVORP[TIGHT END],MATCH(TableOverallMaster[[#This Row],[RK]],TableTEVORP[RK],0)),"")</f>
        <v>Kylen Granson</v>
      </c>
      <c r="AJ290" s="115" t="str">
        <f t="shared" si="4"/>
        <v>TE39</v>
      </c>
      <c r="AK290" s="115">
        <f>IFERROR(INDEX(TableTEVORP[BYE],MATCH(TableOverallMaster[[#This Row],[RK]],TableTEVORP[RK],0)),"")</f>
        <v>14</v>
      </c>
      <c r="AL290" s="116">
        <f>IFERROR(INDEX(TableTEVORP[FPS],MATCH(TableOverallMaster[[#This Row],[RK]],TableTEVORP[RK],0)),"")</f>
        <v>51.971771830712242</v>
      </c>
      <c r="AM290" s="117">
        <f>IFERROR(INDEX(TableTEVORP[VORP],MATCH(TableOverallMaster[[#This Row],[RK]],TableTEVORP[RK],0)),"")</f>
        <v>-0.60519481068430014</v>
      </c>
      <c r="AO290">
        <v>289</v>
      </c>
      <c r="AP290" s="118" t="str">
        <f>IFERROR(INDEX(TableOverallMaster[OVERALL PLAYER],MATCH(TableOverallRank[[#This Row],[RK]],TableOverallMaster[OVR RK],0)),"")</f>
        <v>Quentin Johnston</v>
      </c>
      <c r="AQ290" s="119" t="str">
        <f>IFERROR(INDEX(TableOverallMaster[POS RK],MATCH(TableOverallRank[[#This Row],[OVERALL PLAYER]],TableOverallMaster[OVERALL PLAYER],0)),"")</f>
        <v>WR106</v>
      </c>
      <c r="AR290" s="120">
        <f>IFERROR(INDEX(TableOverallMaster[BYE],MATCH(TableOverallRank[[#This Row],[OVERALL PLAYER]],TableOverallMaster[OVERALL PLAYER],0)),"")</f>
        <v>5</v>
      </c>
      <c r="AS290" s="119">
        <f>IFERROR(INDEX(TableOverallMaster[Custom],MATCH(TableOverallRank[[#This Row],[OVERALL PLAYER]],TableOverallMaster[OVERALL PLAYER],0)),"")</f>
        <v>55.174368621131777</v>
      </c>
      <c r="AT290" s="121">
        <f>IFERROR(INDEX(TableOverallMaster[VORP],MATCH(TableOverallRank[[#This Row],[OVERALL PLAYER]],TableOverallMaster[OVERALL PLAYER],0)),"")</f>
        <v>-0.75026734289643682</v>
      </c>
      <c r="AY290" s="57"/>
      <c r="AZ290" s="114"/>
    </row>
    <row r="291" spans="32:52" x14ac:dyDescent="0.2">
      <c r="AF291" t="s">
        <v>10</v>
      </c>
      <c r="AG291">
        <v>40</v>
      </c>
      <c r="AH291" s="83">
        <f>RANK(TableOverallMaster[[#This Row],[VORP]],TableOverallMaster[VORP])+COUNTIF($AM$2:AM291,AM291)-1</f>
        <v>244</v>
      </c>
      <c r="AI291" s="115" t="str">
        <f>IFERROR(INDEX(TableTEVORP[TIGHT END],MATCH(TableOverallMaster[[#This Row],[RK]],TableTEVORP[RK],0)),"")</f>
        <v>Will Dissly</v>
      </c>
      <c r="AJ291" s="115" t="str">
        <f t="shared" si="4"/>
        <v>TE40</v>
      </c>
      <c r="AK291" s="115">
        <f>IFERROR(INDEX(TableTEVORP[BYE],MATCH(TableOverallMaster[[#This Row],[RK]],TableTEVORP[RK],0)),"")</f>
        <v>5</v>
      </c>
      <c r="AL291" s="116">
        <f>IFERROR(INDEX(TableTEVORP[FPS],MATCH(TableOverallMaster[[#This Row],[RK]],TableTEVORP[RK],0)),"")</f>
        <v>51.886490271348435</v>
      </c>
      <c r="AM291" s="117">
        <f>IFERROR(INDEX(TableTEVORP[VORP],MATCH(TableOverallMaster[[#This Row],[RK]],TableTEVORP[RK],0)),"")</f>
        <v>-0.60584265471585319</v>
      </c>
      <c r="AO291">
        <v>290</v>
      </c>
      <c r="AP291" s="118" t="str">
        <f>IFERROR(INDEX(TableOverallMaster[OVERALL PLAYER],MATCH(TableOverallRank[[#This Row],[RK]],TableOverallMaster[OVR RK],0)),"")</f>
        <v>Cade Stover</v>
      </c>
      <c r="AQ291" s="119" t="str">
        <f>IFERROR(INDEX(TableOverallMaster[POS RK],MATCH(TableOverallRank[[#This Row],[OVERALL PLAYER]],TableOverallMaster[OVERALL PLAYER],0)),"")</f>
        <v>TE48</v>
      </c>
      <c r="AR291" s="120">
        <f>IFERROR(INDEX(TableOverallMaster[BYE],MATCH(TableOverallRank[[#This Row],[OVERALL PLAYER]],TableOverallMaster[OVERALL PLAYER],0)),"")</f>
        <v>14</v>
      </c>
      <c r="AS291" s="119">
        <f>IFERROR(INDEX(TableOverallMaster[Custom],MATCH(TableOverallRank[[#This Row],[OVERALL PLAYER]],TableOverallMaster[OVERALL PLAYER],0)),"")</f>
        <v>32.672274321811308</v>
      </c>
      <c r="AT291" s="121">
        <f>IFERROR(INDEX(TableOverallMaster[VORP],MATCH(TableOverallRank[[#This Row],[OVERALL PLAYER]],TableOverallMaster[OVERALL PLAYER],0)),"")</f>
        <v>-0.75180404680037216</v>
      </c>
      <c r="AY291" s="57"/>
      <c r="AZ291" s="114"/>
    </row>
    <row r="292" spans="32:52" x14ac:dyDescent="0.2">
      <c r="AF292" t="s">
        <v>10</v>
      </c>
      <c r="AG292">
        <v>41</v>
      </c>
      <c r="AH292" s="83">
        <f>RANK(TableOverallMaster[[#This Row],[VORP]],TableOverallMaster[VORP])+COUNTIF($AM$2:AM292,AM292)-1</f>
        <v>252</v>
      </c>
      <c r="AI292" s="115" t="str">
        <f>IFERROR(INDEX(TableTEVORP[TIGHT END],MATCH(TableOverallMaster[[#This Row],[RK]],TableTEVORP[RK],0)),"")</f>
        <v>Mo Alie-Cox</v>
      </c>
      <c r="AJ292" s="115" t="str">
        <f t="shared" si="4"/>
        <v>TE41</v>
      </c>
      <c r="AK292" s="115">
        <f>IFERROR(INDEX(TableTEVORP[BYE],MATCH(TableOverallMaster[[#This Row],[RK]],TableTEVORP[RK],0)),"")</f>
        <v>14</v>
      </c>
      <c r="AL292" s="116">
        <f>IFERROR(INDEX(TableTEVORP[FPS],MATCH(TableOverallMaster[[#This Row],[RK]],TableTEVORP[RK],0)),"")</f>
        <v>47.760272891565855</v>
      </c>
      <c r="AM292" s="117">
        <f>IFERROR(INDEX(TableTEVORP[VORP],MATCH(TableOverallMaster[[#This Row],[RK]],TableTEVORP[RK],0)),"")</f>
        <v>-0.63718759402423597</v>
      </c>
      <c r="AO292">
        <v>291</v>
      </c>
      <c r="AP292" s="118" t="str">
        <f>IFERROR(INDEX(TableOverallMaster[OVERALL PLAYER],MATCH(TableOverallRank[[#This Row],[RK]],TableOverallMaster[OVR RK],0)),"")</f>
        <v>Gerald Everett</v>
      </c>
      <c r="AQ292" s="119" t="str">
        <f>IFERROR(INDEX(TableOverallMaster[POS RK],MATCH(TableOverallRank[[#This Row],[OVERALL PLAYER]],TableOverallMaster[OVERALL PLAYER],0)),"")</f>
        <v>TE49</v>
      </c>
      <c r="AR292" s="120">
        <f>IFERROR(INDEX(TableOverallMaster[BYE],MATCH(TableOverallRank[[#This Row],[OVERALL PLAYER]],TableOverallMaster[OVERALL PLAYER],0)),"")</f>
        <v>7</v>
      </c>
      <c r="AS292" s="119">
        <f>IFERROR(INDEX(TableOverallMaster[Custom],MATCH(TableOverallRank[[#This Row],[OVERALL PLAYER]],TableOverallMaster[OVERALL PLAYER],0)),"")</f>
        <v>28.159483725102589</v>
      </c>
      <c r="AT292" s="121">
        <f>IFERROR(INDEX(TableOverallMaster[VORP],MATCH(TableOverallRank[[#This Row],[OVERALL PLAYER]],TableOverallMaster[OVERALL PLAYER],0)),"")</f>
        <v>-0.78608560163516095</v>
      </c>
      <c r="AY292" s="57"/>
      <c r="AZ292" s="114"/>
    </row>
    <row r="293" spans="32:52" x14ac:dyDescent="0.2">
      <c r="AF293" t="s">
        <v>10</v>
      </c>
      <c r="AG293">
        <v>42</v>
      </c>
      <c r="AH293" s="83">
        <f>RANK(TableOverallMaster[[#This Row],[VORP]],TableOverallMaster[VORP])+COUNTIF($AM$2:AM293,AM293)-1</f>
        <v>256</v>
      </c>
      <c r="AI293" s="115" t="str">
        <f>IFERROR(INDEX(TableTEVORP[TIGHT END],MATCH(TableOverallMaster[[#This Row],[RK]],TableTEVORP[RK],0)),"")</f>
        <v>Darnell Washington</v>
      </c>
      <c r="AJ293" s="115" t="str">
        <f t="shared" si="4"/>
        <v>TE42</v>
      </c>
      <c r="AK293" s="115">
        <f>IFERROR(INDEX(TableTEVORP[BYE],MATCH(TableOverallMaster[[#This Row],[RK]],TableTEVORP[RK],0)),"")</f>
        <v>9</v>
      </c>
      <c r="AL293" s="116">
        <f>IFERROR(INDEX(TableTEVORP[FPS],MATCH(TableOverallMaster[[#This Row],[RK]],TableTEVORP[RK],0)),"")</f>
        <v>45.128004722701178</v>
      </c>
      <c r="AM293" s="117">
        <f>IFERROR(INDEX(TableTEVORP[VORP],MATCH(TableOverallMaster[[#This Row],[RK]],TableTEVORP[RK],0)),"")</f>
        <v>-0.65718370145200278</v>
      </c>
      <c r="AO293">
        <v>292</v>
      </c>
      <c r="AP293" s="118" t="str">
        <f>IFERROR(INDEX(TableOverallMaster[OVERALL PLAYER],MATCH(TableOverallRank[[#This Row],[RK]],TableOverallMaster[OVR RK],0)),"")</f>
        <v>Charlie Woerner</v>
      </c>
      <c r="AQ293" s="119" t="str">
        <f>IFERROR(INDEX(TableOverallMaster[POS RK],MATCH(TableOverallRank[[#This Row],[OVERALL PLAYER]],TableOverallMaster[OVERALL PLAYER],0)),"")</f>
        <v>TE50</v>
      </c>
      <c r="AR293" s="120">
        <f>IFERROR(INDEX(TableOverallMaster[BYE],MATCH(TableOverallRank[[#This Row],[OVERALL PLAYER]],TableOverallMaster[OVERALL PLAYER],0)),"")</f>
        <v>12</v>
      </c>
      <c r="AS293" s="119">
        <f>IFERROR(INDEX(TableOverallMaster[Custom],MATCH(TableOverallRank[[#This Row],[OVERALL PLAYER]],TableOverallMaster[OVERALL PLAYER],0)),"")</f>
        <v>27.714480291641177</v>
      </c>
      <c r="AT293" s="121">
        <f>IFERROR(INDEX(TableOverallMaster[VORP],MATCH(TableOverallRank[[#This Row],[OVERALL PLAYER]],TableOverallMaster[OVERALL PLAYER],0)),"")</f>
        <v>-0.7894660841279677</v>
      </c>
      <c r="AY293" s="57"/>
      <c r="AZ293" s="114"/>
    </row>
    <row r="294" spans="32:52" x14ac:dyDescent="0.2">
      <c r="AF294" t="s">
        <v>10</v>
      </c>
      <c r="AG294">
        <v>43</v>
      </c>
      <c r="AH294" s="83">
        <f>RANK(TableOverallMaster[[#This Row],[VORP]],TableOverallMaster[VORP])+COUNTIF($AM$2:AM294,AM294)-1</f>
        <v>261</v>
      </c>
      <c r="AI294" s="115" t="str">
        <f>IFERROR(INDEX(TableTEVORP[TIGHT END],MATCH(TableOverallMaster[[#This Row],[RK]],TableTEVORP[RK],0)),"")</f>
        <v>Josh Oliver</v>
      </c>
      <c r="AJ294" s="115" t="str">
        <f t="shared" si="4"/>
        <v>TE43</v>
      </c>
      <c r="AK294" s="115">
        <f>IFERROR(INDEX(TableTEVORP[BYE],MATCH(TableOverallMaster[[#This Row],[RK]],TableTEVORP[RK],0)),"")</f>
        <v>6</v>
      </c>
      <c r="AL294" s="116">
        <f>IFERROR(INDEX(TableTEVORP[FPS],MATCH(TableOverallMaster[[#This Row],[RK]],TableTEVORP[RK],0)),"")</f>
        <v>43.132444729764075</v>
      </c>
      <c r="AM294" s="117">
        <f>IFERROR(INDEX(TableTEVORP[VORP],MATCH(TableOverallMaster[[#This Row],[RK]],TableTEVORP[RK],0)),"")</f>
        <v>-0.67234303531825357</v>
      </c>
      <c r="AO294">
        <v>293</v>
      </c>
      <c r="AP294" s="118" t="str">
        <f>IFERROR(INDEX(TableOverallMaster[OVERALL PLAYER],MATCH(TableOverallRank[[#This Row],[RK]],TableOverallMaster[OVR RK],0)),"")</f>
        <v>Olamide Zaccheaus</v>
      </c>
      <c r="AQ294" s="119" t="str">
        <f>IFERROR(INDEX(TableOverallMaster[POS RK],MATCH(TableOverallRank[[#This Row],[OVERALL PLAYER]],TableOverallMaster[OVERALL PLAYER],0)),"")</f>
        <v>WR107</v>
      </c>
      <c r="AR294" s="120">
        <f>IFERROR(INDEX(TableOverallMaster[BYE],MATCH(TableOverallRank[[#This Row],[OVERALL PLAYER]],TableOverallMaster[OVERALL PLAYER],0)),"")</f>
        <v>14</v>
      </c>
      <c r="AS294" s="119">
        <f>IFERROR(INDEX(TableOverallMaster[Custom],MATCH(TableOverallRank[[#This Row],[OVERALL PLAYER]],TableOverallMaster[OVERALL PLAYER],0)),"")</f>
        <v>49.709316936787211</v>
      </c>
      <c r="AT294" s="121">
        <f>IFERROR(INDEX(TableOverallMaster[VORP],MATCH(TableOverallRank[[#This Row],[OVERALL PLAYER]],TableOverallMaster[OVERALL PLAYER],0)),"")</f>
        <v>-0.79481361096677483</v>
      </c>
      <c r="AY294" s="57"/>
      <c r="AZ294" s="114"/>
    </row>
    <row r="295" spans="32:52" x14ac:dyDescent="0.2">
      <c r="AF295" t="s">
        <v>10</v>
      </c>
      <c r="AG295">
        <v>44</v>
      </c>
      <c r="AH295" s="83">
        <f>RANK(TableOverallMaster[[#This Row],[VORP]],TableOverallMaster[VORP])+COUNTIF($AM$2:AM295,AM295)-1</f>
        <v>270</v>
      </c>
      <c r="AI295" s="115" t="str">
        <f>IFERROR(INDEX(TableTEVORP[TIGHT END],MATCH(TableOverallMaster[[#This Row],[RK]],TableTEVORP[RK],0)),"")</f>
        <v>Tyler Higbee</v>
      </c>
      <c r="AJ295" s="115" t="str">
        <f t="shared" si="4"/>
        <v>TE44</v>
      </c>
      <c r="AK295" s="115">
        <f>IFERROR(INDEX(TableTEVORP[BYE],MATCH(TableOverallMaster[[#This Row],[RK]],TableTEVORP[RK],0)),"")</f>
        <v>6</v>
      </c>
      <c r="AL295" s="116">
        <f>IFERROR(INDEX(TableTEVORP[FPS],MATCH(TableOverallMaster[[#This Row],[RK]],TableTEVORP[RK],0)),"")</f>
        <v>40.797864195877821</v>
      </c>
      <c r="AM295" s="117">
        <f>IFERROR(INDEX(TableTEVORP[VORP],MATCH(TableOverallMaster[[#This Row],[RK]],TableTEVORP[RK],0)),"")</f>
        <v>-0.69007774932138544</v>
      </c>
      <c r="AO295">
        <v>294</v>
      </c>
      <c r="AP295" s="118" t="str">
        <f>IFERROR(INDEX(TableOverallMaster[OVERALL PLAYER],MATCH(TableOverallRank[[#This Row],[RK]],TableOverallMaster[OVR RK],0)),"")</f>
        <v>Jahan Dotson</v>
      </c>
      <c r="AQ295" s="119" t="str">
        <f>IFERROR(INDEX(TableOverallMaster[POS RK],MATCH(TableOverallRank[[#This Row],[OVERALL PLAYER]],TableOverallMaster[OVERALL PLAYER],0)),"")</f>
        <v>WR108</v>
      </c>
      <c r="AR295" s="120">
        <f>IFERROR(INDEX(TableOverallMaster[BYE],MATCH(TableOverallRank[[#This Row],[OVERALL PLAYER]],TableOverallMaster[OVERALL PLAYER],0)),"")</f>
        <v>5</v>
      </c>
      <c r="AS295" s="119">
        <f>IFERROR(INDEX(TableOverallMaster[Custom],MATCH(TableOverallRank[[#This Row],[OVERALL PLAYER]],TableOverallMaster[OVERALL PLAYER],0)),"")</f>
        <v>48.684252861175672</v>
      </c>
      <c r="AT295" s="121">
        <f>IFERROR(INDEX(TableOverallMaster[VORP],MATCH(TableOverallRank[[#This Row],[OVERALL PLAYER]],TableOverallMaster[OVERALL PLAYER],0)),"")</f>
        <v>-0.80316902675035706</v>
      </c>
      <c r="AY295" s="57"/>
      <c r="AZ295" s="114"/>
    </row>
    <row r="296" spans="32:52" x14ac:dyDescent="0.2">
      <c r="AF296" t="s">
        <v>10</v>
      </c>
      <c r="AG296">
        <v>45</v>
      </c>
      <c r="AH296" s="83">
        <f>RANK(TableOverallMaster[[#This Row],[VORP]],TableOverallMaster[VORP])+COUNTIF($AM$2:AM296,AM296)-1</f>
        <v>271</v>
      </c>
      <c r="AI296" s="115" t="str">
        <f>IFERROR(INDEX(TableTEVORP[TIGHT END],MATCH(TableOverallMaster[[#This Row],[RK]],TableTEVORP[RK],0)),"")</f>
        <v>Taysom Hill</v>
      </c>
      <c r="AJ296" s="115" t="str">
        <f t="shared" si="4"/>
        <v>TE45</v>
      </c>
      <c r="AK296" s="115">
        <f>IFERROR(INDEX(TableTEVORP[BYE],MATCH(TableOverallMaster[[#This Row],[RK]],TableTEVORP[RK],0)),"")</f>
        <v>12</v>
      </c>
      <c r="AL296" s="116">
        <f>IFERROR(INDEX(TableTEVORP[FPS],MATCH(TableOverallMaster[[#This Row],[RK]],TableTEVORP[RK],0)),"")</f>
        <v>40.294182781789544</v>
      </c>
      <c r="AM296" s="117">
        <f>IFERROR(INDEX(TableTEVORP[VORP],MATCH(TableOverallMaster[[#This Row],[RK]],TableTEVORP[RK],0)),"")</f>
        <v>-0.69390398092825956</v>
      </c>
      <c r="AO296">
        <v>295</v>
      </c>
      <c r="AP296" s="118" t="str">
        <f>IFERROR(INDEX(TableOverallMaster[OVERALL PLAYER],MATCH(TableOverallRank[[#This Row],[RK]],TableOverallMaster[OVR RK],0)),"")</f>
        <v>Trey Palmer</v>
      </c>
      <c r="AQ296" s="119" t="str">
        <f>IFERROR(INDEX(TableOverallMaster[POS RK],MATCH(TableOverallRank[[#This Row],[OVERALL PLAYER]],TableOverallMaster[OVERALL PLAYER],0)),"")</f>
        <v>WR109</v>
      </c>
      <c r="AR296" s="120">
        <f>IFERROR(INDEX(TableOverallMaster[BYE],MATCH(TableOverallRank[[#This Row],[OVERALL PLAYER]],TableOverallMaster[OVERALL PLAYER],0)),"")</f>
        <v>11</v>
      </c>
      <c r="AS296" s="119">
        <f>IFERROR(INDEX(TableOverallMaster[Custom],MATCH(TableOverallRank[[#This Row],[OVERALL PLAYER]],TableOverallMaster[OVERALL PLAYER],0)),"")</f>
        <v>48.394842908874082</v>
      </c>
      <c r="AT296" s="121">
        <f>IFERROR(INDEX(TableOverallMaster[VORP],MATCH(TableOverallRank[[#This Row],[OVERALL PLAYER]],TableOverallMaster[OVERALL PLAYER],0)),"")</f>
        <v>-0.80552804072901385</v>
      </c>
      <c r="AY296" s="57"/>
      <c r="AZ296" s="114"/>
    </row>
    <row r="297" spans="32:52" x14ac:dyDescent="0.2">
      <c r="AF297" t="s">
        <v>10</v>
      </c>
      <c r="AG297">
        <v>46</v>
      </c>
      <c r="AH297" s="83">
        <f>RANK(TableOverallMaster[[#This Row],[VORP]],TableOverallMaster[VORP])+COUNTIF($AM$2:AM297,AM297)-1</f>
        <v>273</v>
      </c>
      <c r="AI297" s="115" t="str">
        <f>IFERROR(INDEX(TableTEVORP[TIGHT END],MATCH(TableOverallMaster[[#This Row],[RK]],TableTEVORP[RK],0)),"")</f>
        <v>Jeremy Ruckert</v>
      </c>
      <c r="AJ297" s="115" t="str">
        <f t="shared" si="4"/>
        <v>TE46</v>
      </c>
      <c r="AK297" s="115">
        <f>IFERROR(INDEX(TableTEVORP[BYE],MATCH(TableOverallMaster[[#This Row],[RK]],TableTEVORP[RK],0)),"")</f>
        <v>12</v>
      </c>
      <c r="AL297" s="116">
        <f>IFERROR(INDEX(TableTEVORP[FPS],MATCH(TableOverallMaster[[#This Row],[RK]],TableTEVORP[RK],0)),"")</f>
        <v>40.072235990399271</v>
      </c>
      <c r="AM297" s="117">
        <f>IFERROR(INDEX(TableTEVORP[VORP],MATCH(TableOverallMaster[[#This Row],[RK]],TableTEVORP[RK],0)),"")</f>
        <v>-0.6955900066669678</v>
      </c>
      <c r="AO297">
        <v>296</v>
      </c>
      <c r="AP297" s="118" t="str">
        <f>IFERROR(INDEX(TableOverallMaster[OVERALL PLAYER],MATCH(TableOverallRank[[#This Row],[RK]],TableOverallMaster[OVR RK],0)),"")</f>
        <v>Tre Tucker</v>
      </c>
      <c r="AQ297" s="119" t="str">
        <f>IFERROR(INDEX(TableOverallMaster[POS RK],MATCH(TableOverallRank[[#This Row],[OVERALL PLAYER]],TableOverallMaster[OVERALL PLAYER],0)),"")</f>
        <v>WR110</v>
      </c>
      <c r="AR297" s="120">
        <f>IFERROR(INDEX(TableOverallMaster[BYE],MATCH(TableOverallRank[[#This Row],[OVERALL PLAYER]],TableOverallMaster[OVERALL PLAYER],0)),"")</f>
        <v>10</v>
      </c>
      <c r="AS297" s="119">
        <f>IFERROR(INDEX(TableOverallMaster[Custom],MATCH(TableOverallRank[[#This Row],[OVERALL PLAYER]],TableOverallMaster[OVERALL PLAYER],0)),"")</f>
        <v>46.554964034031769</v>
      </c>
      <c r="AT297" s="121">
        <f>IFERROR(INDEX(TableOverallMaster[VORP],MATCH(TableOverallRank[[#This Row],[OVERALL PLAYER]],TableOverallMaster[OVERALL PLAYER],0)),"")</f>
        <v>-0.82052510613837915</v>
      </c>
      <c r="AY297" s="57"/>
      <c r="AZ297" s="114"/>
    </row>
    <row r="298" spans="32:52" x14ac:dyDescent="0.2">
      <c r="AF298" t="s">
        <v>10</v>
      </c>
      <c r="AG298">
        <v>47</v>
      </c>
      <c r="AH298" s="83">
        <f>RANK(TableOverallMaster[[#This Row],[VORP]],TableOverallMaster[VORP])+COUNTIF($AM$2:AM298,AM298)-1</f>
        <v>285</v>
      </c>
      <c r="AI298" s="115" t="str">
        <f>IFERROR(INDEX(TableTEVORP[TIGHT END],MATCH(TableOverallMaster[[#This Row],[RK]],TableTEVORP[RK],0)),"")</f>
        <v>Austin Hooper</v>
      </c>
      <c r="AJ298" s="115" t="str">
        <f t="shared" si="4"/>
        <v>TE47</v>
      </c>
      <c r="AK298" s="115">
        <f>IFERROR(INDEX(TableTEVORP[BYE],MATCH(TableOverallMaster[[#This Row],[RK]],TableTEVORP[RK],0)),"")</f>
        <v>14</v>
      </c>
      <c r="AL298" s="116">
        <f>IFERROR(INDEX(TableTEVORP[FPS],MATCH(TableOverallMaster[[#This Row],[RK]],TableTEVORP[RK],0)),"")</f>
        <v>35.870510360635265</v>
      </c>
      <c r="AM298" s="117">
        <f>IFERROR(INDEX(TableTEVORP[VORP],MATCH(TableOverallMaster[[#This Row],[RK]],TableTEVORP[RK],0)),"")</f>
        <v>-0.72750854675667309</v>
      </c>
      <c r="AO298">
        <v>297</v>
      </c>
      <c r="AP298" s="118" t="str">
        <f>IFERROR(INDEX(TableOverallMaster[OVERALL PLAYER],MATCH(TableOverallRank[[#This Row],[RK]],TableOverallMaster[OVR RK],0)),"")</f>
        <v>Nick Mullens</v>
      </c>
      <c r="AQ298" s="119" t="str">
        <f>IFERROR(INDEX(TableOverallMaster[POS RK],MATCH(TableOverallRank[[#This Row],[OVERALL PLAYER]],TableOverallMaster[OVERALL PLAYER],0)),"")</f>
        <v>QB37</v>
      </c>
      <c r="AR298" s="120">
        <f>IFERROR(INDEX(TableOverallMaster[BYE],MATCH(TableOverallRank[[#This Row],[OVERALL PLAYER]],TableOverallMaster[OVERALL PLAYER],0)),"")</f>
        <v>6</v>
      </c>
      <c r="AS298" s="119">
        <f>IFERROR(INDEX(TableOverallMaster[Custom],MATCH(TableOverallRank[[#This Row],[OVERALL PLAYER]],TableOverallMaster[OVERALL PLAYER],0)),"")</f>
        <v>33.390141439999994</v>
      </c>
      <c r="AT298" s="121">
        <f>IFERROR(INDEX(TableOverallMaster[VORP],MATCH(TableOverallRank[[#This Row],[OVERALL PLAYER]],TableOverallMaster[OVERALL PLAYER],0)),"")</f>
        <v>-0.84698398307794243</v>
      </c>
      <c r="AY298" s="57"/>
      <c r="AZ298" s="114"/>
    </row>
    <row r="299" spans="32:52" x14ac:dyDescent="0.2">
      <c r="AF299" t="s">
        <v>10</v>
      </c>
      <c r="AG299">
        <v>48</v>
      </c>
      <c r="AH299" s="83">
        <f>RANK(TableOverallMaster[[#This Row],[VORP]],TableOverallMaster[VORP])+COUNTIF($AM$2:AM299,AM299)-1</f>
        <v>290</v>
      </c>
      <c r="AI299" s="115" t="str">
        <f>IFERROR(INDEX(TableTEVORP[TIGHT END],MATCH(TableOverallMaster[[#This Row],[RK]],TableTEVORP[RK],0)),"")</f>
        <v>Cade Stover</v>
      </c>
      <c r="AJ299" s="115" t="str">
        <f t="shared" si="4"/>
        <v>TE48</v>
      </c>
      <c r="AK299" s="115">
        <f>IFERROR(INDEX(TableTEVORP[BYE],MATCH(TableOverallMaster[[#This Row],[RK]],TableTEVORP[RK],0)),"")</f>
        <v>14</v>
      </c>
      <c r="AL299" s="116">
        <f>IFERROR(INDEX(TableTEVORP[FPS],MATCH(TableOverallMaster[[#This Row],[RK]],TableTEVORP[RK],0)),"")</f>
        <v>32.672274321811308</v>
      </c>
      <c r="AM299" s="117">
        <f>IFERROR(INDEX(TableTEVORP[VORP],MATCH(TableOverallMaster[[#This Row],[RK]],TableTEVORP[RK],0)),"")</f>
        <v>-0.75180404680037216</v>
      </c>
      <c r="AO299">
        <v>298</v>
      </c>
      <c r="AP299" s="118" t="str">
        <f>IFERROR(INDEX(TableOverallMaster[OVERALL PLAYER],MATCH(TableOverallRank[[#This Row],[RK]],TableOverallMaster[OVR RK],0)),"")</f>
        <v>Sam Howell</v>
      </c>
      <c r="AQ299" s="119" t="str">
        <f>IFERROR(INDEX(TableOverallMaster[POS RK],MATCH(TableOverallRank[[#This Row],[OVERALL PLAYER]],TableOverallMaster[OVERALL PLAYER],0)),"")</f>
        <v>QB38</v>
      </c>
      <c r="AR299" s="120">
        <f>IFERROR(INDEX(TableOverallMaster[BYE],MATCH(TableOverallRank[[#This Row],[OVERALL PLAYER]],TableOverallMaster[OVERALL PLAYER],0)),"")</f>
        <v>10</v>
      </c>
      <c r="AS299" s="119">
        <f>IFERROR(INDEX(TableOverallMaster[Custom],MATCH(TableOverallRank[[#This Row],[OVERALL PLAYER]],TableOverallMaster[OVERALL PLAYER],0)),"")</f>
        <v>27.688196317621554</v>
      </c>
      <c r="AT299" s="121">
        <f>IFERROR(INDEX(TableOverallMaster[VORP],MATCH(TableOverallRank[[#This Row],[OVERALL PLAYER]],TableOverallMaster[OVERALL PLAYER],0)),"")</f>
        <v>-0.862474046490188</v>
      </c>
      <c r="AY299" s="57"/>
      <c r="AZ299" s="114"/>
    </row>
    <row r="300" spans="32:52" x14ac:dyDescent="0.2">
      <c r="AF300" t="s">
        <v>10</v>
      </c>
      <c r="AG300">
        <v>49</v>
      </c>
      <c r="AH300" s="83">
        <f>RANK(TableOverallMaster[[#This Row],[VORP]],TableOverallMaster[VORP])+COUNTIF($AM$2:AM300,AM300)-1</f>
        <v>291</v>
      </c>
      <c r="AI300" s="115" t="str">
        <f>IFERROR(INDEX(TableTEVORP[TIGHT END],MATCH(TableOverallMaster[[#This Row],[RK]],TableTEVORP[RK],0)),"")</f>
        <v>Gerald Everett</v>
      </c>
      <c r="AJ300" s="115" t="str">
        <f t="shared" si="4"/>
        <v>TE49</v>
      </c>
      <c r="AK300" s="115">
        <f>IFERROR(INDEX(TableTEVORP[BYE],MATCH(TableOverallMaster[[#This Row],[RK]],TableTEVORP[RK],0)),"")</f>
        <v>7</v>
      </c>
      <c r="AL300" s="116">
        <f>IFERROR(INDEX(TableTEVORP[FPS],MATCH(TableOverallMaster[[#This Row],[RK]],TableTEVORP[RK],0)),"")</f>
        <v>28.159483725102589</v>
      </c>
      <c r="AM300" s="117">
        <f>IFERROR(INDEX(TableTEVORP[VORP],MATCH(TableOverallMaster[[#This Row],[RK]],TableTEVORP[RK],0)),"")</f>
        <v>-0.78608560163516095</v>
      </c>
      <c r="AO300">
        <v>299</v>
      </c>
      <c r="AP300" s="118" t="str">
        <f>IFERROR(INDEX(TableOverallMaster[OVERALL PLAYER],MATCH(TableOverallRank[[#This Row],[RK]],TableOverallMaster[OVR RK],0)),"")</f>
        <v>Easton Stick</v>
      </c>
      <c r="AQ300" s="119" t="str">
        <f>IFERROR(INDEX(TableOverallMaster[POS RK],MATCH(TableOverallRank[[#This Row],[OVERALL PLAYER]],TableOverallMaster[OVERALL PLAYER],0)),"")</f>
        <v>QB39</v>
      </c>
      <c r="AR300" s="120">
        <f>IFERROR(INDEX(TableOverallMaster[BYE],MATCH(TableOverallRank[[#This Row],[OVERALL PLAYER]],TableOverallMaster[OVERALL PLAYER],0)),"")</f>
        <v>5</v>
      </c>
      <c r="AS300" s="119">
        <f>IFERROR(INDEX(TableOverallMaster[Custom],MATCH(TableOverallRank[[#This Row],[OVERALL PLAYER]],TableOverallMaster[OVERALL PLAYER],0)),"")</f>
        <v>24.425186876458412</v>
      </c>
      <c r="AT300" s="121">
        <f>IFERROR(INDEX(TableOverallMaster[VORP],MATCH(TableOverallRank[[#This Row],[OVERALL PLAYER]],TableOverallMaster[OVERALL PLAYER],0)),"")</f>
        <v>-0.87171881451398237</v>
      </c>
      <c r="AY300" s="57"/>
      <c r="AZ300" s="114"/>
    </row>
    <row r="301" spans="32:52" x14ac:dyDescent="0.2">
      <c r="AF301" t="s">
        <v>10</v>
      </c>
      <c r="AG301">
        <v>50</v>
      </c>
      <c r="AH301" s="83">
        <f>RANK(TableOverallMaster[[#This Row],[VORP]],TableOverallMaster[VORP])+COUNTIF($AM$2:AM301,AM301)-1</f>
        <v>292</v>
      </c>
      <c r="AI301" s="115" t="str">
        <f>IFERROR(INDEX(TableTEVORP[TIGHT END],MATCH(TableOverallMaster[[#This Row],[RK]],TableTEVORP[RK],0)),"")</f>
        <v>Charlie Woerner</v>
      </c>
      <c r="AJ301" s="115" t="str">
        <f t="shared" si="4"/>
        <v>TE50</v>
      </c>
      <c r="AK301" s="115">
        <f>IFERROR(INDEX(TableTEVORP[BYE],MATCH(TableOverallMaster[[#This Row],[RK]],TableTEVORP[RK],0)),"")</f>
        <v>12</v>
      </c>
      <c r="AL301" s="116">
        <f>IFERROR(INDEX(TableTEVORP[FPS],MATCH(TableOverallMaster[[#This Row],[RK]],TableTEVORP[RK],0)),"")</f>
        <v>27.714480291641177</v>
      </c>
      <c r="AM301" s="117">
        <f>IFERROR(INDEX(TableTEVORP[VORP],MATCH(TableOverallMaster[[#This Row],[RK]],TableTEVORP[RK],0)),"")</f>
        <v>-0.7894660841279677</v>
      </c>
      <c r="AO301">
        <v>300</v>
      </c>
      <c r="AP301" s="118" t="str">
        <f>IFERROR(INDEX(TableOverallMaster[OVERALL PLAYER],MATCH(TableOverallRank[[#This Row],[RK]],TableOverallMaster[OVR RK],0)),"")</f>
        <v>Clayton Tune</v>
      </c>
      <c r="AQ301" s="119" t="str">
        <f>IFERROR(INDEX(TableOverallMaster[POS RK],MATCH(TableOverallRank[[#This Row],[OVERALL PLAYER]],TableOverallMaster[OVERALL PLAYER],0)),"")</f>
        <v>QB40</v>
      </c>
      <c r="AR301" s="120">
        <f>IFERROR(INDEX(TableOverallMaster[BYE],MATCH(TableOverallRank[[#This Row],[OVERALL PLAYER]],TableOverallMaster[OVERALL PLAYER],0)),"")</f>
        <v>11</v>
      </c>
      <c r="AS301" s="119">
        <f>IFERROR(INDEX(TableOverallMaster[Custom],MATCH(TableOverallRank[[#This Row],[OVERALL PLAYER]],TableOverallMaster[OVERALL PLAYER],0)),"")</f>
        <v>16.462684903460051</v>
      </c>
      <c r="AT301" s="121">
        <f>IFERROR(INDEX(TableOverallMaster[VORP],MATCH(TableOverallRank[[#This Row],[OVERALL PLAYER]],TableOverallMaster[OVERALL PLAYER],0)),"")</f>
        <v>-0.89357003450177919</v>
      </c>
      <c r="AY301" s="57"/>
      <c r="AZ301" s="114"/>
    </row>
    <row r="302" spans="32:52" x14ac:dyDescent="0.2">
      <c r="AY302" s="57"/>
      <c r="AZ302" s="114"/>
    </row>
    <row r="303" spans="32:52" x14ac:dyDescent="0.2">
      <c r="AY303" s="57"/>
      <c r="AZ303" s="114"/>
    </row>
    <row r="304" spans="32:52" x14ac:dyDescent="0.2">
      <c r="AY304" s="57"/>
      <c r="AZ304" s="114"/>
    </row>
    <row r="305" spans="51:52" x14ac:dyDescent="0.2">
      <c r="AY305" s="57"/>
      <c r="AZ305" s="114"/>
    </row>
    <row r="306" spans="51:52" x14ac:dyDescent="0.2">
      <c r="AY306" s="57"/>
      <c r="AZ306" s="114"/>
    </row>
  </sheetData>
  <sheetProtection sheet="1" objects="1" scenarios="1" sort="0" autoFilter="0"/>
  <protectedRanges>
    <protectedRange sqref="A1:AE239 AS1 AZ1" name="VORPSort"/>
  </protectedRanges>
  <sortState xmlns:xlrd2="http://schemas.microsoft.com/office/spreadsheetml/2017/richdata2" ref="AW2:AZ281">
    <sortCondition descending="1" ref="AZ2:AZ281"/>
  </sortState>
  <pageMargins left="0.7" right="0.7" top="0.75" bottom="0.75" header="0.3" footer="0.3"/>
  <pageSetup orientation="portrait" verticalDpi="90" r:id="rId1"/>
  <ignoredErrors>
    <ignoredError sqref="AI42:AI141 AI142:AI251 AI252:AI301 AL2:AL301 A2:A101 V2:V101 O2:O226 H2:H176" calculatedColumn="1"/>
  </ignoredErrors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39"/>
  <dimension ref="A1:AP327"/>
  <sheetViews>
    <sheetView showGridLines="0" zoomScale="85" zoomScaleNormal="85" workbookViewId="0">
      <pane ySplit="2" topLeftCell="A3" activePane="bottomLeft" state="frozen"/>
      <selection activeCell="A3" sqref="A3"/>
      <selection pane="bottomLeft" activeCell="AE28" sqref="AE28"/>
    </sheetView>
  </sheetViews>
  <sheetFormatPr defaultColWidth="5.7109375" defaultRowHeight="15" x14ac:dyDescent="0.25"/>
  <cols>
    <col min="1" max="1" width="3.5703125" style="59" bestFit="1" customWidth="1"/>
    <col min="2" max="2" width="5" style="59" customWidth="1"/>
    <col min="3" max="3" width="27.5703125" style="59" bestFit="1" customWidth="1"/>
    <col min="4" max="4" width="5.28515625" style="59" bestFit="1" customWidth="1"/>
    <col min="5" max="5" width="4.28515625" style="59" bestFit="1" customWidth="1"/>
    <col min="6" max="6" width="7.7109375" style="59" bestFit="1" customWidth="1"/>
    <col min="7" max="7" width="5.7109375" style="59"/>
    <col min="8" max="8" width="4.140625" style="59" bestFit="1" customWidth="1"/>
    <col min="9" max="9" width="6.42578125" style="59" customWidth="1"/>
    <col min="10" max="10" width="22.28515625" style="59" bestFit="1" customWidth="1"/>
    <col min="11" max="11" width="5.140625" style="59" bestFit="1" customWidth="1"/>
    <col min="12" max="12" width="4.28515625" style="59" bestFit="1" customWidth="1"/>
    <col min="13" max="13" width="7.7109375" style="59" bestFit="1" customWidth="1"/>
    <col min="14" max="14" width="5.7109375" style="59"/>
    <col min="15" max="15" width="4.140625" style="59" bestFit="1" customWidth="1"/>
    <col min="16" max="16" width="7.140625" style="59" bestFit="1" customWidth="1"/>
    <col min="17" max="17" width="25.5703125" style="59" bestFit="1" customWidth="1"/>
    <col min="18" max="18" width="5.28515625" style="59" bestFit="1" customWidth="1"/>
    <col min="19" max="19" width="4.28515625" style="59" bestFit="1" customWidth="1"/>
    <col min="20" max="20" width="7.7109375" style="59" bestFit="1" customWidth="1"/>
    <col min="21" max="21" width="5.7109375" style="59"/>
    <col min="22" max="22" width="3.5703125" style="59" bestFit="1" customWidth="1"/>
    <col min="23" max="23" width="6" style="59" bestFit="1" customWidth="1"/>
    <col min="24" max="24" width="21.42578125" style="59" bestFit="1" customWidth="1"/>
    <col min="25" max="25" width="5.28515625" style="59" bestFit="1" customWidth="1"/>
    <col min="26" max="26" width="4.28515625" style="59" bestFit="1" customWidth="1"/>
    <col min="27" max="27" width="7.7109375" style="59" bestFit="1" customWidth="1"/>
    <col min="28" max="28" width="5.7109375" style="59"/>
    <col min="29" max="29" width="3.5703125" style="59" bestFit="1" customWidth="1"/>
    <col min="30" max="30" width="7.42578125" style="59" bestFit="1" customWidth="1"/>
    <col min="31" max="31" width="26.5703125" style="59" bestFit="1" customWidth="1"/>
    <col min="32" max="32" width="4.28515625" style="59" bestFit="1" customWidth="1"/>
    <col min="33" max="33" width="7.7109375" style="59" bestFit="1" customWidth="1"/>
    <col min="34" max="34" width="5.7109375" style="59"/>
    <col min="35" max="35" width="4.5703125" style="59" bestFit="1" customWidth="1"/>
    <col min="36" max="36" width="4.140625" style="59" bestFit="1" customWidth="1"/>
    <col min="37" max="37" width="7.5703125" style="59" bestFit="1" customWidth="1"/>
    <col min="38" max="38" width="25.5703125" style="59" bestFit="1" customWidth="1"/>
    <col min="39" max="39" width="7.42578125" style="59" bestFit="1" customWidth="1"/>
    <col min="40" max="40" width="5.28515625" style="59" bestFit="1" customWidth="1"/>
    <col min="41" max="41" width="4.28515625" style="59" bestFit="1" customWidth="1"/>
    <col min="42" max="42" width="7.7109375" style="59" bestFit="1" customWidth="1"/>
    <col min="43" max="16384" width="5.7109375" style="59"/>
  </cols>
  <sheetData>
    <row r="1" spans="1:42" x14ac:dyDescent="0.25">
      <c r="B1" s="102" t="s">
        <v>378</v>
      </c>
    </row>
    <row r="2" spans="1:42" s="58" customFormat="1" x14ac:dyDescent="0.25">
      <c r="A2" s="58" t="s">
        <v>136</v>
      </c>
      <c r="B2" s="58" t="s">
        <v>360</v>
      </c>
      <c r="C2" s="58" t="s">
        <v>0</v>
      </c>
      <c r="D2" s="58" t="s">
        <v>86</v>
      </c>
      <c r="E2" s="58" t="s">
        <v>122</v>
      </c>
      <c r="F2" s="58" t="s">
        <v>321</v>
      </c>
      <c r="H2" s="58" t="s">
        <v>136</v>
      </c>
      <c r="I2" s="58" t="s">
        <v>361</v>
      </c>
      <c r="J2" s="58" t="s">
        <v>0</v>
      </c>
      <c r="K2" s="58" t="s">
        <v>86</v>
      </c>
      <c r="L2" s="58" t="s">
        <v>122</v>
      </c>
      <c r="M2" s="58" t="s">
        <v>321</v>
      </c>
      <c r="O2" s="58" t="s">
        <v>136</v>
      </c>
      <c r="P2" s="58" t="s">
        <v>362</v>
      </c>
      <c r="Q2" s="58" t="s">
        <v>0</v>
      </c>
      <c r="R2" s="58" t="s">
        <v>86</v>
      </c>
      <c r="S2" s="58" t="s">
        <v>122</v>
      </c>
      <c r="T2" s="58" t="s">
        <v>321</v>
      </c>
      <c r="V2" s="58" t="s">
        <v>136</v>
      </c>
      <c r="W2" s="58" t="s">
        <v>363</v>
      </c>
      <c r="X2" s="58" t="s">
        <v>0</v>
      </c>
      <c r="Y2" s="58" t="s">
        <v>86</v>
      </c>
      <c r="Z2" s="58" t="s">
        <v>122</v>
      </c>
      <c r="AA2" s="58" t="s">
        <v>321</v>
      </c>
      <c r="AC2" s="58" t="s">
        <v>136</v>
      </c>
      <c r="AD2" s="58" t="s">
        <v>364</v>
      </c>
      <c r="AE2" s="58" t="s">
        <v>0</v>
      </c>
      <c r="AF2" s="58" t="s">
        <v>122</v>
      </c>
      <c r="AG2" s="58" t="s">
        <v>321</v>
      </c>
      <c r="AI2" s="58" t="s">
        <v>8</v>
      </c>
      <c r="AJ2" s="58" t="s">
        <v>136</v>
      </c>
      <c r="AK2" s="58" t="s">
        <v>380</v>
      </c>
      <c r="AL2" s="58" t="s">
        <v>0</v>
      </c>
      <c r="AM2" s="58" t="s">
        <v>379</v>
      </c>
      <c r="AN2" s="58" t="s">
        <v>86</v>
      </c>
      <c r="AO2" s="58" t="s">
        <v>122</v>
      </c>
      <c r="AP2" s="58" t="s">
        <v>321</v>
      </c>
    </row>
    <row r="3" spans="1:42" x14ac:dyDescent="0.25">
      <c r="A3" s="61">
        <f>IFERROR(RANK(TableQBCalcPts[[#This Row],[Custom]],TableQBCalcPts[Custom])+COUNTIF($F$3:F3,F3)-1,"")</f>
        <v>13</v>
      </c>
      <c r="B3" s="59">
        <v>1</v>
      </c>
      <c r="C3" s="59" t="str">
        <f>IFERROR(INDEX(TableQBMaster[Player],MATCH(TableQBCalcPts[[#This Row],[QBRef]],TableQBMaster[QBRef],0)),"")</f>
        <v>Kyler Murray</v>
      </c>
      <c r="D3" s="59" t="str">
        <f>IFERROR(INDEX(TableQBMaster[TM],MATCH(TableQBCalcPts[[#This Row],[QBRef]],TableQBMaster[QBRef],0)),"")</f>
        <v>ARI</v>
      </c>
      <c r="E3" s="59">
        <f>IFERROR(INDEX(TableQBMaster[BYE],MATCH(TableQBCalcPts[[#This Row],[QBRef]],TableQBMaster[QBRef],0)),"")</f>
        <v>11</v>
      </c>
      <c r="F3" s="60">
        <f>IFERROR(INDEX(TableQBMaster[Custom],MATCH(TableQBCalcPts[[#This Row],[QBRef]],TableQBMaster[QBRef],0)),"")</f>
        <v>308.03397965325968</v>
      </c>
      <c r="H3" s="59">
        <f>IFERROR(RANK(TableRBCalcPts[[#This Row],[Custom]],TableRBCalcPts[Custom])+COUNTIF($M$3:M3,M3)-1,"")</f>
        <v>20</v>
      </c>
      <c r="I3" s="59">
        <v>1</v>
      </c>
      <c r="J3" s="59" t="str">
        <f>IFERROR(INDEX(TableRBMaster[Player],MATCH(TableRBCalcPts[[#This Row],[RBRef]],TableRBMaster[RBRef],0)),"")</f>
        <v>James Conner</v>
      </c>
      <c r="K3" s="59" t="str">
        <f>IFERROR(INDEX(TableRBMaster[TM],MATCH(TableRBCalcPts[[#This Row],[RBRef]],TableRBMaster[RBRef],0)),"")</f>
        <v>ARI</v>
      </c>
      <c r="L3" s="59">
        <f>IFERROR(INDEX(TableRBMaster[BYE],MATCH(TableRBCalcPts[[#This Row],[RBRef]],TableRBMaster[RBRef],0)),"")</f>
        <v>11</v>
      </c>
      <c r="M3" s="60">
        <f>IFERROR(INDEX(TableRBMaster[Custom],MATCH(TableRBCalcPts[[#This Row],[RBRef]],TableRBMaster[RBRef],0)),"")</f>
        <v>191.74352001145337</v>
      </c>
      <c r="O3" s="59">
        <f>IFERROR(RANK(TableWRCalcPts[[#This Row],[Custom]],TableWRCalcPts[Custom])+COUNTIF($T$3:T3,T3)-1,"")</f>
        <v>20</v>
      </c>
      <c r="P3" s="59">
        <v>1</v>
      </c>
      <c r="Q3" s="59" t="str">
        <f>IFERROR(INDEX(TableWRMaster[Player],MATCH(TableWRCalcPts[[#This Row],[WRRef]],TableWRMaster[WRRef],0)),"")</f>
        <v>Marvin Harrison</v>
      </c>
      <c r="R3" s="59" t="str">
        <f>IFERROR(INDEX(TableWRMaster[TM],MATCH(TableWRCalcPts[[#This Row],[WRRef]],TableWRMaster[WRRef],0)),"")</f>
        <v>ARI</v>
      </c>
      <c r="S3" s="59">
        <f>IFERROR(INDEX(TableWRMaster[BYE],MATCH(TableWRCalcPts[[#This Row],[WRRef]],TableWRMaster[WRRef],0)),"")</f>
        <v>11</v>
      </c>
      <c r="T3" s="60">
        <f>IFERROR(INDEX(TableWRMaster[Custom],MATCH(TableWRCalcPts[[#This Row],[WRRef]],TableWRMaster[WRRef],0)),"")</f>
        <v>196.12822049057965</v>
      </c>
      <c r="V3" s="59">
        <f>IFERROR(RANK(TableTECalcPts[[#This Row],[Custom]],TableTECalcPts[Custom])+COUNTIF($AA$3:AA3,AA3)-1,"")</f>
        <v>5</v>
      </c>
      <c r="W3" s="59">
        <v>1</v>
      </c>
      <c r="X3" s="59" t="str">
        <f>IFERROR(INDEX(TableTEMaster[Player],MATCH(TableTECalcPts[[#This Row],[TERef]],TableTEMaster[TERef],0)),"")</f>
        <v>Trey McBride</v>
      </c>
      <c r="Y3" s="59" t="str">
        <f>IFERROR(INDEX(TableTEMaster[TM],MATCH(TableTECalcPts[[#This Row],[TERef]],TableTEMaster[TERef],0)),"")</f>
        <v>ARI</v>
      </c>
      <c r="Z3" s="59">
        <f>IFERROR(INDEX(TableTEMaster[BYE],MATCH(TableTECalcPts[[#This Row],[TERef]],TableTEMaster[TERef],0)),"")</f>
        <v>11</v>
      </c>
      <c r="AA3" s="60">
        <f>IFERROR(INDEX(TableTEMaster[Custom],MATCH(TableTECalcPts[[#This Row],[TERef]],TableTEMaster[TERef],0)),"")</f>
        <v>170.05237121158649</v>
      </c>
      <c r="AC3" s="59">
        <f>IFERROR(RANK(TableDSTCalcPts[[#This Row],[Custom]],TableDSTCalcPts[Custom],0),"")</f>
        <v>31</v>
      </c>
      <c r="AD3" s="59">
        <v>1</v>
      </c>
      <c r="AE3" s="59" t="str">
        <f>IFERROR(INDEX(TableDSTMaster[Player],MATCH(TableDSTCalcPts[[#This Row],[DSTRef]],TableDSTMaster[DSTRef],0)),"")</f>
        <v>Arizona Cardinals</v>
      </c>
      <c r="AF3" s="59">
        <f>IFERROR(INDEX(TableDSTMaster[BYE],MATCH(TableDSTCalcPts[[#This Row],[DSTRef]],TableDSTMaster[DSTRef],0)),"")</f>
        <v>11</v>
      </c>
      <c r="AG3" s="60">
        <f>IFERROR(INDEX(TableDSTMaster[Custom],MATCH(TableDSTCalcPts[[#This Row],[DSTRef]],TableDSTMaster[DSTRef],0)),"")</f>
        <v>97.050000000000011</v>
      </c>
      <c r="AI3" s="59" t="s">
        <v>10</v>
      </c>
      <c r="AJ3" s="59">
        <f>IFERROR(RANK(TableWRTECalcPts[[#This Row],[Custom]],TableWRTECalcPts[Custom])+COUNTIF($AP$3:AP3,AP3)-1,"")</f>
        <v>44</v>
      </c>
      <c r="AK3" s="59">
        <v>1</v>
      </c>
      <c r="AL3" s="59" t="str">
        <f>IFERROR(INDEX(TableTEMaster[Player],MATCH(TableWRTECalcPts[[#This Row],[POSRef]],TableTEMaster[TERef],0)),"")</f>
        <v>Trey McBride</v>
      </c>
      <c r="AM3" s="59" t="str">
        <f>IFERROR(_xlfn.CONCAT(TableWRTECalcPts[[#This Row],[POS]],INDEX(TableTERanks[RK],MATCH(TableWRTECalcPts[[#This Row],[PLAYER]],TableTERanks[Player],0))),"")</f>
        <v>TE5</v>
      </c>
      <c r="AN3" s="59" t="str">
        <f>IFERROR(INDEX(TableTEMaster[TM],MATCH(TableWRTECalcPts[[#This Row],[POSRef]],TableTEMaster[TERef],0)),"")</f>
        <v>ARI</v>
      </c>
      <c r="AO3" s="59">
        <f>IFERROR(INDEX(TableTEMaster[BYE],MATCH(TableWRTECalcPts[[#This Row],[POSRef]],TableTEMaster[TERef],0)),"")</f>
        <v>11</v>
      </c>
      <c r="AP3" s="60">
        <f>IFERROR(INDEX(TableTEMaster[Custom],MATCH(TableWRTECalcPts[[#This Row],[POSRef]],TableTEMaster[TERef],0)),"")</f>
        <v>170.05237121158649</v>
      </c>
    </row>
    <row r="4" spans="1:42" x14ac:dyDescent="0.25">
      <c r="A4" s="61">
        <f>IFERROR(RANK(TableQBCalcPts[[#This Row],[Custom]],TableQBCalcPts[Custom])+COUNTIF($F$3:F4,F4)-1,"")</f>
        <v>40</v>
      </c>
      <c r="B4" s="59">
        <v>2</v>
      </c>
      <c r="C4" s="59" t="str">
        <f>IFERROR(INDEX(TableQBMaster[Player],MATCH(TableQBCalcPts[[#This Row],[QBRef]],TableQBMaster[QBRef],0)),"")</f>
        <v>Clayton Tune</v>
      </c>
      <c r="D4" s="59" t="str">
        <f>IFERROR(INDEX(TableQBMaster[TM],MATCH(TableQBCalcPts[[#This Row],[QBRef]],TableQBMaster[QBRef],0)),"")</f>
        <v>ARI</v>
      </c>
      <c r="E4" s="59">
        <f>IFERROR(INDEX(TableQBMaster[BYE],MATCH(TableQBCalcPts[[#This Row],[QBRef]],TableQBMaster[QBRef],0)),"")</f>
        <v>11</v>
      </c>
      <c r="F4" s="60">
        <f>IFERROR(INDEX(TableQBMaster[Custom],MATCH(TableQBCalcPts[[#This Row],[QBRef]],TableQBMaster[QBRef],0)),"")</f>
        <v>16.462684903460051</v>
      </c>
      <c r="H4" s="59">
        <f>IFERROR(RANK(TableRBCalcPts[[#This Row],[Custom]],TableRBCalcPts[Custom])+COUNTIF($M$3:M4,M4)-1,"")</f>
        <v>44</v>
      </c>
      <c r="I4" s="59">
        <v>2</v>
      </c>
      <c r="J4" s="59" t="str">
        <f>IFERROR(INDEX(TableRBMaster[Player],MATCH(TableRBCalcPts[[#This Row],[RBRef]],TableRBMaster[RBRef],0)),"")</f>
        <v>Trey Benson</v>
      </c>
      <c r="K4" s="59" t="str">
        <f>IFERROR(INDEX(TableRBMaster[TM],MATCH(TableRBCalcPts[[#This Row],[RBRef]],TableRBMaster[RBRef],0)),"")</f>
        <v>ARI</v>
      </c>
      <c r="L4" s="59">
        <f>IFERROR(INDEX(TableRBMaster[BYE],MATCH(TableRBCalcPts[[#This Row],[RBRef]],TableRBMaster[RBRef],0)),"")</f>
        <v>11</v>
      </c>
      <c r="M4" s="60">
        <f>IFERROR(INDEX(TableRBMaster[Custom],MATCH(TableRBCalcPts[[#This Row],[RBRef]],TableRBMaster[RBRef],0)),"")</f>
        <v>119.91287631789652</v>
      </c>
      <c r="O4" s="59">
        <f>IFERROR(RANK(TableWRCalcPts[[#This Row],[Custom]],TableWRCalcPts[Custom])+COUNTIF($T$3:T4,T4)-1,"")</f>
        <v>74</v>
      </c>
      <c r="P4" s="59">
        <v>2</v>
      </c>
      <c r="Q4" s="59" t="str">
        <f>IFERROR(INDEX(TableWRMaster[Player],MATCH(TableWRCalcPts[[#This Row],[WRRef]],TableWRMaster[WRRef],0)),"")</f>
        <v>Michael Wilson</v>
      </c>
      <c r="R4" s="59" t="str">
        <f>IFERROR(INDEX(TableWRMaster[TM],MATCH(TableWRCalcPts[[#This Row],[WRRef]],TableWRMaster[WRRef],0)),"")</f>
        <v>ARI</v>
      </c>
      <c r="S4" s="59">
        <f>IFERROR(INDEX(TableWRMaster[BYE],MATCH(TableWRCalcPts[[#This Row],[WRRef]],TableWRMaster[WRRef],0)),"")</f>
        <v>11</v>
      </c>
      <c r="T4" s="60">
        <f>IFERROR(INDEX(TableWRMaster[Custom],MATCH(TableWRCalcPts[[#This Row],[WRRef]],TableWRMaster[WRRef],0)),"")</f>
        <v>109.27077006195002</v>
      </c>
      <c r="V4" s="59">
        <f>IFERROR(RANK(TableTECalcPts[[#This Row],[Custom]],TableTECalcPts[Custom])+COUNTIF($AA$3:AA4,AA4)-1,"")</f>
        <v>79</v>
      </c>
      <c r="W4" s="59">
        <v>2</v>
      </c>
      <c r="X4" s="59" t="str">
        <f>IFERROR(INDEX(TableTEMaster[Player],MATCH(TableTECalcPts[[#This Row],[TERef]],TableTEMaster[TERef],0)),"")</f>
        <v>Tip Reiman</v>
      </c>
      <c r="Y4" s="59" t="str">
        <f>IFERROR(INDEX(TableTEMaster[TM],MATCH(TableTECalcPts[[#This Row],[TERef]],TableTEMaster[TERef],0)),"")</f>
        <v>ARI</v>
      </c>
      <c r="Z4" s="59">
        <f>IFERROR(INDEX(TableTEMaster[BYE],MATCH(TableTECalcPts[[#This Row],[TERef]],TableTEMaster[TERef],0)),"")</f>
        <v>11</v>
      </c>
      <c r="AA4" s="60">
        <f>IFERROR(INDEX(TableTEMaster[Custom],MATCH(TableTECalcPts[[#This Row],[TERef]],TableTEMaster[TERef],0)),"")</f>
        <v>7.3577361734200606</v>
      </c>
      <c r="AC4" s="59">
        <f>IFERROR(RANK(TableDSTCalcPts[[#This Row],[Custom]],TableDSTCalcPts[Custom],0),"")</f>
        <v>26</v>
      </c>
      <c r="AD4" s="59">
        <v>2</v>
      </c>
      <c r="AE4" s="59" t="str">
        <f>IFERROR(INDEX(TableDSTMaster[Player],MATCH(TableDSTCalcPts[[#This Row],[DSTRef]],TableDSTMaster[DSTRef],0)),"")</f>
        <v>Atlanta Falcons</v>
      </c>
      <c r="AF4" s="59">
        <f>IFERROR(INDEX(TableDSTMaster[BYE],MATCH(TableDSTCalcPts[[#This Row],[DSTRef]],TableDSTMaster[DSTRef],0)),"")</f>
        <v>12</v>
      </c>
      <c r="AG4" s="60">
        <f>IFERROR(INDEX(TableDSTMaster[Custom],MATCH(TableDSTCalcPts[[#This Row],[DSTRef]],TableDSTMaster[DSTRef],0)),"")</f>
        <v>100.60000000000001</v>
      </c>
      <c r="AI4" s="59" t="s">
        <v>10</v>
      </c>
      <c r="AJ4" s="59">
        <f>IFERROR(RANK(TableWRTECalcPts[[#This Row],[Custom]],TableWRTECalcPts[Custom])+COUNTIF($AP$3:AP4,AP4)-1,"")</f>
        <v>250</v>
      </c>
      <c r="AK4" s="59">
        <v>2</v>
      </c>
      <c r="AL4" s="59" t="str">
        <f>IFERROR(INDEX(TableTEMaster[Player],MATCH(TableWRTECalcPts[[#This Row],[POSRef]],TableTEMaster[TERef],0)),"")</f>
        <v>Tip Reiman</v>
      </c>
      <c r="AM4" s="59" t="str">
        <f>IFERROR(_xlfn.CONCAT(TableWRTECalcPts[[#This Row],[POS]],INDEX(TableTERanks[RK],MATCH(TableWRTECalcPts[[#This Row],[PLAYER]],TableTERanks[Player],0))),"")</f>
        <v>TE79</v>
      </c>
      <c r="AN4" s="59" t="str">
        <f>IFERROR(INDEX(TableTEMaster[TM],MATCH(TableWRTECalcPts[[#This Row],[POSRef]],TableTEMaster[TERef],0)),"")</f>
        <v>ARI</v>
      </c>
      <c r="AO4" s="59">
        <f>IFERROR(INDEX(TableTEMaster[BYE],MATCH(TableWRTECalcPts[[#This Row],[POSRef]],TableTEMaster[TERef],0)),"")</f>
        <v>11</v>
      </c>
      <c r="AP4" s="60">
        <f>IFERROR(INDEX(TableTEMaster[Custom],MATCH(TableWRTECalcPts[[#This Row],[POSRef]],TableTEMaster[TERef],0)),"")</f>
        <v>7.3577361734200606</v>
      </c>
    </row>
    <row r="5" spans="1:42" x14ac:dyDescent="0.25">
      <c r="A5" s="61">
        <f>IFERROR(RANK(TableQBCalcPts[[#This Row],[Custom]],TableQBCalcPts[Custom])+COUNTIF($F$3:F5,F5)-1,"")</f>
        <v>18</v>
      </c>
      <c r="B5" s="59">
        <v>3</v>
      </c>
      <c r="C5" s="59" t="str">
        <f>IFERROR(INDEX(TableQBMaster[Player],MATCH(TableQBCalcPts[[#This Row],[QBRef]],TableQBMaster[QBRef],0)),"")</f>
        <v>Kirk Cousins</v>
      </c>
      <c r="D5" s="59" t="str">
        <f>IFERROR(INDEX(TableQBMaster[TM],MATCH(TableQBCalcPts[[#This Row],[QBRef]],TableQBMaster[QBRef],0)),"")</f>
        <v>ATL</v>
      </c>
      <c r="E5" s="59">
        <f>IFERROR(INDEX(TableQBMaster[BYE],MATCH(TableQBCalcPts[[#This Row],[QBRef]],TableQBMaster[QBRef],0)),"")</f>
        <v>12</v>
      </c>
      <c r="F5" s="60">
        <f>IFERROR(INDEX(TableQBMaster[Custom],MATCH(TableQBCalcPts[[#This Row],[QBRef]],TableQBMaster[QBRef],0)),"")</f>
        <v>292.72218406002816</v>
      </c>
      <c r="H5" s="59">
        <f>IFERROR(RANK(TableRBCalcPts[[#This Row],[Custom]],TableRBCalcPts[Custom])+COUNTIF($M$3:M5,M5)-1,"")</f>
        <v>101</v>
      </c>
      <c r="I5" s="59">
        <v>3</v>
      </c>
      <c r="J5" s="59" t="str">
        <f>IFERROR(INDEX(TableRBMaster[Player],MATCH(TableRBCalcPts[[#This Row],[RBRef]],TableRBMaster[RBRef],0)),"")</f>
        <v>DeeJay Dallas</v>
      </c>
      <c r="K5" s="59" t="str">
        <f>IFERROR(INDEX(TableRBMaster[TM],MATCH(TableRBCalcPts[[#This Row],[RBRef]],TableRBMaster[RBRef],0)),"")</f>
        <v>ARI</v>
      </c>
      <c r="L5" s="59">
        <f>IFERROR(INDEX(TableRBMaster[BYE],MATCH(TableRBCalcPts[[#This Row],[RBRef]],TableRBMaster[RBRef],0)),"")</f>
        <v>11</v>
      </c>
      <c r="M5" s="60">
        <f>IFERROR(INDEX(TableRBMaster[Custom],MATCH(TableRBCalcPts[[#This Row],[RBRef]],TableRBMaster[RBRef],0)),"")</f>
        <v>11.824381621633211</v>
      </c>
      <c r="O5" s="59">
        <f>IFERROR(RANK(TableWRCalcPts[[#This Row],[Custom]],TableWRCalcPts[Custom])+COUNTIF($T$3:T5,T5)-1,"")</f>
        <v>72</v>
      </c>
      <c r="P5" s="59">
        <v>3</v>
      </c>
      <c r="Q5" s="59" t="str">
        <f>IFERROR(INDEX(TableWRMaster[Player],MATCH(TableWRCalcPts[[#This Row],[WRRef]],TableWRMaster[WRRef],0)),"")</f>
        <v>Greg Dortch</v>
      </c>
      <c r="R5" s="59" t="str">
        <f>IFERROR(INDEX(TableWRMaster[TM],MATCH(TableWRCalcPts[[#This Row],[WRRef]],TableWRMaster[WRRef],0)),"")</f>
        <v>ARI</v>
      </c>
      <c r="S5" s="59">
        <f>IFERROR(INDEX(TableWRMaster[BYE],MATCH(TableWRCalcPts[[#This Row],[WRRef]],TableWRMaster[WRRef],0)),"")</f>
        <v>11</v>
      </c>
      <c r="T5" s="60">
        <f>IFERROR(INDEX(TableWRMaster[Custom],MATCH(TableWRCalcPts[[#This Row],[WRRef]],TableWRMaster[WRRef],0)),"")</f>
        <v>114.91314586095427</v>
      </c>
      <c r="V5" s="59">
        <f>IFERROR(RANK(TableTECalcPts[[#This Row],[Custom]],TableTECalcPts[Custom])+COUNTIF($AA$3:AA5,AA5)-1,"")</f>
        <v>60</v>
      </c>
      <c r="W5" s="59">
        <v>3</v>
      </c>
      <c r="X5" s="59" t="str">
        <f>IFERROR(INDEX(TableTEMaster[Player],MATCH(TableTECalcPts[[#This Row],[TERef]],TableTEMaster[TERef],0)),"")</f>
        <v>Elijah Higgins</v>
      </c>
      <c r="Y5" s="59" t="str">
        <f>IFERROR(INDEX(TableTEMaster[TM],MATCH(TableTECalcPts[[#This Row],[TERef]],TableTEMaster[TERef],0)),"")</f>
        <v>ARI</v>
      </c>
      <c r="Z5" s="59">
        <f>IFERROR(INDEX(TableTEMaster[BYE],MATCH(TableTECalcPts[[#This Row],[TERef]],TableTEMaster[TERef],0)),"")</f>
        <v>11</v>
      </c>
      <c r="AA5" s="60">
        <f>IFERROR(INDEX(TableTEMaster[Custom],MATCH(TableTECalcPts[[#This Row],[TERef]],TableTEMaster[TERef],0)),"")</f>
        <v>18.331703037823868</v>
      </c>
      <c r="AC5" s="59">
        <f>IFERROR(RANK(TableDSTCalcPts[[#This Row],[Custom]],TableDSTCalcPts[Custom],0),"")</f>
        <v>2</v>
      </c>
      <c r="AD5" s="59">
        <v>3</v>
      </c>
      <c r="AE5" s="59" t="str">
        <f>IFERROR(INDEX(TableDSTMaster[Player],MATCH(TableDSTCalcPts[[#This Row],[DSTRef]],TableDSTMaster[DSTRef],0)),"")</f>
        <v>Baltimore Ravens</v>
      </c>
      <c r="AF5" s="59">
        <f>IFERROR(INDEX(TableDSTMaster[BYE],MATCH(TableDSTCalcPts[[#This Row],[DSTRef]],TableDSTMaster[DSTRef],0)),"")</f>
        <v>14</v>
      </c>
      <c r="AG5" s="60">
        <f>IFERROR(INDEX(TableDSTMaster[Custom],MATCH(TableDSTCalcPts[[#This Row],[DSTRef]],TableDSTMaster[DSTRef],0)),"")</f>
        <v>117.27500000000001</v>
      </c>
      <c r="AI5" s="59" t="s">
        <v>10</v>
      </c>
      <c r="AJ5" s="59">
        <f>IFERROR(RANK(TableWRTECalcPts[[#This Row],[Custom]],TableWRTECalcPts[Custom])+COUNTIF($AP$3:AP5,AP5)-1,"")</f>
        <v>202</v>
      </c>
      <c r="AK5" s="59">
        <v>3</v>
      </c>
      <c r="AL5" s="59" t="str">
        <f>IFERROR(INDEX(TableTEMaster[Player],MATCH(TableWRTECalcPts[[#This Row],[POSRef]],TableTEMaster[TERef],0)),"")</f>
        <v>Elijah Higgins</v>
      </c>
      <c r="AM5" s="59" t="str">
        <f>IFERROR(_xlfn.CONCAT(TableWRTECalcPts[[#This Row],[POS]],INDEX(TableTERanks[RK],MATCH(TableWRTECalcPts[[#This Row],[PLAYER]],TableTERanks[Player],0))),"")</f>
        <v>TE60</v>
      </c>
      <c r="AN5" s="59" t="str">
        <f>IFERROR(INDEX(TableTEMaster[TM],MATCH(TableWRTECalcPts[[#This Row],[POSRef]],TableTEMaster[TERef],0)),"")</f>
        <v>ARI</v>
      </c>
      <c r="AO5" s="59">
        <f>IFERROR(INDEX(TableTEMaster[BYE],MATCH(TableWRTECalcPts[[#This Row],[POSRef]],TableTEMaster[TERef],0)),"")</f>
        <v>11</v>
      </c>
      <c r="AP5" s="60">
        <f>IFERROR(INDEX(TableTEMaster[Custom],MATCH(TableWRTECalcPts[[#This Row],[POSRef]],TableTEMaster[TERef],0)),"")</f>
        <v>18.331703037823868</v>
      </c>
    </row>
    <row r="6" spans="1:42" x14ac:dyDescent="0.25">
      <c r="A6" s="61">
        <f>IFERROR(RANK(TableQBCalcPts[[#This Row],[Custom]],TableQBCalcPts[Custom])+COUNTIF($F$3:F6,F6)-1,"")</f>
        <v>52</v>
      </c>
      <c r="B6" s="59">
        <v>4</v>
      </c>
      <c r="C6" s="59" t="str">
        <f>IFERROR(INDEX(TableQBMaster[Player],MATCH(TableQBCalcPts[[#This Row],[QBRef]],TableQBMaster[QBRef],0)),"")</f>
        <v>Taylor Heinicke</v>
      </c>
      <c r="D6" s="59" t="str">
        <f>IFERROR(INDEX(TableQBMaster[TM],MATCH(TableQBCalcPts[[#This Row],[QBRef]],TableQBMaster[QBRef],0)),"")</f>
        <v>ATL</v>
      </c>
      <c r="E6" s="59">
        <f>IFERROR(INDEX(TableQBMaster[BYE],MATCH(TableQBCalcPts[[#This Row],[QBRef]],TableQBMaster[QBRef],0)),"")</f>
        <v>12</v>
      </c>
      <c r="F6" s="60">
        <f>IFERROR(INDEX(TableQBMaster[Custom],MATCH(TableQBCalcPts[[#This Row],[QBRef]],TableQBMaster[QBRef],0)),"")</f>
        <v>6.3741828070080002</v>
      </c>
      <c r="H6" s="59">
        <f>IFERROR(RANK(TableRBCalcPts[[#This Row],[Custom]],TableRBCalcPts[Custom])+COUNTIF($M$3:M6,M6)-1,"")</f>
        <v>103</v>
      </c>
      <c r="I6" s="59">
        <v>4</v>
      </c>
      <c r="J6" s="59" t="str">
        <f>IFERROR(INDEX(TableRBMaster[Player],MATCH(TableRBCalcPts[[#This Row],[RBRef]],TableRBMaster[RBRef],0)),"")</f>
        <v>Emari Demercado</v>
      </c>
      <c r="K6" s="59" t="str">
        <f>IFERROR(INDEX(TableRBMaster[TM],MATCH(TableRBCalcPts[[#This Row],[RBRef]],TableRBMaster[RBRef],0)),"")</f>
        <v>ARI</v>
      </c>
      <c r="L6" s="59">
        <f>IFERROR(INDEX(TableRBMaster[BYE],MATCH(TableRBCalcPts[[#This Row],[RBRef]],TableRBMaster[RBRef],0)),"")</f>
        <v>11</v>
      </c>
      <c r="M6" s="60">
        <f>IFERROR(INDEX(TableRBMaster[Custom],MATCH(TableRBCalcPts[[#This Row],[RBRef]],TableRBMaster[RBRef],0)),"")</f>
        <v>10.454307677100001</v>
      </c>
      <c r="O6" s="59">
        <f>IFERROR(RANK(TableWRCalcPts[[#This Row],[Custom]],TableWRCalcPts[Custom])+COUNTIF($T$3:T6,T6)-1,"")</f>
        <v>117</v>
      </c>
      <c r="P6" s="59">
        <v>4</v>
      </c>
      <c r="Q6" s="59" t="str">
        <f>IFERROR(INDEX(TableWRMaster[Player],MATCH(TableWRCalcPts[[#This Row],[WRRef]],TableWRMaster[WRRef],0)),"")</f>
        <v>Zay Jones</v>
      </c>
      <c r="R6" s="59" t="str">
        <f>IFERROR(INDEX(TableWRMaster[TM],MATCH(TableWRCalcPts[[#This Row],[WRRef]],TableWRMaster[WRRef],0)),"")</f>
        <v>ARI</v>
      </c>
      <c r="S6" s="59">
        <f>IFERROR(INDEX(TableWRMaster[BYE],MATCH(TableWRCalcPts[[#This Row],[WRRef]],TableWRMaster[WRRef],0)),"")</f>
        <v>11</v>
      </c>
      <c r="T6" s="60">
        <f>IFERROR(INDEX(TableWRMaster[Custom],MATCH(TableWRCalcPts[[#This Row],[WRRef]],TableWRMaster[WRRef],0)),"")</f>
        <v>34.491975864600278</v>
      </c>
      <c r="V6" s="59">
        <f>IFERROR(RANK(TableTECalcPts[[#This Row],[Custom]],TableTECalcPts[Custom])+COUNTIF($AA$3:AA6,AA6)-1,"")</f>
        <v>4</v>
      </c>
      <c r="W6" s="59">
        <v>4</v>
      </c>
      <c r="X6" s="59" t="str">
        <f>IFERROR(INDEX(TableTEMaster[Player],MATCH(TableTECalcPts[[#This Row],[TERef]],TableTEMaster[TERef],0)),"")</f>
        <v>Kyle Pitts</v>
      </c>
      <c r="Y6" s="59" t="str">
        <f>IFERROR(INDEX(TableTEMaster[TM],MATCH(TableTECalcPts[[#This Row],[TERef]],TableTEMaster[TERef],0)),"")</f>
        <v>ATL</v>
      </c>
      <c r="Z6" s="59">
        <f>IFERROR(INDEX(TableTEMaster[BYE],MATCH(TableTECalcPts[[#This Row],[TERef]],TableTEMaster[TERef],0)),"")</f>
        <v>12</v>
      </c>
      <c r="AA6" s="60">
        <f>IFERROR(INDEX(TableTEMaster[Custom],MATCH(TableTECalcPts[[#This Row],[TERef]],TableTEMaster[TERef],0)),"")</f>
        <v>177.62908957073282</v>
      </c>
      <c r="AC6" s="59">
        <f>IFERROR(RANK(TableDSTCalcPts[[#This Row],[Custom]],TableDSTCalcPts[Custom],0),"")</f>
        <v>6</v>
      </c>
      <c r="AD6" s="59">
        <v>4</v>
      </c>
      <c r="AE6" s="59" t="str">
        <f>IFERROR(INDEX(TableDSTMaster[Player],MATCH(TableDSTCalcPts[[#This Row],[DSTRef]],TableDSTMaster[DSTRef],0)),"")</f>
        <v>Buffalo Bills</v>
      </c>
      <c r="AF6" s="59">
        <f>IFERROR(INDEX(TableDSTMaster[BYE],MATCH(TableDSTCalcPts[[#This Row],[DSTRef]],TableDSTMaster[DSTRef],0)),"")</f>
        <v>12</v>
      </c>
      <c r="AG6" s="60">
        <f>IFERROR(INDEX(TableDSTMaster[Custom],MATCH(TableDSTCalcPts[[#This Row],[DSTRef]],TableDSTMaster[DSTRef],0)),"")</f>
        <v>113.47500000000001</v>
      </c>
      <c r="AI6" s="59" t="s">
        <v>10</v>
      </c>
      <c r="AJ6" s="59">
        <f>IFERROR(RANK(TableWRTECalcPts[[#This Row],[Custom]],TableWRTECalcPts[Custom])+COUNTIF($AP$3:AP6,AP6)-1,"")</f>
        <v>36</v>
      </c>
      <c r="AK6" s="59">
        <v>4</v>
      </c>
      <c r="AL6" s="59" t="str">
        <f>IFERROR(INDEX(TableTEMaster[Player],MATCH(TableWRTECalcPts[[#This Row],[POSRef]],TableTEMaster[TERef],0)),"")</f>
        <v>Kyle Pitts</v>
      </c>
      <c r="AM6" s="59" t="str">
        <f>IFERROR(_xlfn.CONCAT(TableWRTECalcPts[[#This Row],[POS]],INDEX(TableTERanks[RK],MATCH(TableWRTECalcPts[[#This Row],[PLAYER]],TableTERanks[Player],0))),"")</f>
        <v>TE4</v>
      </c>
      <c r="AN6" s="59" t="str">
        <f>IFERROR(INDEX(TableTEMaster[TM],MATCH(TableWRTECalcPts[[#This Row],[POSRef]],TableTEMaster[TERef],0)),"")</f>
        <v>ATL</v>
      </c>
      <c r="AO6" s="59">
        <f>IFERROR(INDEX(TableTEMaster[BYE],MATCH(TableWRTECalcPts[[#This Row],[POSRef]],TableTEMaster[TERef],0)),"")</f>
        <v>12</v>
      </c>
      <c r="AP6" s="60">
        <f>IFERROR(INDEX(TableTEMaster[Custom],MATCH(TableWRTECalcPts[[#This Row],[POSRef]],TableTEMaster[TERef],0)),"")</f>
        <v>177.62908957073282</v>
      </c>
    </row>
    <row r="7" spans="1:42" x14ac:dyDescent="0.25">
      <c r="A7" s="61">
        <f>IFERROR(RANK(TableQBCalcPts[[#This Row],[Custom]],TableQBCalcPts[Custom])+COUNTIF($F$3:F7,F7)-1,"")</f>
        <v>3</v>
      </c>
      <c r="B7" s="59">
        <v>5</v>
      </c>
      <c r="C7" s="59" t="str">
        <f>IFERROR(INDEX(TableQBMaster[Player],MATCH(TableQBCalcPts[[#This Row],[QBRef]],TableQBMaster[QBRef],0)),"")</f>
        <v>Lamar Jackson</v>
      </c>
      <c r="D7" s="59" t="str">
        <f>IFERROR(INDEX(TableQBMaster[TM],MATCH(TableQBCalcPts[[#This Row],[QBRef]],TableQBMaster[QBRef],0)),"")</f>
        <v>BAL</v>
      </c>
      <c r="E7" s="59">
        <f>IFERROR(INDEX(TableQBMaster[BYE],MATCH(TableQBCalcPts[[#This Row],[QBRef]],TableQBMaster[QBRef],0)),"")</f>
        <v>14</v>
      </c>
      <c r="F7" s="60">
        <f>IFERROR(INDEX(TableQBMaster[Custom],MATCH(TableQBCalcPts[[#This Row],[QBRef]],TableQBMaster[QBRef],0)),"")</f>
        <v>370.84652487473829</v>
      </c>
      <c r="H7" s="59">
        <f>IFERROR(RANK(TableRBCalcPts[[#This Row],[Custom]],TableRBCalcPts[Custom])+COUNTIF($M$3:M7,M7)-1,"")</f>
        <v>4</v>
      </c>
      <c r="I7" s="59">
        <v>5</v>
      </c>
      <c r="J7" s="59" t="str">
        <f>IFERROR(INDEX(TableRBMaster[Player],MATCH(TableRBCalcPts[[#This Row],[RBRef]],TableRBMaster[RBRef],0)),"")</f>
        <v>Bijan Robinson</v>
      </c>
      <c r="K7" s="59" t="str">
        <f>IFERROR(INDEX(TableRBMaster[TM],MATCH(TableRBCalcPts[[#This Row],[RBRef]],TableRBMaster[RBRef],0)),"")</f>
        <v>ATL</v>
      </c>
      <c r="L7" s="59">
        <f>IFERROR(INDEX(TableRBMaster[BYE],MATCH(TableRBCalcPts[[#This Row],[RBRef]],TableRBMaster[RBRef],0)),"")</f>
        <v>12</v>
      </c>
      <c r="M7" s="60">
        <f>IFERROR(INDEX(TableRBMaster[Custom],MATCH(TableRBCalcPts[[#This Row],[RBRef]],TableRBMaster[RBRef],0)),"")</f>
        <v>245.64507671266452</v>
      </c>
      <c r="O7" s="59">
        <f>IFERROR(RANK(TableWRCalcPts[[#This Row],[Custom]],TableWRCalcPts[Custom])+COUNTIF($T$3:T7,T7)-1,"")</f>
        <v>149</v>
      </c>
      <c r="P7" s="59">
        <v>5</v>
      </c>
      <c r="Q7" s="59" t="str">
        <f>IFERROR(INDEX(TableWRMaster[Player],MATCH(TableWRCalcPts[[#This Row],[WRRef]],TableWRMaster[WRRef],0)),"")</f>
        <v>Chris Moore</v>
      </c>
      <c r="R7" s="59" t="str">
        <f>IFERROR(INDEX(TableWRMaster[TM],MATCH(TableWRCalcPts[[#This Row],[WRRef]],TableWRMaster[WRRef],0)),"")</f>
        <v>ARI</v>
      </c>
      <c r="S7" s="59">
        <f>IFERROR(INDEX(TableWRMaster[BYE],MATCH(TableWRCalcPts[[#This Row],[WRRef]],TableWRMaster[WRRef],0)),"")</f>
        <v>11</v>
      </c>
      <c r="T7" s="60">
        <f>IFERROR(INDEX(TableWRMaster[Custom],MATCH(TableWRCalcPts[[#This Row],[WRRef]],TableWRMaster[WRRef],0)),"")</f>
        <v>14.964485193398426</v>
      </c>
      <c r="V7" s="59">
        <f>IFERROR(RANK(TableTECalcPts[[#This Row],[Custom]],TableTECalcPts[Custom])+COUNTIF($AA$3:AA7,AA7)-1,"")</f>
        <v>50</v>
      </c>
      <c r="W7" s="59">
        <v>5</v>
      </c>
      <c r="X7" s="59" t="str">
        <f>IFERROR(INDEX(TableTEMaster[Player],MATCH(TableTECalcPts[[#This Row],[TERef]],TableTEMaster[TERef],0)),"")</f>
        <v>Charlie Woerner</v>
      </c>
      <c r="Y7" s="59" t="str">
        <f>IFERROR(INDEX(TableTEMaster[TM],MATCH(TableTECalcPts[[#This Row],[TERef]],TableTEMaster[TERef],0)),"")</f>
        <v>ATL</v>
      </c>
      <c r="Z7" s="59">
        <f>IFERROR(INDEX(TableTEMaster[BYE],MATCH(TableTECalcPts[[#This Row],[TERef]],TableTEMaster[TERef],0)),"")</f>
        <v>12</v>
      </c>
      <c r="AA7" s="60">
        <f>IFERROR(INDEX(TableTEMaster[Custom],MATCH(TableTECalcPts[[#This Row],[TERef]],TableTEMaster[TERef],0)),"")</f>
        <v>27.714480291641177</v>
      </c>
      <c r="AC7" s="59">
        <f>IFERROR(RANK(TableDSTCalcPts[[#This Row],[Custom]],TableDSTCalcPts[Custom],0),"")</f>
        <v>32</v>
      </c>
      <c r="AD7" s="59">
        <v>5</v>
      </c>
      <c r="AE7" s="59" t="str">
        <f>IFERROR(INDEX(TableDSTMaster[Player],MATCH(TableDSTCalcPts[[#This Row],[DSTRef]],TableDSTMaster[DSTRef],0)),"")</f>
        <v>Carolina Panthers</v>
      </c>
      <c r="AF7" s="59">
        <f>IFERROR(INDEX(TableDSTMaster[BYE],MATCH(TableDSTCalcPts[[#This Row],[DSTRef]],TableDSTMaster[DSTRef],0)),"")</f>
        <v>11</v>
      </c>
      <c r="AG7" s="60">
        <f>IFERROR(INDEX(TableDSTMaster[Custom],MATCH(TableDSTCalcPts[[#This Row],[DSTRef]],TableDSTMaster[DSTRef],0)),"")</f>
        <v>94.75</v>
      </c>
      <c r="AI7" s="59" t="s">
        <v>10</v>
      </c>
      <c r="AJ7" s="59">
        <f>IFERROR(RANK(TableWRTECalcPts[[#This Row],[Custom]],TableWRTECalcPts[Custom])+COUNTIF($AP$3:AP7,AP7)-1,"")</f>
        <v>177</v>
      </c>
      <c r="AK7" s="59">
        <v>5</v>
      </c>
      <c r="AL7" s="59" t="str">
        <f>IFERROR(INDEX(TableTEMaster[Player],MATCH(TableWRTECalcPts[[#This Row],[POSRef]],TableTEMaster[TERef],0)),"")</f>
        <v>Charlie Woerner</v>
      </c>
      <c r="AM7" s="59" t="str">
        <f>IFERROR(_xlfn.CONCAT(TableWRTECalcPts[[#This Row],[POS]],INDEX(TableTERanks[RK],MATCH(TableWRTECalcPts[[#This Row],[PLAYER]],TableTERanks[Player],0))),"")</f>
        <v>TE50</v>
      </c>
      <c r="AN7" s="59" t="str">
        <f>IFERROR(INDEX(TableTEMaster[TM],MATCH(TableWRTECalcPts[[#This Row],[POSRef]],TableTEMaster[TERef],0)),"")</f>
        <v>ATL</v>
      </c>
      <c r="AO7" s="59">
        <f>IFERROR(INDEX(TableTEMaster[BYE],MATCH(TableWRTECalcPts[[#This Row],[POSRef]],TableTEMaster[TERef],0)),"")</f>
        <v>12</v>
      </c>
      <c r="AP7" s="60">
        <f>IFERROR(INDEX(TableTEMaster[Custom],MATCH(TableWRTECalcPts[[#This Row],[POSRef]],TableTEMaster[TERef],0)),"")</f>
        <v>27.714480291641177</v>
      </c>
    </row>
    <row r="8" spans="1:42" x14ac:dyDescent="0.25">
      <c r="A8" s="61">
        <f>IFERROR(RANK(TableQBCalcPts[[#This Row],[Custom]],TableQBCalcPts[Custom])+COUNTIF($F$3:F8,F8)-1,"")</f>
        <v>46</v>
      </c>
      <c r="B8" s="59">
        <v>6</v>
      </c>
      <c r="C8" s="59" t="str">
        <f>IFERROR(INDEX(TableQBMaster[Player],MATCH(TableQBCalcPts[[#This Row],[QBRef]],TableQBMaster[QBRef],0)),"")</f>
        <v>Josh Johnson</v>
      </c>
      <c r="D8" s="59" t="str">
        <f>IFERROR(INDEX(TableQBMaster[TM],MATCH(TableQBCalcPts[[#This Row],[QBRef]],TableQBMaster[QBRef],0)),"")</f>
        <v>BAL</v>
      </c>
      <c r="E8" s="59">
        <f>IFERROR(INDEX(TableQBMaster[BYE],MATCH(TableQBCalcPts[[#This Row],[QBRef]],TableQBMaster[QBRef],0)),"")</f>
        <v>14</v>
      </c>
      <c r="F8" s="60">
        <f>IFERROR(INDEX(TableQBMaster[Custom],MATCH(TableQBCalcPts[[#This Row],[QBRef]],TableQBMaster[QBRef],0)),"")</f>
        <v>11.632491294020705</v>
      </c>
      <c r="H8" s="59">
        <f>IFERROR(RANK(TableRBCalcPts[[#This Row],[Custom]],TableRBCalcPts[Custom])+COUNTIF($M$3:M8,M8)-1,"")</f>
        <v>46</v>
      </c>
      <c r="I8" s="59">
        <v>6</v>
      </c>
      <c r="J8" s="59" t="str">
        <f>IFERROR(INDEX(TableRBMaster[Player],MATCH(TableRBCalcPts[[#This Row],[RBRef]],TableRBMaster[RBRef],0)),"")</f>
        <v>Tyler Allgeier</v>
      </c>
      <c r="K8" s="59" t="str">
        <f>IFERROR(INDEX(TableRBMaster[TM],MATCH(TableRBCalcPts[[#This Row],[RBRef]],TableRBMaster[RBRef],0)),"")</f>
        <v>ATL</v>
      </c>
      <c r="L8" s="59">
        <f>IFERROR(INDEX(TableRBMaster[BYE],MATCH(TableRBCalcPts[[#This Row],[RBRef]],TableRBMaster[RBRef],0)),"")</f>
        <v>12</v>
      </c>
      <c r="M8" s="60">
        <f>IFERROR(INDEX(TableRBMaster[Custom],MATCH(TableRBCalcPts[[#This Row],[RBRef]],TableRBMaster[RBRef],0)),"")</f>
        <v>116.02229455155656</v>
      </c>
      <c r="O8" s="59">
        <f>IFERROR(RANK(TableWRCalcPts[[#This Row],[Custom]],TableWRCalcPts[Custom])+COUNTIF($T$3:T8,T8)-1,"")</f>
        <v>164</v>
      </c>
      <c r="P8" s="59">
        <v>6</v>
      </c>
      <c r="Q8" s="59" t="str">
        <f>IFERROR(INDEX(TableWRMaster[Player],MATCH(TableWRCalcPts[[#This Row],[WRRef]],TableWRMaster[WRRef],0)),"")</f>
        <v>Zach Pascal</v>
      </c>
      <c r="R8" s="59" t="str">
        <f>IFERROR(INDEX(TableWRMaster[TM],MATCH(TableWRCalcPts[[#This Row],[WRRef]],TableWRMaster[WRRef],0)),"")</f>
        <v>ARI</v>
      </c>
      <c r="S8" s="59">
        <f>IFERROR(INDEX(TableWRMaster[BYE],MATCH(TableWRCalcPts[[#This Row],[WRRef]],TableWRMaster[WRRef],0)),"")</f>
        <v>11</v>
      </c>
      <c r="T8" s="60">
        <f>IFERROR(INDEX(TableWRMaster[Custom],MATCH(TableWRCalcPts[[#This Row],[WRRef]],TableWRMaster[WRRef],0)),"")</f>
        <v>9.377240640284997</v>
      </c>
      <c r="V8" s="59">
        <f>IFERROR(RANK(TableTECalcPts[[#This Row],[Custom]],TableTECalcPts[Custom])+COUNTIF($AA$3:AA8,AA8)-1,"")</f>
        <v>3</v>
      </c>
      <c r="W8" s="59">
        <v>6</v>
      </c>
      <c r="X8" s="59" t="str">
        <f>IFERROR(INDEX(TableTEMaster[Player],MATCH(TableTECalcPts[[#This Row],[TERef]],TableTEMaster[TERef],0)),"")</f>
        <v>Mark Andrews</v>
      </c>
      <c r="Y8" s="59" t="str">
        <f>IFERROR(INDEX(TableTEMaster[TM],MATCH(TableTECalcPts[[#This Row],[TERef]],TableTEMaster[TERef],0)),"")</f>
        <v>BAL</v>
      </c>
      <c r="Z8" s="59">
        <f>IFERROR(INDEX(TableTEMaster[BYE],MATCH(TableTECalcPts[[#This Row],[TERef]],TableTEMaster[TERef],0)),"")</f>
        <v>14</v>
      </c>
      <c r="AA8" s="60">
        <f>IFERROR(INDEX(TableTEMaster[Custom],MATCH(TableTECalcPts[[#This Row],[TERef]],TableTEMaster[TERef],0)),"")</f>
        <v>182.29298496535898</v>
      </c>
      <c r="AC8" s="59">
        <f>IFERROR(RANK(TableDSTCalcPts[[#This Row],[Custom]],TableDSTCalcPts[Custom],0),"")</f>
        <v>29</v>
      </c>
      <c r="AD8" s="59">
        <v>6</v>
      </c>
      <c r="AE8" s="59" t="str">
        <f>IFERROR(INDEX(TableDSTMaster[Player],MATCH(TableDSTCalcPts[[#This Row],[DSTRef]],TableDSTMaster[DSTRef],0)),"")</f>
        <v>Chicago Bears</v>
      </c>
      <c r="AF8" s="59">
        <f>IFERROR(INDEX(TableDSTMaster[BYE],MATCH(TableDSTCalcPts[[#This Row],[DSTRef]],TableDSTMaster[DSTRef],0)),"")</f>
        <v>7</v>
      </c>
      <c r="AG8" s="60">
        <f>IFERROR(INDEX(TableDSTMaster[Custom],MATCH(TableDSTCalcPts[[#This Row],[DSTRef]],TableDSTMaster[DSTRef],0)),"")</f>
        <v>99.5</v>
      </c>
      <c r="AI8" s="59" t="s">
        <v>10</v>
      </c>
      <c r="AJ8" s="59">
        <f>IFERROR(RANK(TableWRTECalcPts[[#This Row],[Custom]],TableWRTECalcPts[Custom])+COUNTIF($AP$3:AP8,AP8)-1,"")</f>
        <v>33</v>
      </c>
      <c r="AK8" s="59">
        <v>6</v>
      </c>
      <c r="AL8" s="59" t="str">
        <f>IFERROR(INDEX(TableTEMaster[Player],MATCH(TableWRTECalcPts[[#This Row],[POSRef]],TableTEMaster[TERef],0)),"")</f>
        <v>Mark Andrews</v>
      </c>
      <c r="AM8" s="59" t="str">
        <f>IFERROR(_xlfn.CONCAT(TableWRTECalcPts[[#This Row],[POS]],INDEX(TableTERanks[RK],MATCH(TableWRTECalcPts[[#This Row],[PLAYER]],TableTERanks[Player],0))),"")</f>
        <v>TE3</v>
      </c>
      <c r="AN8" s="59" t="str">
        <f>IFERROR(INDEX(TableTEMaster[TM],MATCH(TableWRTECalcPts[[#This Row],[POSRef]],TableTEMaster[TERef],0)),"")</f>
        <v>BAL</v>
      </c>
      <c r="AO8" s="59">
        <f>IFERROR(INDEX(TableTEMaster[BYE],MATCH(TableWRTECalcPts[[#This Row],[POSRef]],TableTEMaster[TERef],0)),"")</f>
        <v>14</v>
      </c>
      <c r="AP8" s="60">
        <f>IFERROR(INDEX(TableTEMaster[Custom],MATCH(TableWRTECalcPts[[#This Row],[POSRef]],TableTEMaster[TERef],0)),"")</f>
        <v>182.29298496535898</v>
      </c>
    </row>
    <row r="9" spans="1:42" x14ac:dyDescent="0.25">
      <c r="A9" s="61">
        <f>IFERROR(RANK(TableQBCalcPts[[#This Row],[Custom]],TableQBCalcPts[Custom])+COUNTIF($F$3:F9,F9)-1,"")</f>
        <v>1</v>
      </c>
      <c r="B9" s="59">
        <v>7</v>
      </c>
      <c r="C9" s="59" t="str">
        <f>IFERROR(INDEX(TableQBMaster[Player],MATCH(TableQBCalcPts[[#This Row],[QBRef]],TableQBMaster[QBRef],0)),"")</f>
        <v>Josh Allen</v>
      </c>
      <c r="D9" s="59" t="str">
        <f>IFERROR(INDEX(TableQBMaster[TM],MATCH(TableQBCalcPts[[#This Row],[QBRef]],TableQBMaster[QBRef],0)),"")</f>
        <v>BUF</v>
      </c>
      <c r="E9" s="59">
        <f>IFERROR(INDEX(TableQBMaster[BYE],MATCH(TableQBCalcPts[[#This Row],[QBRef]],TableQBMaster[QBRef],0)),"")</f>
        <v>12</v>
      </c>
      <c r="F9" s="60">
        <f>IFERROR(INDEX(TableQBMaster[Custom],MATCH(TableQBCalcPts[[#This Row],[QBRef]],TableQBMaster[QBRef],0)),"")</f>
        <v>396.35644294244599</v>
      </c>
      <c r="H9" s="59">
        <f>IFERROR(RANK(TableRBCalcPts[[#This Row],[Custom]],TableRBCalcPts[Custom])+COUNTIF($M$3:M9,M9)-1,"")</f>
        <v>82</v>
      </c>
      <c r="I9" s="59">
        <v>7</v>
      </c>
      <c r="J9" s="59" t="str">
        <f>IFERROR(INDEX(TableRBMaster[Player],MATCH(TableRBCalcPts[[#This Row],[RBRef]],TableRBMaster[RBRef],0)),"")</f>
        <v>Jase McClellan</v>
      </c>
      <c r="K9" s="59" t="str">
        <f>IFERROR(INDEX(TableRBMaster[TM],MATCH(TableRBCalcPts[[#This Row],[RBRef]],TableRBMaster[RBRef],0)),"")</f>
        <v>ATL</v>
      </c>
      <c r="L9" s="59">
        <f>IFERROR(INDEX(TableRBMaster[BYE],MATCH(TableRBCalcPts[[#This Row],[RBRef]],TableRBMaster[RBRef],0)),"")</f>
        <v>12</v>
      </c>
      <c r="M9" s="60">
        <f>IFERROR(INDEX(TableRBMaster[Custom],MATCH(TableRBCalcPts[[#This Row],[RBRef]],TableRBMaster[RBRef],0)),"")</f>
        <v>25.914417596898272</v>
      </c>
      <c r="O9" s="59">
        <f>IFERROR(RANK(TableWRCalcPts[[#This Row],[Custom]],TableWRCalcPts[Custom])+COUNTIF($T$3:T9,T9)-1,"")</f>
        <v>17</v>
      </c>
      <c r="P9" s="59">
        <v>7</v>
      </c>
      <c r="Q9" s="59" t="str">
        <f>IFERROR(INDEX(TableWRMaster[Player],MATCH(TableWRCalcPts[[#This Row],[WRRef]],TableWRMaster[WRRef],0)),"")</f>
        <v>Drake London</v>
      </c>
      <c r="R9" s="59" t="str">
        <f>IFERROR(INDEX(TableWRMaster[TM],MATCH(TableWRCalcPts[[#This Row],[WRRef]],TableWRMaster[WRRef],0)),"")</f>
        <v>ATL</v>
      </c>
      <c r="S9" s="59">
        <f>IFERROR(INDEX(TableWRMaster[BYE],MATCH(TableWRCalcPts[[#This Row],[WRRef]],TableWRMaster[WRRef],0)),"")</f>
        <v>12</v>
      </c>
      <c r="T9" s="60">
        <f>IFERROR(INDEX(TableWRMaster[Custom],MATCH(TableWRCalcPts[[#This Row],[WRRef]],TableWRMaster[WRRef],0)),"")</f>
        <v>198.04928813429765</v>
      </c>
      <c r="V9" s="59">
        <f>IFERROR(RANK(TableTECalcPts[[#This Row],[Custom]],TableTECalcPts[Custom])+COUNTIF($AA$3:AA9,AA9)-1,"")</f>
        <v>26</v>
      </c>
      <c r="W9" s="59">
        <v>7</v>
      </c>
      <c r="X9" s="59" t="str">
        <f>IFERROR(INDEX(TableTEMaster[Player],MATCH(TableTECalcPts[[#This Row],[TERef]],TableTEMaster[TERef],0)),"")</f>
        <v>Isaiah Likely</v>
      </c>
      <c r="Y9" s="59" t="str">
        <f>IFERROR(INDEX(TableTEMaster[TM],MATCH(TableTECalcPts[[#This Row],[TERef]],TableTEMaster[TERef],0)),"")</f>
        <v>BAL</v>
      </c>
      <c r="Z9" s="59">
        <f>IFERROR(INDEX(TableTEMaster[BYE],MATCH(TableTECalcPts[[#This Row],[TERef]],TableTEMaster[TERef],0)),"")</f>
        <v>14</v>
      </c>
      <c r="AA9" s="60">
        <f>IFERROR(INDEX(TableTEMaster[Custom],MATCH(TableTECalcPts[[#This Row],[TERef]],TableTEMaster[TERef],0)),"")</f>
        <v>80.196752536282389</v>
      </c>
      <c r="AC9" s="59">
        <f>IFERROR(RANK(TableDSTCalcPts[[#This Row],[Custom]],TableDSTCalcPts[Custom],0),"")</f>
        <v>12</v>
      </c>
      <c r="AD9" s="59">
        <v>7</v>
      </c>
      <c r="AE9" s="59" t="str">
        <f>IFERROR(INDEX(TableDSTMaster[Player],MATCH(TableDSTCalcPts[[#This Row],[DSTRef]],TableDSTMaster[DSTRef],0)),"")</f>
        <v>Cincinnati Bengals</v>
      </c>
      <c r="AF9" s="59">
        <f>IFERROR(INDEX(TableDSTMaster[BYE],MATCH(TableDSTCalcPts[[#This Row],[DSTRef]],TableDSTMaster[DSTRef],0)),"")</f>
        <v>12</v>
      </c>
      <c r="AG9" s="60">
        <f>IFERROR(INDEX(TableDSTMaster[Custom],MATCH(TableDSTCalcPts[[#This Row],[DSTRef]],TableDSTMaster[DSTRef],0)),"")</f>
        <v>111.22500000000001</v>
      </c>
      <c r="AI9" s="59" t="s">
        <v>10</v>
      </c>
      <c r="AJ9" s="59">
        <f>IFERROR(RANK(TableWRTECalcPts[[#This Row],[Custom]],TableWRTECalcPts[Custom])+COUNTIF($AP$3:AP9,AP9)-1,"")</f>
        <v>115</v>
      </c>
      <c r="AK9" s="59">
        <v>7</v>
      </c>
      <c r="AL9" s="59" t="str">
        <f>IFERROR(INDEX(TableTEMaster[Player],MATCH(TableWRTECalcPts[[#This Row],[POSRef]],TableTEMaster[TERef],0)),"")</f>
        <v>Isaiah Likely</v>
      </c>
      <c r="AM9" s="59" t="str">
        <f>IFERROR(_xlfn.CONCAT(TableWRTECalcPts[[#This Row],[POS]],INDEX(TableTERanks[RK],MATCH(TableWRTECalcPts[[#This Row],[PLAYER]],TableTERanks[Player],0))),"")</f>
        <v>TE26</v>
      </c>
      <c r="AN9" s="59" t="str">
        <f>IFERROR(INDEX(TableTEMaster[TM],MATCH(TableWRTECalcPts[[#This Row],[POSRef]],TableTEMaster[TERef],0)),"")</f>
        <v>BAL</v>
      </c>
      <c r="AO9" s="59">
        <f>IFERROR(INDEX(TableTEMaster[BYE],MATCH(TableWRTECalcPts[[#This Row],[POSRef]],TableTEMaster[TERef],0)),"")</f>
        <v>14</v>
      </c>
      <c r="AP9" s="60">
        <f>IFERROR(INDEX(TableTEMaster[Custom],MATCH(TableWRTECalcPts[[#This Row],[POSRef]],TableTEMaster[TERef],0)),"")</f>
        <v>80.196752536282389</v>
      </c>
    </row>
    <row r="10" spans="1:42" x14ac:dyDescent="0.25">
      <c r="A10" s="61">
        <f>IFERROR(RANK(TableQBCalcPts[[#This Row],[Custom]],TableQBCalcPts[Custom])+COUNTIF($F$3:F10,F10)-1,"")</f>
        <v>64</v>
      </c>
      <c r="B10" s="59">
        <v>8</v>
      </c>
      <c r="C10" s="59" t="str">
        <f>IFERROR(INDEX(TableQBMaster[Player],MATCH(TableQBCalcPts[[#This Row],[QBRef]],TableQBMaster[QBRef],0)),"")</f>
        <v>Mitch Trubisky</v>
      </c>
      <c r="D10" s="59" t="str">
        <f>IFERROR(INDEX(TableQBMaster[TM],MATCH(TableQBCalcPts[[#This Row],[QBRef]],TableQBMaster[QBRef],0)),"")</f>
        <v>BUF</v>
      </c>
      <c r="E10" s="59">
        <f>IFERROR(INDEX(TableQBMaster[BYE],MATCH(TableQBCalcPts[[#This Row],[QBRef]],TableQBMaster[QBRef],0)),"")</f>
        <v>12</v>
      </c>
      <c r="F10" s="60">
        <f>IFERROR(INDEX(TableQBMaster[Custom],MATCH(TableQBCalcPts[[#This Row],[QBRef]],TableQBMaster[QBRef],0)),"")</f>
        <v>2.2217373057024021</v>
      </c>
      <c r="H10" s="59">
        <f>IFERROR(RANK(TableRBCalcPts[[#This Row],[Custom]],TableRBCalcPts[Custom])+COUNTIF($M$3:M10,M10)-1,"")</f>
        <v>6</v>
      </c>
      <c r="I10" s="59">
        <v>8</v>
      </c>
      <c r="J10" s="59" t="str">
        <f>IFERROR(INDEX(TableRBMaster[Player],MATCH(TableRBCalcPts[[#This Row],[RBRef]],TableRBMaster[RBRef],0)),"")</f>
        <v>Derrick Henry</v>
      </c>
      <c r="K10" s="59" t="str">
        <f>IFERROR(INDEX(TableRBMaster[TM],MATCH(TableRBCalcPts[[#This Row],[RBRef]],TableRBMaster[RBRef],0)),"")</f>
        <v>BAL</v>
      </c>
      <c r="L10" s="59">
        <f>IFERROR(INDEX(TableRBMaster[BYE],MATCH(TableRBCalcPts[[#This Row],[RBRef]],TableRBMaster[RBRef],0)),"")</f>
        <v>14</v>
      </c>
      <c r="M10" s="60">
        <f>IFERROR(INDEX(TableRBMaster[Custom],MATCH(TableRBCalcPts[[#This Row],[RBRef]],TableRBMaster[RBRef],0)),"")</f>
        <v>235.57123502841006</v>
      </c>
      <c r="O10" s="59">
        <f>IFERROR(RANK(TableWRCalcPts[[#This Row],[Custom]],TableWRCalcPts[Custom])+COUNTIF($T$3:T10,T10)-1,"")</f>
        <v>57</v>
      </c>
      <c r="P10" s="59">
        <v>8</v>
      </c>
      <c r="Q10" s="59" t="str">
        <f>IFERROR(INDEX(TableWRMaster[Player],MATCH(TableWRCalcPts[[#This Row],[WRRef]],TableWRMaster[WRRef],0)),"")</f>
        <v>Darnell Mooney</v>
      </c>
      <c r="R10" s="59" t="str">
        <f>IFERROR(INDEX(TableWRMaster[TM],MATCH(TableWRCalcPts[[#This Row],[WRRef]],TableWRMaster[WRRef],0)),"")</f>
        <v>ATL</v>
      </c>
      <c r="S10" s="59">
        <f>IFERROR(INDEX(TableWRMaster[BYE],MATCH(TableWRCalcPts[[#This Row],[WRRef]],TableWRMaster[WRRef],0)),"")</f>
        <v>12</v>
      </c>
      <c r="T10" s="60">
        <f>IFERROR(INDEX(TableWRMaster[Custom],MATCH(TableWRCalcPts[[#This Row],[WRRef]],TableWRMaster[WRRef],0)),"")</f>
        <v>147.21911184250882</v>
      </c>
      <c r="V10" s="59">
        <f>IFERROR(RANK(TableTECalcPts[[#This Row],[Custom]],TableTECalcPts[Custom])+COUNTIF($AA$3:AA10,AA10)-1,"")</f>
        <v>78</v>
      </c>
      <c r="W10" s="59">
        <v>8</v>
      </c>
      <c r="X10" s="59" t="str">
        <f>IFERROR(INDEX(TableTEMaster[Player],MATCH(TableTECalcPts[[#This Row],[TERef]],TableTEMaster[TERef],0)),"")</f>
        <v>Charlie Kolar</v>
      </c>
      <c r="Y10" s="59" t="str">
        <f>IFERROR(INDEX(TableTEMaster[TM],MATCH(TableTECalcPts[[#This Row],[TERef]],TableTEMaster[TERef],0)),"")</f>
        <v>BAL</v>
      </c>
      <c r="Z10" s="59">
        <f>IFERROR(INDEX(TableTEMaster[BYE],MATCH(TableTECalcPts[[#This Row],[TERef]],TableTEMaster[TERef],0)),"")</f>
        <v>14</v>
      </c>
      <c r="AA10" s="60">
        <f>IFERROR(INDEX(TableTEMaster[Custom],MATCH(TableTECalcPts[[#This Row],[TERef]],TableTEMaster[TERef],0)),"")</f>
        <v>7.5544888352407575</v>
      </c>
      <c r="AC10" s="59">
        <f>IFERROR(RANK(TableDSTCalcPts[[#This Row],[Custom]],TableDSTCalcPts[Custom],0),"")</f>
        <v>5</v>
      </c>
      <c r="AD10" s="59">
        <v>8</v>
      </c>
      <c r="AE10" s="59" t="str">
        <f>IFERROR(INDEX(TableDSTMaster[Player],MATCH(TableDSTCalcPts[[#This Row],[DSTRef]],TableDSTMaster[DSTRef],0)),"")</f>
        <v>Cleveland Browns</v>
      </c>
      <c r="AF10" s="59">
        <f>IFERROR(INDEX(TableDSTMaster[BYE],MATCH(TableDSTCalcPts[[#This Row],[DSTRef]],TableDSTMaster[DSTRef],0)),"")</f>
        <v>10</v>
      </c>
      <c r="AG10" s="60">
        <f>IFERROR(INDEX(TableDSTMaster[Custom],MATCH(TableDSTCalcPts[[#This Row],[DSTRef]],TableDSTMaster[DSTRef],0)),"")</f>
        <v>113.54999999999998</v>
      </c>
      <c r="AI10" s="59" t="s">
        <v>10</v>
      </c>
      <c r="AJ10" s="59">
        <f>IFERROR(RANK(TableWRTECalcPts[[#This Row],[Custom]],TableWRTECalcPts[Custom])+COUNTIF($AP$3:AP10,AP10)-1,"")</f>
        <v>249</v>
      </c>
      <c r="AK10" s="59">
        <v>8</v>
      </c>
      <c r="AL10" s="59" t="str">
        <f>IFERROR(INDEX(TableTEMaster[Player],MATCH(TableWRTECalcPts[[#This Row],[POSRef]],TableTEMaster[TERef],0)),"")</f>
        <v>Charlie Kolar</v>
      </c>
      <c r="AM10" s="59" t="str">
        <f>IFERROR(_xlfn.CONCAT(TableWRTECalcPts[[#This Row],[POS]],INDEX(TableTERanks[RK],MATCH(TableWRTECalcPts[[#This Row],[PLAYER]],TableTERanks[Player],0))),"")</f>
        <v>TE78</v>
      </c>
      <c r="AN10" s="59" t="str">
        <f>IFERROR(INDEX(TableTEMaster[TM],MATCH(TableWRTECalcPts[[#This Row],[POSRef]],TableTEMaster[TERef],0)),"")</f>
        <v>BAL</v>
      </c>
      <c r="AO10" s="59">
        <f>IFERROR(INDEX(TableTEMaster[BYE],MATCH(TableWRTECalcPts[[#This Row],[POSRef]],TableTEMaster[TERef],0)),"")</f>
        <v>14</v>
      </c>
      <c r="AP10" s="60">
        <f>IFERROR(INDEX(TableTEMaster[Custom],MATCH(TableWRTECalcPts[[#This Row],[POSRef]],TableTEMaster[TERef],0)),"")</f>
        <v>7.5544888352407575</v>
      </c>
    </row>
    <row r="11" spans="1:42" x14ac:dyDescent="0.25">
      <c r="A11" s="61">
        <f>IFERROR(RANK(TableQBCalcPts[[#This Row],[Custom]],TableQBCalcPts[Custom])+COUNTIF($F$3:F11,F11)-1,"")</f>
        <v>24</v>
      </c>
      <c r="B11" s="59">
        <v>9</v>
      </c>
      <c r="C11" s="59" t="str">
        <f>IFERROR(INDEX(TableQBMaster[Player],MATCH(TableQBCalcPts[[#This Row],[QBRef]],TableQBMaster[QBRef],0)),"")</f>
        <v>Bryce Young</v>
      </c>
      <c r="D11" s="59" t="str">
        <f>IFERROR(INDEX(TableQBMaster[TM],MATCH(TableQBCalcPts[[#This Row],[QBRef]],TableQBMaster[QBRef],0)),"")</f>
        <v>CAR</v>
      </c>
      <c r="E11" s="59">
        <f>IFERROR(INDEX(TableQBMaster[BYE],MATCH(TableQBCalcPts[[#This Row],[QBRef]],TableQBMaster[QBRef],0)),"")</f>
        <v>11</v>
      </c>
      <c r="F11" s="60">
        <f>IFERROR(INDEX(TableQBMaster[Custom],MATCH(TableQBCalcPts[[#This Row],[QBRef]],TableQBMaster[QBRef],0)),"")</f>
        <v>274.38871581037159</v>
      </c>
      <c r="H11" s="59">
        <f>IFERROR(RANK(TableRBCalcPts[[#This Row],[Custom]],TableRBCalcPts[Custom])+COUNTIF($M$3:M11,M11)-1,"")</f>
        <v>74</v>
      </c>
      <c r="I11" s="59">
        <v>9</v>
      </c>
      <c r="J11" s="59" t="str">
        <f>IFERROR(INDEX(TableRBMaster[Player],MATCH(TableRBCalcPts[[#This Row],[RBRef]],TableRBMaster[RBRef],0)),"")</f>
        <v>Rasheen Ali</v>
      </c>
      <c r="K11" s="59" t="str">
        <f>IFERROR(INDEX(TableRBMaster[TM],MATCH(TableRBCalcPts[[#This Row],[RBRef]],TableRBMaster[RBRef],0)),"")</f>
        <v>BAL</v>
      </c>
      <c r="L11" s="59">
        <f>IFERROR(INDEX(TableRBMaster[BYE],MATCH(TableRBCalcPts[[#This Row],[RBRef]],TableRBMaster[RBRef],0)),"")</f>
        <v>14</v>
      </c>
      <c r="M11" s="60">
        <f>IFERROR(INDEX(TableRBMaster[Custom],MATCH(TableRBCalcPts[[#This Row],[RBRef]],TableRBMaster[RBRef],0)),"")</f>
        <v>42.6438278951981</v>
      </c>
      <c r="O11" s="59">
        <f>IFERROR(RANK(TableWRCalcPts[[#This Row],[Custom]],TableWRCalcPts[Custom])+COUNTIF($T$3:T11,T11)-1,"")</f>
        <v>88</v>
      </c>
      <c r="P11" s="59">
        <v>9</v>
      </c>
      <c r="Q11" s="59" t="str">
        <f>IFERROR(INDEX(TableWRMaster[Player],MATCH(TableWRCalcPts[[#This Row],[WRRef]],TableWRMaster[WRRef],0)),"")</f>
        <v>Ray-Ray McCloud</v>
      </c>
      <c r="R11" s="59" t="str">
        <f>IFERROR(INDEX(TableWRMaster[TM],MATCH(TableWRCalcPts[[#This Row],[WRRef]],TableWRMaster[WRRef],0)),"")</f>
        <v>ATL</v>
      </c>
      <c r="S11" s="59">
        <f>IFERROR(INDEX(TableWRMaster[BYE],MATCH(TableWRCalcPts[[#This Row],[WRRef]],TableWRMaster[WRRef],0)),"")</f>
        <v>12</v>
      </c>
      <c r="T11" s="60">
        <f>IFERROR(INDEX(TableWRMaster[Custom],MATCH(TableWRCalcPts[[#This Row],[WRRef]],TableWRMaster[WRRef],0)),"")</f>
        <v>84.228861685020107</v>
      </c>
      <c r="V11" s="59">
        <f>IFERROR(RANK(TableTECalcPts[[#This Row],[Custom]],TableTECalcPts[Custom])+COUNTIF($AA$3:AA11,AA11)-1,"")</f>
        <v>9</v>
      </c>
      <c r="W11" s="59">
        <v>9</v>
      </c>
      <c r="X11" s="59" t="str">
        <f>IFERROR(INDEX(TableTEMaster[Player],MATCH(TableTECalcPts[[#This Row],[TERef]],TableTEMaster[TERef],0)),"")</f>
        <v>Dalton Kincaid</v>
      </c>
      <c r="Y11" s="59" t="str">
        <f>IFERROR(INDEX(TableTEMaster[TM],MATCH(TableTECalcPts[[#This Row],[TERef]],TableTEMaster[TERef],0)),"")</f>
        <v>BUF</v>
      </c>
      <c r="Z11" s="59">
        <f>IFERROR(INDEX(TableTEMaster[BYE],MATCH(TableTECalcPts[[#This Row],[TERef]],TableTEMaster[TERef],0)),"")</f>
        <v>12</v>
      </c>
      <c r="AA11" s="60">
        <f>IFERROR(INDEX(TableTEMaster[Custom],MATCH(TableTECalcPts[[#This Row],[TERef]],TableTEMaster[TERef],0)),"")</f>
        <v>157.46104686653487</v>
      </c>
      <c r="AC11" s="59">
        <f>IFERROR(RANK(TableDSTCalcPts[[#This Row],[Custom]],TableDSTCalcPts[Custom],0),"")</f>
        <v>1</v>
      </c>
      <c r="AD11" s="59">
        <v>9</v>
      </c>
      <c r="AE11" s="59" t="str">
        <f>IFERROR(INDEX(TableDSTMaster[Player],MATCH(TableDSTCalcPts[[#This Row],[DSTRef]],TableDSTMaster[DSTRef],0)),"")</f>
        <v>Dallas Cowboys</v>
      </c>
      <c r="AF11" s="59">
        <f>IFERROR(INDEX(TableDSTMaster[BYE],MATCH(TableDSTCalcPts[[#This Row],[DSTRef]],TableDSTMaster[DSTRef],0)),"")</f>
        <v>7</v>
      </c>
      <c r="AG11" s="60">
        <f>IFERROR(INDEX(TableDSTMaster[Custom],MATCH(TableDSTCalcPts[[#This Row],[DSTRef]],TableDSTMaster[DSTRef],0)),"")</f>
        <v>119.25000000000001</v>
      </c>
      <c r="AI11" s="59" t="s">
        <v>10</v>
      </c>
      <c r="AJ11" s="59">
        <f>IFERROR(RANK(TableWRTECalcPts[[#This Row],[Custom]],TableWRTECalcPts[Custom])+COUNTIF($AP$3:AP11,AP11)-1,"")</f>
        <v>59</v>
      </c>
      <c r="AK11" s="59">
        <v>9</v>
      </c>
      <c r="AL11" s="59" t="str">
        <f>IFERROR(INDEX(TableTEMaster[Player],MATCH(TableWRTECalcPts[[#This Row],[POSRef]],TableTEMaster[TERef],0)),"")</f>
        <v>Dalton Kincaid</v>
      </c>
      <c r="AM11" s="59" t="str">
        <f>IFERROR(_xlfn.CONCAT(TableWRTECalcPts[[#This Row],[POS]],INDEX(TableTERanks[RK],MATCH(TableWRTECalcPts[[#This Row],[PLAYER]],TableTERanks[Player],0))),"")</f>
        <v>TE9</v>
      </c>
      <c r="AN11" s="59" t="str">
        <f>IFERROR(INDEX(TableTEMaster[TM],MATCH(TableWRTECalcPts[[#This Row],[POSRef]],TableTEMaster[TERef],0)),"")</f>
        <v>BUF</v>
      </c>
      <c r="AO11" s="59">
        <f>IFERROR(INDEX(TableTEMaster[BYE],MATCH(TableWRTECalcPts[[#This Row],[POSRef]],TableTEMaster[TERef],0)),"")</f>
        <v>12</v>
      </c>
      <c r="AP11" s="60">
        <f>IFERROR(INDEX(TableTEMaster[Custom],MATCH(TableWRTECalcPts[[#This Row],[POSRef]],TableTEMaster[TERef],0)),"")</f>
        <v>157.46104686653487</v>
      </c>
    </row>
    <row r="12" spans="1:42" x14ac:dyDescent="0.25">
      <c r="A12" s="61">
        <f>IFERROR(RANK(TableQBCalcPts[[#This Row],[Custom]],TableQBCalcPts[Custom])+COUNTIF($F$3:F12,F12)-1,"")</f>
        <v>42</v>
      </c>
      <c r="B12" s="59">
        <v>10</v>
      </c>
      <c r="C12" s="59" t="str">
        <f>IFERROR(INDEX(TableQBMaster[Player],MATCH(TableQBCalcPts[[#This Row],[QBRef]],TableQBMaster[QBRef],0)),"")</f>
        <v>Andy Dalton</v>
      </c>
      <c r="D12" s="59" t="str">
        <f>IFERROR(INDEX(TableQBMaster[TM],MATCH(TableQBCalcPts[[#This Row],[QBRef]],TableQBMaster[QBRef],0)),"")</f>
        <v>CAR</v>
      </c>
      <c r="E12" s="59">
        <f>IFERROR(INDEX(TableQBMaster[BYE],MATCH(TableQBCalcPts[[#This Row],[QBRef]],TableQBMaster[QBRef],0)),"")</f>
        <v>11</v>
      </c>
      <c r="F12" s="60">
        <f>IFERROR(INDEX(TableQBMaster[Custom],MATCH(TableQBCalcPts[[#This Row],[QBRef]],TableQBMaster[QBRef],0)),"")</f>
        <v>12.790913200756451</v>
      </c>
      <c r="H12" s="59">
        <f>IFERROR(RANK(TableRBCalcPts[[#This Row],[Custom]],TableRBCalcPts[Custom])+COUNTIF($M$3:M12,M12)-1,"")</f>
        <v>76</v>
      </c>
      <c r="I12" s="59">
        <v>10</v>
      </c>
      <c r="J12" s="59" t="str">
        <f>IFERROR(INDEX(TableRBMaster[Player],MATCH(TableRBCalcPts[[#This Row],[RBRef]],TableRBMaster[RBRef],0)),"")</f>
        <v>Keaton Mitchell</v>
      </c>
      <c r="K12" s="59" t="str">
        <f>IFERROR(INDEX(TableRBMaster[TM],MATCH(TableRBCalcPts[[#This Row],[RBRef]],TableRBMaster[RBRef],0)),"")</f>
        <v>BAL</v>
      </c>
      <c r="L12" s="59">
        <f>IFERROR(INDEX(TableRBMaster[BYE],MATCH(TableRBCalcPts[[#This Row],[RBRef]],TableRBMaster[RBRef],0)),"")</f>
        <v>14</v>
      </c>
      <c r="M12" s="60">
        <f>IFERROR(INDEX(TableRBMaster[Custom],MATCH(TableRBCalcPts[[#This Row],[RBRef]],TableRBMaster[RBRef],0)),"")</f>
        <v>40.286818812425665</v>
      </c>
      <c r="O12" s="59">
        <f>IFERROR(RANK(TableWRCalcPts[[#This Row],[Custom]],TableWRCalcPts[Custom])+COUNTIF($T$3:T12,T12)-1,"")</f>
        <v>126</v>
      </c>
      <c r="P12" s="59">
        <v>10</v>
      </c>
      <c r="Q12" s="59" t="str">
        <f>IFERROR(INDEX(TableWRMaster[Player],MATCH(TableWRCalcPts[[#This Row],[WRRef]],TableWRMaster[WRRef],0)),"")</f>
        <v>KhaDarel Hodge</v>
      </c>
      <c r="R12" s="59" t="str">
        <f>IFERROR(INDEX(TableWRMaster[TM],MATCH(TableWRCalcPts[[#This Row],[WRRef]],TableWRMaster[WRRef],0)),"")</f>
        <v>ATL</v>
      </c>
      <c r="S12" s="59">
        <f>IFERROR(INDEX(TableWRMaster[BYE],MATCH(TableWRCalcPts[[#This Row],[WRRef]],TableWRMaster[WRRef],0)),"")</f>
        <v>12</v>
      </c>
      <c r="T12" s="60">
        <f>IFERROR(INDEX(TableWRMaster[Custom],MATCH(TableWRCalcPts[[#This Row],[WRRef]],TableWRMaster[WRRef],0)),"")</f>
        <v>28.719195128877054</v>
      </c>
      <c r="V12" s="59">
        <f>IFERROR(RANK(TableTECalcPts[[#This Row],[Custom]],TableTECalcPts[Custom])+COUNTIF($AA$3:AA12,AA12)-1,"")</f>
        <v>36</v>
      </c>
      <c r="W12" s="59">
        <v>10</v>
      </c>
      <c r="X12" s="59" t="str">
        <f>IFERROR(INDEX(TableTEMaster[Player],MATCH(TableTECalcPts[[#This Row],[TERef]],TableTEMaster[TERef],0)),"")</f>
        <v>Dawson Knox</v>
      </c>
      <c r="Y12" s="59" t="str">
        <f>IFERROR(INDEX(TableTEMaster[TM],MATCH(TableTECalcPts[[#This Row],[TERef]],TableTEMaster[TERef],0)),"")</f>
        <v>BUF</v>
      </c>
      <c r="Z12" s="59">
        <f>IFERROR(INDEX(TableTEMaster[BYE],MATCH(TableTECalcPts[[#This Row],[TERef]],TableTEMaster[TERef],0)),"")</f>
        <v>12</v>
      </c>
      <c r="AA12" s="60">
        <f>IFERROR(INDEX(TableTEMaster[Custom],MATCH(TableTECalcPts[[#This Row],[TERef]],TableTEMaster[TERef],0)),"")</f>
        <v>58.149530922381004</v>
      </c>
      <c r="AC12" s="59">
        <f>IFERROR(RANK(TableDSTCalcPts[[#This Row],[Custom]],TableDSTCalcPts[Custom],0),"")</f>
        <v>24</v>
      </c>
      <c r="AD12" s="59">
        <v>10</v>
      </c>
      <c r="AE12" s="59" t="str">
        <f>IFERROR(INDEX(TableDSTMaster[Player],MATCH(TableDSTCalcPts[[#This Row],[DSTRef]],TableDSTMaster[DSTRef],0)),"")</f>
        <v>Denver Broncos</v>
      </c>
      <c r="AF12" s="59">
        <f>IFERROR(INDEX(TableDSTMaster[BYE],MATCH(TableDSTCalcPts[[#This Row],[DSTRef]],TableDSTMaster[DSTRef],0)),"")</f>
        <v>14</v>
      </c>
      <c r="AG12" s="60">
        <f>IFERROR(INDEX(TableDSTMaster[Custom],MATCH(TableDSTCalcPts[[#This Row],[DSTRef]],TableDSTMaster[DSTRef],0)),"")</f>
        <v>104.35</v>
      </c>
      <c r="AI12" s="59" t="s">
        <v>10</v>
      </c>
      <c r="AJ12" s="59">
        <f>IFERROR(RANK(TableWRTECalcPts[[#This Row],[Custom]],TableWRTECalcPts[Custom])+COUNTIF($AP$3:AP12,AP12)-1,"")</f>
        <v>139</v>
      </c>
      <c r="AK12" s="59">
        <v>10</v>
      </c>
      <c r="AL12" s="59" t="str">
        <f>IFERROR(INDEX(TableTEMaster[Player],MATCH(TableWRTECalcPts[[#This Row],[POSRef]],TableTEMaster[TERef],0)),"")</f>
        <v>Dawson Knox</v>
      </c>
      <c r="AM12" s="59" t="str">
        <f>IFERROR(_xlfn.CONCAT(TableWRTECalcPts[[#This Row],[POS]],INDEX(TableTERanks[RK],MATCH(TableWRTECalcPts[[#This Row],[PLAYER]],TableTERanks[Player],0))),"")</f>
        <v>TE36</v>
      </c>
      <c r="AN12" s="59" t="str">
        <f>IFERROR(INDEX(TableTEMaster[TM],MATCH(TableWRTECalcPts[[#This Row],[POSRef]],TableTEMaster[TERef],0)),"")</f>
        <v>BUF</v>
      </c>
      <c r="AO12" s="59">
        <f>IFERROR(INDEX(TableTEMaster[BYE],MATCH(TableWRTECalcPts[[#This Row],[POSRef]],TableTEMaster[TERef],0)),"")</f>
        <v>12</v>
      </c>
      <c r="AP12" s="60">
        <f>IFERROR(INDEX(TableTEMaster[Custom],MATCH(TableWRTECalcPts[[#This Row],[POSRef]],TableTEMaster[TERef],0)),"")</f>
        <v>58.149530922381004</v>
      </c>
    </row>
    <row r="13" spans="1:42" x14ac:dyDescent="0.25">
      <c r="A13" s="61">
        <f>IFERROR(RANK(TableQBCalcPts[[#This Row],[Custom]],TableQBCalcPts[Custom])+COUNTIF($F$3:F13,F13)-1,"")</f>
        <v>14</v>
      </c>
      <c r="B13" s="59">
        <v>11</v>
      </c>
      <c r="C13" s="59" t="str">
        <f>IFERROR(INDEX(TableQBMaster[Player],MATCH(TableQBCalcPts[[#This Row],[QBRef]],TableQBMaster[QBRef],0)),"")</f>
        <v>Caleb Williams</v>
      </c>
      <c r="D13" s="59" t="str">
        <f>IFERROR(INDEX(TableQBMaster[TM],MATCH(TableQBCalcPts[[#This Row],[QBRef]],TableQBMaster[QBRef],0)),"")</f>
        <v>CHI</v>
      </c>
      <c r="E13" s="59">
        <f>IFERROR(INDEX(TableQBMaster[BYE],MATCH(TableQBCalcPts[[#This Row],[QBRef]],TableQBMaster[QBRef],0)),"")</f>
        <v>7</v>
      </c>
      <c r="F13" s="60">
        <f>IFERROR(INDEX(TableQBMaster[Custom],MATCH(TableQBCalcPts[[#This Row],[QBRef]],TableQBMaster[QBRef],0)),"")</f>
        <v>307.64374263679053</v>
      </c>
      <c r="H13" s="59">
        <f>IFERROR(RANK(TableRBCalcPts[[#This Row],[Custom]],TableRBCalcPts[Custom])+COUNTIF($M$3:M13,M13)-1,"")</f>
        <v>78</v>
      </c>
      <c r="I13" s="59">
        <v>11</v>
      </c>
      <c r="J13" s="59" t="str">
        <f>IFERROR(INDEX(TableRBMaster[Player],MATCH(TableRBCalcPts[[#This Row],[RBRef]],TableRBMaster[RBRef],0)),"")</f>
        <v>Justice Hill</v>
      </c>
      <c r="K13" s="59" t="str">
        <f>IFERROR(INDEX(TableRBMaster[TM],MATCH(TableRBCalcPts[[#This Row],[RBRef]],TableRBMaster[RBRef],0)),"")</f>
        <v>BAL</v>
      </c>
      <c r="L13" s="59">
        <f>IFERROR(INDEX(TableRBMaster[BYE],MATCH(TableRBCalcPts[[#This Row],[RBRef]],TableRBMaster[RBRef],0)),"")</f>
        <v>14</v>
      </c>
      <c r="M13" s="60">
        <f>IFERROR(INDEX(TableRBMaster[Custom],MATCH(TableRBCalcPts[[#This Row],[RBRef]],TableRBMaster[RBRef],0)),"")</f>
        <v>30.430215348149698</v>
      </c>
      <c r="O13" s="59">
        <f>IFERROR(RANK(TableWRCalcPts[[#This Row],[Custom]],TableWRCalcPts[Custom])+COUNTIF($T$3:T13,T13)-1,"")</f>
        <v>134</v>
      </c>
      <c r="P13" s="59">
        <v>11</v>
      </c>
      <c r="Q13" s="59" t="str">
        <f>IFERROR(INDEX(TableWRMaster[Player],MATCH(TableWRCalcPts[[#This Row],[WRRef]],TableWRMaster[WRRef],0)),"")</f>
        <v>Casey Washington</v>
      </c>
      <c r="R13" s="59" t="str">
        <f>IFERROR(INDEX(TableWRMaster[TM],MATCH(TableWRCalcPts[[#This Row],[WRRef]],TableWRMaster[WRRef],0)),"")</f>
        <v>ATL</v>
      </c>
      <c r="S13" s="59">
        <f>IFERROR(INDEX(TableWRMaster[BYE],MATCH(TableWRCalcPts[[#This Row],[WRRef]],TableWRMaster[WRRef],0)),"")</f>
        <v>12</v>
      </c>
      <c r="T13" s="60">
        <f>IFERROR(INDEX(TableWRMaster[Custom],MATCH(TableWRCalcPts[[#This Row],[WRRef]],TableWRMaster[WRRef],0)),"")</f>
        <v>22.563065964479041</v>
      </c>
      <c r="V13" s="59">
        <f>IFERROR(RANK(TableTECalcPts[[#This Row],[Custom]],TableTECalcPts[Custom])+COUNTIF($AA$3:AA13,AA13)-1,"")</f>
        <v>76</v>
      </c>
      <c r="W13" s="59">
        <v>11</v>
      </c>
      <c r="X13" s="59" t="str">
        <f>IFERROR(INDEX(TableTEMaster[Player],MATCH(TableTECalcPts[[#This Row],[TERef]],TableTEMaster[TERef],0)),"")</f>
        <v>Quintin Morris</v>
      </c>
      <c r="Y13" s="59" t="str">
        <f>IFERROR(INDEX(TableTEMaster[TM],MATCH(TableTECalcPts[[#This Row],[TERef]],TableTEMaster[TERef],0)),"")</f>
        <v>BUF</v>
      </c>
      <c r="Z13" s="59">
        <f>IFERROR(INDEX(TableTEMaster[BYE],MATCH(TableTECalcPts[[#This Row],[TERef]],TableTEMaster[TERef],0)),"")</f>
        <v>12</v>
      </c>
      <c r="AA13" s="60">
        <f>IFERROR(INDEX(TableTEMaster[Custom],MATCH(TableTECalcPts[[#This Row],[TERef]],TableTEMaster[TERef],0)),"")</f>
        <v>7.6552101834066537</v>
      </c>
      <c r="AC13" s="59">
        <f>IFERROR(RANK(TableDSTCalcPts[[#This Row],[Custom]],TableDSTCalcPts[Custom],0),"")</f>
        <v>23</v>
      </c>
      <c r="AD13" s="59">
        <v>11</v>
      </c>
      <c r="AE13" s="59" t="str">
        <f>IFERROR(INDEX(TableDSTMaster[Player],MATCH(TableDSTCalcPts[[#This Row],[DSTRef]],TableDSTMaster[DSTRef],0)),"")</f>
        <v>Detroit Lions</v>
      </c>
      <c r="AF13" s="59">
        <f>IFERROR(INDEX(TableDSTMaster[BYE],MATCH(TableDSTCalcPts[[#This Row],[DSTRef]],TableDSTMaster[DSTRef],0)),"")</f>
        <v>5</v>
      </c>
      <c r="AG13" s="60">
        <f>IFERROR(INDEX(TableDSTMaster[Custom],MATCH(TableDSTCalcPts[[#This Row],[DSTRef]],TableDSTMaster[DSTRef],0)),"")</f>
        <v>105.14999999999999</v>
      </c>
      <c r="AI13" s="59" t="s">
        <v>10</v>
      </c>
      <c r="AJ13" s="59">
        <f>IFERROR(RANK(TableWRTECalcPts[[#This Row],[Custom]],TableWRTECalcPts[Custom])+COUNTIF($AP$3:AP13,AP13)-1,"")</f>
        <v>246</v>
      </c>
      <c r="AK13" s="59">
        <v>11</v>
      </c>
      <c r="AL13" s="59" t="str">
        <f>IFERROR(INDEX(TableTEMaster[Player],MATCH(TableWRTECalcPts[[#This Row],[POSRef]],TableTEMaster[TERef],0)),"")</f>
        <v>Quintin Morris</v>
      </c>
      <c r="AM13" s="59" t="str">
        <f>IFERROR(_xlfn.CONCAT(TableWRTECalcPts[[#This Row],[POS]],INDEX(TableTERanks[RK],MATCH(TableWRTECalcPts[[#This Row],[PLAYER]],TableTERanks[Player],0))),"")</f>
        <v>TE76</v>
      </c>
      <c r="AN13" s="59" t="str">
        <f>IFERROR(INDEX(TableTEMaster[TM],MATCH(TableWRTECalcPts[[#This Row],[POSRef]],TableTEMaster[TERef],0)),"")</f>
        <v>BUF</v>
      </c>
      <c r="AO13" s="59">
        <f>IFERROR(INDEX(TableTEMaster[BYE],MATCH(TableWRTECalcPts[[#This Row],[POSRef]],TableTEMaster[TERef],0)),"")</f>
        <v>12</v>
      </c>
      <c r="AP13" s="60">
        <f>IFERROR(INDEX(TableTEMaster[Custom],MATCH(TableWRTECalcPts[[#This Row],[POSRef]],TableTEMaster[TERef],0)),"")</f>
        <v>7.6552101834066537</v>
      </c>
    </row>
    <row r="14" spans="1:42" x14ac:dyDescent="0.25">
      <c r="A14" s="61">
        <f>IFERROR(RANK(TableQBCalcPts[[#This Row],[Custom]],TableQBCalcPts[Custom])+COUNTIF($F$3:F14,F14)-1,"")</f>
        <v>58</v>
      </c>
      <c r="B14" s="59">
        <v>12</v>
      </c>
      <c r="C14" s="59" t="str">
        <f>IFERROR(INDEX(TableQBMaster[Player],MATCH(TableQBCalcPts[[#This Row],[QBRef]],TableQBMaster[QBRef],0)),"")</f>
        <v>Tyson Bagent</v>
      </c>
      <c r="D14" s="59" t="str">
        <f>IFERROR(INDEX(TableQBMaster[TM],MATCH(TableQBCalcPts[[#This Row],[QBRef]],TableQBMaster[QBRef],0)),"")</f>
        <v>CHI</v>
      </c>
      <c r="E14" s="59">
        <f>IFERROR(INDEX(TableQBMaster[BYE],MATCH(TableQBCalcPts[[#This Row],[QBRef]],TableQBMaster[QBRef],0)),"")</f>
        <v>7</v>
      </c>
      <c r="F14" s="60">
        <f>IFERROR(INDEX(TableQBMaster[Custom],MATCH(TableQBCalcPts[[#This Row],[QBRef]],TableQBMaster[QBRef],0)),"")</f>
        <v>4.8038456617290173</v>
      </c>
      <c r="H14" s="59">
        <f>IFERROR(RANK(TableRBCalcPts[[#This Row],[Custom]],TableRBCalcPts[Custom])+COUNTIF($M$3:M14,M14)-1,"")</f>
        <v>18</v>
      </c>
      <c r="I14" s="59">
        <v>12</v>
      </c>
      <c r="J14" s="59" t="str">
        <f>IFERROR(INDEX(TableRBMaster[Player],MATCH(TableRBCalcPts[[#This Row],[RBRef]],TableRBMaster[RBRef],0)),"")</f>
        <v>James Cook</v>
      </c>
      <c r="K14" s="59" t="str">
        <f>IFERROR(INDEX(TableRBMaster[TM],MATCH(TableRBCalcPts[[#This Row],[RBRef]],TableRBMaster[RBRef],0)),"")</f>
        <v>BUF</v>
      </c>
      <c r="L14" s="59">
        <f>IFERROR(INDEX(TableRBMaster[BYE],MATCH(TableRBCalcPts[[#This Row],[RBRef]],TableRBMaster[RBRef],0)),"")</f>
        <v>12</v>
      </c>
      <c r="M14" s="60">
        <f>IFERROR(INDEX(TableRBMaster[Custom],MATCH(TableRBCalcPts[[#This Row],[RBRef]],TableRBMaster[RBRef],0)),"")</f>
        <v>193.69430971828919</v>
      </c>
      <c r="O14" s="59">
        <f>IFERROR(RANK(TableWRCalcPts[[#This Row],[Custom]],TableWRCalcPts[Custom])+COUNTIF($T$3:T14,T14)-1,"")</f>
        <v>34</v>
      </c>
      <c r="P14" s="59">
        <v>12</v>
      </c>
      <c r="Q14" s="59" t="str">
        <f>IFERROR(INDEX(TableWRMaster[Player],MATCH(TableWRCalcPts[[#This Row],[WRRef]],TableWRMaster[WRRef],0)),"")</f>
        <v>Zay Flowers</v>
      </c>
      <c r="R14" s="59" t="str">
        <f>IFERROR(INDEX(TableWRMaster[TM],MATCH(TableWRCalcPts[[#This Row],[WRRef]],TableWRMaster[WRRef],0)),"")</f>
        <v>BAL</v>
      </c>
      <c r="S14" s="59">
        <f>IFERROR(INDEX(TableWRMaster[BYE],MATCH(TableWRCalcPts[[#This Row],[WRRef]],TableWRMaster[WRRef],0)),"")</f>
        <v>14</v>
      </c>
      <c r="T14" s="60">
        <f>IFERROR(INDEX(TableWRMaster[Custom],MATCH(TableWRCalcPts[[#This Row],[WRRef]],TableWRMaster[WRRef],0)),"")</f>
        <v>176.12076560183124</v>
      </c>
      <c r="V14" s="59">
        <f>IFERROR(RANK(TableTECalcPts[[#This Row],[Custom]],TableTECalcPts[Custom])+COUNTIF($AA$3:AA14,AA14)-1,"")</f>
        <v>35</v>
      </c>
      <c r="W14" s="59">
        <v>12</v>
      </c>
      <c r="X14" s="59" t="str">
        <f>IFERROR(INDEX(TableTEMaster[Player],MATCH(TableTECalcPts[[#This Row],[TERef]],TableTEMaster[TERef],0)),"")</f>
        <v>Ja'Tavion Sanders</v>
      </c>
      <c r="Y14" s="59" t="str">
        <f>IFERROR(INDEX(TableTEMaster[TM],MATCH(TableTECalcPts[[#This Row],[TERef]],TableTEMaster[TERef],0)),"")</f>
        <v>CAR</v>
      </c>
      <c r="Z14" s="59">
        <f>IFERROR(INDEX(TableTEMaster[BYE],MATCH(TableTECalcPts[[#This Row],[TERef]],TableTEMaster[TERef],0)),"")</f>
        <v>11</v>
      </c>
      <c r="AA14" s="60">
        <f>IFERROR(INDEX(TableTEMaster[Custom],MATCH(TableTECalcPts[[#This Row],[TERef]],TableTEMaster[TERef],0)),"")</f>
        <v>59.212657014771921</v>
      </c>
      <c r="AC14" s="59">
        <f>IFERROR(RANK(TableDSTCalcPts[[#This Row],[Custom]],TableDSTCalcPts[Custom],0),"")</f>
        <v>18</v>
      </c>
      <c r="AD14" s="59">
        <v>12</v>
      </c>
      <c r="AE14" s="59" t="str">
        <f>IFERROR(INDEX(TableDSTMaster[Player],MATCH(TableDSTCalcPts[[#This Row],[DSTRef]],TableDSTMaster[DSTRef],0)),"")</f>
        <v>Green Bay Packers</v>
      </c>
      <c r="AF14" s="59">
        <f>IFERROR(INDEX(TableDSTMaster[BYE],MATCH(TableDSTCalcPts[[#This Row],[DSTRef]],TableDSTMaster[DSTRef],0)),"")</f>
        <v>10</v>
      </c>
      <c r="AG14" s="60">
        <f>IFERROR(INDEX(TableDSTMaster[Custom],MATCH(TableDSTCalcPts[[#This Row],[DSTRef]],TableDSTMaster[DSTRef],0)),"")</f>
        <v>106.97499999999999</v>
      </c>
      <c r="AI14" s="59" t="s">
        <v>10</v>
      </c>
      <c r="AJ14" s="59">
        <f>IFERROR(RANK(TableWRTECalcPts[[#This Row],[Custom]],TableWRTECalcPts[Custom])+COUNTIF($AP$3:AP14,AP14)-1,"")</f>
        <v>136</v>
      </c>
      <c r="AK14" s="59">
        <v>12</v>
      </c>
      <c r="AL14" s="59" t="str">
        <f>IFERROR(INDEX(TableTEMaster[Player],MATCH(TableWRTECalcPts[[#This Row],[POSRef]],TableTEMaster[TERef],0)),"")</f>
        <v>Ja'Tavion Sanders</v>
      </c>
      <c r="AM14" s="59" t="str">
        <f>IFERROR(_xlfn.CONCAT(TableWRTECalcPts[[#This Row],[POS]],INDEX(TableTERanks[RK],MATCH(TableWRTECalcPts[[#This Row],[PLAYER]],TableTERanks[Player],0))),"")</f>
        <v>TE35</v>
      </c>
      <c r="AN14" s="59" t="str">
        <f>IFERROR(INDEX(TableTEMaster[TM],MATCH(TableWRTECalcPts[[#This Row],[POSRef]],TableTEMaster[TERef],0)),"")</f>
        <v>CAR</v>
      </c>
      <c r="AO14" s="59">
        <f>IFERROR(INDEX(TableTEMaster[BYE],MATCH(TableWRTECalcPts[[#This Row],[POSRef]],TableTEMaster[TERef],0)),"")</f>
        <v>11</v>
      </c>
      <c r="AP14" s="60">
        <f>IFERROR(INDEX(TableTEMaster[Custom],MATCH(TableWRTECalcPts[[#This Row],[POSRef]],TableTEMaster[TERef],0)),"")</f>
        <v>59.212657014771921</v>
      </c>
    </row>
    <row r="15" spans="1:42" x14ac:dyDescent="0.25">
      <c r="A15" s="61">
        <f>IFERROR(RANK(TableQBCalcPts[[#This Row],[Custom]],TableQBCalcPts[Custom])+COUNTIF($F$3:F15,F15)-1,"")</f>
        <v>9</v>
      </c>
      <c r="B15" s="59">
        <v>13</v>
      </c>
      <c r="C15" s="59" t="str">
        <f>IFERROR(INDEX(TableQBMaster[Player],MATCH(TableQBCalcPts[[#This Row],[QBRef]],TableQBMaster[QBRef],0)),"")</f>
        <v>Joe Burrow</v>
      </c>
      <c r="D15" s="59" t="str">
        <f>IFERROR(INDEX(TableQBMaster[TM],MATCH(TableQBCalcPts[[#This Row],[QBRef]],TableQBMaster[QBRef],0)),"")</f>
        <v>CIN</v>
      </c>
      <c r="E15" s="59">
        <f>IFERROR(INDEX(TableQBMaster[BYE],MATCH(TableQBCalcPts[[#This Row],[QBRef]],TableQBMaster[QBRef],0)),"")</f>
        <v>12</v>
      </c>
      <c r="F15" s="60">
        <f>IFERROR(INDEX(TableQBMaster[Custom],MATCH(TableQBCalcPts[[#This Row],[QBRef]],TableQBMaster[QBRef],0)),"")</f>
        <v>327.35691518693926</v>
      </c>
      <c r="H15" s="59">
        <f>IFERROR(RANK(TableRBCalcPts[[#This Row],[Custom]],TableRBCalcPts[Custom])+COUNTIF($M$3:M15,M15)-1,"")</f>
        <v>97</v>
      </c>
      <c r="I15" s="59">
        <v>13</v>
      </c>
      <c r="J15" s="59" t="str">
        <f>IFERROR(INDEX(TableRBMaster[Player],MATCH(TableRBCalcPts[[#This Row],[RBRef]],TableRBMaster[RBRef],0)),"")</f>
        <v>Ty Johnson</v>
      </c>
      <c r="K15" s="59" t="str">
        <f>IFERROR(INDEX(TableRBMaster[TM],MATCH(TableRBCalcPts[[#This Row],[RBRef]],TableRBMaster[RBRef],0)),"")</f>
        <v>BUF</v>
      </c>
      <c r="L15" s="59">
        <f>IFERROR(INDEX(TableRBMaster[BYE],MATCH(TableRBCalcPts[[#This Row],[RBRef]],TableRBMaster[RBRef],0)),"")</f>
        <v>12</v>
      </c>
      <c r="M15" s="60">
        <f>IFERROR(INDEX(TableRBMaster[Custom],MATCH(TableRBCalcPts[[#This Row],[RBRef]],TableRBMaster[RBRef],0)),"")</f>
        <v>13.759009396897017</v>
      </c>
      <c r="O15" s="59">
        <f>IFERROR(RANK(TableWRCalcPts[[#This Row],[Custom]],TableWRCalcPts[Custom])+COUNTIF($T$3:T15,T15)-1,"")</f>
        <v>76</v>
      </c>
      <c r="P15" s="59">
        <v>13</v>
      </c>
      <c r="Q15" s="59" t="str">
        <f>IFERROR(INDEX(TableWRMaster[Player],MATCH(TableWRCalcPts[[#This Row],[WRRef]],TableWRMaster[WRRef],0)),"")</f>
        <v>Rashod Bateman</v>
      </c>
      <c r="R15" s="59" t="str">
        <f>IFERROR(INDEX(TableWRMaster[TM],MATCH(TableWRCalcPts[[#This Row],[WRRef]],TableWRMaster[WRRef],0)),"")</f>
        <v>BAL</v>
      </c>
      <c r="S15" s="59">
        <f>IFERROR(INDEX(TableWRMaster[BYE],MATCH(TableWRCalcPts[[#This Row],[WRRef]],TableWRMaster[WRRef],0)),"")</f>
        <v>14</v>
      </c>
      <c r="T15" s="60">
        <f>IFERROR(INDEX(TableWRMaster[Custom],MATCH(TableWRCalcPts[[#This Row],[WRRef]],TableWRMaster[WRRef],0)),"")</f>
        <v>104.43680487103371</v>
      </c>
      <c r="V15" s="59">
        <f>IFERROR(RANK(TableTECalcPts[[#This Row],[Custom]],TableTECalcPts[Custom])+COUNTIF($AA$3:AA15,AA15)-1,"")</f>
        <v>34</v>
      </c>
      <c r="W15" s="59">
        <v>13</v>
      </c>
      <c r="X15" s="59" t="str">
        <f>IFERROR(INDEX(TableTEMaster[Player],MATCH(TableTECalcPts[[#This Row],[TERef]],TableTEMaster[TERef],0)),"")</f>
        <v>Tommy Tremble</v>
      </c>
      <c r="Y15" s="59" t="str">
        <f>IFERROR(INDEX(TableTEMaster[TM],MATCH(TableTECalcPts[[#This Row],[TERef]],TableTEMaster[TERef],0)),"")</f>
        <v>CAR</v>
      </c>
      <c r="Z15" s="59">
        <f>IFERROR(INDEX(TableTEMaster[BYE],MATCH(TableTECalcPts[[#This Row],[TERef]],TableTEMaster[TERef],0)),"")</f>
        <v>11</v>
      </c>
      <c r="AA15" s="60">
        <f>IFERROR(INDEX(TableTEMaster[Custom],MATCH(TableTECalcPts[[#This Row],[TERef]],TableTEMaster[TERef],0)),"")</f>
        <v>59.441486316951199</v>
      </c>
      <c r="AC15" s="59">
        <f>IFERROR(RANK(TableDSTCalcPts[[#This Row],[Custom]],TableDSTCalcPts[Custom],0),"")</f>
        <v>10</v>
      </c>
      <c r="AD15" s="59">
        <v>13</v>
      </c>
      <c r="AE15" s="59" t="str">
        <f>IFERROR(INDEX(TableDSTMaster[Player],MATCH(TableDSTCalcPts[[#This Row],[DSTRef]],TableDSTMaster[DSTRef],0)),"")</f>
        <v>Houston Texans</v>
      </c>
      <c r="AF15" s="59">
        <f>IFERROR(INDEX(TableDSTMaster[BYE],MATCH(TableDSTCalcPts[[#This Row],[DSTRef]],TableDSTMaster[DSTRef],0)),"")</f>
        <v>14</v>
      </c>
      <c r="AG15" s="60">
        <f>IFERROR(INDEX(TableDSTMaster[Custom],MATCH(TableDSTCalcPts[[#This Row],[DSTRef]],TableDSTMaster[DSTRef],0)),"")</f>
        <v>111.77500000000001</v>
      </c>
      <c r="AI15" s="59" t="s">
        <v>10</v>
      </c>
      <c r="AJ15" s="59">
        <f>IFERROR(RANK(TableWRTECalcPts[[#This Row],[Custom]],TableWRTECalcPts[Custom])+COUNTIF($AP$3:AP15,AP15)-1,"")</f>
        <v>135</v>
      </c>
      <c r="AK15" s="59">
        <v>13</v>
      </c>
      <c r="AL15" s="59" t="str">
        <f>IFERROR(INDEX(TableTEMaster[Player],MATCH(TableWRTECalcPts[[#This Row],[POSRef]],TableTEMaster[TERef],0)),"")</f>
        <v>Tommy Tremble</v>
      </c>
      <c r="AM15" s="59" t="str">
        <f>IFERROR(_xlfn.CONCAT(TableWRTECalcPts[[#This Row],[POS]],INDEX(TableTERanks[RK],MATCH(TableWRTECalcPts[[#This Row],[PLAYER]],TableTERanks[Player],0))),"")</f>
        <v>TE34</v>
      </c>
      <c r="AN15" s="59" t="str">
        <f>IFERROR(INDEX(TableTEMaster[TM],MATCH(TableWRTECalcPts[[#This Row],[POSRef]],TableTEMaster[TERef],0)),"")</f>
        <v>CAR</v>
      </c>
      <c r="AO15" s="59">
        <f>IFERROR(INDEX(TableTEMaster[BYE],MATCH(TableWRTECalcPts[[#This Row],[POSRef]],TableTEMaster[TERef],0)),"")</f>
        <v>11</v>
      </c>
      <c r="AP15" s="60">
        <f>IFERROR(INDEX(TableTEMaster[Custom],MATCH(TableWRTECalcPts[[#This Row],[POSRef]],TableTEMaster[TERef],0)),"")</f>
        <v>59.441486316951199</v>
      </c>
    </row>
    <row r="16" spans="1:42" x14ac:dyDescent="0.25">
      <c r="A16" s="61">
        <f>IFERROR(RANK(TableQBCalcPts[[#This Row],[Custom]],TableQBCalcPts[Custom])+COUNTIF($F$3:F16,F16)-1,"")</f>
        <v>41</v>
      </c>
      <c r="B16" s="59">
        <v>14</v>
      </c>
      <c r="C16" s="59" t="str">
        <f>IFERROR(INDEX(TableQBMaster[Player],MATCH(TableQBCalcPts[[#This Row],[QBRef]],TableQBMaster[QBRef],0)),"")</f>
        <v>Jake Browning</v>
      </c>
      <c r="D16" s="59" t="str">
        <f>IFERROR(INDEX(TableQBMaster[TM],MATCH(TableQBCalcPts[[#This Row],[QBRef]],TableQBMaster[QBRef],0)),"")</f>
        <v>CIN</v>
      </c>
      <c r="E16" s="59">
        <f>IFERROR(INDEX(TableQBMaster[BYE],MATCH(TableQBCalcPts[[#This Row],[QBRef]],TableQBMaster[QBRef],0)),"")</f>
        <v>12</v>
      </c>
      <c r="F16" s="60">
        <f>IFERROR(INDEX(TableQBMaster[Custom],MATCH(TableQBCalcPts[[#This Row],[QBRef]],TableQBMaster[QBRef],0)),"")</f>
        <v>13.811457173920372</v>
      </c>
      <c r="H16" s="59">
        <f>IFERROR(RANK(TableRBCalcPts[[#This Row],[Custom]],TableRBCalcPts[Custom])+COUNTIF($M$3:M16,M16)-1,"")</f>
        <v>58</v>
      </c>
      <c r="I16" s="59">
        <v>14</v>
      </c>
      <c r="J16" s="59" t="str">
        <f>IFERROR(INDEX(TableRBMaster[Player],MATCH(TableRBCalcPts[[#This Row],[RBRef]],TableRBMaster[RBRef],0)),"")</f>
        <v>Ray Davis</v>
      </c>
      <c r="K16" s="59" t="str">
        <f>IFERROR(INDEX(TableRBMaster[TM],MATCH(TableRBCalcPts[[#This Row],[RBRef]],TableRBMaster[RBRef],0)),"")</f>
        <v>BUF</v>
      </c>
      <c r="L16" s="59">
        <f>IFERROR(INDEX(TableRBMaster[BYE],MATCH(TableRBCalcPts[[#This Row],[RBRef]],TableRBMaster[RBRef],0)),"")</f>
        <v>12</v>
      </c>
      <c r="M16" s="60">
        <f>IFERROR(INDEX(TableRBMaster[Custom],MATCH(TableRBCalcPts[[#This Row],[RBRef]],TableRBMaster[RBRef],0)),"")</f>
        <v>78.474181064928302</v>
      </c>
      <c r="O16" s="59">
        <f>IFERROR(RANK(TableWRCalcPts[[#This Row],[Custom]],TableWRCalcPts[Custom])+COUNTIF($T$3:T16,T16)-1,"")</f>
        <v>87</v>
      </c>
      <c r="P16" s="59">
        <v>14</v>
      </c>
      <c r="Q16" s="59" t="str">
        <f>IFERROR(INDEX(TableWRMaster[Player],MATCH(TableWRCalcPts[[#This Row],[WRRef]],TableWRMaster[WRRef],0)),"")</f>
        <v>Nelson Agholor</v>
      </c>
      <c r="R16" s="59" t="str">
        <f>IFERROR(INDEX(TableWRMaster[TM],MATCH(TableWRCalcPts[[#This Row],[WRRef]],TableWRMaster[WRRef],0)),"")</f>
        <v>BAL</v>
      </c>
      <c r="S16" s="59">
        <f>IFERROR(INDEX(TableWRMaster[BYE],MATCH(TableWRCalcPts[[#This Row],[WRRef]],TableWRMaster[WRRef],0)),"")</f>
        <v>14</v>
      </c>
      <c r="T16" s="60">
        <f>IFERROR(INDEX(TableWRMaster[Custom],MATCH(TableWRCalcPts[[#This Row],[WRRef]],TableWRMaster[WRRef],0)),"")</f>
        <v>88.344267554403842</v>
      </c>
      <c r="V16" s="59">
        <f>IFERROR(RANK(TableTECalcPts[[#This Row],[Custom]],TableTECalcPts[Custom])+COUNTIF($AA$3:AA16,AA16)-1,"")</f>
        <v>68</v>
      </c>
      <c r="W16" s="59">
        <v>14</v>
      </c>
      <c r="X16" s="59" t="str">
        <f>IFERROR(INDEX(TableTEMaster[Player],MATCH(TableTECalcPts[[#This Row],[TERef]],TableTEMaster[TERef],0)),"")</f>
        <v>Ian Thomas</v>
      </c>
      <c r="Y16" s="59" t="str">
        <f>IFERROR(INDEX(TableTEMaster[TM],MATCH(TableTECalcPts[[#This Row],[TERef]],TableTEMaster[TERef],0)),"")</f>
        <v>CAR</v>
      </c>
      <c r="Z16" s="59">
        <f>IFERROR(INDEX(TableTEMaster[BYE],MATCH(TableTECalcPts[[#This Row],[TERef]],TableTEMaster[TERef],0)),"")</f>
        <v>11</v>
      </c>
      <c r="AA16" s="60">
        <f>IFERROR(INDEX(TableTEMaster[Custom],MATCH(TableTECalcPts[[#This Row],[TERef]],TableTEMaster[TERef],0)),"")</f>
        <v>11.009039341968327</v>
      </c>
      <c r="AC16" s="59">
        <f>IFERROR(RANK(TableDSTCalcPts[[#This Row],[Custom]],TableDSTCalcPts[Custom],0),"")</f>
        <v>7</v>
      </c>
      <c r="AD16" s="59">
        <v>14</v>
      </c>
      <c r="AE16" s="59" t="str">
        <f>IFERROR(INDEX(TableDSTMaster[Player],MATCH(TableDSTCalcPts[[#This Row],[DSTRef]],TableDSTMaster[DSTRef],0)),"")</f>
        <v>Indianapolis Colts</v>
      </c>
      <c r="AF16" s="59">
        <f>IFERROR(INDEX(TableDSTMaster[BYE],MATCH(TableDSTCalcPts[[#This Row],[DSTRef]],TableDSTMaster[DSTRef],0)),"")</f>
        <v>14</v>
      </c>
      <c r="AG16" s="60">
        <f>IFERROR(INDEX(TableDSTMaster[Custom],MATCH(TableDSTCalcPts[[#This Row],[DSTRef]],TableDSTMaster[DSTRef],0)),"")</f>
        <v>113.37500000000001</v>
      </c>
      <c r="AI16" s="59" t="s">
        <v>10</v>
      </c>
      <c r="AJ16" s="59">
        <f>IFERROR(RANK(TableWRTECalcPts[[#This Row],[Custom]],TableWRTECalcPts[Custom])+COUNTIF($AP$3:AP16,AP16)-1,"")</f>
        <v>230</v>
      </c>
      <c r="AK16" s="59">
        <v>14</v>
      </c>
      <c r="AL16" s="59" t="str">
        <f>IFERROR(INDEX(TableTEMaster[Player],MATCH(TableWRTECalcPts[[#This Row],[POSRef]],TableTEMaster[TERef],0)),"")</f>
        <v>Ian Thomas</v>
      </c>
      <c r="AM16" s="59" t="str">
        <f>IFERROR(_xlfn.CONCAT(TableWRTECalcPts[[#This Row],[POS]],INDEX(TableTERanks[RK],MATCH(TableWRTECalcPts[[#This Row],[PLAYER]],TableTERanks[Player],0))),"")</f>
        <v>TE68</v>
      </c>
      <c r="AN16" s="59" t="str">
        <f>IFERROR(INDEX(TableTEMaster[TM],MATCH(TableWRTECalcPts[[#This Row],[POSRef]],TableTEMaster[TERef],0)),"")</f>
        <v>CAR</v>
      </c>
      <c r="AO16" s="59">
        <f>IFERROR(INDEX(TableTEMaster[BYE],MATCH(TableWRTECalcPts[[#This Row],[POSRef]],TableTEMaster[TERef],0)),"")</f>
        <v>11</v>
      </c>
      <c r="AP16" s="60">
        <f>IFERROR(INDEX(TableTEMaster[Custom],MATCH(TableWRTECalcPts[[#This Row],[POSRef]],TableTEMaster[TERef],0)),"")</f>
        <v>11.009039341968327</v>
      </c>
    </row>
    <row r="17" spans="1:42" x14ac:dyDescent="0.25">
      <c r="A17" s="61">
        <f>IFERROR(RANK(TableQBCalcPts[[#This Row],[Custom]],TableQBCalcPts[Custom])+COUNTIF($F$3:F17,F17)-1,"")</f>
        <v>19</v>
      </c>
      <c r="B17" s="59">
        <v>15</v>
      </c>
      <c r="C17" s="59" t="str">
        <f>IFERROR(INDEX(TableQBMaster[Player],MATCH(TableQBCalcPts[[#This Row],[QBRef]],TableQBMaster[QBRef],0)),"")</f>
        <v>Deshaun Watson</v>
      </c>
      <c r="D17" s="59" t="str">
        <f>IFERROR(INDEX(TableQBMaster[TM],MATCH(TableQBCalcPts[[#This Row],[QBRef]],TableQBMaster[QBRef],0)),"")</f>
        <v>CLE</v>
      </c>
      <c r="E17" s="59">
        <f>IFERROR(INDEX(TableQBMaster[BYE],MATCH(TableQBCalcPts[[#This Row],[QBRef]],TableQBMaster[QBRef],0)),"")</f>
        <v>10</v>
      </c>
      <c r="F17" s="60">
        <f>IFERROR(INDEX(TableQBMaster[Custom],MATCH(TableQBCalcPts[[#This Row],[QBRef]],TableQBMaster[QBRef],0)),"")</f>
        <v>292.12616760278985</v>
      </c>
      <c r="H17" s="59">
        <f>IFERROR(RANK(TableRBCalcPts[[#This Row],[Custom]],TableRBCalcPts[Custom])+COUNTIF($M$3:M17,M17)-1,"")</f>
        <v>36</v>
      </c>
      <c r="I17" s="59">
        <v>15</v>
      </c>
      <c r="J17" s="59" t="str">
        <f>IFERROR(INDEX(TableRBMaster[Player],MATCH(TableRBCalcPts[[#This Row],[RBRef]],TableRBMaster[RBRef],0)),"")</f>
        <v>Chuba Hubbard</v>
      </c>
      <c r="K17" s="59" t="str">
        <f>IFERROR(INDEX(TableRBMaster[TM],MATCH(TableRBCalcPts[[#This Row],[RBRef]],TableRBMaster[RBRef],0)),"")</f>
        <v>CAR</v>
      </c>
      <c r="L17" s="59">
        <f>IFERROR(INDEX(TableRBMaster[BYE],MATCH(TableRBCalcPts[[#This Row],[RBRef]],TableRBMaster[RBRef],0)),"")</f>
        <v>11</v>
      </c>
      <c r="M17" s="60">
        <f>IFERROR(INDEX(TableRBMaster[Custom],MATCH(TableRBCalcPts[[#This Row],[RBRef]],TableRBMaster[RBRef],0)),"")</f>
        <v>146.53885508250966</v>
      </c>
      <c r="O17" s="59">
        <f>IFERROR(RANK(TableWRCalcPts[[#This Row],[Custom]],TableWRCalcPts[Custom])+COUNTIF($T$3:T17,T17)-1,"")</f>
        <v>144</v>
      </c>
      <c r="P17" s="59">
        <v>15</v>
      </c>
      <c r="Q17" s="59" t="str">
        <f>IFERROR(INDEX(TableWRMaster[Player],MATCH(TableWRCalcPts[[#This Row],[WRRef]],TableWRMaster[WRRef],0)),"")</f>
        <v>Devontez Walker</v>
      </c>
      <c r="R17" s="59" t="str">
        <f>IFERROR(INDEX(TableWRMaster[TM],MATCH(TableWRCalcPts[[#This Row],[WRRef]],TableWRMaster[WRRef],0)),"")</f>
        <v>BAL</v>
      </c>
      <c r="S17" s="59">
        <f>IFERROR(INDEX(TableWRMaster[BYE],MATCH(TableWRCalcPts[[#This Row],[WRRef]],TableWRMaster[WRRef],0)),"")</f>
        <v>14</v>
      </c>
      <c r="T17" s="60">
        <f>IFERROR(INDEX(TableWRMaster[Custom],MATCH(TableWRCalcPts[[#This Row],[WRRef]],TableWRMaster[WRRef],0)),"")</f>
        <v>16.825698512797491</v>
      </c>
      <c r="V17" s="59">
        <f>IFERROR(RANK(TableTECalcPts[[#This Row],[Custom]],TableTECalcPts[Custom])+COUNTIF($AA$3:AA17,AA17)-1,"")</f>
        <v>16</v>
      </c>
      <c r="W17" s="59">
        <v>15</v>
      </c>
      <c r="X17" s="59" t="str">
        <f>IFERROR(INDEX(TableTEMaster[Player],MATCH(TableTECalcPts[[#This Row],[TERef]],TableTEMaster[TERef],0)),"")</f>
        <v>Cole Kmet</v>
      </c>
      <c r="Y17" s="59" t="str">
        <f>IFERROR(INDEX(TableTEMaster[TM],MATCH(TableTECalcPts[[#This Row],[TERef]],TableTEMaster[TERef],0)),"")</f>
        <v>CHI</v>
      </c>
      <c r="Z17" s="59">
        <f>IFERROR(INDEX(TableTEMaster[BYE],MATCH(TableTECalcPts[[#This Row],[TERef]],TableTEMaster[TERef],0)),"")</f>
        <v>7</v>
      </c>
      <c r="AA17" s="60">
        <f>IFERROR(INDEX(TableTEMaster[Custom],MATCH(TableTECalcPts[[#This Row],[TERef]],TableTEMaster[TERef],0)),"")</f>
        <v>99.558300157164425</v>
      </c>
      <c r="AC17" s="59">
        <f>IFERROR(RANK(TableDSTCalcPts[[#This Row],[Custom]],TableDSTCalcPts[Custom],0),"")</f>
        <v>21</v>
      </c>
      <c r="AD17" s="59">
        <v>15</v>
      </c>
      <c r="AE17" s="59" t="str">
        <f>IFERROR(INDEX(TableDSTMaster[Player],MATCH(TableDSTCalcPts[[#This Row],[DSTRef]],TableDSTMaster[DSTRef],0)),"")</f>
        <v>Jacksonville Jaguars</v>
      </c>
      <c r="AF17" s="59">
        <f>IFERROR(INDEX(TableDSTMaster[BYE],MATCH(TableDSTCalcPts[[#This Row],[DSTRef]],TableDSTMaster[DSTRef],0)),"")</f>
        <v>12</v>
      </c>
      <c r="AG17" s="60">
        <f>IFERROR(INDEX(TableDSTMaster[Custom],MATCH(TableDSTCalcPts[[#This Row],[DSTRef]],TableDSTMaster[DSTRef],0)),"")</f>
        <v>106.37500000000001</v>
      </c>
      <c r="AI17" s="59" t="s">
        <v>10</v>
      </c>
      <c r="AJ17" s="59">
        <f>IFERROR(RANK(TableWRTECalcPts[[#This Row],[Custom]],TableWRTECalcPts[Custom])+COUNTIF($AP$3:AP17,AP17)-1,"")</f>
        <v>99</v>
      </c>
      <c r="AK17" s="59">
        <v>15</v>
      </c>
      <c r="AL17" s="59" t="str">
        <f>IFERROR(INDEX(TableTEMaster[Player],MATCH(TableWRTECalcPts[[#This Row],[POSRef]],TableTEMaster[TERef],0)),"")</f>
        <v>Cole Kmet</v>
      </c>
      <c r="AM17" s="59" t="str">
        <f>IFERROR(_xlfn.CONCAT(TableWRTECalcPts[[#This Row],[POS]],INDEX(TableTERanks[RK],MATCH(TableWRTECalcPts[[#This Row],[PLAYER]],TableTERanks[Player],0))),"")</f>
        <v>TE16</v>
      </c>
      <c r="AN17" s="59" t="str">
        <f>IFERROR(INDEX(TableTEMaster[TM],MATCH(TableWRTECalcPts[[#This Row],[POSRef]],TableTEMaster[TERef],0)),"")</f>
        <v>CHI</v>
      </c>
      <c r="AO17" s="59">
        <f>IFERROR(INDEX(TableTEMaster[BYE],MATCH(TableWRTECalcPts[[#This Row],[POSRef]],TableTEMaster[TERef],0)),"")</f>
        <v>7</v>
      </c>
      <c r="AP17" s="60">
        <f>IFERROR(INDEX(TableTEMaster[Custom],MATCH(TableWRTECalcPts[[#This Row],[POSRef]],TableTEMaster[TERef],0)),"")</f>
        <v>99.558300157164425</v>
      </c>
    </row>
    <row r="18" spans="1:42" x14ac:dyDescent="0.25">
      <c r="A18" s="61">
        <f>IFERROR(RANK(TableQBCalcPts[[#This Row],[Custom]],TableQBCalcPts[Custom])+COUNTIF($F$3:F18,F18)-1,"")</f>
        <v>51</v>
      </c>
      <c r="B18" s="59">
        <v>16</v>
      </c>
      <c r="C18" s="59" t="str">
        <f>IFERROR(INDEX(TableQBMaster[Player],MATCH(TableQBCalcPts[[#This Row],[QBRef]],TableQBMaster[QBRef],0)),"")</f>
        <v>Jameis Winston</v>
      </c>
      <c r="D18" s="59" t="str">
        <f>IFERROR(INDEX(TableQBMaster[TM],MATCH(TableQBCalcPts[[#This Row],[QBRef]],TableQBMaster[QBRef],0)),"")</f>
        <v>CLE</v>
      </c>
      <c r="E18" s="59">
        <f>IFERROR(INDEX(TableQBMaster[BYE],MATCH(TableQBCalcPts[[#This Row],[QBRef]],TableQBMaster[QBRef],0)),"")</f>
        <v>10</v>
      </c>
      <c r="F18" s="60">
        <f>IFERROR(INDEX(TableQBMaster[Custom],MATCH(TableQBCalcPts[[#This Row],[QBRef]],TableQBMaster[QBRef],0)),"")</f>
        <v>6.4643817227131688</v>
      </c>
      <c r="H18" s="59">
        <f>IFERROR(RANK(TableRBCalcPts[[#This Row],[Custom]],TableRBCalcPts[Custom])+COUNTIF($M$3:M18,M18)-1,"")</f>
        <v>39</v>
      </c>
      <c r="I18" s="59">
        <v>16</v>
      </c>
      <c r="J18" s="59" t="str">
        <f>IFERROR(INDEX(TableRBMaster[Player],MATCH(TableRBCalcPts[[#This Row],[RBRef]],TableRBMaster[RBRef],0)),"")</f>
        <v>Jonathon Brooks</v>
      </c>
      <c r="K18" s="59" t="str">
        <f>IFERROR(INDEX(TableRBMaster[TM],MATCH(TableRBCalcPts[[#This Row],[RBRef]],TableRBMaster[RBRef],0)),"")</f>
        <v>CAR</v>
      </c>
      <c r="L18" s="59">
        <f>IFERROR(INDEX(TableRBMaster[BYE],MATCH(TableRBCalcPts[[#This Row],[RBRef]],TableRBMaster[RBRef],0)),"")</f>
        <v>11</v>
      </c>
      <c r="M18" s="60">
        <f>IFERROR(INDEX(TableRBMaster[Custom],MATCH(TableRBCalcPts[[#This Row],[RBRef]],TableRBMaster[RBRef],0)),"")</f>
        <v>140.79732862710091</v>
      </c>
      <c r="O18" s="59">
        <f>IFERROR(RANK(TableWRCalcPts[[#This Row],[Custom]],TableWRCalcPts[Custom])+COUNTIF($T$3:T18,T18)-1,"")</f>
        <v>119</v>
      </c>
      <c r="P18" s="59">
        <v>16</v>
      </c>
      <c r="Q18" s="59" t="str">
        <f>IFERROR(INDEX(TableWRMaster[Player],MATCH(TableWRCalcPts[[#This Row],[WRRef]],TableWRMaster[WRRef],0)),"")</f>
        <v>Deonte Harty</v>
      </c>
      <c r="R18" s="59" t="str">
        <f>IFERROR(INDEX(TableWRMaster[TM],MATCH(TableWRCalcPts[[#This Row],[WRRef]],TableWRMaster[WRRef],0)),"")</f>
        <v>BAL</v>
      </c>
      <c r="S18" s="59">
        <f>IFERROR(INDEX(TableWRMaster[BYE],MATCH(TableWRCalcPts[[#This Row],[WRRef]],TableWRMaster[WRRef],0)),"")</f>
        <v>14</v>
      </c>
      <c r="T18" s="60">
        <f>IFERROR(INDEX(TableWRMaster[Custom],MATCH(TableWRCalcPts[[#This Row],[WRRef]],TableWRMaster[WRRef],0)),"")</f>
        <v>33.714169441945884</v>
      </c>
      <c r="V18" s="59">
        <f>IFERROR(RANK(TableTECalcPts[[#This Row],[Custom]],TableTECalcPts[Custom])+COUNTIF($AA$3:AA18,AA18)-1,"")</f>
        <v>49</v>
      </c>
      <c r="W18" s="59">
        <v>16</v>
      </c>
      <c r="X18" s="59" t="str">
        <f>IFERROR(INDEX(TableTEMaster[Player],MATCH(TableTECalcPts[[#This Row],[TERef]],TableTEMaster[TERef],0)),"")</f>
        <v>Gerald Everett</v>
      </c>
      <c r="Y18" s="59" t="str">
        <f>IFERROR(INDEX(TableTEMaster[TM],MATCH(TableTECalcPts[[#This Row],[TERef]],TableTEMaster[TERef],0)),"")</f>
        <v>CHI</v>
      </c>
      <c r="Z18" s="59">
        <f>IFERROR(INDEX(TableTEMaster[BYE],MATCH(TableTECalcPts[[#This Row],[TERef]],TableTEMaster[TERef],0)),"")</f>
        <v>7</v>
      </c>
      <c r="AA18" s="60">
        <f>IFERROR(INDEX(TableTEMaster[Custom],MATCH(TableTECalcPts[[#This Row],[TERef]],TableTEMaster[TERef],0)),"")</f>
        <v>28.159483725102589</v>
      </c>
      <c r="AC18" s="59">
        <f>IFERROR(RANK(TableDSTCalcPts[[#This Row],[Custom]],TableDSTCalcPts[Custom],0),"")</f>
        <v>9</v>
      </c>
      <c r="AD18" s="59">
        <v>16</v>
      </c>
      <c r="AE18" s="59" t="str">
        <f>IFERROR(INDEX(TableDSTMaster[Player],MATCH(TableDSTCalcPts[[#This Row],[DSTRef]],TableDSTMaster[DSTRef],0)),"")</f>
        <v>Kansas City Chiefs</v>
      </c>
      <c r="AF18" s="59">
        <f>IFERROR(INDEX(TableDSTMaster[BYE],MATCH(TableDSTCalcPts[[#This Row],[DSTRef]],TableDSTMaster[DSTRef],0)),"")</f>
        <v>6</v>
      </c>
      <c r="AG18" s="60">
        <f>IFERROR(INDEX(TableDSTMaster[Custom],MATCH(TableDSTCalcPts[[#This Row],[DSTRef]],TableDSTMaster[DSTRef],0)),"")</f>
        <v>112.17499999999998</v>
      </c>
      <c r="AI18" s="59" t="s">
        <v>10</v>
      </c>
      <c r="AJ18" s="59">
        <f>IFERROR(RANK(TableWRTECalcPts[[#This Row],[Custom]],TableWRTECalcPts[Custom])+COUNTIF($AP$3:AP18,AP18)-1,"")</f>
        <v>175</v>
      </c>
      <c r="AK18" s="59">
        <v>16</v>
      </c>
      <c r="AL18" s="59" t="str">
        <f>IFERROR(INDEX(TableTEMaster[Player],MATCH(TableWRTECalcPts[[#This Row],[POSRef]],TableTEMaster[TERef],0)),"")</f>
        <v>Gerald Everett</v>
      </c>
      <c r="AM18" s="59" t="str">
        <f>IFERROR(_xlfn.CONCAT(TableWRTECalcPts[[#This Row],[POS]],INDEX(TableTERanks[RK],MATCH(TableWRTECalcPts[[#This Row],[PLAYER]],TableTERanks[Player],0))),"")</f>
        <v>TE49</v>
      </c>
      <c r="AN18" s="59" t="str">
        <f>IFERROR(INDEX(TableTEMaster[TM],MATCH(TableWRTECalcPts[[#This Row],[POSRef]],TableTEMaster[TERef],0)),"")</f>
        <v>CHI</v>
      </c>
      <c r="AO18" s="59">
        <f>IFERROR(INDEX(TableTEMaster[BYE],MATCH(TableWRTECalcPts[[#This Row],[POSRef]],TableTEMaster[TERef],0)),"")</f>
        <v>7</v>
      </c>
      <c r="AP18" s="60">
        <f>IFERROR(INDEX(TableTEMaster[Custom],MATCH(TableWRTECalcPts[[#This Row],[POSRef]],TableTEMaster[TERef],0)),"")</f>
        <v>28.159483725102589</v>
      </c>
    </row>
    <row r="19" spans="1:42" x14ac:dyDescent="0.25">
      <c r="A19" s="61">
        <f>IFERROR(RANK(TableQBCalcPts[[#This Row],[Custom]],TableQBCalcPts[Custom])+COUNTIF($F$3:F19,F19)-1,"")</f>
        <v>7</v>
      </c>
      <c r="B19" s="59">
        <v>17</v>
      </c>
      <c r="C19" s="59" t="str">
        <f>IFERROR(INDEX(TableQBMaster[Player],MATCH(TableQBCalcPts[[#This Row],[QBRef]],TableQBMaster[QBRef],0)),"")</f>
        <v>Dak Prescott</v>
      </c>
      <c r="D19" s="59" t="str">
        <f>IFERROR(INDEX(TableQBMaster[TM],MATCH(TableQBCalcPts[[#This Row],[QBRef]],TableQBMaster[QBRef],0)),"")</f>
        <v>DAL</v>
      </c>
      <c r="E19" s="59">
        <f>IFERROR(INDEX(TableQBMaster[BYE],MATCH(TableQBCalcPts[[#This Row],[QBRef]],TableQBMaster[QBRef],0)),"")</f>
        <v>7</v>
      </c>
      <c r="F19" s="60">
        <f>IFERROR(INDEX(TableQBMaster[Custom],MATCH(TableQBCalcPts[[#This Row],[QBRef]],TableQBMaster[QBRef],0)),"")</f>
        <v>330.82918430232354</v>
      </c>
      <c r="H19" s="59">
        <f>IFERROR(RANK(TableRBCalcPts[[#This Row],[Custom]],TableRBCalcPts[Custom])+COUNTIF($M$3:M19,M19)-1,"")</f>
        <v>85</v>
      </c>
      <c r="I19" s="59">
        <v>17</v>
      </c>
      <c r="J19" s="59" t="str">
        <f>IFERROR(INDEX(TableRBMaster[Player],MATCH(TableRBCalcPts[[#This Row],[RBRef]],TableRBMaster[RBRef],0)),"")</f>
        <v>Miles Sanders</v>
      </c>
      <c r="K19" s="59" t="str">
        <f>IFERROR(INDEX(TableRBMaster[TM],MATCH(TableRBCalcPts[[#This Row],[RBRef]],TableRBMaster[RBRef],0)),"")</f>
        <v>CAR</v>
      </c>
      <c r="L19" s="59">
        <f>IFERROR(INDEX(TableRBMaster[BYE],MATCH(TableRBCalcPts[[#This Row],[RBRef]],TableRBMaster[RBRef],0)),"")</f>
        <v>11</v>
      </c>
      <c r="M19" s="60">
        <f>IFERROR(INDEX(TableRBMaster[Custom],MATCH(TableRBCalcPts[[#This Row],[RBRef]],TableRBMaster[RBRef],0)),"")</f>
        <v>22.254131037480178</v>
      </c>
      <c r="O19" s="59">
        <f>IFERROR(RANK(TableWRCalcPts[[#This Row],[Custom]],TableWRCalcPts[Custom])+COUNTIF($T$3:T19,T19)-1,"")</f>
        <v>56</v>
      </c>
      <c r="P19" s="59">
        <v>17</v>
      </c>
      <c r="Q19" s="59" t="str">
        <f>IFERROR(INDEX(TableWRMaster[Player],MATCH(TableWRCalcPts[[#This Row],[WRRef]],TableWRMaster[WRRef],0)),"")</f>
        <v>Keon Coleman</v>
      </c>
      <c r="R19" s="59" t="str">
        <f>IFERROR(INDEX(TableWRMaster[TM],MATCH(TableWRCalcPts[[#This Row],[WRRef]],TableWRMaster[WRRef],0)),"")</f>
        <v>BUF</v>
      </c>
      <c r="S19" s="59">
        <f>IFERROR(INDEX(TableWRMaster[BYE],MATCH(TableWRCalcPts[[#This Row],[WRRef]],TableWRMaster[WRRef],0)),"")</f>
        <v>12</v>
      </c>
      <c r="T19" s="60">
        <f>IFERROR(INDEX(TableWRMaster[Custom],MATCH(TableWRCalcPts[[#This Row],[WRRef]],TableWRMaster[WRRef],0)),"")</f>
        <v>147.77140943565098</v>
      </c>
      <c r="V19" s="59">
        <f>IFERROR(RANK(TableTECalcPts[[#This Row],[Custom]],TableTECalcPts[Custom])+COUNTIF($AA$3:AA19,AA19)-1,"")</f>
        <v>18</v>
      </c>
      <c r="W19" s="59">
        <v>17</v>
      </c>
      <c r="X19" s="59" t="str">
        <f>IFERROR(INDEX(TableTEMaster[Player],MATCH(TableTECalcPts[[#This Row],[TERef]],TableTEMaster[TERef],0)),"")</f>
        <v>Mike Gesicki</v>
      </c>
      <c r="Y19" s="59" t="str">
        <f>IFERROR(INDEX(TableTEMaster[TM],MATCH(TableTECalcPts[[#This Row],[TERef]],TableTEMaster[TERef],0)),"")</f>
        <v>CIN</v>
      </c>
      <c r="Z19" s="59">
        <f>IFERROR(INDEX(TableTEMaster[BYE],MATCH(TableTECalcPts[[#This Row],[TERef]],TableTEMaster[TERef],0)),"")</f>
        <v>12</v>
      </c>
      <c r="AA19" s="60">
        <f>IFERROR(INDEX(TableTEMaster[Custom],MATCH(TableTECalcPts[[#This Row],[TERef]],TableTEMaster[TERef],0)),"")</f>
        <v>96.879813101035438</v>
      </c>
      <c r="AC19" s="59">
        <f>IFERROR(RANK(TableDSTCalcPts[[#This Row],[Custom]],TableDSTCalcPts[Custom],0),"")</f>
        <v>25</v>
      </c>
      <c r="AD19" s="59">
        <v>17</v>
      </c>
      <c r="AE19" s="59" t="str">
        <f>IFERROR(INDEX(TableDSTMaster[Player],MATCH(TableDSTCalcPts[[#This Row],[DSTRef]],TableDSTMaster[DSTRef],0)),"")</f>
        <v>Las Vegas Raiders</v>
      </c>
      <c r="AF19" s="59">
        <f>IFERROR(INDEX(TableDSTMaster[BYE],MATCH(TableDSTCalcPts[[#This Row],[DSTRef]],TableDSTMaster[DSTRef],0)),"")</f>
        <v>10</v>
      </c>
      <c r="AG19" s="60">
        <f>IFERROR(INDEX(TableDSTMaster[Custom],MATCH(TableDSTCalcPts[[#This Row],[DSTRef]],TableDSTMaster[DSTRef],0)),"")</f>
        <v>103.30000000000001</v>
      </c>
      <c r="AI19" s="59" t="s">
        <v>10</v>
      </c>
      <c r="AJ19" s="59">
        <f>IFERROR(RANK(TableWRTECalcPts[[#This Row],[Custom]],TableWRTECalcPts[Custom])+COUNTIF($AP$3:AP19,AP19)-1,"")</f>
        <v>102</v>
      </c>
      <c r="AK19" s="59">
        <v>17</v>
      </c>
      <c r="AL19" s="59" t="str">
        <f>IFERROR(INDEX(TableTEMaster[Player],MATCH(TableWRTECalcPts[[#This Row],[POSRef]],TableTEMaster[TERef],0)),"")</f>
        <v>Mike Gesicki</v>
      </c>
      <c r="AM19" s="59" t="str">
        <f>IFERROR(_xlfn.CONCAT(TableWRTECalcPts[[#This Row],[POS]],INDEX(TableTERanks[RK],MATCH(TableWRTECalcPts[[#This Row],[PLAYER]],TableTERanks[Player],0))),"")</f>
        <v>TE18</v>
      </c>
      <c r="AN19" s="59" t="str">
        <f>IFERROR(INDEX(TableTEMaster[TM],MATCH(TableWRTECalcPts[[#This Row],[POSRef]],TableTEMaster[TERef],0)),"")</f>
        <v>CIN</v>
      </c>
      <c r="AO19" s="59">
        <f>IFERROR(INDEX(TableTEMaster[BYE],MATCH(TableWRTECalcPts[[#This Row],[POSRef]],TableTEMaster[TERef],0)),"")</f>
        <v>12</v>
      </c>
      <c r="AP19" s="60">
        <f>IFERROR(INDEX(TableTEMaster[Custom],MATCH(TableWRTECalcPts[[#This Row],[POSRef]],TableTEMaster[TERef],0)),"")</f>
        <v>96.879813101035438</v>
      </c>
    </row>
    <row r="20" spans="1:42" x14ac:dyDescent="0.25">
      <c r="A20" s="61">
        <f>IFERROR(RANK(TableQBCalcPts[[#This Row],[Custom]],TableQBCalcPts[Custom])+COUNTIF($F$3:F20,F20)-1,"")</f>
        <v>56</v>
      </c>
      <c r="B20" s="59">
        <v>18</v>
      </c>
      <c r="C20" s="59" t="str">
        <f>IFERROR(INDEX(TableQBMaster[Player],MATCH(TableQBCalcPts[[#This Row],[QBRef]],TableQBMaster[QBRef],0)),"")</f>
        <v>Trey Lance</v>
      </c>
      <c r="D20" s="59" t="str">
        <f>IFERROR(INDEX(TableQBMaster[TM],MATCH(TableQBCalcPts[[#This Row],[QBRef]],TableQBMaster[QBRef],0)),"")</f>
        <v>DAL</v>
      </c>
      <c r="E20" s="59">
        <f>IFERROR(INDEX(TableQBMaster[BYE],MATCH(TableQBCalcPts[[#This Row],[QBRef]],TableQBMaster[QBRef],0)),"")</f>
        <v>7</v>
      </c>
      <c r="F20" s="60">
        <f>IFERROR(INDEX(TableQBMaster[Custom],MATCH(TableQBCalcPts[[#This Row],[QBRef]],TableQBMaster[QBRef],0)),"")</f>
        <v>5.6193425291810213</v>
      </c>
      <c r="H20" s="59">
        <f>IFERROR(RANK(TableRBCalcPts[[#This Row],[Custom]],TableRBCalcPts[Custom])+COUNTIF($M$3:M20,M20)-1,"")</f>
        <v>99</v>
      </c>
      <c r="I20" s="59">
        <v>18</v>
      </c>
      <c r="J20" s="59" t="str">
        <f>IFERROR(INDEX(TableRBMaster[Player],MATCH(TableRBCalcPts[[#This Row],[RBRef]],TableRBMaster[RBRef],0)),"")</f>
        <v>Raheem Blackshear</v>
      </c>
      <c r="K20" s="59" t="str">
        <f>IFERROR(INDEX(TableRBMaster[TM],MATCH(TableRBCalcPts[[#This Row],[RBRef]],TableRBMaster[RBRef],0)),"")</f>
        <v>CAR</v>
      </c>
      <c r="L20" s="59">
        <f>IFERROR(INDEX(TableRBMaster[BYE],MATCH(TableRBCalcPts[[#This Row],[RBRef]],TableRBMaster[RBRef],0)),"")</f>
        <v>11</v>
      </c>
      <c r="M20" s="60">
        <f>IFERROR(INDEX(TableRBMaster[Custom],MATCH(TableRBCalcPts[[#This Row],[RBRef]],TableRBMaster[RBRef],0)),"")</f>
        <v>13.006320665241072</v>
      </c>
      <c r="O20" s="59">
        <f>IFERROR(RANK(TableWRCalcPts[[#This Row],[Custom]],TableWRCalcPts[Custom])+COUNTIF($T$3:T20,T20)-1,"")</f>
        <v>53</v>
      </c>
      <c r="P20" s="59">
        <v>18</v>
      </c>
      <c r="Q20" s="59" t="str">
        <f>IFERROR(INDEX(TableWRMaster[Player],MATCH(TableWRCalcPts[[#This Row],[WRRef]],TableWRMaster[WRRef],0)),"")</f>
        <v>Curtis Samuel</v>
      </c>
      <c r="R20" s="59" t="str">
        <f>IFERROR(INDEX(TableWRMaster[TM],MATCH(TableWRCalcPts[[#This Row],[WRRef]],TableWRMaster[WRRef],0)),"")</f>
        <v>BUF</v>
      </c>
      <c r="S20" s="59">
        <f>IFERROR(INDEX(TableWRMaster[BYE],MATCH(TableWRCalcPts[[#This Row],[WRRef]],TableWRMaster[WRRef],0)),"")</f>
        <v>12</v>
      </c>
      <c r="T20" s="60">
        <f>IFERROR(INDEX(TableWRMaster[Custom],MATCH(TableWRCalcPts[[#This Row],[WRRef]],TableWRMaster[WRRef],0)),"")</f>
        <v>152.29973704531247</v>
      </c>
      <c r="V20" s="59">
        <f>IFERROR(RANK(TableTECalcPts[[#This Row],[Custom]],TableTECalcPts[Custom])+COUNTIF($AA$3:AA20,AA20)-1,"")</f>
        <v>73</v>
      </c>
      <c r="W20" s="59">
        <v>18</v>
      </c>
      <c r="X20" s="59" t="str">
        <f>IFERROR(INDEX(TableTEMaster[Player],MATCH(TableTECalcPts[[#This Row],[TERef]],TableTEMaster[TERef],0)),"")</f>
        <v>Tanner Hudson</v>
      </c>
      <c r="Y20" s="59" t="str">
        <f>IFERROR(INDEX(TableTEMaster[TM],MATCH(TableTECalcPts[[#This Row],[TERef]],TableTEMaster[TERef],0)),"")</f>
        <v>CIN</v>
      </c>
      <c r="Z20" s="59">
        <f>IFERROR(INDEX(TableTEMaster[BYE],MATCH(TableTECalcPts[[#This Row],[TERef]],TableTEMaster[TERef],0)),"")</f>
        <v>12</v>
      </c>
      <c r="AA20" s="60">
        <f>IFERROR(INDEX(TableTEMaster[Custom],MATCH(TableTECalcPts[[#This Row],[TERef]],TableTEMaster[TERef],0)),"")</f>
        <v>8.400592059036688</v>
      </c>
      <c r="AC20" s="59">
        <f>IFERROR(RANK(TableDSTCalcPts[[#This Row],[Custom]],TableDSTCalcPts[Custom],0),"")</f>
        <v>15</v>
      </c>
      <c r="AD20" s="59">
        <v>18</v>
      </c>
      <c r="AE20" s="59" t="str">
        <f>IFERROR(INDEX(TableDSTMaster[Player],MATCH(TableDSTCalcPts[[#This Row],[DSTRef]],TableDSTMaster[DSTRef],0)),"")</f>
        <v>Los Angeles Chargers</v>
      </c>
      <c r="AF20" s="59">
        <f>IFERROR(INDEX(TableDSTMaster[BYE],MATCH(TableDSTCalcPts[[#This Row],[DSTRef]],TableDSTMaster[DSTRef],0)),"")</f>
        <v>5</v>
      </c>
      <c r="AG20" s="60">
        <f>IFERROR(INDEX(TableDSTMaster[Custom],MATCH(TableDSTCalcPts[[#This Row],[DSTRef]],TableDSTMaster[DSTRef],0)),"")</f>
        <v>109.97499999999999</v>
      </c>
      <c r="AI20" s="59" t="s">
        <v>10</v>
      </c>
      <c r="AJ20" s="59">
        <f>IFERROR(RANK(TableWRTECalcPts[[#This Row],[Custom]],TableWRTECalcPts[Custom])+COUNTIF($AP$3:AP20,AP20)-1,"")</f>
        <v>242</v>
      </c>
      <c r="AK20" s="59">
        <v>18</v>
      </c>
      <c r="AL20" s="59" t="str">
        <f>IFERROR(INDEX(TableTEMaster[Player],MATCH(TableWRTECalcPts[[#This Row],[POSRef]],TableTEMaster[TERef],0)),"")</f>
        <v>Tanner Hudson</v>
      </c>
      <c r="AM20" s="59" t="str">
        <f>IFERROR(_xlfn.CONCAT(TableWRTECalcPts[[#This Row],[POS]],INDEX(TableTERanks[RK],MATCH(TableWRTECalcPts[[#This Row],[PLAYER]],TableTERanks[Player],0))),"")</f>
        <v>TE73</v>
      </c>
      <c r="AN20" s="59" t="str">
        <f>IFERROR(INDEX(TableTEMaster[TM],MATCH(TableWRTECalcPts[[#This Row],[POSRef]],TableTEMaster[TERef],0)),"")</f>
        <v>CIN</v>
      </c>
      <c r="AO20" s="59">
        <f>IFERROR(INDEX(TableTEMaster[BYE],MATCH(TableWRTECalcPts[[#This Row],[POSRef]],TableTEMaster[TERef],0)),"")</f>
        <v>12</v>
      </c>
      <c r="AP20" s="60">
        <f>IFERROR(INDEX(TableTEMaster[Custom],MATCH(TableWRTECalcPts[[#This Row],[POSRef]],TableTEMaster[TERef],0)),"")</f>
        <v>8.400592059036688</v>
      </c>
    </row>
    <row r="21" spans="1:42" x14ac:dyDescent="0.25">
      <c r="A21" s="61">
        <f>IFERROR(RANK(TableQBCalcPts[[#This Row],[Custom]],TableQBCalcPts[Custom])+COUNTIF($F$3:F21,F21)-1,"")</f>
        <v>22</v>
      </c>
      <c r="B21" s="59">
        <v>19</v>
      </c>
      <c r="C21" s="59" t="str">
        <f>IFERROR(INDEX(TableQBMaster[Player],MATCH(TableQBCalcPts[[#This Row],[QBRef]],TableQBMaster[QBRef],0)),"")</f>
        <v>Bo Nix</v>
      </c>
      <c r="D21" s="59" t="str">
        <f>IFERROR(INDEX(TableQBMaster[TM],MATCH(TableQBCalcPts[[#This Row],[QBRef]],TableQBMaster[QBRef],0)),"")</f>
        <v>DEN</v>
      </c>
      <c r="E21" s="59">
        <f>IFERROR(INDEX(TableQBMaster[BYE],MATCH(TableQBCalcPts[[#This Row],[QBRef]],TableQBMaster[QBRef],0)),"")</f>
        <v>14</v>
      </c>
      <c r="F21" s="60">
        <f>IFERROR(INDEX(TableQBMaster[Custom],MATCH(TableQBCalcPts[[#This Row],[QBRef]],TableQBMaster[QBRef],0)),"")</f>
        <v>275.85327323847935</v>
      </c>
      <c r="H21" s="59">
        <f>IFERROR(RANK(TableRBCalcPts[[#This Row],[Custom]],TableRBCalcPts[Custom])+COUNTIF($M$3:M21,M21)-1,"")</f>
        <v>21</v>
      </c>
      <c r="I21" s="59">
        <v>19</v>
      </c>
      <c r="J21" s="59" t="str">
        <f>IFERROR(INDEX(TableRBMaster[Player],MATCH(TableRBCalcPts[[#This Row],[RBRef]],TableRBMaster[RBRef],0)),"")</f>
        <v>D'Andre Swift</v>
      </c>
      <c r="K21" s="59" t="str">
        <f>IFERROR(INDEX(TableRBMaster[TM],MATCH(TableRBCalcPts[[#This Row],[RBRef]],TableRBMaster[RBRef],0)),"")</f>
        <v>CHI</v>
      </c>
      <c r="L21" s="59">
        <f>IFERROR(INDEX(TableRBMaster[BYE],MATCH(TableRBCalcPts[[#This Row],[RBRef]],TableRBMaster[RBRef],0)),"")</f>
        <v>7</v>
      </c>
      <c r="M21" s="60">
        <f>IFERROR(INDEX(TableRBMaster[Custom],MATCH(TableRBCalcPts[[#This Row],[RBRef]],TableRBMaster[RBRef],0)),"")</f>
        <v>188.77453535321337</v>
      </c>
      <c r="O21" s="59">
        <f>IFERROR(RANK(TableWRCalcPts[[#This Row],[Custom]],TableWRCalcPts[Custom])+COUNTIF($T$3:T21,T21)-1,"")</f>
        <v>33</v>
      </c>
      <c r="P21" s="59">
        <v>19</v>
      </c>
      <c r="Q21" s="59" t="str">
        <f>IFERROR(INDEX(TableWRMaster[Player],MATCH(TableWRCalcPts[[#This Row],[WRRef]],TableWRMaster[WRRef],0)),"")</f>
        <v>Khalil Shakir</v>
      </c>
      <c r="R21" s="59" t="str">
        <f>IFERROR(INDEX(TableWRMaster[TM],MATCH(TableWRCalcPts[[#This Row],[WRRef]],TableWRMaster[WRRef],0)),"")</f>
        <v>BUF</v>
      </c>
      <c r="S21" s="59">
        <f>IFERROR(INDEX(TableWRMaster[BYE],MATCH(TableWRCalcPts[[#This Row],[WRRef]],TableWRMaster[WRRef],0)),"")</f>
        <v>12</v>
      </c>
      <c r="T21" s="60">
        <f>IFERROR(INDEX(TableWRMaster[Custom],MATCH(TableWRCalcPts[[#This Row],[WRRef]],TableWRMaster[WRRef],0)),"")</f>
        <v>177.32419603379708</v>
      </c>
      <c r="V21" s="59">
        <f>IFERROR(RANK(TableTECalcPts[[#This Row],[Custom]],TableTECalcPts[Custom])+COUNTIF($AA$3:AA21,AA21)-1,"")</f>
        <v>63</v>
      </c>
      <c r="W21" s="59">
        <v>19</v>
      </c>
      <c r="X21" s="59" t="str">
        <f>IFERROR(INDEX(TableTEMaster[Player],MATCH(TableTECalcPts[[#This Row],[TERef]],TableTEMaster[TERef],0)),"")</f>
        <v>Erick All</v>
      </c>
      <c r="Y21" s="59" t="str">
        <f>IFERROR(INDEX(TableTEMaster[TM],MATCH(TableTECalcPts[[#This Row],[TERef]],TableTEMaster[TERef],0)),"")</f>
        <v>CIN</v>
      </c>
      <c r="Z21" s="59">
        <f>IFERROR(INDEX(TableTEMaster[BYE],MATCH(TableTECalcPts[[#This Row],[TERef]],TableTEMaster[TERef],0)),"")</f>
        <v>12</v>
      </c>
      <c r="AA21" s="60">
        <f>IFERROR(INDEX(TableTEMaster[Custom],MATCH(TableTECalcPts[[#This Row],[TERef]],TableTEMaster[TERef],0)),"")</f>
        <v>17.628349629906413</v>
      </c>
      <c r="AC21" s="59">
        <f>IFERROR(RANK(TableDSTCalcPts[[#This Row],[Custom]],TableDSTCalcPts[Custom],0),"")</f>
        <v>28</v>
      </c>
      <c r="AD21" s="59">
        <v>19</v>
      </c>
      <c r="AE21" s="59" t="str">
        <f>IFERROR(INDEX(TableDSTMaster[Player],MATCH(TableDSTCalcPts[[#This Row],[DSTRef]],TableDSTMaster[DSTRef],0)),"")</f>
        <v>Los Angeles Rams</v>
      </c>
      <c r="AF21" s="59">
        <f>IFERROR(INDEX(TableDSTMaster[BYE],MATCH(TableDSTCalcPts[[#This Row],[DSTRef]],TableDSTMaster[DSTRef],0)),"")</f>
        <v>6</v>
      </c>
      <c r="AG21" s="60">
        <f>IFERROR(INDEX(TableDSTMaster[Custom],MATCH(TableDSTCalcPts[[#This Row],[DSTRef]],TableDSTMaster[DSTRef],0)),"")</f>
        <v>99.85</v>
      </c>
      <c r="AI21" s="59" t="s">
        <v>10</v>
      </c>
      <c r="AJ21" s="59">
        <f>IFERROR(RANK(TableWRTECalcPts[[#This Row],[Custom]],TableWRTECalcPts[Custom])+COUNTIF($AP$3:AP21,AP21)-1,"")</f>
        <v>205</v>
      </c>
      <c r="AK21" s="59">
        <v>19</v>
      </c>
      <c r="AL21" s="59" t="str">
        <f>IFERROR(INDEX(TableTEMaster[Player],MATCH(TableWRTECalcPts[[#This Row],[POSRef]],TableTEMaster[TERef],0)),"")</f>
        <v>Erick All</v>
      </c>
      <c r="AM21" s="59" t="str">
        <f>IFERROR(_xlfn.CONCAT(TableWRTECalcPts[[#This Row],[POS]],INDEX(TableTERanks[RK],MATCH(TableWRTECalcPts[[#This Row],[PLAYER]],TableTERanks[Player],0))),"")</f>
        <v>TE63</v>
      </c>
      <c r="AN21" s="59" t="str">
        <f>IFERROR(INDEX(TableTEMaster[TM],MATCH(TableWRTECalcPts[[#This Row],[POSRef]],TableTEMaster[TERef],0)),"")</f>
        <v>CIN</v>
      </c>
      <c r="AO21" s="59">
        <f>IFERROR(INDEX(TableTEMaster[BYE],MATCH(TableWRTECalcPts[[#This Row],[POSRef]],TableTEMaster[TERef],0)),"")</f>
        <v>12</v>
      </c>
      <c r="AP21" s="60">
        <f>IFERROR(INDEX(TableTEMaster[Custom],MATCH(TableWRTECalcPts[[#This Row],[POSRef]],TableTEMaster[TERef],0)),"")</f>
        <v>17.628349629906413</v>
      </c>
    </row>
    <row r="22" spans="1:42" x14ac:dyDescent="0.25">
      <c r="A22" s="61">
        <f>IFERROR(RANK(TableQBCalcPts[[#This Row],[Custom]],TableQBCalcPts[Custom])+COUNTIF($F$3:F22,F22)-1,"")</f>
        <v>49</v>
      </c>
      <c r="B22" s="59">
        <v>20</v>
      </c>
      <c r="C22" s="59" t="str">
        <f>IFERROR(INDEX(TableQBMaster[Player],MATCH(TableQBCalcPts[[#This Row],[QBRef]],TableQBMaster[QBRef],0)),"")</f>
        <v>Zach Wilson</v>
      </c>
      <c r="D22" s="59" t="str">
        <f>IFERROR(INDEX(TableQBMaster[TM],MATCH(TableQBCalcPts[[#This Row],[QBRef]],TableQBMaster[QBRef],0)),"")</f>
        <v>DEN</v>
      </c>
      <c r="E22" s="59">
        <f>IFERROR(INDEX(TableQBMaster[BYE],MATCH(TableQBCalcPts[[#This Row],[QBRef]],TableQBMaster[QBRef],0)),"")</f>
        <v>14</v>
      </c>
      <c r="F22" s="60">
        <f>IFERROR(INDEX(TableQBMaster[Custom],MATCH(TableQBCalcPts[[#This Row],[QBRef]],TableQBMaster[QBRef],0)),"")</f>
        <v>9.5981190378000001</v>
      </c>
      <c r="H22" s="59">
        <f>IFERROR(RANK(TableRBCalcPts[[#This Row],[Custom]],TableRBCalcPts[Custom])+COUNTIF($M$3:M22,M22)-1,"")</f>
        <v>61</v>
      </c>
      <c r="I22" s="59">
        <v>20</v>
      </c>
      <c r="J22" s="59" t="str">
        <f>IFERROR(INDEX(TableRBMaster[Player],MATCH(TableRBCalcPts[[#This Row],[RBRef]],TableRBMaster[RBRef],0)),"")</f>
        <v>Khalil Herbert</v>
      </c>
      <c r="K22" s="59" t="str">
        <f>IFERROR(INDEX(TableRBMaster[TM],MATCH(TableRBCalcPts[[#This Row],[RBRef]],TableRBMaster[RBRef],0)),"")</f>
        <v>CHI</v>
      </c>
      <c r="L22" s="59">
        <f>IFERROR(INDEX(TableRBMaster[BYE],MATCH(TableRBCalcPts[[#This Row],[RBRef]],TableRBMaster[RBRef],0)),"")</f>
        <v>7</v>
      </c>
      <c r="M22" s="60">
        <f>IFERROR(INDEX(TableRBMaster[Custom],MATCH(TableRBCalcPts[[#This Row],[RBRef]],TableRBMaster[RBRef],0)),"")</f>
        <v>70.334534427318147</v>
      </c>
      <c r="O22" s="59">
        <f>IFERROR(RANK(TableWRCalcPts[[#This Row],[Custom]],TableWRCalcPts[Custom])+COUNTIF($T$3:T22,T22)-1,"")</f>
        <v>115</v>
      </c>
      <c r="P22" s="59">
        <v>20</v>
      </c>
      <c r="Q22" s="59" t="str">
        <f>IFERROR(INDEX(TableWRMaster[Player],MATCH(TableWRCalcPts[[#This Row],[WRRef]],TableWRMaster[WRRef],0)),"")</f>
        <v>Mack Hollins</v>
      </c>
      <c r="R22" s="59" t="str">
        <f>IFERROR(INDEX(TableWRMaster[TM],MATCH(TableWRCalcPts[[#This Row],[WRRef]],TableWRMaster[WRRef],0)),"")</f>
        <v>BUF</v>
      </c>
      <c r="S22" s="59">
        <f>IFERROR(INDEX(TableWRMaster[BYE],MATCH(TableWRCalcPts[[#This Row],[WRRef]],TableWRMaster[WRRef],0)),"")</f>
        <v>12</v>
      </c>
      <c r="T22" s="60">
        <f>IFERROR(INDEX(TableWRMaster[Custom],MATCH(TableWRCalcPts[[#This Row],[WRRef]],TableWRMaster[WRRef],0)),"")</f>
        <v>38.947801670303662</v>
      </c>
      <c r="V22" s="59">
        <f>IFERROR(RANK(TableTECalcPts[[#This Row],[Custom]],TableTECalcPts[Custom])+COUNTIF($AA$3:AA22,AA22)-1,"")</f>
        <v>11</v>
      </c>
      <c r="W22" s="59">
        <v>20</v>
      </c>
      <c r="X22" s="59" t="str">
        <f>IFERROR(INDEX(TableTEMaster[Player],MATCH(TableTECalcPts[[#This Row],[TERef]],TableTEMaster[TERef],0)),"")</f>
        <v>David Njoku</v>
      </c>
      <c r="Y22" s="59" t="str">
        <f>IFERROR(INDEX(TableTEMaster[TM],MATCH(TableTECalcPts[[#This Row],[TERef]],TableTEMaster[TERef],0)),"")</f>
        <v>CLE</v>
      </c>
      <c r="Z22" s="59">
        <f>IFERROR(INDEX(TableTEMaster[BYE],MATCH(TableTECalcPts[[#This Row],[TERef]],TableTEMaster[TERef],0)),"")</f>
        <v>10</v>
      </c>
      <c r="AA22" s="60">
        <f>IFERROR(INDEX(TableTEMaster[Custom],MATCH(TableTECalcPts[[#This Row],[TERef]],TableTEMaster[TERef],0)),"")</f>
        <v>138.11830343849996</v>
      </c>
      <c r="AC22" s="59">
        <f>IFERROR(RANK(TableDSTCalcPts[[#This Row],[Custom]],TableDSTCalcPts[Custom],0),"")</f>
        <v>11</v>
      </c>
      <c r="AD22" s="59">
        <v>20</v>
      </c>
      <c r="AE22" s="59" t="str">
        <f>IFERROR(INDEX(TableDSTMaster[Player],MATCH(TableDSTCalcPts[[#This Row],[DSTRef]],TableDSTMaster[DSTRef],0)),"")</f>
        <v>Miami Dolphins</v>
      </c>
      <c r="AF22" s="59">
        <f>IFERROR(INDEX(TableDSTMaster[BYE],MATCH(TableDSTCalcPts[[#This Row],[DSTRef]],TableDSTMaster[DSTRef],0)),"")</f>
        <v>6</v>
      </c>
      <c r="AG22" s="60">
        <f>IFERROR(INDEX(TableDSTMaster[Custom],MATCH(TableDSTCalcPts[[#This Row],[DSTRef]],TableDSTMaster[DSTRef],0)),"")</f>
        <v>111.72500000000002</v>
      </c>
      <c r="AI22" s="59" t="s">
        <v>10</v>
      </c>
      <c r="AJ22" s="59">
        <f>IFERROR(RANK(TableWRTECalcPts[[#This Row],[Custom]],TableWRTECalcPts[Custom])+COUNTIF($AP$3:AP22,AP22)-1,"")</f>
        <v>71</v>
      </c>
      <c r="AK22" s="59">
        <v>20</v>
      </c>
      <c r="AL22" s="59" t="str">
        <f>IFERROR(INDEX(TableTEMaster[Player],MATCH(TableWRTECalcPts[[#This Row],[POSRef]],TableTEMaster[TERef],0)),"")</f>
        <v>David Njoku</v>
      </c>
      <c r="AM22" s="59" t="str">
        <f>IFERROR(_xlfn.CONCAT(TableWRTECalcPts[[#This Row],[POS]],INDEX(TableTERanks[RK],MATCH(TableWRTECalcPts[[#This Row],[PLAYER]],TableTERanks[Player],0))),"")</f>
        <v>TE11</v>
      </c>
      <c r="AN22" s="59" t="str">
        <f>IFERROR(INDEX(TableTEMaster[TM],MATCH(TableWRTECalcPts[[#This Row],[POSRef]],TableTEMaster[TERef],0)),"")</f>
        <v>CLE</v>
      </c>
      <c r="AO22" s="59">
        <f>IFERROR(INDEX(TableTEMaster[BYE],MATCH(TableWRTECalcPts[[#This Row],[POSRef]],TableTEMaster[TERef],0)),"")</f>
        <v>10</v>
      </c>
      <c r="AP22" s="60">
        <f>IFERROR(INDEX(TableTEMaster[Custom],MATCH(TableWRTECalcPts[[#This Row],[POSRef]],TableTEMaster[TERef],0)),"")</f>
        <v>138.11830343849996</v>
      </c>
    </row>
    <row r="23" spans="1:42" x14ac:dyDescent="0.25">
      <c r="A23" s="61">
        <f>IFERROR(RANK(TableQBCalcPts[[#This Row],[Custom]],TableQBCalcPts[Custom])+COUNTIF($F$3:F23,F23)-1,"")</f>
        <v>15</v>
      </c>
      <c r="B23" s="59">
        <v>21</v>
      </c>
      <c r="C23" s="59" t="str">
        <f>IFERROR(INDEX(TableQBMaster[Player],MATCH(TableQBCalcPts[[#This Row],[QBRef]],TableQBMaster[QBRef],0)),"")</f>
        <v>Jared Goff</v>
      </c>
      <c r="D23" s="59" t="str">
        <f>IFERROR(INDEX(TableQBMaster[TM],MATCH(TableQBCalcPts[[#This Row],[QBRef]],TableQBMaster[QBRef],0)),"")</f>
        <v>DET</v>
      </c>
      <c r="E23" s="59">
        <f>IFERROR(INDEX(TableQBMaster[BYE],MATCH(TableQBCalcPts[[#This Row],[QBRef]],TableQBMaster[QBRef],0)),"")</f>
        <v>5</v>
      </c>
      <c r="F23" s="60">
        <f>IFERROR(INDEX(TableQBMaster[Custom],MATCH(TableQBCalcPts[[#This Row],[QBRef]],TableQBMaster[QBRef],0)),"")</f>
        <v>303.18172306147073</v>
      </c>
      <c r="H23" s="59">
        <f>IFERROR(RANK(TableRBCalcPts[[#This Row],[Custom]],TableRBCalcPts[Custom])+COUNTIF($M$3:M23,M23)-1,"")</f>
        <v>55</v>
      </c>
      <c r="I23" s="59">
        <v>21</v>
      </c>
      <c r="J23" s="59" t="str">
        <f>IFERROR(INDEX(TableRBMaster[Player],MATCH(TableRBCalcPts[[#This Row],[RBRef]],TableRBMaster[RBRef],0)),"")</f>
        <v>Roschon Johnson</v>
      </c>
      <c r="K23" s="59" t="str">
        <f>IFERROR(INDEX(TableRBMaster[TM],MATCH(TableRBCalcPts[[#This Row],[RBRef]],TableRBMaster[RBRef],0)),"")</f>
        <v>CHI</v>
      </c>
      <c r="L23" s="59">
        <f>IFERROR(INDEX(TableRBMaster[BYE],MATCH(TableRBCalcPts[[#This Row],[RBRef]],TableRBMaster[RBRef],0)),"")</f>
        <v>7</v>
      </c>
      <c r="M23" s="60">
        <f>IFERROR(INDEX(TableRBMaster[Custom],MATCH(TableRBCalcPts[[#This Row],[RBRef]],TableRBMaster[RBRef],0)),"")</f>
        <v>82.993553055914475</v>
      </c>
      <c r="O23" s="59">
        <f>IFERROR(RANK(TableWRCalcPts[[#This Row],[Custom]],TableWRCalcPts[Custom])+COUNTIF($T$3:T23,T23)-1,"")</f>
        <v>158</v>
      </c>
      <c r="P23" s="59">
        <v>21</v>
      </c>
      <c r="Q23" s="59" t="str">
        <f>IFERROR(INDEX(TableWRMaster[Player],MATCH(TableWRCalcPts[[#This Row],[WRRef]],TableWRMaster[WRRef],0)),"")</f>
        <v>Marquez Valdes-Scantling</v>
      </c>
      <c r="R23" s="59" t="str">
        <f>IFERROR(INDEX(TableWRMaster[TM],MATCH(TableWRCalcPts[[#This Row],[WRRef]],TableWRMaster[WRRef],0)),"")</f>
        <v>BUF</v>
      </c>
      <c r="S23" s="59">
        <f>IFERROR(INDEX(TableWRMaster[BYE],MATCH(TableWRCalcPts[[#This Row],[WRRef]],TableWRMaster[WRRef],0)),"")</f>
        <v>12</v>
      </c>
      <c r="T23" s="60">
        <f>IFERROR(INDEX(TableWRMaster[Custom],MATCH(TableWRCalcPts[[#This Row],[WRRef]],TableWRMaster[WRRef],0)),"")</f>
        <v>11.451657861503998</v>
      </c>
      <c r="V23" s="59">
        <f>IFERROR(RANK(TableTECalcPts[[#This Row],[Custom]],TableTECalcPts[Custom])+COUNTIF($AA$3:AA23,AA23)-1,"")</f>
        <v>57</v>
      </c>
      <c r="W23" s="59">
        <v>21</v>
      </c>
      <c r="X23" s="59" t="str">
        <f>IFERROR(INDEX(TableTEMaster[Player],MATCH(TableTECalcPts[[#This Row],[TERef]],TableTEMaster[TERef],0)),"")</f>
        <v>Jordan Akins</v>
      </c>
      <c r="Y23" s="59" t="str">
        <f>IFERROR(INDEX(TableTEMaster[TM],MATCH(TableTECalcPts[[#This Row],[TERef]],TableTEMaster[TERef],0)),"")</f>
        <v>CLE</v>
      </c>
      <c r="Z23" s="59">
        <f>IFERROR(INDEX(TableTEMaster[BYE],MATCH(TableTECalcPts[[#This Row],[TERef]],TableTEMaster[TERef],0)),"")</f>
        <v>10</v>
      </c>
      <c r="AA23" s="60">
        <f>IFERROR(INDEX(TableTEMaster[Custom],MATCH(TableTECalcPts[[#This Row],[TERef]],TableTEMaster[TERef],0)),"")</f>
        <v>20.366298459374043</v>
      </c>
      <c r="AC23" s="59">
        <f>IFERROR(RANK(TableDSTCalcPts[[#This Row],[Custom]],TableDSTCalcPts[Custom],0),"")</f>
        <v>20</v>
      </c>
      <c r="AD23" s="59">
        <v>21</v>
      </c>
      <c r="AE23" s="59" t="str">
        <f>IFERROR(INDEX(TableDSTMaster[Player],MATCH(TableDSTCalcPts[[#This Row],[DSTRef]],TableDSTMaster[DSTRef],0)),"")</f>
        <v>Minnesota Vikings</v>
      </c>
      <c r="AF23" s="59">
        <f>IFERROR(INDEX(TableDSTMaster[BYE],MATCH(TableDSTCalcPts[[#This Row],[DSTRef]],TableDSTMaster[DSTRef],0)),"")</f>
        <v>6</v>
      </c>
      <c r="AG23" s="60">
        <f>IFERROR(INDEX(TableDSTMaster[Custom],MATCH(TableDSTCalcPts[[#This Row],[DSTRef]],TableDSTMaster[DSTRef],0)),"")</f>
        <v>106.425</v>
      </c>
      <c r="AI23" s="59" t="s">
        <v>10</v>
      </c>
      <c r="AJ23" s="59">
        <f>IFERROR(RANK(TableWRTECalcPts[[#This Row],[Custom]],TableWRTECalcPts[Custom])+COUNTIF($AP$3:AP23,AP23)-1,"")</f>
        <v>196</v>
      </c>
      <c r="AK23" s="59">
        <v>21</v>
      </c>
      <c r="AL23" s="59" t="str">
        <f>IFERROR(INDEX(TableTEMaster[Player],MATCH(TableWRTECalcPts[[#This Row],[POSRef]],TableTEMaster[TERef],0)),"")</f>
        <v>Jordan Akins</v>
      </c>
      <c r="AM23" s="59" t="str">
        <f>IFERROR(_xlfn.CONCAT(TableWRTECalcPts[[#This Row],[POS]],INDEX(TableTERanks[RK],MATCH(TableWRTECalcPts[[#This Row],[PLAYER]],TableTERanks[Player],0))),"")</f>
        <v>TE57</v>
      </c>
      <c r="AN23" s="59" t="str">
        <f>IFERROR(INDEX(TableTEMaster[TM],MATCH(TableWRTECalcPts[[#This Row],[POSRef]],TableTEMaster[TERef],0)),"")</f>
        <v>CLE</v>
      </c>
      <c r="AO23" s="59">
        <f>IFERROR(INDEX(TableTEMaster[BYE],MATCH(TableWRTECalcPts[[#This Row],[POSRef]],TableTEMaster[TERef],0)),"")</f>
        <v>10</v>
      </c>
      <c r="AP23" s="60">
        <f>IFERROR(INDEX(TableTEMaster[Custom],MATCH(TableWRTECalcPts[[#This Row],[POSRef]],TableTEMaster[TERef],0)),"")</f>
        <v>20.366298459374043</v>
      </c>
    </row>
    <row r="24" spans="1:42" x14ac:dyDescent="0.25">
      <c r="A24" s="61">
        <f>IFERROR(RANK(TableQBCalcPts[[#This Row],[Custom]],TableQBCalcPts[Custom])+COUNTIF($F$3:F24,F24)-1,"")</f>
        <v>57</v>
      </c>
      <c r="B24" s="59">
        <v>22</v>
      </c>
      <c r="C24" s="59" t="str">
        <f>IFERROR(INDEX(TableQBMaster[Player],MATCH(TableQBCalcPts[[#This Row],[QBRef]],TableQBMaster[QBRef],0)),"")</f>
        <v>Hendon Hooker</v>
      </c>
      <c r="D24" s="59" t="str">
        <f>IFERROR(INDEX(TableQBMaster[TM],MATCH(TableQBCalcPts[[#This Row],[QBRef]],TableQBMaster[QBRef],0)),"")</f>
        <v>DET</v>
      </c>
      <c r="E24" s="59">
        <f>IFERROR(INDEX(TableQBMaster[BYE],MATCH(TableQBCalcPts[[#This Row],[QBRef]],TableQBMaster[QBRef],0)),"")</f>
        <v>5</v>
      </c>
      <c r="F24" s="60">
        <f>IFERROR(INDEX(TableQBMaster[Custom],MATCH(TableQBCalcPts[[#This Row],[QBRef]],TableQBMaster[QBRef],0)),"")</f>
        <v>4.9786844845606719</v>
      </c>
      <c r="H24" s="59">
        <f>IFERROR(RANK(TableRBCalcPts[[#This Row],[Custom]],TableRBCalcPts[Custom])+COUNTIF($M$3:M24,M24)-1,"")</f>
        <v>25</v>
      </c>
      <c r="I24" s="59">
        <v>22</v>
      </c>
      <c r="J24" s="59" t="str">
        <f>IFERROR(INDEX(TableRBMaster[Player],MATCH(TableRBCalcPts[[#This Row],[RBRef]],TableRBMaster[RBRef],0)),"")</f>
        <v>Zack Moss</v>
      </c>
      <c r="K24" s="59" t="str">
        <f>IFERROR(INDEX(TableRBMaster[TM],MATCH(TableRBCalcPts[[#This Row],[RBRef]],TableRBMaster[RBRef],0)),"")</f>
        <v>CIN</v>
      </c>
      <c r="L24" s="59">
        <f>IFERROR(INDEX(TableRBMaster[BYE],MATCH(TableRBCalcPts[[#This Row],[RBRef]],TableRBMaster[RBRef],0)),"")</f>
        <v>12</v>
      </c>
      <c r="M24" s="60">
        <f>IFERROR(INDEX(TableRBMaster[Custom],MATCH(TableRBCalcPts[[#This Row],[RBRef]],TableRBMaster[RBRef],0)),"")</f>
        <v>178.11832512965827</v>
      </c>
      <c r="O24" s="59">
        <f>IFERROR(RANK(TableWRCalcPts[[#This Row],[Custom]],TableWRCalcPts[Custom])+COUNTIF($T$3:T24,T24)-1,"")</f>
        <v>38</v>
      </c>
      <c r="P24" s="59">
        <v>22</v>
      </c>
      <c r="Q24" s="59" t="str">
        <f>IFERROR(INDEX(TableWRMaster[Player],MATCH(TableWRCalcPts[[#This Row],[WRRef]],TableWRMaster[WRRef],0)),"")</f>
        <v>Diontae Johnson</v>
      </c>
      <c r="R24" s="59" t="str">
        <f>IFERROR(INDEX(TableWRMaster[TM],MATCH(TableWRCalcPts[[#This Row],[WRRef]],TableWRMaster[WRRef],0)),"")</f>
        <v>CAR</v>
      </c>
      <c r="S24" s="59">
        <f>IFERROR(INDEX(TableWRMaster[BYE],MATCH(TableWRCalcPts[[#This Row],[WRRef]],TableWRMaster[WRRef],0)),"")</f>
        <v>11</v>
      </c>
      <c r="T24" s="60">
        <f>IFERROR(INDEX(TableWRMaster[Custom],MATCH(TableWRCalcPts[[#This Row],[WRRef]],TableWRMaster[WRRef],0)),"")</f>
        <v>171.49062820982402</v>
      </c>
      <c r="V24" s="59">
        <f>IFERROR(RANK(TableTECalcPts[[#This Row],[Custom]],TableTECalcPts[Custom])+COUNTIF($AA$3:AA24,AA24)-1,"")</f>
        <v>6</v>
      </c>
      <c r="W24" s="59">
        <v>22</v>
      </c>
      <c r="X24" s="59" t="str">
        <f>IFERROR(INDEX(TableTEMaster[Player],MATCH(TableTECalcPts[[#This Row],[TERef]],TableTEMaster[TERef],0)),"")</f>
        <v>Jake Ferguson</v>
      </c>
      <c r="Y24" s="59" t="str">
        <f>IFERROR(INDEX(TableTEMaster[TM],MATCH(TableTECalcPts[[#This Row],[TERef]],TableTEMaster[TERef],0)),"")</f>
        <v>DAL</v>
      </c>
      <c r="Z24" s="59">
        <f>IFERROR(INDEX(TableTEMaster[BYE],MATCH(TableTECalcPts[[#This Row],[TERef]],TableTEMaster[TERef],0)),"")</f>
        <v>7</v>
      </c>
      <c r="AA24" s="60">
        <f>IFERROR(INDEX(TableTEMaster[Custom],MATCH(TableTECalcPts[[#This Row],[TERef]],TableTEMaster[TERef],0)),"")</f>
        <v>163.6950494543639</v>
      </c>
      <c r="AC24" s="59">
        <f>IFERROR(RANK(TableDSTCalcPts[[#This Row],[Custom]],TableDSTCalcPts[Custom],0),"")</f>
        <v>27</v>
      </c>
      <c r="AD24" s="59">
        <v>22</v>
      </c>
      <c r="AE24" s="59" t="str">
        <f>IFERROR(INDEX(TableDSTMaster[Player],MATCH(TableDSTCalcPts[[#This Row],[DSTRef]],TableDSTMaster[DSTRef],0)),"")</f>
        <v>New England Patriots</v>
      </c>
      <c r="AF24" s="59">
        <f>IFERROR(INDEX(TableDSTMaster[BYE],MATCH(TableDSTCalcPts[[#This Row],[DSTRef]],TableDSTMaster[DSTRef],0)),"")</f>
        <v>14</v>
      </c>
      <c r="AG24" s="60">
        <f>IFERROR(INDEX(TableDSTMaster[Custom],MATCH(TableDSTCalcPts[[#This Row],[DSTRef]],TableDSTMaster[DSTRef],0)),"")</f>
        <v>100.6</v>
      </c>
      <c r="AI24" s="59" t="s">
        <v>10</v>
      </c>
      <c r="AJ24" s="59">
        <f>IFERROR(RANK(TableWRTECalcPts[[#This Row],[Custom]],TableWRTECalcPts[Custom])+COUNTIF($AP$3:AP24,AP24)-1,"")</f>
        <v>50</v>
      </c>
      <c r="AK24" s="59">
        <v>22</v>
      </c>
      <c r="AL24" s="59" t="str">
        <f>IFERROR(INDEX(TableTEMaster[Player],MATCH(TableWRTECalcPts[[#This Row],[POSRef]],TableTEMaster[TERef],0)),"")</f>
        <v>Jake Ferguson</v>
      </c>
      <c r="AM24" s="59" t="str">
        <f>IFERROR(_xlfn.CONCAT(TableWRTECalcPts[[#This Row],[POS]],INDEX(TableTERanks[RK],MATCH(TableWRTECalcPts[[#This Row],[PLAYER]],TableTERanks[Player],0))),"")</f>
        <v>TE6</v>
      </c>
      <c r="AN24" s="59" t="str">
        <f>IFERROR(INDEX(TableTEMaster[TM],MATCH(TableWRTECalcPts[[#This Row],[POSRef]],TableTEMaster[TERef],0)),"")</f>
        <v>DAL</v>
      </c>
      <c r="AO24" s="59">
        <f>IFERROR(INDEX(TableTEMaster[BYE],MATCH(TableWRTECalcPts[[#This Row],[POSRef]],TableTEMaster[TERef],0)),"")</f>
        <v>7</v>
      </c>
      <c r="AP24" s="60">
        <f>IFERROR(INDEX(TableTEMaster[Custom],MATCH(TableWRTECalcPts[[#This Row],[POSRef]],TableTEMaster[TERef],0)),"")</f>
        <v>163.6950494543639</v>
      </c>
    </row>
    <row r="25" spans="1:42" x14ac:dyDescent="0.25">
      <c r="A25" s="61">
        <f>IFERROR(RANK(TableQBCalcPts[[#This Row],[Custom]],TableQBCalcPts[Custom])+COUNTIF($F$3:F25,F25)-1,"")</f>
        <v>10</v>
      </c>
      <c r="B25" s="59">
        <v>23</v>
      </c>
      <c r="C25" s="59" t="str">
        <f>IFERROR(INDEX(TableQBMaster[Player],MATCH(TableQBCalcPts[[#This Row],[QBRef]],TableQBMaster[QBRef],0)),"")</f>
        <v>Jordan Love</v>
      </c>
      <c r="D25" s="59" t="str">
        <f>IFERROR(INDEX(TableQBMaster[TM],MATCH(TableQBCalcPts[[#This Row],[QBRef]],TableQBMaster[QBRef],0)),"")</f>
        <v>GB</v>
      </c>
      <c r="E25" s="59">
        <f>IFERROR(INDEX(TableQBMaster[BYE],MATCH(TableQBCalcPts[[#This Row],[QBRef]],TableQBMaster[QBRef],0)),"")</f>
        <v>10</v>
      </c>
      <c r="F25" s="60">
        <f>IFERROR(INDEX(TableQBMaster[Custom],MATCH(TableQBCalcPts[[#This Row],[QBRef]],TableQBMaster[QBRef],0)),"")</f>
        <v>322.16016479533897</v>
      </c>
      <c r="H25" s="59">
        <f>IFERROR(RANK(TableRBCalcPts[[#This Row],[Custom]],TableRBCalcPts[Custom])+COUNTIF($M$3:M25,M25)-1,"")</f>
        <v>48</v>
      </c>
      <c r="I25" s="59">
        <v>23</v>
      </c>
      <c r="J25" s="59" t="str">
        <f>IFERROR(INDEX(TableRBMaster[Player],MATCH(TableRBCalcPts[[#This Row],[RBRef]],TableRBMaster[RBRef],0)),"")</f>
        <v>Chase Brown</v>
      </c>
      <c r="K25" s="59" t="str">
        <f>IFERROR(INDEX(TableRBMaster[TM],MATCH(TableRBCalcPts[[#This Row],[RBRef]],TableRBMaster[RBRef],0)),"")</f>
        <v>CIN</v>
      </c>
      <c r="L25" s="59">
        <f>IFERROR(INDEX(TableRBMaster[BYE],MATCH(TableRBCalcPts[[#This Row],[RBRef]],TableRBMaster[RBRef],0)),"")</f>
        <v>12</v>
      </c>
      <c r="M25" s="60">
        <f>IFERROR(INDEX(TableRBMaster[Custom],MATCH(TableRBCalcPts[[#This Row],[RBRef]],TableRBMaster[RBRef],0)),"")</f>
        <v>109.75380832983265</v>
      </c>
      <c r="O25" s="59">
        <f>IFERROR(RANK(TableWRCalcPts[[#This Row],[Custom]],TableWRCalcPts[Custom])+COUNTIF($T$3:T25,T25)-1,"")</f>
        <v>65</v>
      </c>
      <c r="P25" s="59">
        <v>23</v>
      </c>
      <c r="Q25" s="59" t="str">
        <f>IFERROR(INDEX(TableWRMaster[Player],MATCH(TableWRCalcPts[[#This Row],[WRRef]],TableWRMaster[WRRef],0)),"")</f>
        <v>Xavier Legette</v>
      </c>
      <c r="R25" s="59" t="str">
        <f>IFERROR(INDEX(TableWRMaster[TM],MATCH(TableWRCalcPts[[#This Row],[WRRef]],TableWRMaster[WRRef],0)),"")</f>
        <v>CAR</v>
      </c>
      <c r="S25" s="59">
        <f>IFERROR(INDEX(TableWRMaster[BYE],MATCH(TableWRCalcPts[[#This Row],[WRRef]],TableWRMaster[WRRef],0)),"")</f>
        <v>11</v>
      </c>
      <c r="T25" s="60">
        <f>IFERROR(INDEX(TableWRMaster[Custom],MATCH(TableWRCalcPts[[#This Row],[WRRef]],TableWRMaster[WRRef],0)),"")</f>
        <v>126.21441605736145</v>
      </c>
      <c r="V25" s="59">
        <f>IFERROR(RANK(TableTECalcPts[[#This Row],[Custom]],TableTECalcPts[Custom])+COUNTIF($AA$3:AA25,AA25)-1,"")</f>
        <v>53</v>
      </c>
      <c r="W25" s="59">
        <v>23</v>
      </c>
      <c r="X25" s="59" t="str">
        <f>IFERROR(INDEX(TableTEMaster[Player],MATCH(TableTECalcPts[[#This Row],[TERef]],TableTEMaster[TERef],0)),"")</f>
        <v>Luke Schoonmaker</v>
      </c>
      <c r="Y25" s="59" t="str">
        <f>IFERROR(INDEX(TableTEMaster[TM],MATCH(TableTECalcPts[[#This Row],[TERef]],TableTEMaster[TERef],0)),"")</f>
        <v>DAL</v>
      </c>
      <c r="Z25" s="59">
        <f>IFERROR(INDEX(TableTEMaster[BYE],MATCH(TableTECalcPts[[#This Row],[TERef]],TableTEMaster[TERef],0)),"")</f>
        <v>7</v>
      </c>
      <c r="AA25" s="60">
        <f>IFERROR(INDEX(TableTEMaster[Custom],MATCH(TableTECalcPts[[#This Row],[TERef]],TableTEMaster[TERef],0)),"")</f>
        <v>24.051614582192396</v>
      </c>
      <c r="AC25" s="59">
        <f>IFERROR(RANK(TableDSTCalcPts[[#This Row],[Custom]],TableDSTCalcPts[Custom],0),"")</f>
        <v>22</v>
      </c>
      <c r="AD25" s="59">
        <v>23</v>
      </c>
      <c r="AE25" s="59" t="str">
        <f>IFERROR(INDEX(TableDSTMaster[Player],MATCH(TableDSTCalcPts[[#This Row],[DSTRef]],TableDSTMaster[DSTRef],0)),"")</f>
        <v>New Orleans Saints</v>
      </c>
      <c r="AF25" s="59">
        <f>IFERROR(INDEX(TableDSTMaster[BYE],MATCH(TableDSTCalcPts[[#This Row],[DSTRef]],TableDSTMaster[DSTRef],0)),"")</f>
        <v>12</v>
      </c>
      <c r="AG25" s="60">
        <f>IFERROR(INDEX(TableDSTMaster[Custom],MATCH(TableDSTCalcPts[[#This Row],[DSTRef]],TableDSTMaster[DSTRef],0)),"")</f>
        <v>105.37499999999999</v>
      </c>
      <c r="AI25" s="59" t="s">
        <v>10</v>
      </c>
      <c r="AJ25" s="59">
        <f>IFERROR(RANK(TableWRTECalcPts[[#This Row],[Custom]],TableWRTECalcPts[Custom])+COUNTIF($AP$3:AP25,AP25)-1,"")</f>
        <v>185</v>
      </c>
      <c r="AK25" s="59">
        <v>23</v>
      </c>
      <c r="AL25" s="59" t="str">
        <f>IFERROR(INDEX(TableTEMaster[Player],MATCH(TableWRTECalcPts[[#This Row],[POSRef]],TableTEMaster[TERef],0)),"")</f>
        <v>Luke Schoonmaker</v>
      </c>
      <c r="AM25" s="59" t="str">
        <f>IFERROR(_xlfn.CONCAT(TableWRTECalcPts[[#This Row],[POS]],INDEX(TableTERanks[RK],MATCH(TableWRTECalcPts[[#This Row],[PLAYER]],TableTERanks[Player],0))),"")</f>
        <v>TE53</v>
      </c>
      <c r="AN25" s="59" t="str">
        <f>IFERROR(INDEX(TableTEMaster[TM],MATCH(TableWRTECalcPts[[#This Row],[POSRef]],TableTEMaster[TERef],0)),"")</f>
        <v>DAL</v>
      </c>
      <c r="AO25" s="59">
        <f>IFERROR(INDEX(TableTEMaster[BYE],MATCH(TableWRTECalcPts[[#This Row],[POSRef]],TableTEMaster[TERef],0)),"")</f>
        <v>7</v>
      </c>
      <c r="AP25" s="60">
        <f>IFERROR(INDEX(TableTEMaster[Custom],MATCH(TableWRTECalcPts[[#This Row],[POSRef]],TableTEMaster[TERef],0)),"")</f>
        <v>24.051614582192396</v>
      </c>
    </row>
    <row r="26" spans="1:42" x14ac:dyDescent="0.25">
      <c r="A26" s="61">
        <f>IFERROR(RANK(TableQBCalcPts[[#This Row],[Custom]],TableQBCalcPts[Custom])+COUNTIF($F$3:F26,F26)-1,"")</f>
        <v>61</v>
      </c>
      <c r="B26" s="59">
        <v>24</v>
      </c>
      <c r="C26" s="59" t="str">
        <f>IFERROR(INDEX(TableQBMaster[Player],MATCH(TableQBCalcPts[[#This Row],[QBRef]],TableQBMaster[QBRef],0)),"")</f>
        <v>Sean Clifford</v>
      </c>
      <c r="D26" s="59" t="str">
        <f>IFERROR(INDEX(TableQBMaster[TM],MATCH(TableQBCalcPts[[#This Row],[QBRef]],TableQBMaster[QBRef],0)),"")</f>
        <v>GB</v>
      </c>
      <c r="E26" s="59">
        <f>IFERROR(INDEX(TableQBMaster[BYE],MATCH(TableQBCalcPts[[#This Row],[QBRef]],TableQBMaster[QBRef],0)),"")</f>
        <v>10</v>
      </c>
      <c r="F26" s="60">
        <f>IFERROR(INDEX(TableQBMaster[Custom],MATCH(TableQBCalcPts[[#This Row],[QBRef]],TableQBMaster[QBRef],0)),"")</f>
        <v>2.6511939708001879</v>
      </c>
      <c r="H26" s="59">
        <f>IFERROR(RANK(TableRBCalcPts[[#This Row],[Custom]],TableRBCalcPts[Custom])+COUNTIF($M$3:M26,M26)-1,"")</f>
        <v>96</v>
      </c>
      <c r="I26" s="59">
        <v>24</v>
      </c>
      <c r="J26" s="59" t="str">
        <f>IFERROR(INDEX(TableRBMaster[Player],MATCH(TableRBCalcPts[[#This Row],[RBRef]],TableRBMaster[RBRef],0)),"")</f>
        <v>Trayveon Williams</v>
      </c>
      <c r="K26" s="59" t="str">
        <f>IFERROR(INDEX(TableRBMaster[TM],MATCH(TableRBCalcPts[[#This Row],[RBRef]],TableRBMaster[RBRef],0)),"")</f>
        <v>CIN</v>
      </c>
      <c r="L26" s="59">
        <f>IFERROR(INDEX(TableRBMaster[BYE],MATCH(TableRBCalcPts[[#This Row],[RBRef]],TableRBMaster[RBRef],0)),"")</f>
        <v>12</v>
      </c>
      <c r="M26" s="60">
        <f>IFERROR(INDEX(TableRBMaster[Custom],MATCH(TableRBCalcPts[[#This Row],[RBRef]],TableRBMaster[RBRef],0)),"")</f>
        <v>13.785328291377642</v>
      </c>
      <c r="O26" s="59">
        <f>IFERROR(RANK(TableWRCalcPts[[#This Row],[Custom]],TableWRCalcPts[Custom])+COUNTIF($T$3:T26,T26)-1,"")</f>
        <v>61</v>
      </c>
      <c r="P26" s="59">
        <v>24</v>
      </c>
      <c r="Q26" s="59" t="str">
        <f>IFERROR(INDEX(TableWRMaster[Player],MATCH(TableWRCalcPts[[#This Row],[WRRef]],TableWRMaster[WRRef],0)),"")</f>
        <v>Adam Thielen</v>
      </c>
      <c r="R26" s="59" t="str">
        <f>IFERROR(INDEX(TableWRMaster[TM],MATCH(TableWRCalcPts[[#This Row],[WRRef]],TableWRMaster[WRRef],0)),"")</f>
        <v>CAR</v>
      </c>
      <c r="S26" s="59">
        <f>IFERROR(INDEX(TableWRMaster[BYE],MATCH(TableWRCalcPts[[#This Row],[WRRef]],TableWRMaster[WRRef],0)),"")</f>
        <v>11</v>
      </c>
      <c r="T26" s="60">
        <f>IFERROR(INDEX(TableWRMaster[Custom],MATCH(TableWRCalcPts[[#This Row],[WRRef]],TableWRMaster[WRRef],0)),"")</f>
        <v>136.73499170173079</v>
      </c>
      <c r="V26" s="59">
        <f>IFERROR(RANK(TableTECalcPts[[#This Row],[Custom]],TableTECalcPts[Custom])+COUNTIF($AA$3:AA26,AA26)-1,"")</f>
        <v>31</v>
      </c>
      <c r="W26" s="59">
        <v>24</v>
      </c>
      <c r="X26" s="59" t="str">
        <f>IFERROR(INDEX(TableTEMaster[Player],MATCH(TableTECalcPts[[#This Row],[TERef]],TableTEMaster[TERef],0)),"")</f>
        <v>Greg Dulcich</v>
      </c>
      <c r="Y26" s="59" t="str">
        <f>IFERROR(INDEX(TableTEMaster[TM],MATCH(TableTECalcPts[[#This Row],[TERef]],TableTEMaster[TERef],0)),"")</f>
        <v>DEN</v>
      </c>
      <c r="Z26" s="59">
        <f>IFERROR(INDEX(TableTEMaster[BYE],MATCH(TableTECalcPts[[#This Row],[TERef]],TableTEMaster[TERef],0)),"")</f>
        <v>14</v>
      </c>
      <c r="AA26" s="60">
        <f>IFERROR(INDEX(TableTEMaster[Custom],MATCH(TableTECalcPts[[#This Row],[TERef]],TableTEMaster[TERef],0)),"")</f>
        <v>72.597638439045213</v>
      </c>
      <c r="AC26" s="59">
        <f>IFERROR(RANK(TableDSTCalcPts[[#This Row],[Custom]],TableDSTCalcPts[Custom],0),"")</f>
        <v>14</v>
      </c>
      <c r="AD26" s="59">
        <v>24</v>
      </c>
      <c r="AE26" s="59" t="str">
        <f>IFERROR(INDEX(TableDSTMaster[Player],MATCH(TableDSTCalcPts[[#This Row],[DSTRef]],TableDSTMaster[DSTRef],0)),"")</f>
        <v>New York Giants</v>
      </c>
      <c r="AF26" s="59">
        <f>IFERROR(INDEX(TableDSTMaster[BYE],MATCH(TableDSTCalcPts[[#This Row],[DSTRef]],TableDSTMaster[DSTRef],0)),"")</f>
        <v>11</v>
      </c>
      <c r="AG26" s="60">
        <f>IFERROR(INDEX(TableDSTMaster[Custom],MATCH(TableDSTCalcPts[[#This Row],[DSTRef]],TableDSTMaster[DSTRef],0)),"")</f>
        <v>110.4</v>
      </c>
      <c r="AI26" s="59" t="s">
        <v>10</v>
      </c>
      <c r="AJ26" s="59">
        <f>IFERROR(RANK(TableWRTECalcPts[[#This Row],[Custom]],TableWRTECalcPts[Custom])+COUNTIF($AP$3:AP26,AP26)-1,"")</f>
        <v>124</v>
      </c>
      <c r="AK26" s="59">
        <v>24</v>
      </c>
      <c r="AL26" s="59" t="str">
        <f>IFERROR(INDEX(TableTEMaster[Player],MATCH(TableWRTECalcPts[[#This Row],[POSRef]],TableTEMaster[TERef],0)),"")</f>
        <v>Greg Dulcich</v>
      </c>
      <c r="AM26" s="59" t="str">
        <f>IFERROR(_xlfn.CONCAT(TableWRTECalcPts[[#This Row],[POS]],INDEX(TableTERanks[RK],MATCH(TableWRTECalcPts[[#This Row],[PLAYER]],TableTERanks[Player],0))),"")</f>
        <v>TE31</v>
      </c>
      <c r="AN26" s="59" t="str">
        <f>IFERROR(INDEX(TableTEMaster[TM],MATCH(TableWRTECalcPts[[#This Row],[POSRef]],TableTEMaster[TERef],0)),"")</f>
        <v>DEN</v>
      </c>
      <c r="AO26" s="59">
        <f>IFERROR(INDEX(TableTEMaster[BYE],MATCH(TableWRTECalcPts[[#This Row],[POSRef]],TableTEMaster[TERef],0)),"")</f>
        <v>14</v>
      </c>
      <c r="AP26" s="60">
        <f>IFERROR(INDEX(TableTEMaster[Custom],MATCH(TableWRTECalcPts[[#This Row],[POSRef]],TableTEMaster[TERef],0)),"")</f>
        <v>72.597638439045213</v>
      </c>
    </row>
    <row r="27" spans="1:42" x14ac:dyDescent="0.25">
      <c r="A27" s="61">
        <f>IFERROR(RANK(TableQBCalcPts[[#This Row],[Custom]],TableQBCalcPts[Custom])+COUNTIF($F$3:F27,F27)-1,"")</f>
        <v>62</v>
      </c>
      <c r="B27" s="59">
        <v>25</v>
      </c>
      <c r="C27" s="59" t="str">
        <f>IFERROR(INDEX(TableQBMaster[Player],MATCH(TableQBCalcPts[[#This Row],[QBRef]],TableQBMaster[QBRef],0)),"")</f>
        <v>Case Keenum</v>
      </c>
      <c r="D27" s="59" t="str">
        <f>IFERROR(INDEX(TableQBMaster[TM],MATCH(TableQBCalcPts[[#This Row],[QBRef]],TableQBMaster[QBRef],0)),"")</f>
        <v>HOU</v>
      </c>
      <c r="E27" s="59">
        <f>IFERROR(INDEX(TableQBMaster[BYE],MATCH(TableQBCalcPts[[#This Row],[QBRef]],TableQBMaster[QBRef],0)),"")</f>
        <v>14</v>
      </c>
      <c r="F27" s="60">
        <f>IFERROR(INDEX(TableQBMaster[Custom],MATCH(TableQBCalcPts[[#This Row],[QBRef]],TableQBMaster[QBRef],0)),"")</f>
        <v>2.601194169892628</v>
      </c>
      <c r="H27" s="59">
        <f>IFERROR(RANK(TableRBCalcPts[[#This Row],[Custom]],TableRBCalcPts[Custom])+COUNTIF($M$3:M27,M27)-1,"")</f>
        <v>35</v>
      </c>
      <c r="I27" s="59">
        <v>25</v>
      </c>
      <c r="J27" s="59" t="str">
        <f>IFERROR(INDEX(TableRBMaster[Player],MATCH(TableRBCalcPts[[#This Row],[RBRef]],TableRBMaster[RBRef],0)),"")</f>
        <v>Nick Chubb</v>
      </c>
      <c r="K27" s="59" t="str">
        <f>IFERROR(INDEX(TableRBMaster[TM],MATCH(TableRBCalcPts[[#This Row],[RBRef]],TableRBMaster[RBRef],0)),"")</f>
        <v>CLE</v>
      </c>
      <c r="L27" s="59">
        <f>IFERROR(INDEX(TableRBMaster[BYE],MATCH(TableRBCalcPts[[#This Row],[RBRef]],TableRBMaster[RBRef],0)),"")</f>
        <v>10</v>
      </c>
      <c r="M27" s="60">
        <f>IFERROR(INDEX(TableRBMaster[Custom],MATCH(TableRBCalcPts[[#This Row],[RBRef]],TableRBMaster[RBRef],0)),"")</f>
        <v>149.18106401459886</v>
      </c>
      <c r="O27" s="59">
        <f>IFERROR(RANK(TableWRCalcPts[[#This Row],[Custom]],TableWRCalcPts[Custom])+COUNTIF($T$3:T27,T27)-1,"")</f>
        <v>102</v>
      </c>
      <c r="P27" s="59">
        <v>25</v>
      </c>
      <c r="Q27" s="59" t="str">
        <f>IFERROR(INDEX(TableWRMaster[Player],MATCH(TableWRCalcPts[[#This Row],[WRRef]],TableWRMaster[WRRef],0)),"")</f>
        <v>Jonathan Mingo</v>
      </c>
      <c r="R27" s="59" t="str">
        <f>IFERROR(INDEX(TableWRMaster[TM],MATCH(TableWRCalcPts[[#This Row],[WRRef]],TableWRMaster[WRRef],0)),"")</f>
        <v>CAR</v>
      </c>
      <c r="S27" s="59">
        <f>IFERROR(INDEX(TableWRMaster[BYE],MATCH(TableWRCalcPts[[#This Row],[WRRef]],TableWRMaster[WRRef],0)),"")</f>
        <v>11</v>
      </c>
      <c r="T27" s="60">
        <f>IFERROR(INDEX(TableWRMaster[Custom],MATCH(TableWRCalcPts[[#This Row],[WRRef]],TableWRMaster[WRRef],0)),"")</f>
        <v>58.748444769088849</v>
      </c>
      <c r="V27" s="59">
        <f>IFERROR(RANK(TableTECalcPts[[#This Row],[Custom]],TableTECalcPts[Custom])+COUNTIF($AA$3:AA27,AA27)-1,"")</f>
        <v>52</v>
      </c>
      <c r="W27" s="59">
        <v>25</v>
      </c>
      <c r="X27" s="59" t="str">
        <f>IFERROR(INDEX(TableTEMaster[Player],MATCH(TableTECalcPts[[#This Row],[TERef]],TableTEMaster[TERef],0)),"")</f>
        <v>Adam Trautman</v>
      </c>
      <c r="Y27" s="59" t="str">
        <f>IFERROR(INDEX(TableTEMaster[TM],MATCH(TableTECalcPts[[#This Row],[TERef]],TableTEMaster[TERef],0)),"")</f>
        <v>DEN</v>
      </c>
      <c r="Z27" s="59">
        <f>IFERROR(INDEX(TableTEMaster[BYE],MATCH(TableTECalcPts[[#This Row],[TERef]],TableTEMaster[TERef],0)),"")</f>
        <v>14</v>
      </c>
      <c r="AA27" s="60">
        <f>IFERROR(INDEX(TableTEMaster[Custom],MATCH(TableTECalcPts[[#This Row],[TERef]],TableTEMaster[TERef],0)),"")</f>
        <v>24.53739429731975</v>
      </c>
      <c r="AC27" s="59">
        <f>IFERROR(RANK(TableDSTCalcPts[[#This Row],[Custom]],TableDSTCalcPts[Custom],0),"")</f>
        <v>3</v>
      </c>
      <c r="AD27" s="59">
        <v>25</v>
      </c>
      <c r="AE27" s="59" t="str">
        <f>IFERROR(INDEX(TableDSTMaster[Player],MATCH(TableDSTCalcPts[[#This Row],[DSTRef]],TableDSTMaster[DSTRef],0)),"")</f>
        <v>New York Jets</v>
      </c>
      <c r="AF27" s="59">
        <f>IFERROR(INDEX(TableDSTMaster[BYE],MATCH(TableDSTCalcPts[[#This Row],[DSTRef]],TableDSTMaster[DSTRef],0)),"")</f>
        <v>12</v>
      </c>
      <c r="AG27" s="60">
        <f>IFERROR(INDEX(TableDSTMaster[Custom],MATCH(TableDSTCalcPts[[#This Row],[DSTRef]],TableDSTMaster[DSTRef],0)),"")</f>
        <v>115.575</v>
      </c>
      <c r="AI27" s="59" t="s">
        <v>10</v>
      </c>
      <c r="AJ27" s="59">
        <f>IFERROR(RANK(TableWRTECalcPts[[#This Row],[Custom]],TableWRTECalcPts[Custom])+COUNTIF($AP$3:AP27,AP27)-1,"")</f>
        <v>183</v>
      </c>
      <c r="AK27" s="59">
        <v>25</v>
      </c>
      <c r="AL27" s="59" t="str">
        <f>IFERROR(INDEX(TableTEMaster[Player],MATCH(TableWRTECalcPts[[#This Row],[POSRef]],TableTEMaster[TERef],0)),"")</f>
        <v>Adam Trautman</v>
      </c>
      <c r="AM27" s="59" t="str">
        <f>IFERROR(_xlfn.CONCAT(TableWRTECalcPts[[#This Row],[POS]],INDEX(TableTERanks[RK],MATCH(TableWRTECalcPts[[#This Row],[PLAYER]],TableTERanks[Player],0))),"")</f>
        <v>TE52</v>
      </c>
      <c r="AN27" s="59" t="str">
        <f>IFERROR(INDEX(TableTEMaster[TM],MATCH(TableWRTECalcPts[[#This Row],[POSRef]],TableTEMaster[TERef],0)),"")</f>
        <v>DEN</v>
      </c>
      <c r="AO27" s="59">
        <f>IFERROR(INDEX(TableTEMaster[BYE],MATCH(TableWRTECalcPts[[#This Row],[POSRef]],TableTEMaster[TERef],0)),"")</f>
        <v>14</v>
      </c>
      <c r="AP27" s="60">
        <f>IFERROR(INDEX(TableTEMaster[Custom],MATCH(TableWRTECalcPts[[#This Row],[POSRef]],TableTEMaster[TERef],0)),"")</f>
        <v>24.53739429731975</v>
      </c>
    </row>
    <row r="28" spans="1:42" x14ac:dyDescent="0.25">
      <c r="A28" s="61">
        <f>IFERROR(RANK(TableQBCalcPts[[#This Row],[Custom]],TableQBCalcPts[Custom])+COUNTIF($F$3:F28,F28)-1,"")</f>
        <v>8</v>
      </c>
      <c r="B28" s="59">
        <v>26</v>
      </c>
      <c r="C28" s="59" t="str">
        <f>IFERROR(INDEX(TableQBMaster[Player],MATCH(TableQBCalcPts[[#This Row],[QBRef]],TableQBMaster[QBRef],0)),"")</f>
        <v>C.J. Stroud</v>
      </c>
      <c r="D28" s="59" t="str">
        <f>IFERROR(INDEX(TableQBMaster[TM],MATCH(TableQBCalcPts[[#This Row],[QBRef]],TableQBMaster[QBRef],0)),"")</f>
        <v>HOU</v>
      </c>
      <c r="E28" s="59">
        <f>IFERROR(INDEX(TableQBMaster[BYE],MATCH(TableQBCalcPts[[#This Row],[QBRef]],TableQBMaster[QBRef],0)),"")</f>
        <v>14</v>
      </c>
      <c r="F28" s="60">
        <f>IFERROR(INDEX(TableQBMaster[Custom],MATCH(TableQBCalcPts[[#This Row],[QBRef]],TableQBMaster[QBRef],0)),"")</f>
        <v>330.35566059243126</v>
      </c>
      <c r="H28" s="59">
        <f>IFERROR(RANK(TableRBCalcPts[[#This Row],[Custom]],TableRBCalcPts[Custom])+COUNTIF($M$3:M28,M28)-1,"")</f>
        <v>31</v>
      </c>
      <c r="I28" s="59">
        <v>26</v>
      </c>
      <c r="J28" s="59" t="str">
        <f>IFERROR(INDEX(TableRBMaster[Player],MATCH(TableRBCalcPts[[#This Row],[RBRef]],TableRBMaster[RBRef],0)),"")</f>
        <v>Jerome Ford</v>
      </c>
      <c r="K28" s="59" t="str">
        <f>IFERROR(INDEX(TableRBMaster[TM],MATCH(TableRBCalcPts[[#This Row],[RBRef]],TableRBMaster[RBRef],0)),"")</f>
        <v>CLE</v>
      </c>
      <c r="L28" s="59">
        <f>IFERROR(INDEX(TableRBMaster[BYE],MATCH(TableRBCalcPts[[#This Row],[RBRef]],TableRBMaster[RBRef],0)),"")</f>
        <v>10</v>
      </c>
      <c r="M28" s="60">
        <f>IFERROR(INDEX(TableRBMaster[Custom],MATCH(TableRBCalcPts[[#This Row],[RBRef]],TableRBMaster[RBRef],0)),"")</f>
        <v>168.69179379937501</v>
      </c>
      <c r="O28" s="59">
        <f>IFERROR(RANK(TableWRCalcPts[[#This Row],[Custom]],TableWRCalcPts[Custom])+COUNTIF($T$3:T28,T28)-1,"")</f>
        <v>133</v>
      </c>
      <c r="P28" s="59">
        <v>26</v>
      </c>
      <c r="Q28" s="59" t="str">
        <f>IFERROR(INDEX(TableWRMaster[Player],MATCH(TableWRCalcPts[[#This Row],[WRRef]],TableWRMaster[WRRef],0)),"")</f>
        <v>David Moore</v>
      </c>
      <c r="R28" s="59" t="str">
        <f>IFERROR(INDEX(TableWRMaster[TM],MATCH(TableWRCalcPts[[#This Row],[WRRef]],TableWRMaster[WRRef],0)),"")</f>
        <v>CAR</v>
      </c>
      <c r="S28" s="59">
        <f>IFERROR(INDEX(TableWRMaster[BYE],MATCH(TableWRCalcPts[[#This Row],[WRRef]],TableWRMaster[WRRef],0)),"")</f>
        <v>11</v>
      </c>
      <c r="T28" s="60">
        <f>IFERROR(INDEX(TableWRMaster[Custom],MATCH(TableWRCalcPts[[#This Row],[WRRef]],TableWRMaster[WRRef],0)),"")</f>
        <v>22.838399236688442</v>
      </c>
      <c r="V28" s="59">
        <f>IFERROR(RANK(TableTECalcPts[[#This Row],[Custom]],TableTECalcPts[Custom])+COUNTIF($AA$3:AA28,AA28)-1,"")</f>
        <v>2</v>
      </c>
      <c r="W28" s="59">
        <v>26</v>
      </c>
      <c r="X28" s="59" t="str">
        <f>IFERROR(INDEX(TableTEMaster[Player],MATCH(TableTECalcPts[[#This Row],[TERef]],TableTEMaster[TERef],0)),"")</f>
        <v>Sam LaPorta</v>
      </c>
      <c r="Y28" s="59" t="str">
        <f>IFERROR(INDEX(TableTEMaster[TM],MATCH(TableTECalcPts[[#This Row],[TERef]],TableTEMaster[TERef],0)),"")</f>
        <v>DET</v>
      </c>
      <c r="Z28" s="59">
        <f>IFERROR(INDEX(TableTEMaster[BYE],MATCH(TableTECalcPts[[#This Row],[TERef]],TableTEMaster[TERef],0)),"")</f>
        <v>5</v>
      </c>
      <c r="AA28" s="60">
        <f>IFERROR(INDEX(TableTEMaster[Custom],MATCH(TableTECalcPts[[#This Row],[TERef]],TableTEMaster[TERef],0)),"")</f>
        <v>182.53673189245154</v>
      </c>
      <c r="AC28" s="59">
        <f>IFERROR(RANK(TableDSTCalcPts[[#This Row],[Custom]],TableDSTCalcPts[Custom],0),"")</f>
        <v>4</v>
      </c>
      <c r="AD28" s="59">
        <v>26</v>
      </c>
      <c r="AE28" s="59" t="str">
        <f>IFERROR(INDEX(TableDSTMaster[Player],MATCH(TableDSTCalcPts[[#This Row],[DSTRef]],TableDSTMaster[DSTRef],0)),"")</f>
        <v>Philadelphia Eagles</v>
      </c>
      <c r="AF28" s="59">
        <f>IFERROR(INDEX(TableDSTMaster[BYE],MATCH(TableDSTCalcPts[[#This Row],[DSTRef]],TableDSTMaster[DSTRef],0)),"")</f>
        <v>5</v>
      </c>
      <c r="AG28" s="60">
        <f>IFERROR(INDEX(TableDSTMaster[Custom],MATCH(TableDSTCalcPts[[#This Row],[DSTRef]],TableDSTMaster[DSTRef],0)),"")</f>
        <v>115.47500000000001</v>
      </c>
      <c r="AI28" s="59" t="s">
        <v>10</v>
      </c>
      <c r="AJ28" s="59">
        <f>IFERROR(RANK(TableWRTECalcPts[[#This Row],[Custom]],TableWRTECalcPts[Custom])+COUNTIF($AP$3:AP28,AP28)-1,"")</f>
        <v>32</v>
      </c>
      <c r="AK28" s="59">
        <v>26</v>
      </c>
      <c r="AL28" s="59" t="str">
        <f>IFERROR(INDEX(TableTEMaster[Player],MATCH(TableWRTECalcPts[[#This Row],[POSRef]],TableTEMaster[TERef],0)),"")</f>
        <v>Sam LaPorta</v>
      </c>
      <c r="AM28" s="59" t="str">
        <f>IFERROR(_xlfn.CONCAT(TableWRTECalcPts[[#This Row],[POS]],INDEX(TableTERanks[RK],MATCH(TableWRTECalcPts[[#This Row],[PLAYER]],TableTERanks[Player],0))),"")</f>
        <v>TE2</v>
      </c>
      <c r="AN28" s="59" t="str">
        <f>IFERROR(INDEX(TableTEMaster[TM],MATCH(TableWRTECalcPts[[#This Row],[POSRef]],TableTEMaster[TERef],0)),"")</f>
        <v>DET</v>
      </c>
      <c r="AO28" s="59">
        <f>IFERROR(INDEX(TableTEMaster[BYE],MATCH(TableWRTECalcPts[[#This Row],[POSRef]],TableTEMaster[TERef],0)),"")</f>
        <v>5</v>
      </c>
      <c r="AP28" s="60">
        <f>IFERROR(INDEX(TableTEMaster[Custom],MATCH(TableWRTECalcPts[[#This Row],[POSRef]],TableTEMaster[TERef],0)),"")</f>
        <v>182.53673189245154</v>
      </c>
    </row>
    <row r="29" spans="1:42" x14ac:dyDescent="0.25">
      <c r="A29" s="61">
        <f>IFERROR(RANK(TableQBCalcPts[[#This Row],[Custom]],TableQBCalcPts[Custom])+COUNTIF($F$3:F29,F29)-1,"")</f>
        <v>5</v>
      </c>
      <c r="B29" s="59">
        <v>27</v>
      </c>
      <c r="C29" s="59" t="str">
        <f>IFERROR(INDEX(TableQBMaster[Player],MATCH(TableQBCalcPts[[#This Row],[QBRef]],TableQBMaster[QBRef],0)),"")</f>
        <v>Anthony Richardson</v>
      </c>
      <c r="D29" s="59" t="str">
        <f>IFERROR(INDEX(TableQBMaster[TM],MATCH(TableQBCalcPts[[#This Row],[QBRef]],TableQBMaster[QBRef],0)),"")</f>
        <v>IND</v>
      </c>
      <c r="E29" s="59">
        <f>IFERROR(INDEX(TableQBMaster[BYE],MATCH(TableQBCalcPts[[#This Row],[QBRef]],TableQBMaster[QBRef],0)),"")</f>
        <v>14</v>
      </c>
      <c r="F29" s="60">
        <f>IFERROR(INDEX(TableQBMaster[Custom],MATCH(TableQBCalcPts[[#This Row],[QBRef]],TableQBMaster[QBRef],0)),"")</f>
        <v>343.30216825920456</v>
      </c>
      <c r="H29" s="59">
        <f>IFERROR(RANK(TableRBCalcPts[[#This Row],[Custom]],TableRBCalcPts[Custom])+COUNTIF($M$3:M29,M29)-1,"")</f>
        <v>90</v>
      </c>
      <c r="I29" s="59">
        <v>27</v>
      </c>
      <c r="J29" s="59" t="str">
        <f>IFERROR(INDEX(TableRBMaster[Player],MATCH(TableRBCalcPts[[#This Row],[RBRef]],TableRBMaster[RBRef],0)),"")</f>
        <v>Pierre Strong</v>
      </c>
      <c r="K29" s="59" t="str">
        <f>IFERROR(INDEX(TableRBMaster[TM],MATCH(TableRBCalcPts[[#This Row],[RBRef]],TableRBMaster[RBRef],0)),"")</f>
        <v>CLE</v>
      </c>
      <c r="L29" s="59">
        <f>IFERROR(INDEX(TableRBMaster[BYE],MATCH(TableRBCalcPts[[#This Row],[RBRef]],TableRBMaster[RBRef],0)),"")</f>
        <v>10</v>
      </c>
      <c r="M29" s="60">
        <f>IFERROR(INDEX(TableRBMaster[Custom],MATCH(TableRBCalcPts[[#This Row],[RBRef]],TableRBMaster[RBRef],0)),"")</f>
        <v>18.346231257200003</v>
      </c>
      <c r="O29" s="59">
        <f>IFERROR(RANK(TableWRCalcPts[[#This Row],[Custom]],TableWRCalcPts[Custom])+COUNTIF($T$3:T29,T29)-1,"")</f>
        <v>22</v>
      </c>
      <c r="P29" s="59">
        <v>27</v>
      </c>
      <c r="Q29" s="59" t="str">
        <f>IFERROR(INDEX(TableWRMaster[Player],MATCH(TableWRCalcPts[[#This Row],[WRRef]],TableWRMaster[WRRef],0)),"")</f>
        <v>DJ Moore</v>
      </c>
      <c r="R29" s="59" t="str">
        <f>IFERROR(INDEX(TableWRMaster[TM],MATCH(TableWRCalcPts[[#This Row],[WRRef]],TableWRMaster[WRRef],0)),"")</f>
        <v>CHI</v>
      </c>
      <c r="S29" s="59">
        <f>IFERROR(INDEX(TableWRMaster[BYE],MATCH(TableWRCalcPts[[#This Row],[WRRef]],TableWRMaster[WRRef],0)),"")</f>
        <v>7</v>
      </c>
      <c r="T29" s="60">
        <f>IFERROR(INDEX(TableWRMaster[Custom],MATCH(TableWRCalcPts[[#This Row],[WRRef]],TableWRMaster[WRRef],0)),"")</f>
        <v>192.10939741928462</v>
      </c>
      <c r="V29" s="59">
        <f>IFERROR(RANK(TableTECalcPts[[#This Row],[Custom]],TableTECalcPts[Custom])+COUNTIF($AA$3:AA29,AA29)-1,"")</f>
        <v>59</v>
      </c>
      <c r="W29" s="59">
        <v>27</v>
      </c>
      <c r="X29" s="59" t="str">
        <f>IFERROR(INDEX(TableTEMaster[Player],MATCH(TableTECalcPts[[#This Row],[TERef]],TableTEMaster[TERef],0)),"")</f>
        <v>James Mitchell</v>
      </c>
      <c r="Y29" s="59" t="str">
        <f>IFERROR(INDEX(TableTEMaster[TM],MATCH(TableTECalcPts[[#This Row],[TERef]],TableTEMaster[TERef],0)),"")</f>
        <v>DET</v>
      </c>
      <c r="Z29" s="59">
        <f>IFERROR(INDEX(TableTEMaster[BYE],MATCH(TableTECalcPts[[#This Row],[TERef]],TableTEMaster[TERef],0)),"")</f>
        <v>5</v>
      </c>
      <c r="AA29" s="60">
        <f>IFERROR(INDEX(TableTEMaster[Custom],MATCH(TableTECalcPts[[#This Row],[TERef]],TableTEMaster[TERef],0)),"")</f>
        <v>18.454743522522669</v>
      </c>
      <c r="AC29" s="59">
        <f>IFERROR(RANK(TableDSTCalcPts[[#This Row],[Custom]],TableDSTCalcPts[Custom],0),"")</f>
        <v>8</v>
      </c>
      <c r="AD29" s="59">
        <v>27</v>
      </c>
      <c r="AE29" s="59" t="str">
        <f>IFERROR(INDEX(TableDSTMaster[Player],MATCH(TableDSTCalcPts[[#This Row],[DSTRef]],TableDSTMaster[DSTRef],0)),"")</f>
        <v>Pittsburgh Steelers</v>
      </c>
      <c r="AF29" s="59">
        <f>IFERROR(INDEX(TableDSTMaster[BYE],MATCH(TableDSTCalcPts[[#This Row],[DSTRef]],TableDSTMaster[DSTRef],0)),"")</f>
        <v>9</v>
      </c>
      <c r="AG29" s="60">
        <f>IFERROR(INDEX(TableDSTMaster[Custom],MATCH(TableDSTCalcPts[[#This Row],[DSTRef]],TableDSTMaster[DSTRef],0)),"")</f>
        <v>112.375</v>
      </c>
      <c r="AI29" s="59" t="s">
        <v>10</v>
      </c>
      <c r="AJ29" s="59">
        <f>IFERROR(RANK(TableWRTECalcPts[[#This Row],[Custom]],TableWRTECalcPts[Custom])+COUNTIF($AP$3:AP29,AP29)-1,"")</f>
        <v>201</v>
      </c>
      <c r="AK29" s="59">
        <v>27</v>
      </c>
      <c r="AL29" s="59" t="str">
        <f>IFERROR(INDEX(TableTEMaster[Player],MATCH(TableWRTECalcPts[[#This Row],[POSRef]],TableTEMaster[TERef],0)),"")</f>
        <v>James Mitchell</v>
      </c>
      <c r="AM29" s="59" t="str">
        <f>IFERROR(_xlfn.CONCAT(TableWRTECalcPts[[#This Row],[POS]],INDEX(TableTERanks[RK],MATCH(TableWRTECalcPts[[#This Row],[PLAYER]],TableTERanks[Player],0))),"")</f>
        <v>TE59</v>
      </c>
      <c r="AN29" s="59" t="str">
        <f>IFERROR(INDEX(TableTEMaster[TM],MATCH(TableWRTECalcPts[[#This Row],[POSRef]],TableTEMaster[TERef],0)),"")</f>
        <v>DET</v>
      </c>
      <c r="AO29" s="59">
        <f>IFERROR(INDEX(TableTEMaster[BYE],MATCH(TableWRTECalcPts[[#This Row],[POSRef]],TableTEMaster[TERef],0)),"")</f>
        <v>5</v>
      </c>
      <c r="AP29" s="60">
        <f>IFERROR(INDEX(TableTEMaster[Custom],MATCH(TableWRTECalcPts[[#This Row],[POSRef]],TableTEMaster[TERef],0)),"")</f>
        <v>18.454743522522669</v>
      </c>
    </row>
    <row r="30" spans="1:42" x14ac:dyDescent="0.25">
      <c r="A30" s="61">
        <f>IFERROR(RANK(TableQBCalcPts[[#This Row],[Custom]],TableQBCalcPts[Custom])+COUNTIF($F$3:F30,F30)-1,"")</f>
        <v>45</v>
      </c>
      <c r="B30" s="59">
        <v>28</v>
      </c>
      <c r="C30" s="59" t="str">
        <f>IFERROR(INDEX(TableQBMaster[Player],MATCH(TableQBCalcPts[[#This Row],[QBRef]],TableQBMaster[QBRef],0)),"")</f>
        <v>Joe Flacco</v>
      </c>
      <c r="D30" s="59" t="str">
        <f>IFERROR(INDEX(TableQBMaster[TM],MATCH(TableQBCalcPts[[#This Row],[QBRef]],TableQBMaster[QBRef],0)),"")</f>
        <v>IND</v>
      </c>
      <c r="E30" s="59">
        <f>IFERROR(INDEX(TableQBMaster[BYE],MATCH(TableQBCalcPts[[#This Row],[QBRef]],TableQBMaster[QBRef],0)),"")</f>
        <v>14</v>
      </c>
      <c r="F30" s="60">
        <f>IFERROR(INDEX(TableQBMaster[Custom],MATCH(TableQBCalcPts[[#This Row],[QBRef]],TableQBMaster[QBRef],0)),"")</f>
        <v>11.668072653919413</v>
      </c>
      <c r="H30" s="59">
        <f>IFERROR(RANK(TableRBCalcPts[[#This Row],[Custom]],TableRBCalcPts[Custom])+COUNTIF($M$3:M30,M30)-1,"")</f>
        <v>105</v>
      </c>
      <c r="I30" s="59">
        <v>28</v>
      </c>
      <c r="J30" s="59" t="str">
        <f>IFERROR(INDEX(TableRBMaster[Player],MATCH(TableRBCalcPts[[#This Row],[RBRef]],TableRBMaster[RBRef],0)),"")</f>
        <v>D'Onta Foreman</v>
      </c>
      <c r="K30" s="59" t="str">
        <f>IFERROR(INDEX(TableRBMaster[TM],MATCH(TableRBCalcPts[[#This Row],[RBRef]],TableRBMaster[RBRef],0)),"")</f>
        <v>CLE</v>
      </c>
      <c r="L30" s="59">
        <f>IFERROR(INDEX(TableRBMaster[BYE],MATCH(TableRBCalcPts[[#This Row],[RBRef]],TableRBMaster[RBRef],0)),"")</f>
        <v>10</v>
      </c>
      <c r="M30" s="60">
        <f>IFERROR(INDEX(TableRBMaster[Custom],MATCH(TableRBCalcPts[[#This Row],[RBRef]],TableRBMaster[RBRef],0)),"")</f>
        <v>9.0113961572249988</v>
      </c>
      <c r="O30" s="59">
        <f>IFERROR(RANK(TableWRCalcPts[[#This Row],[Custom]],TableWRCalcPts[Custom])+COUNTIF($T$3:T30,T30)-1,"")</f>
        <v>51</v>
      </c>
      <c r="P30" s="59">
        <v>28</v>
      </c>
      <c r="Q30" s="59" t="str">
        <f>IFERROR(INDEX(TableWRMaster[Player],MATCH(TableWRCalcPts[[#This Row],[WRRef]],TableWRMaster[WRRef],0)),"")</f>
        <v>Keenan Allen</v>
      </c>
      <c r="R30" s="59" t="str">
        <f>IFERROR(INDEX(TableWRMaster[TM],MATCH(TableWRCalcPts[[#This Row],[WRRef]],TableWRMaster[WRRef],0)),"")</f>
        <v>CHI</v>
      </c>
      <c r="S30" s="59">
        <f>IFERROR(INDEX(TableWRMaster[BYE],MATCH(TableWRCalcPts[[#This Row],[WRRef]],TableWRMaster[WRRef],0)),"")</f>
        <v>7</v>
      </c>
      <c r="T30" s="60">
        <f>IFERROR(INDEX(TableWRMaster[Custom],MATCH(TableWRCalcPts[[#This Row],[WRRef]],TableWRMaster[WRRef],0)),"")</f>
        <v>156.9230989893536</v>
      </c>
      <c r="V30" s="59">
        <f>IFERROR(RANK(TableTECalcPts[[#This Row],[Custom]],TableTECalcPts[Custom])+COUNTIF($AA$3:AA30,AA30)-1,"")</f>
        <v>66</v>
      </c>
      <c r="W30" s="59">
        <v>28</v>
      </c>
      <c r="X30" s="59" t="str">
        <f>IFERROR(INDEX(TableTEMaster[Player],MATCH(TableTECalcPts[[#This Row],[TERef]],TableTEMaster[TERef],0)),"")</f>
        <v>Brock Wright</v>
      </c>
      <c r="Y30" s="59" t="str">
        <f>IFERROR(INDEX(TableTEMaster[TM],MATCH(TableTECalcPts[[#This Row],[TERef]],TableTEMaster[TERef],0)),"")</f>
        <v>DET</v>
      </c>
      <c r="Z30" s="59">
        <f>IFERROR(INDEX(TableTEMaster[BYE],MATCH(TableTECalcPts[[#This Row],[TERef]],TableTEMaster[TERef],0)),"")</f>
        <v>5</v>
      </c>
      <c r="AA30" s="60">
        <f>IFERROR(INDEX(TableTEMaster[Custom],MATCH(TableTECalcPts[[#This Row],[TERef]],TableTEMaster[TERef],0)),"")</f>
        <v>11.88556874619356</v>
      </c>
      <c r="AC30" s="59">
        <f>IFERROR(RANK(TableDSTCalcPts[[#This Row],[Custom]],TableDSTCalcPts[Custom],0),"")</f>
        <v>13</v>
      </c>
      <c r="AD30" s="59">
        <v>28</v>
      </c>
      <c r="AE30" s="59" t="str">
        <f>IFERROR(INDEX(TableDSTMaster[Player],MATCH(TableDSTCalcPts[[#This Row],[DSTRef]],TableDSTMaster[DSTRef],0)),"")</f>
        <v>San Francisco 49ers</v>
      </c>
      <c r="AF30" s="59">
        <f>IFERROR(INDEX(TableDSTMaster[BYE],MATCH(TableDSTCalcPts[[#This Row],[DSTRef]],TableDSTMaster[DSTRef],0)),"")</f>
        <v>9</v>
      </c>
      <c r="AG30" s="60">
        <f>IFERROR(INDEX(TableDSTMaster[Custom],MATCH(TableDSTCalcPts[[#This Row],[DSTRef]],TableDSTMaster[DSTRef],0)),"")</f>
        <v>110.55000000000001</v>
      </c>
      <c r="AI30" s="59" t="s">
        <v>10</v>
      </c>
      <c r="AJ30" s="59">
        <f>IFERROR(RANK(TableWRTECalcPts[[#This Row],[Custom]],TableWRTECalcPts[Custom])+COUNTIF($AP$3:AP30,AP30)-1,"")</f>
        <v>223</v>
      </c>
      <c r="AK30" s="59">
        <v>28</v>
      </c>
      <c r="AL30" s="59" t="str">
        <f>IFERROR(INDEX(TableTEMaster[Player],MATCH(TableWRTECalcPts[[#This Row],[POSRef]],TableTEMaster[TERef],0)),"")</f>
        <v>Brock Wright</v>
      </c>
      <c r="AM30" s="59" t="str">
        <f>IFERROR(_xlfn.CONCAT(TableWRTECalcPts[[#This Row],[POS]],INDEX(TableTERanks[RK],MATCH(TableWRTECalcPts[[#This Row],[PLAYER]],TableTERanks[Player],0))),"")</f>
        <v>TE66</v>
      </c>
      <c r="AN30" s="59" t="str">
        <f>IFERROR(INDEX(TableTEMaster[TM],MATCH(TableWRTECalcPts[[#This Row],[POSRef]],TableTEMaster[TERef],0)),"")</f>
        <v>DET</v>
      </c>
      <c r="AO30" s="59">
        <f>IFERROR(INDEX(TableTEMaster[BYE],MATCH(TableWRTECalcPts[[#This Row],[POSRef]],TableTEMaster[TERef],0)),"")</f>
        <v>5</v>
      </c>
      <c r="AP30" s="60">
        <f>IFERROR(INDEX(TableTEMaster[Custom],MATCH(TableWRTECalcPts[[#This Row],[POSRef]],TableTEMaster[TERef],0)),"")</f>
        <v>11.88556874619356</v>
      </c>
    </row>
    <row r="31" spans="1:42" x14ac:dyDescent="0.25">
      <c r="A31" s="61">
        <f>IFERROR(RANK(TableQBCalcPts[[#This Row],[Custom]],TableQBCalcPts[Custom])+COUNTIF($F$3:F31,F31)-1,"")</f>
        <v>11</v>
      </c>
      <c r="B31" s="59">
        <v>29</v>
      </c>
      <c r="C31" s="59" t="str">
        <f>IFERROR(INDEX(TableQBMaster[Player],MATCH(TableQBCalcPts[[#This Row],[QBRef]],TableQBMaster[QBRef],0)),"")</f>
        <v>Trevor Lawrence</v>
      </c>
      <c r="D31" s="59" t="str">
        <f>IFERROR(INDEX(TableQBMaster[TM],MATCH(TableQBCalcPts[[#This Row],[QBRef]],TableQBMaster[QBRef],0)),"")</f>
        <v>JAX</v>
      </c>
      <c r="E31" s="59">
        <f>IFERROR(INDEX(TableQBMaster[BYE],MATCH(TableQBCalcPts[[#This Row],[QBRef]],TableQBMaster[QBRef],0)),"")</f>
        <v>12</v>
      </c>
      <c r="F31" s="60">
        <f>IFERROR(INDEX(TableQBMaster[Custom],MATCH(TableQBCalcPts[[#This Row],[QBRef]],TableQBMaster[QBRef],0)),"")</f>
        <v>315.36308158044176</v>
      </c>
      <c r="H31" s="59">
        <f>IFERROR(RANK(TableRBCalcPts[[#This Row],[Custom]],TableRBCalcPts[Custom])+COUNTIF($M$3:M31,M31)-1,"")</f>
        <v>40</v>
      </c>
      <c r="I31" s="59">
        <v>29</v>
      </c>
      <c r="J31" s="59" t="str">
        <f>IFERROR(INDEX(TableRBMaster[Player],MATCH(TableRBCalcPts[[#This Row],[RBRef]],TableRBMaster[RBRef],0)),"")</f>
        <v>Ezekiel Elliott</v>
      </c>
      <c r="K31" s="59" t="str">
        <f>IFERROR(INDEX(TableRBMaster[TM],MATCH(TableRBCalcPts[[#This Row],[RBRef]],TableRBMaster[RBRef],0)),"")</f>
        <v>DAL</v>
      </c>
      <c r="L31" s="59">
        <f>IFERROR(INDEX(TableRBMaster[BYE],MATCH(TableRBCalcPts[[#This Row],[RBRef]],TableRBMaster[RBRef],0)),"")</f>
        <v>7</v>
      </c>
      <c r="M31" s="60">
        <f>IFERROR(INDEX(TableRBMaster[Custom],MATCH(TableRBCalcPts[[#This Row],[RBRef]],TableRBMaster[RBRef],0)),"")</f>
        <v>140.64021599356784</v>
      </c>
      <c r="O31" s="59">
        <f>IFERROR(RANK(TableWRCalcPts[[#This Row],[Custom]],TableWRCalcPts[Custom])+COUNTIF($T$3:T31,T31)-1,"")</f>
        <v>55</v>
      </c>
      <c r="P31" s="59">
        <v>29</v>
      </c>
      <c r="Q31" s="59" t="str">
        <f>IFERROR(INDEX(TableWRMaster[Player],MATCH(TableWRCalcPts[[#This Row],[WRRef]],TableWRMaster[WRRef],0)),"")</f>
        <v>Rome Odunze</v>
      </c>
      <c r="R31" s="59" t="str">
        <f>IFERROR(INDEX(TableWRMaster[TM],MATCH(TableWRCalcPts[[#This Row],[WRRef]],TableWRMaster[WRRef],0)),"")</f>
        <v>CHI</v>
      </c>
      <c r="S31" s="59">
        <f>IFERROR(INDEX(TableWRMaster[BYE],MATCH(TableWRCalcPts[[#This Row],[WRRef]],TableWRMaster[WRRef],0)),"")</f>
        <v>7</v>
      </c>
      <c r="T31" s="60">
        <f>IFERROR(INDEX(TableWRMaster[Custom],MATCH(TableWRCalcPts[[#This Row],[WRRef]],TableWRMaster[WRRef],0)),"")</f>
        <v>151.03909567844491</v>
      </c>
      <c r="V31" s="59">
        <f>IFERROR(RANK(TableTECalcPts[[#This Row],[Custom]],TableTECalcPts[Custom])+COUNTIF($AA$3:AA31,AA31)-1,"")</f>
        <v>19</v>
      </c>
      <c r="W31" s="59">
        <v>29</v>
      </c>
      <c r="X31" s="59" t="str">
        <f>IFERROR(INDEX(TableTEMaster[Player],MATCH(TableTECalcPts[[#This Row],[TERef]],TableTEMaster[TERef],0)),"")</f>
        <v>Luke Musgrave</v>
      </c>
      <c r="Y31" s="59" t="str">
        <f>IFERROR(INDEX(TableTEMaster[TM],MATCH(TableTECalcPts[[#This Row],[TERef]],TableTEMaster[TERef],0)),"")</f>
        <v>GB</v>
      </c>
      <c r="Z31" s="59">
        <f>IFERROR(INDEX(TableTEMaster[BYE],MATCH(TableTECalcPts[[#This Row],[TERef]],TableTEMaster[TERef],0)),"")</f>
        <v>10</v>
      </c>
      <c r="AA31" s="60">
        <f>IFERROR(INDEX(TableTEMaster[Custom],MATCH(TableTECalcPts[[#This Row],[TERef]],TableTEMaster[TERef],0)),"")</f>
        <v>95.806678079854066</v>
      </c>
      <c r="AC31" s="59">
        <f>IFERROR(RANK(TableDSTCalcPts[[#This Row],[Custom]],TableDSTCalcPts[Custom],0),"")</f>
        <v>19</v>
      </c>
      <c r="AD31" s="59">
        <v>29</v>
      </c>
      <c r="AE31" s="59" t="str">
        <f>IFERROR(INDEX(TableDSTMaster[Player],MATCH(TableDSTCalcPts[[#This Row],[DSTRef]],TableDSTMaster[DSTRef],0)),"")</f>
        <v>Seattle Seahawks</v>
      </c>
      <c r="AF31" s="59">
        <f>IFERROR(INDEX(TableDSTMaster[BYE],MATCH(TableDSTCalcPts[[#This Row],[DSTRef]],TableDSTMaster[DSTRef],0)),"")</f>
        <v>10</v>
      </c>
      <c r="AG31" s="60">
        <f>IFERROR(INDEX(TableDSTMaster[Custom],MATCH(TableDSTCalcPts[[#This Row],[DSTRef]],TableDSTMaster[DSTRef],0)),"")</f>
        <v>106.5</v>
      </c>
      <c r="AI31" s="59" t="s">
        <v>10</v>
      </c>
      <c r="AJ31" s="59">
        <f>IFERROR(RANK(TableWRTECalcPts[[#This Row],[Custom]],TableWRTECalcPts[Custom])+COUNTIF($AP$3:AP31,AP31)-1,"")</f>
        <v>103</v>
      </c>
      <c r="AK31" s="59">
        <v>29</v>
      </c>
      <c r="AL31" s="59" t="str">
        <f>IFERROR(INDEX(TableTEMaster[Player],MATCH(TableWRTECalcPts[[#This Row],[POSRef]],TableTEMaster[TERef],0)),"")</f>
        <v>Luke Musgrave</v>
      </c>
      <c r="AM31" s="59" t="str">
        <f>IFERROR(_xlfn.CONCAT(TableWRTECalcPts[[#This Row],[POS]],INDEX(TableTERanks[RK],MATCH(TableWRTECalcPts[[#This Row],[PLAYER]],TableTERanks[Player],0))),"")</f>
        <v>TE19</v>
      </c>
      <c r="AN31" s="59" t="str">
        <f>IFERROR(INDEX(TableTEMaster[TM],MATCH(TableWRTECalcPts[[#This Row],[POSRef]],TableTEMaster[TERef],0)),"")</f>
        <v>GB</v>
      </c>
      <c r="AO31" s="59">
        <f>IFERROR(INDEX(TableTEMaster[BYE],MATCH(TableWRTECalcPts[[#This Row],[POSRef]],TableTEMaster[TERef],0)),"")</f>
        <v>10</v>
      </c>
      <c r="AP31" s="60">
        <f>IFERROR(INDEX(TableTEMaster[Custom],MATCH(TableWRTECalcPts[[#This Row],[POSRef]],TableTEMaster[TERef],0)),"")</f>
        <v>95.806678079854066</v>
      </c>
    </row>
    <row r="32" spans="1:42" x14ac:dyDescent="0.25">
      <c r="A32" s="61">
        <f>IFERROR(RANK(TableQBCalcPts[[#This Row],[Custom]],TableQBCalcPts[Custom])+COUNTIF($F$3:F32,F32)-1,"")</f>
        <v>63</v>
      </c>
      <c r="B32" s="59">
        <v>30</v>
      </c>
      <c r="C32" s="59" t="str">
        <f>IFERROR(INDEX(TableQBMaster[Player],MATCH(TableQBCalcPts[[#This Row],[QBRef]],TableQBMaster[QBRef],0)),"")</f>
        <v>Mac Jones</v>
      </c>
      <c r="D32" s="59" t="str">
        <f>IFERROR(INDEX(TableQBMaster[TM],MATCH(TableQBCalcPts[[#This Row],[QBRef]],TableQBMaster[QBRef],0)),"")</f>
        <v>JAX</v>
      </c>
      <c r="E32" s="59">
        <f>IFERROR(INDEX(TableQBMaster[BYE],MATCH(TableQBCalcPts[[#This Row],[QBRef]],TableQBMaster[QBRef],0)),"")</f>
        <v>12</v>
      </c>
      <c r="F32" s="60">
        <f>IFERROR(INDEX(TableQBMaster[Custom],MATCH(TableQBCalcPts[[#This Row],[QBRef]],TableQBMaster[QBRef],0)),"")</f>
        <v>2.5560768646550009</v>
      </c>
      <c r="H32" s="59">
        <f>IFERROR(RANK(TableRBCalcPts[[#This Row],[Custom]],TableRBCalcPts[Custom])+COUNTIF($M$3:M32,M32)-1,"")</f>
        <v>47</v>
      </c>
      <c r="I32" s="59">
        <v>30</v>
      </c>
      <c r="J32" s="59" t="str">
        <f>IFERROR(INDEX(TableRBMaster[Player],MATCH(TableRBCalcPts[[#This Row],[RBRef]],TableRBMaster[RBRef],0)),"")</f>
        <v>Rico Dowdle</v>
      </c>
      <c r="K32" s="59" t="str">
        <f>IFERROR(INDEX(TableRBMaster[TM],MATCH(TableRBCalcPts[[#This Row],[RBRef]],TableRBMaster[RBRef],0)),"")</f>
        <v>DAL</v>
      </c>
      <c r="L32" s="59">
        <f>IFERROR(INDEX(TableRBMaster[BYE],MATCH(TableRBCalcPts[[#This Row],[RBRef]],TableRBMaster[RBRef],0)),"")</f>
        <v>7</v>
      </c>
      <c r="M32" s="60">
        <f>IFERROR(INDEX(TableRBMaster[Custom],MATCH(TableRBCalcPts[[#This Row],[RBRef]],TableRBMaster[RBRef],0)),"")</f>
        <v>111.11104496242798</v>
      </c>
      <c r="O32" s="59">
        <f>IFERROR(RANK(TableWRCalcPts[[#This Row],[Custom]],TableWRCalcPts[Custom])+COUNTIF($T$3:T32,T32)-1,"")</f>
        <v>138</v>
      </c>
      <c r="P32" s="59">
        <v>30</v>
      </c>
      <c r="Q32" s="59" t="str">
        <f>IFERROR(INDEX(TableWRMaster[Player],MATCH(TableWRCalcPts[[#This Row],[WRRef]],TableWRMaster[WRRef],0)),"")</f>
        <v>Tyler Scott</v>
      </c>
      <c r="R32" s="59" t="str">
        <f>IFERROR(INDEX(TableWRMaster[TM],MATCH(TableWRCalcPts[[#This Row],[WRRef]],TableWRMaster[WRRef],0)),"")</f>
        <v>CHI</v>
      </c>
      <c r="S32" s="59">
        <f>IFERROR(INDEX(TableWRMaster[BYE],MATCH(TableWRCalcPts[[#This Row],[WRRef]],TableWRMaster[WRRef],0)),"")</f>
        <v>7</v>
      </c>
      <c r="T32" s="60">
        <f>IFERROR(INDEX(TableWRMaster[Custom],MATCH(TableWRCalcPts[[#This Row],[WRRef]],TableWRMaster[WRRef],0)),"")</f>
        <v>21.409501478856473</v>
      </c>
      <c r="V32" s="59">
        <f>IFERROR(RANK(TableTECalcPts[[#This Row],[Custom]],TableTECalcPts[Custom])+COUNTIF($AA$3:AA32,AA32)-1,"")</f>
        <v>32</v>
      </c>
      <c r="W32" s="59">
        <v>30</v>
      </c>
      <c r="X32" s="59" t="str">
        <f>IFERROR(INDEX(TableTEMaster[Player],MATCH(TableTECalcPts[[#This Row],[TERef]],TableTEMaster[TERef],0)),"")</f>
        <v>Tucker Kraft</v>
      </c>
      <c r="Y32" s="59" t="str">
        <f>IFERROR(INDEX(TableTEMaster[TM],MATCH(TableTECalcPts[[#This Row],[TERef]],TableTEMaster[TERef],0)),"")</f>
        <v>GB</v>
      </c>
      <c r="Z32" s="59">
        <f>IFERROR(INDEX(TableTEMaster[BYE],MATCH(TableTECalcPts[[#This Row],[TERef]],TableTEMaster[TERef],0)),"")</f>
        <v>10</v>
      </c>
      <c r="AA32" s="60">
        <f>IFERROR(INDEX(TableTEMaster[Custom],MATCH(TableTECalcPts[[#This Row],[TERef]],TableTEMaster[TERef],0)),"")</f>
        <v>65.127360408954189</v>
      </c>
      <c r="AC32" s="59">
        <f>IFERROR(RANK(TableDSTCalcPts[[#This Row],[Custom]],TableDSTCalcPts[Custom],0),"")</f>
        <v>16</v>
      </c>
      <c r="AD32" s="59">
        <v>30</v>
      </c>
      <c r="AE32" s="59" t="str">
        <f>IFERROR(INDEX(TableDSTMaster[Player],MATCH(TableDSTCalcPts[[#This Row],[DSTRef]],TableDSTMaster[DSTRef],0)),"")</f>
        <v>Tampa Bay Buccaneers</v>
      </c>
      <c r="AF32" s="59">
        <f>IFERROR(INDEX(TableDSTMaster[BYE],MATCH(TableDSTCalcPts[[#This Row],[DSTRef]],TableDSTMaster[DSTRef],0)),"")</f>
        <v>11</v>
      </c>
      <c r="AG32" s="60">
        <f>IFERROR(INDEX(TableDSTMaster[Custom],MATCH(TableDSTCalcPts[[#This Row],[DSTRef]],TableDSTMaster[DSTRef],0)),"")</f>
        <v>109.27499999999999</v>
      </c>
      <c r="AI32" s="59" t="s">
        <v>10</v>
      </c>
      <c r="AJ32" s="59">
        <f>IFERROR(RANK(TableWRTECalcPts[[#This Row],[Custom]],TableWRTECalcPts[Custom])+COUNTIF($AP$3:AP32,AP32)-1,"")</f>
        <v>128</v>
      </c>
      <c r="AK32" s="59">
        <v>30</v>
      </c>
      <c r="AL32" s="59" t="str">
        <f>IFERROR(INDEX(TableTEMaster[Player],MATCH(TableWRTECalcPts[[#This Row],[POSRef]],TableTEMaster[TERef],0)),"")</f>
        <v>Tucker Kraft</v>
      </c>
      <c r="AM32" s="59" t="str">
        <f>IFERROR(_xlfn.CONCAT(TableWRTECalcPts[[#This Row],[POS]],INDEX(TableTERanks[RK],MATCH(TableWRTECalcPts[[#This Row],[PLAYER]],TableTERanks[Player],0))),"")</f>
        <v>TE32</v>
      </c>
      <c r="AN32" s="59" t="str">
        <f>IFERROR(INDEX(TableTEMaster[TM],MATCH(TableWRTECalcPts[[#This Row],[POSRef]],TableTEMaster[TERef],0)),"")</f>
        <v>GB</v>
      </c>
      <c r="AO32" s="59">
        <f>IFERROR(INDEX(TableTEMaster[BYE],MATCH(TableWRTECalcPts[[#This Row],[POSRef]],TableTEMaster[TERef],0)),"")</f>
        <v>10</v>
      </c>
      <c r="AP32" s="60">
        <f>IFERROR(INDEX(TableTEMaster[Custom],MATCH(TableWRTECalcPts[[#This Row],[POSRef]],TableTEMaster[TERef],0)),"")</f>
        <v>65.127360408954189</v>
      </c>
    </row>
    <row r="33" spans="1:42" x14ac:dyDescent="0.25">
      <c r="A33" s="61">
        <f>IFERROR(RANK(TableQBCalcPts[[#This Row],[Custom]],TableQBCalcPts[Custom])+COUNTIF($F$3:F33,F33)-1,"")</f>
        <v>4</v>
      </c>
      <c r="B33" s="59">
        <v>31</v>
      </c>
      <c r="C33" s="59" t="str">
        <f>IFERROR(INDEX(TableQBMaster[Player],MATCH(TableQBCalcPts[[#This Row],[QBRef]],TableQBMaster[QBRef],0)),"")</f>
        <v>Patrick Mahomes</v>
      </c>
      <c r="D33" s="59" t="str">
        <f>IFERROR(INDEX(TableQBMaster[TM],MATCH(TableQBCalcPts[[#This Row],[QBRef]],TableQBMaster[QBRef],0)),"")</f>
        <v>KC</v>
      </c>
      <c r="E33" s="59">
        <f>IFERROR(INDEX(TableQBMaster[BYE],MATCH(TableQBCalcPts[[#This Row],[QBRef]],TableQBMaster[QBRef],0)),"")</f>
        <v>6</v>
      </c>
      <c r="F33" s="60">
        <f>IFERROR(INDEX(TableQBMaster[Custom],MATCH(TableQBCalcPts[[#This Row],[QBRef]],TableQBMaster[QBRef],0)),"")</f>
        <v>366.68296514016993</v>
      </c>
      <c r="H33" s="59">
        <f>IFERROR(RANK(TableRBCalcPts[[#This Row],[Custom]],TableRBCalcPts[Custom])+COUNTIF($M$3:M33,M33)-1,"")</f>
        <v>53</v>
      </c>
      <c r="I33" s="59">
        <v>31</v>
      </c>
      <c r="J33" s="59" t="str">
        <f>IFERROR(INDEX(TableRBMaster[Player],MATCH(TableRBCalcPts[[#This Row],[RBRef]],TableRBMaster[RBRef],0)),"")</f>
        <v>Dalvin Cook</v>
      </c>
      <c r="K33" s="59" t="str">
        <f>IFERROR(INDEX(TableRBMaster[TM],MATCH(TableRBCalcPts[[#This Row],[RBRef]],TableRBMaster[RBRef],0)),"")</f>
        <v>DAL</v>
      </c>
      <c r="L33" s="59">
        <f>IFERROR(INDEX(TableRBMaster[BYE],MATCH(TableRBCalcPts[[#This Row],[RBRef]],TableRBMaster[RBRef],0)),"")</f>
        <v>7</v>
      </c>
      <c r="M33" s="60">
        <f>IFERROR(INDEX(TableRBMaster[Custom],MATCH(TableRBCalcPts[[#This Row],[RBRef]],TableRBMaster[RBRef],0)),"")</f>
        <v>85.244686888648587</v>
      </c>
      <c r="O33" s="59">
        <f>IFERROR(RANK(TableWRCalcPts[[#This Row],[Custom]],TableWRCalcPts[Custom])+COUNTIF($T$3:T33,T33)-1,"")</f>
        <v>154</v>
      </c>
      <c r="P33" s="59">
        <v>31</v>
      </c>
      <c r="Q33" s="59" t="str">
        <f>IFERROR(INDEX(TableWRMaster[Player],MATCH(TableWRCalcPts[[#This Row],[WRRef]],TableWRMaster[WRRef],0)),"")</f>
        <v>Velus Jones</v>
      </c>
      <c r="R33" s="59" t="str">
        <f>IFERROR(INDEX(TableWRMaster[TM],MATCH(TableWRCalcPts[[#This Row],[WRRef]],TableWRMaster[WRRef],0)),"")</f>
        <v>CHI</v>
      </c>
      <c r="S33" s="59">
        <f>IFERROR(INDEX(TableWRMaster[BYE],MATCH(TableWRCalcPts[[#This Row],[WRRef]],TableWRMaster[WRRef],0)),"")</f>
        <v>7</v>
      </c>
      <c r="T33" s="60">
        <f>IFERROR(INDEX(TableWRMaster[Custom],MATCH(TableWRCalcPts[[#This Row],[WRRef]],TableWRMaster[WRRef],0)),"")</f>
        <v>14.476907333664046</v>
      </c>
      <c r="V33" s="59">
        <f>IFERROR(RANK(TableTECalcPts[[#This Row],[Custom]],TableTECalcPts[Custom])+COUNTIF($AA$3:AA33,AA33)-1,"")</f>
        <v>17</v>
      </c>
      <c r="W33" s="59">
        <v>31</v>
      </c>
      <c r="X33" s="59" t="str">
        <f>IFERROR(INDEX(TableTEMaster[Player],MATCH(TableTECalcPts[[#This Row],[TERef]],TableTEMaster[TERef],0)),"")</f>
        <v>Dalton Schultz</v>
      </c>
      <c r="Y33" s="59" t="str">
        <f>IFERROR(INDEX(TableTEMaster[TM],MATCH(TableTECalcPts[[#This Row],[TERef]],TableTEMaster[TERef],0)),"")</f>
        <v>HOU</v>
      </c>
      <c r="Z33" s="59">
        <f>IFERROR(INDEX(TableTEMaster[BYE],MATCH(TableTECalcPts[[#This Row],[TERef]],TableTEMaster[TERef],0)),"")</f>
        <v>14</v>
      </c>
      <c r="AA33" s="60">
        <f>IFERROR(INDEX(TableTEMaster[Custom],MATCH(TableTECalcPts[[#This Row],[TERef]],TableTEMaster[TERef],0)),"")</f>
        <v>98.459944410737833</v>
      </c>
      <c r="AC33" s="59">
        <f>IFERROR(RANK(TableDSTCalcPts[[#This Row],[Custom]],TableDSTCalcPts[Custom],0),"")</f>
        <v>30</v>
      </c>
      <c r="AD33" s="59">
        <v>31</v>
      </c>
      <c r="AE33" s="59" t="str">
        <f>IFERROR(INDEX(TableDSTMaster[Player],MATCH(TableDSTCalcPts[[#This Row],[DSTRef]],TableDSTMaster[DSTRef],0)),"")</f>
        <v>Tennessee Titans</v>
      </c>
      <c r="AF33" s="59">
        <f>IFERROR(INDEX(TableDSTMaster[BYE],MATCH(TableDSTCalcPts[[#This Row],[DSTRef]],TableDSTMaster[DSTRef],0)),"")</f>
        <v>5</v>
      </c>
      <c r="AG33" s="60">
        <f>IFERROR(INDEX(TableDSTMaster[Custom],MATCH(TableDSTCalcPts[[#This Row],[DSTRef]],TableDSTMaster[DSTRef],0)),"")</f>
        <v>97.949999999999974</v>
      </c>
      <c r="AI33" s="59" t="s">
        <v>10</v>
      </c>
      <c r="AJ33" s="59">
        <f>IFERROR(RANK(TableWRTECalcPts[[#This Row],[Custom]],TableWRTECalcPts[Custom])+COUNTIF($AP$3:AP33,AP33)-1,"")</f>
        <v>101</v>
      </c>
      <c r="AK33" s="59">
        <v>31</v>
      </c>
      <c r="AL33" s="59" t="str">
        <f>IFERROR(INDEX(TableTEMaster[Player],MATCH(TableWRTECalcPts[[#This Row],[POSRef]],TableTEMaster[TERef],0)),"")</f>
        <v>Dalton Schultz</v>
      </c>
      <c r="AM33" s="59" t="str">
        <f>IFERROR(_xlfn.CONCAT(TableWRTECalcPts[[#This Row],[POS]],INDEX(TableTERanks[RK],MATCH(TableWRTECalcPts[[#This Row],[PLAYER]],TableTERanks[Player],0))),"")</f>
        <v>TE17</v>
      </c>
      <c r="AN33" s="59" t="str">
        <f>IFERROR(INDEX(TableTEMaster[TM],MATCH(TableWRTECalcPts[[#This Row],[POSRef]],TableTEMaster[TERef],0)),"")</f>
        <v>HOU</v>
      </c>
      <c r="AO33" s="59">
        <f>IFERROR(INDEX(TableTEMaster[BYE],MATCH(TableWRTECalcPts[[#This Row],[POSRef]],TableTEMaster[TERef],0)),"")</f>
        <v>14</v>
      </c>
      <c r="AP33" s="60">
        <f>IFERROR(INDEX(TableTEMaster[Custom],MATCH(TableWRTECalcPts[[#This Row],[POSRef]],TableTEMaster[TERef],0)),"")</f>
        <v>98.459944410737833</v>
      </c>
    </row>
    <row r="34" spans="1:42" x14ac:dyDescent="0.25">
      <c r="A34" s="61">
        <f>IFERROR(RANK(TableQBCalcPts[[#This Row],[Custom]],TableQBCalcPts[Custom])+COUNTIF($F$3:F34,F34)-1,"")</f>
        <v>60</v>
      </c>
      <c r="B34" s="59">
        <v>32</v>
      </c>
      <c r="C34" s="59" t="str">
        <f>IFERROR(INDEX(TableQBMaster[Player],MATCH(TableQBCalcPts[[#This Row],[QBRef]],TableQBMaster[QBRef],0)),"")</f>
        <v>Carson Wentz</v>
      </c>
      <c r="D34" s="59" t="str">
        <f>IFERROR(INDEX(TableQBMaster[TM],MATCH(TableQBCalcPts[[#This Row],[QBRef]],TableQBMaster[QBRef],0)),"")</f>
        <v>KC</v>
      </c>
      <c r="E34" s="59">
        <f>IFERROR(INDEX(TableQBMaster[BYE],MATCH(TableQBCalcPts[[#This Row],[QBRef]],TableQBMaster[QBRef],0)),"")</f>
        <v>6</v>
      </c>
      <c r="F34" s="60">
        <f>IFERROR(INDEX(TableQBMaster[Custom],MATCH(TableQBCalcPts[[#This Row],[QBRef]],TableQBMaster[QBRef],0)),"")</f>
        <v>2.8660399159420229</v>
      </c>
      <c r="H34" s="59">
        <f>IFERROR(RANK(TableRBCalcPts[[#This Row],[Custom]],TableRBCalcPts[Custom])+COUNTIF($M$3:M34,M34)-1,"")</f>
        <v>98</v>
      </c>
      <c r="I34" s="59">
        <v>32</v>
      </c>
      <c r="J34" s="59" t="str">
        <f>IFERROR(INDEX(TableRBMaster[Player],MATCH(TableRBCalcPts[[#This Row],[RBRef]],TableRBMaster[RBRef],0)),"")</f>
        <v>Deuce Vaughn</v>
      </c>
      <c r="K34" s="59" t="str">
        <f>IFERROR(INDEX(TableRBMaster[TM],MATCH(TableRBCalcPts[[#This Row],[RBRef]],TableRBMaster[RBRef],0)),"")</f>
        <v>DAL</v>
      </c>
      <c r="L34" s="59">
        <f>IFERROR(INDEX(TableRBMaster[BYE],MATCH(TableRBCalcPts[[#This Row],[RBRef]],TableRBMaster[RBRef],0)),"")</f>
        <v>7</v>
      </c>
      <c r="M34" s="60">
        <f>IFERROR(INDEX(TableRBMaster[Custom],MATCH(TableRBCalcPts[[#This Row],[RBRef]],TableRBMaster[RBRef],0)),"")</f>
        <v>13.132523562740179</v>
      </c>
      <c r="O34" s="59">
        <f>IFERROR(RANK(TableWRCalcPts[[#This Row],[Custom]],TableWRCalcPts[Custom])+COUNTIF($T$3:T34,T34)-1,"")</f>
        <v>4</v>
      </c>
      <c r="P34" s="59">
        <v>32</v>
      </c>
      <c r="Q34" s="59" t="str">
        <f>IFERROR(INDEX(TableWRMaster[Player],MATCH(TableWRCalcPts[[#This Row],[WRRef]],TableWRMaster[WRRef],0)),"")</f>
        <v>Ja'Marr Chase</v>
      </c>
      <c r="R34" s="59" t="str">
        <f>IFERROR(INDEX(TableWRMaster[TM],MATCH(TableWRCalcPts[[#This Row],[WRRef]],TableWRMaster[WRRef],0)),"")</f>
        <v>CIN</v>
      </c>
      <c r="S34" s="59">
        <f>IFERROR(INDEX(TableWRMaster[BYE],MATCH(TableWRCalcPts[[#This Row],[WRRef]],TableWRMaster[WRRef],0)),"")</f>
        <v>12</v>
      </c>
      <c r="T34" s="60">
        <f>IFERROR(INDEX(TableWRMaster[Custom],MATCH(TableWRCalcPts[[#This Row],[WRRef]],TableWRMaster[WRRef],0)),"")</f>
        <v>242.69240708914157</v>
      </c>
      <c r="V34" s="59">
        <f>IFERROR(RANK(TableTECalcPts[[#This Row],[Custom]],TableTECalcPts[Custom])+COUNTIF($AA$3:AA34,AA34)-1,"")</f>
        <v>48</v>
      </c>
      <c r="W34" s="59">
        <v>32</v>
      </c>
      <c r="X34" s="59" t="str">
        <f>IFERROR(INDEX(TableTEMaster[Player],MATCH(TableTECalcPts[[#This Row],[TERef]],TableTEMaster[TERef],0)),"")</f>
        <v>Cade Stover</v>
      </c>
      <c r="Y34" s="59" t="str">
        <f>IFERROR(INDEX(TableTEMaster[TM],MATCH(TableTECalcPts[[#This Row],[TERef]],TableTEMaster[TERef],0)),"")</f>
        <v>HOU</v>
      </c>
      <c r="Z34" s="59">
        <f>IFERROR(INDEX(TableTEMaster[BYE],MATCH(TableTECalcPts[[#This Row],[TERef]],TableTEMaster[TERef],0)),"")</f>
        <v>14</v>
      </c>
      <c r="AA34" s="60">
        <f>IFERROR(INDEX(TableTEMaster[Custom],MATCH(TableTECalcPts[[#This Row],[TERef]],TableTEMaster[TERef],0)),"")</f>
        <v>32.672274321811308</v>
      </c>
      <c r="AC34" s="59">
        <f>IFERROR(RANK(TableDSTCalcPts[[#This Row],[Custom]],TableDSTCalcPts[Custom],0),"")</f>
        <v>17</v>
      </c>
      <c r="AD34" s="59">
        <v>32</v>
      </c>
      <c r="AE34" s="59" t="str">
        <f>IFERROR(INDEX(TableDSTMaster[Player],MATCH(TableDSTCalcPts[[#This Row],[DSTRef]],TableDSTMaster[DSTRef],0)),"")</f>
        <v>Washington Commanders</v>
      </c>
      <c r="AF34" s="59">
        <f>IFERROR(INDEX(TableDSTMaster[BYE],MATCH(TableDSTCalcPts[[#This Row],[DSTRef]],TableDSTMaster[DSTRef],0)),"")</f>
        <v>14</v>
      </c>
      <c r="AG34" s="60">
        <f>IFERROR(INDEX(TableDSTMaster[Custom],MATCH(TableDSTCalcPts[[#This Row],[DSTRef]],TableDSTMaster[DSTRef],0)),"")</f>
        <v>108.67500000000001</v>
      </c>
      <c r="AI34" s="59" t="s">
        <v>10</v>
      </c>
      <c r="AJ34" s="59">
        <f>IFERROR(RANK(TableWRTECalcPts[[#This Row],[Custom]],TableWRTECalcPts[Custom])+COUNTIF($AP$3:AP34,AP34)-1,"")</f>
        <v>167</v>
      </c>
      <c r="AK34" s="59">
        <v>32</v>
      </c>
      <c r="AL34" s="59" t="str">
        <f>IFERROR(INDEX(TableTEMaster[Player],MATCH(TableWRTECalcPts[[#This Row],[POSRef]],TableTEMaster[TERef],0)),"")</f>
        <v>Cade Stover</v>
      </c>
      <c r="AM34" s="59" t="str">
        <f>IFERROR(_xlfn.CONCAT(TableWRTECalcPts[[#This Row],[POS]],INDEX(TableTERanks[RK],MATCH(TableWRTECalcPts[[#This Row],[PLAYER]],TableTERanks[Player],0))),"")</f>
        <v>TE48</v>
      </c>
      <c r="AN34" s="59" t="str">
        <f>IFERROR(INDEX(TableTEMaster[TM],MATCH(TableWRTECalcPts[[#This Row],[POSRef]],TableTEMaster[TERef],0)),"")</f>
        <v>HOU</v>
      </c>
      <c r="AO34" s="59">
        <f>IFERROR(INDEX(TableTEMaster[BYE],MATCH(TableWRTECalcPts[[#This Row],[POSRef]],TableTEMaster[TERef],0)),"")</f>
        <v>14</v>
      </c>
      <c r="AP34" s="60">
        <f>IFERROR(INDEX(TableTEMaster[Custom],MATCH(TableWRTECalcPts[[#This Row],[POSRef]],TableTEMaster[TERef],0)),"")</f>
        <v>32.672274321811308</v>
      </c>
    </row>
    <row r="35" spans="1:42" x14ac:dyDescent="0.25">
      <c r="A35" s="61">
        <f>IFERROR(RANK(TableQBCalcPts[[#This Row],[Custom]],TableQBCalcPts[Custom])+COUNTIF($F$3:F35,F35)-1,"")</f>
        <v>23</v>
      </c>
      <c r="B35" s="59">
        <v>33</v>
      </c>
      <c r="C35" s="59" t="str">
        <f>IFERROR(INDEX(TableQBMaster[Player],MATCH(TableQBCalcPts[[#This Row],[QBRef]],TableQBMaster[QBRef],0)),"")</f>
        <v>Justin Herbert</v>
      </c>
      <c r="D35" s="59" t="str">
        <f>IFERROR(INDEX(TableQBMaster[TM],MATCH(TableQBCalcPts[[#This Row],[QBRef]],TableQBMaster[QBRef],0)),"")</f>
        <v>LAC</v>
      </c>
      <c r="E35" s="59">
        <f>IFERROR(INDEX(TableQBMaster[BYE],MATCH(TableQBCalcPts[[#This Row],[QBRef]],TableQBMaster[QBRef],0)),"")</f>
        <v>5</v>
      </c>
      <c r="F35" s="60">
        <f>IFERROR(INDEX(TableQBMaster[Custom],MATCH(TableQBCalcPts[[#This Row],[QBRef]],TableQBMaster[QBRef],0)),"")</f>
        <v>274.72016258724005</v>
      </c>
      <c r="H35" s="59">
        <f>IFERROR(RANK(TableRBCalcPts[[#This Row],[Custom]],TableRBCalcPts[Custom])+COUNTIF($M$3:M35,M35)-1,"")</f>
        <v>24</v>
      </c>
      <c r="I35" s="59">
        <v>33</v>
      </c>
      <c r="J35" s="59" t="str">
        <f>IFERROR(INDEX(TableRBMaster[Player],MATCH(TableRBCalcPts[[#This Row],[RBRef]],TableRBMaster[RBRef],0)),"")</f>
        <v>Javonte Williams</v>
      </c>
      <c r="K35" s="59" t="str">
        <f>IFERROR(INDEX(TableRBMaster[TM],MATCH(TableRBCalcPts[[#This Row],[RBRef]],TableRBMaster[RBRef],0)),"")</f>
        <v>DEN</v>
      </c>
      <c r="L35" s="59">
        <f>IFERROR(INDEX(TableRBMaster[BYE],MATCH(TableRBCalcPts[[#This Row],[RBRef]],TableRBMaster[RBRef],0)),"")</f>
        <v>14</v>
      </c>
      <c r="M35" s="60">
        <f>IFERROR(INDEX(TableRBMaster[Custom],MATCH(TableRBCalcPts[[#This Row],[RBRef]],TableRBMaster[RBRef],0)),"")</f>
        <v>179.90516382745326</v>
      </c>
      <c r="O35" s="59">
        <f>IFERROR(RANK(TableWRCalcPts[[#This Row],[Custom]],TableWRCalcPts[Custom])+COUNTIF($T$3:T35,T35)-1,"")</f>
        <v>15</v>
      </c>
      <c r="P35" s="59">
        <v>33</v>
      </c>
      <c r="Q35" s="59" t="str">
        <f>IFERROR(INDEX(TableWRMaster[Player],MATCH(TableWRCalcPts[[#This Row],[WRRef]],TableWRMaster[WRRef],0)),"")</f>
        <v>Tee Higgins</v>
      </c>
      <c r="R35" s="59" t="str">
        <f>IFERROR(INDEX(TableWRMaster[TM],MATCH(TableWRCalcPts[[#This Row],[WRRef]],TableWRMaster[WRRef],0)),"")</f>
        <v>CIN</v>
      </c>
      <c r="S35" s="59">
        <f>IFERROR(INDEX(TableWRMaster[BYE],MATCH(TableWRCalcPts[[#This Row],[WRRef]],TableWRMaster[WRRef],0)),"")</f>
        <v>12</v>
      </c>
      <c r="T35" s="60">
        <f>IFERROR(INDEX(TableWRMaster[Custom],MATCH(TableWRCalcPts[[#This Row],[WRRef]],TableWRMaster[WRRef],0)),"")</f>
        <v>204.30798894549793</v>
      </c>
      <c r="V35" s="59">
        <f>IFERROR(RANK(TableTECalcPts[[#This Row],[Custom]],TableTECalcPts[Custom])+COUNTIF($AA$3:AA35,AA35)-1,"")</f>
        <v>72</v>
      </c>
      <c r="W35" s="59">
        <v>33</v>
      </c>
      <c r="X35" s="59" t="str">
        <f>IFERROR(INDEX(TableTEMaster[Player],MATCH(TableTECalcPts[[#This Row],[TERef]],TableTEMaster[TERef],0)),"")</f>
        <v>Brevin Jordan</v>
      </c>
      <c r="Y35" s="59" t="str">
        <f>IFERROR(INDEX(TableTEMaster[TM],MATCH(TableTECalcPts[[#This Row],[TERef]],TableTEMaster[TERef],0)),"")</f>
        <v>HOU</v>
      </c>
      <c r="Z35" s="59">
        <f>IFERROR(INDEX(TableTEMaster[BYE],MATCH(TableTECalcPts[[#This Row],[TERef]],TableTEMaster[TERef],0)),"")</f>
        <v>14</v>
      </c>
      <c r="AA35" s="60">
        <f>IFERROR(INDEX(TableTEMaster[Custom],MATCH(TableTECalcPts[[#This Row],[TERef]],TableTEMaster[TERef],0)),"")</f>
        <v>8.445582617471997</v>
      </c>
      <c r="AF35" s="61"/>
      <c r="AG35" s="60"/>
      <c r="AI35" s="59" t="s">
        <v>10</v>
      </c>
      <c r="AJ35" s="59">
        <f>IFERROR(RANK(TableWRTECalcPts[[#This Row],[Custom]],TableWRTECalcPts[Custom])+COUNTIF($AP$3:AP35,AP35)-1,"")</f>
        <v>240</v>
      </c>
      <c r="AK35" s="59">
        <v>33</v>
      </c>
      <c r="AL35" s="59" t="str">
        <f>IFERROR(INDEX(TableTEMaster[Player],MATCH(TableWRTECalcPts[[#This Row],[POSRef]],TableTEMaster[TERef],0)),"")</f>
        <v>Brevin Jordan</v>
      </c>
      <c r="AM35" s="59" t="str">
        <f>IFERROR(_xlfn.CONCAT(TableWRTECalcPts[[#This Row],[POS]],INDEX(TableTERanks[RK],MATCH(TableWRTECalcPts[[#This Row],[PLAYER]],TableTERanks[Player],0))),"")</f>
        <v>TE72</v>
      </c>
      <c r="AN35" s="59" t="str">
        <f>IFERROR(INDEX(TableTEMaster[TM],MATCH(TableWRTECalcPts[[#This Row],[POSRef]],TableTEMaster[TERef],0)),"")</f>
        <v>HOU</v>
      </c>
      <c r="AO35" s="59">
        <f>IFERROR(INDEX(TableTEMaster[BYE],MATCH(TableWRTECalcPts[[#This Row],[POSRef]],TableTEMaster[TERef],0)),"")</f>
        <v>14</v>
      </c>
      <c r="AP35" s="60">
        <f>IFERROR(INDEX(TableTEMaster[Custom],MATCH(TableWRTECalcPts[[#This Row],[POSRef]],TableTEMaster[TERef],0)),"")</f>
        <v>8.445582617471997</v>
      </c>
    </row>
    <row r="36" spans="1:42" x14ac:dyDescent="0.25">
      <c r="A36" s="61">
        <f>IFERROR(RANK(TableQBCalcPts[[#This Row],[Custom]],TableQBCalcPts[Custom])+COUNTIF($F$3:F36,F36)-1,"")</f>
        <v>39</v>
      </c>
      <c r="B36" s="59">
        <v>34</v>
      </c>
      <c r="C36" s="59" t="str">
        <f>IFERROR(INDEX(TableQBMaster[Player],MATCH(TableQBCalcPts[[#This Row],[QBRef]],TableQBMaster[QBRef],0)),"")</f>
        <v>Easton Stick</v>
      </c>
      <c r="D36" s="59" t="str">
        <f>IFERROR(INDEX(TableQBMaster[TM],MATCH(TableQBCalcPts[[#This Row],[QBRef]],TableQBMaster[QBRef],0)),"")</f>
        <v>LAC</v>
      </c>
      <c r="E36" s="59">
        <f>IFERROR(INDEX(TableQBMaster[BYE],MATCH(TableQBCalcPts[[#This Row],[QBRef]],TableQBMaster[QBRef],0)),"")</f>
        <v>5</v>
      </c>
      <c r="F36" s="60">
        <f>IFERROR(INDEX(TableQBMaster[Custom],MATCH(TableQBCalcPts[[#This Row],[QBRef]],TableQBMaster[QBRef],0)),"")</f>
        <v>24.425186876458412</v>
      </c>
      <c r="H36" s="59">
        <f>IFERROR(RANK(TableRBCalcPts[[#This Row],[Custom]],TableRBCalcPts[Custom])+COUNTIF($M$3:M36,M36)-1,"")</f>
        <v>65</v>
      </c>
      <c r="I36" s="59">
        <v>34</v>
      </c>
      <c r="J36" s="59" t="str">
        <f>IFERROR(INDEX(TableRBMaster[Player],MATCH(TableRBCalcPts[[#This Row],[RBRef]],TableRBMaster[RBRef],0)),"")</f>
        <v>Audric Estime</v>
      </c>
      <c r="K36" s="59" t="str">
        <f>IFERROR(INDEX(TableRBMaster[TM],MATCH(TableRBCalcPts[[#This Row],[RBRef]],TableRBMaster[RBRef],0)),"")</f>
        <v>DEN</v>
      </c>
      <c r="L36" s="59">
        <f>IFERROR(INDEX(TableRBMaster[BYE],MATCH(TableRBCalcPts[[#This Row],[RBRef]],TableRBMaster[RBRef],0)),"")</f>
        <v>14</v>
      </c>
      <c r="M36" s="60">
        <f>IFERROR(INDEX(TableRBMaster[Custom],MATCH(TableRBCalcPts[[#This Row],[RBRef]],TableRBMaster[RBRef],0)),"")</f>
        <v>64.324957412268304</v>
      </c>
      <c r="O36" s="59">
        <f>IFERROR(RANK(TableWRCalcPts[[#This Row],[Custom]],TableWRCalcPts[Custom])+COUNTIF($T$3:T36,T36)-1,"")</f>
        <v>82</v>
      </c>
      <c r="P36" s="59">
        <v>34</v>
      </c>
      <c r="Q36" s="59" t="str">
        <f>IFERROR(INDEX(TableWRMaster[Player],MATCH(TableWRCalcPts[[#This Row],[WRRef]],TableWRMaster[WRRef],0)),"")</f>
        <v>Jermaine Burton</v>
      </c>
      <c r="R36" s="59" t="str">
        <f>IFERROR(INDEX(TableWRMaster[TM],MATCH(TableWRCalcPts[[#This Row],[WRRef]],TableWRMaster[WRRef],0)),"")</f>
        <v>CIN</v>
      </c>
      <c r="S36" s="59">
        <f>IFERROR(INDEX(TableWRMaster[BYE],MATCH(TableWRCalcPts[[#This Row],[WRRef]],TableWRMaster[WRRef],0)),"")</f>
        <v>12</v>
      </c>
      <c r="T36" s="60">
        <f>IFERROR(INDEX(TableWRMaster[Custom],MATCH(TableWRCalcPts[[#This Row],[WRRef]],TableWRMaster[WRRef],0)),"")</f>
        <v>100.29711087656065</v>
      </c>
      <c r="V36" s="59">
        <f>IFERROR(RANK(TableTECalcPts[[#This Row],[Custom]],TableTECalcPts[Custom])+COUNTIF($AA$3:AA36,AA36)-1,"")</f>
        <v>75</v>
      </c>
      <c r="W36" s="59">
        <v>34</v>
      </c>
      <c r="X36" s="59" t="str">
        <f>IFERROR(INDEX(TableTEMaster[Player],MATCH(TableTECalcPts[[#This Row],[TERef]],TableTEMaster[TERef],0)),"")</f>
        <v>Drew Ogletree</v>
      </c>
      <c r="Y36" s="59" t="str">
        <f>IFERROR(INDEX(TableTEMaster[TM],MATCH(TableTECalcPts[[#This Row],[TERef]],TableTEMaster[TERef],0)),"")</f>
        <v>IND</v>
      </c>
      <c r="Z36" s="59">
        <f>IFERROR(INDEX(TableTEMaster[BYE],MATCH(TableTECalcPts[[#This Row],[TERef]],TableTEMaster[TERef],0)),"")</f>
        <v>14</v>
      </c>
      <c r="AA36" s="60">
        <f>IFERROR(INDEX(TableTEMaster[Custom],MATCH(TableTECalcPts[[#This Row],[TERef]],TableTEMaster[TERef],0)),"")</f>
        <v>8.1134607937152001</v>
      </c>
      <c r="AI36" s="59" t="s">
        <v>10</v>
      </c>
      <c r="AJ36" s="59">
        <f>IFERROR(RANK(TableWRTECalcPts[[#This Row],[Custom]],TableWRTECalcPts[Custom])+COUNTIF($AP$3:AP36,AP36)-1,"")</f>
        <v>244</v>
      </c>
      <c r="AK36" s="59">
        <v>34</v>
      </c>
      <c r="AL36" s="59" t="str">
        <f>IFERROR(INDEX(TableTEMaster[Player],MATCH(TableWRTECalcPts[[#This Row],[POSRef]],TableTEMaster[TERef],0)),"")</f>
        <v>Drew Ogletree</v>
      </c>
      <c r="AM36" s="59" t="str">
        <f>IFERROR(_xlfn.CONCAT(TableWRTECalcPts[[#This Row],[POS]],INDEX(TableTERanks[RK],MATCH(TableWRTECalcPts[[#This Row],[PLAYER]],TableTERanks[Player],0))),"")</f>
        <v>TE75</v>
      </c>
      <c r="AN36" s="59" t="str">
        <f>IFERROR(INDEX(TableTEMaster[TM],MATCH(TableWRTECalcPts[[#This Row],[POSRef]],TableTEMaster[TERef],0)),"")</f>
        <v>IND</v>
      </c>
      <c r="AO36" s="59">
        <f>IFERROR(INDEX(TableTEMaster[BYE],MATCH(TableWRTECalcPts[[#This Row],[POSRef]],TableTEMaster[TERef],0)),"")</f>
        <v>14</v>
      </c>
      <c r="AP36" s="60">
        <f>IFERROR(INDEX(TableTEMaster[Custom],MATCH(TableWRTECalcPts[[#This Row],[POSRef]],TableTEMaster[TERef],0)),"")</f>
        <v>8.1134607937152001</v>
      </c>
    </row>
    <row r="37" spans="1:42" x14ac:dyDescent="0.25">
      <c r="A37" s="61">
        <f>IFERROR(RANK(TableQBCalcPts[[#This Row],[Custom]],TableQBCalcPts[Custom])+COUNTIF($F$3:F37,F37)-1,"")</f>
        <v>20</v>
      </c>
      <c r="B37" s="59">
        <v>35</v>
      </c>
      <c r="C37" s="59" t="str">
        <f>IFERROR(INDEX(TableQBMaster[Player],MATCH(TableQBCalcPts[[#This Row],[QBRef]],TableQBMaster[QBRef],0)),"")</f>
        <v>Matthew Stafford</v>
      </c>
      <c r="D37" s="59" t="str">
        <f>IFERROR(INDEX(TableQBMaster[TM],MATCH(TableQBCalcPts[[#This Row],[QBRef]],TableQBMaster[QBRef],0)),"")</f>
        <v>LAR</v>
      </c>
      <c r="E37" s="59">
        <f>IFERROR(INDEX(TableQBMaster[BYE],MATCH(TableQBCalcPts[[#This Row],[QBRef]],TableQBMaster[QBRef],0)),"")</f>
        <v>6</v>
      </c>
      <c r="F37" s="60">
        <f>IFERROR(INDEX(TableQBMaster[Custom],MATCH(TableQBCalcPts[[#This Row],[QBRef]],TableQBMaster[QBRef],0)),"")</f>
        <v>286.98529196689174</v>
      </c>
      <c r="H37" s="59">
        <f>IFERROR(RANK(TableRBCalcPts[[#This Row],[Custom]],TableRBCalcPts[Custom])+COUNTIF($M$3:M37,M37)-1,"")</f>
        <v>50</v>
      </c>
      <c r="I37" s="59">
        <v>35</v>
      </c>
      <c r="J37" s="59" t="str">
        <f>IFERROR(INDEX(TableRBMaster[Player],MATCH(TableRBCalcPts[[#This Row],[RBRef]],TableRBMaster[RBRef],0)),"")</f>
        <v>Jaleel McLaughlin</v>
      </c>
      <c r="K37" s="59" t="str">
        <f>IFERROR(INDEX(TableRBMaster[TM],MATCH(TableRBCalcPts[[#This Row],[RBRef]],TableRBMaster[RBRef],0)),"")</f>
        <v>DEN</v>
      </c>
      <c r="L37" s="59">
        <f>IFERROR(INDEX(TableRBMaster[BYE],MATCH(TableRBCalcPts[[#This Row],[RBRef]],TableRBMaster[RBRef],0)),"")</f>
        <v>14</v>
      </c>
      <c r="M37" s="60">
        <f>IFERROR(INDEX(TableRBMaster[Custom],MATCH(TableRBCalcPts[[#This Row],[RBRef]],TableRBMaster[RBRef],0)),"")</f>
        <v>101.96850811551907</v>
      </c>
      <c r="O37" s="59">
        <f>IFERROR(RANK(TableWRCalcPts[[#This Row],[Custom]],TableWRCalcPts[Custom])+COUNTIF($T$3:T37,T37)-1,"")</f>
        <v>81</v>
      </c>
      <c r="P37" s="59">
        <v>35</v>
      </c>
      <c r="Q37" s="59" t="str">
        <f>IFERROR(INDEX(TableWRMaster[Player],MATCH(TableWRCalcPts[[#This Row],[WRRef]],TableWRMaster[WRRef],0)),"")</f>
        <v>Andrei Iosivas</v>
      </c>
      <c r="R37" s="59" t="str">
        <f>IFERROR(INDEX(TableWRMaster[TM],MATCH(TableWRCalcPts[[#This Row],[WRRef]],TableWRMaster[WRRef],0)),"")</f>
        <v>CIN</v>
      </c>
      <c r="S37" s="59">
        <f>IFERROR(INDEX(TableWRMaster[BYE],MATCH(TableWRCalcPts[[#This Row],[WRRef]],TableWRMaster[WRRef],0)),"")</f>
        <v>12</v>
      </c>
      <c r="T37" s="60">
        <f>IFERROR(INDEX(TableWRMaster[Custom],MATCH(TableWRCalcPts[[#This Row],[WRRef]],TableWRMaster[WRRef],0)),"")</f>
        <v>100.65472719338064</v>
      </c>
      <c r="V37" s="59">
        <f>IFERROR(RANK(TableTECalcPts[[#This Row],[Custom]],TableTECalcPts[Custom])+COUNTIF($AA$3:AA37,AA37)-1,"")</f>
        <v>41</v>
      </c>
      <c r="W37" s="59">
        <v>35</v>
      </c>
      <c r="X37" s="59" t="str">
        <f>IFERROR(INDEX(TableTEMaster[Player],MATCH(TableTECalcPts[[#This Row],[TERef]],TableTEMaster[TERef],0)),"")</f>
        <v>Mo Alie-Cox</v>
      </c>
      <c r="Y37" s="59" t="str">
        <f>IFERROR(INDEX(TableTEMaster[TM],MATCH(TableTECalcPts[[#This Row],[TERef]],TableTEMaster[TERef],0)),"")</f>
        <v>IND</v>
      </c>
      <c r="Z37" s="59">
        <f>IFERROR(INDEX(TableTEMaster[BYE],MATCH(TableTECalcPts[[#This Row],[TERef]],TableTEMaster[TERef],0)),"")</f>
        <v>14</v>
      </c>
      <c r="AA37" s="60">
        <f>IFERROR(INDEX(TableTEMaster[Custom],MATCH(TableTECalcPts[[#This Row],[TERef]],TableTEMaster[TERef],0)),"")</f>
        <v>47.760272891565855</v>
      </c>
      <c r="AI37" s="59" t="s">
        <v>10</v>
      </c>
      <c r="AJ37" s="59">
        <f>IFERROR(RANK(TableWRTECalcPts[[#This Row],[Custom]],TableWRTECalcPts[Custom])+COUNTIF($AP$3:AP37,AP37)-1,"")</f>
        <v>150</v>
      </c>
      <c r="AK37" s="59">
        <v>35</v>
      </c>
      <c r="AL37" s="59" t="str">
        <f>IFERROR(INDEX(TableTEMaster[Player],MATCH(TableWRTECalcPts[[#This Row],[POSRef]],TableTEMaster[TERef],0)),"")</f>
        <v>Mo Alie-Cox</v>
      </c>
      <c r="AM37" s="59" t="str">
        <f>IFERROR(_xlfn.CONCAT(TableWRTECalcPts[[#This Row],[POS]],INDEX(TableTERanks[RK],MATCH(TableWRTECalcPts[[#This Row],[PLAYER]],TableTERanks[Player],0))),"")</f>
        <v>TE41</v>
      </c>
      <c r="AN37" s="59" t="str">
        <f>IFERROR(INDEX(TableTEMaster[TM],MATCH(TableWRTECalcPts[[#This Row],[POSRef]],TableTEMaster[TERef],0)),"")</f>
        <v>IND</v>
      </c>
      <c r="AO37" s="59">
        <f>IFERROR(INDEX(TableTEMaster[BYE],MATCH(TableWRTECalcPts[[#This Row],[POSRef]],TableTEMaster[TERef],0)),"")</f>
        <v>14</v>
      </c>
      <c r="AP37" s="60">
        <f>IFERROR(INDEX(TableTEMaster[Custom],MATCH(TableWRTECalcPts[[#This Row],[POSRef]],TableTEMaster[TERef],0)),"")</f>
        <v>47.760272891565855</v>
      </c>
    </row>
    <row r="38" spans="1:42" x14ac:dyDescent="0.25">
      <c r="A38" s="61">
        <f>IFERROR(RANK(TableQBCalcPts[[#This Row],[Custom]],TableQBCalcPts[Custom])+COUNTIF($F$3:F38,F38)-1,"")</f>
        <v>48</v>
      </c>
      <c r="B38" s="59">
        <v>36</v>
      </c>
      <c r="C38" s="59" t="str">
        <f>IFERROR(INDEX(TableQBMaster[Player],MATCH(TableQBCalcPts[[#This Row],[QBRef]],TableQBMaster[QBRef],0)),"")</f>
        <v>Jimmy Garoppolo</v>
      </c>
      <c r="D38" s="59" t="str">
        <f>IFERROR(INDEX(TableQBMaster[TM],MATCH(TableQBCalcPts[[#This Row],[QBRef]],TableQBMaster[QBRef],0)),"")</f>
        <v>LAR</v>
      </c>
      <c r="E38" s="59">
        <f>IFERROR(INDEX(TableQBMaster[BYE],MATCH(TableQBCalcPts[[#This Row],[QBRef]],TableQBMaster[QBRef],0)),"")</f>
        <v>6</v>
      </c>
      <c r="F38" s="60">
        <f>IFERROR(INDEX(TableQBMaster[Custom],MATCH(TableQBCalcPts[[#This Row],[QBRef]],TableQBMaster[QBRef],0)),"")</f>
        <v>11.151845668709123</v>
      </c>
      <c r="H38" s="59">
        <f>IFERROR(RANK(TableRBCalcPts[[#This Row],[Custom]],TableRBCalcPts[Custom])+COUNTIF($M$3:M38,M38)-1,"")</f>
        <v>11</v>
      </c>
      <c r="I38" s="59">
        <v>36</v>
      </c>
      <c r="J38" s="59" t="str">
        <f>IFERROR(INDEX(TableRBMaster[Player],MATCH(TableRBCalcPts[[#This Row],[RBRef]],TableRBMaster[RBRef],0)),"")</f>
        <v>Jahmyr Gibbs</v>
      </c>
      <c r="K38" s="59" t="str">
        <f>IFERROR(INDEX(TableRBMaster[TM],MATCH(TableRBCalcPts[[#This Row],[RBRef]],TableRBMaster[RBRef],0)),"")</f>
        <v>DET</v>
      </c>
      <c r="L38" s="59">
        <f>IFERROR(INDEX(TableRBMaster[BYE],MATCH(TableRBCalcPts[[#This Row],[RBRef]],TableRBMaster[RBRef],0)),"")</f>
        <v>5</v>
      </c>
      <c r="M38" s="60">
        <f>IFERROR(INDEX(TableRBMaster[Custom],MATCH(TableRBCalcPts[[#This Row],[RBRef]],TableRBMaster[RBRef],0)),"")</f>
        <v>211.62050926422344</v>
      </c>
      <c r="O38" s="59">
        <f>IFERROR(RANK(TableWRCalcPts[[#This Row],[Custom]],TableWRCalcPts[Custom])+COUNTIF($T$3:T38,T38)-1,"")</f>
        <v>169</v>
      </c>
      <c r="P38" s="59">
        <v>36</v>
      </c>
      <c r="Q38" s="59" t="str">
        <f>IFERROR(INDEX(TableWRMaster[Player],MATCH(TableWRCalcPts[[#This Row],[WRRef]],TableWRMaster[WRRef],0)),"")</f>
        <v>Charlie Jones</v>
      </c>
      <c r="R38" s="59" t="str">
        <f>IFERROR(INDEX(TableWRMaster[TM],MATCH(TableWRCalcPts[[#This Row],[WRRef]],TableWRMaster[WRRef],0)),"")</f>
        <v>CIN</v>
      </c>
      <c r="S38" s="59">
        <f>IFERROR(INDEX(TableWRMaster[BYE],MATCH(TableWRCalcPts[[#This Row],[WRRef]],TableWRMaster[WRRef],0)),"")</f>
        <v>12</v>
      </c>
      <c r="T38" s="60">
        <f>IFERROR(INDEX(TableWRMaster[Custom],MATCH(TableWRCalcPts[[#This Row],[WRRef]],TableWRMaster[WRRef],0)),"")</f>
        <v>8.4220852091870988</v>
      </c>
      <c r="V38" s="59">
        <f>IFERROR(RANK(TableTECalcPts[[#This Row],[Custom]],TableTECalcPts[Custom])+COUNTIF($AA$3:AA38,AA38)-1,"")</f>
        <v>39</v>
      </c>
      <c r="W38" s="59">
        <v>36</v>
      </c>
      <c r="X38" s="59" t="str">
        <f>IFERROR(INDEX(TableTEMaster[Player],MATCH(TableTECalcPts[[#This Row],[TERef]],TableTEMaster[TERef],0)),"")</f>
        <v>Kylen Granson</v>
      </c>
      <c r="Y38" s="59" t="str">
        <f>IFERROR(INDEX(TableTEMaster[TM],MATCH(TableTECalcPts[[#This Row],[TERef]],TableTEMaster[TERef],0)),"")</f>
        <v>IND</v>
      </c>
      <c r="Z38" s="59">
        <f>IFERROR(INDEX(TableTEMaster[BYE],MATCH(TableTECalcPts[[#This Row],[TERef]],TableTEMaster[TERef],0)),"")</f>
        <v>14</v>
      </c>
      <c r="AA38" s="60">
        <f>IFERROR(INDEX(TableTEMaster[Custom],MATCH(TableTECalcPts[[#This Row],[TERef]],TableTEMaster[TERef],0)),"")</f>
        <v>51.971771830712242</v>
      </c>
      <c r="AI38" s="59" t="s">
        <v>10</v>
      </c>
      <c r="AJ38" s="59">
        <f>IFERROR(RANK(TableWRTECalcPts[[#This Row],[Custom]],TableWRTECalcPts[Custom])+COUNTIF($AP$3:AP38,AP38)-1,"")</f>
        <v>145</v>
      </c>
      <c r="AK38" s="59">
        <v>36</v>
      </c>
      <c r="AL38" s="59" t="str">
        <f>IFERROR(INDEX(TableTEMaster[Player],MATCH(TableWRTECalcPts[[#This Row],[POSRef]],TableTEMaster[TERef],0)),"")</f>
        <v>Kylen Granson</v>
      </c>
      <c r="AM38" s="59" t="str">
        <f>IFERROR(_xlfn.CONCAT(TableWRTECalcPts[[#This Row],[POS]],INDEX(TableTERanks[RK],MATCH(TableWRTECalcPts[[#This Row],[PLAYER]],TableTERanks[Player],0))),"")</f>
        <v>TE39</v>
      </c>
      <c r="AN38" s="59" t="str">
        <f>IFERROR(INDEX(TableTEMaster[TM],MATCH(TableWRTECalcPts[[#This Row],[POSRef]],TableTEMaster[TERef],0)),"")</f>
        <v>IND</v>
      </c>
      <c r="AO38" s="59">
        <f>IFERROR(INDEX(TableTEMaster[BYE],MATCH(TableWRTECalcPts[[#This Row],[POSRef]],TableTEMaster[TERef],0)),"")</f>
        <v>14</v>
      </c>
      <c r="AP38" s="60">
        <f>IFERROR(INDEX(TableTEMaster[Custom],MATCH(TableWRTECalcPts[[#This Row],[POSRef]],TableTEMaster[TERef],0)),"")</f>
        <v>51.971771830712242</v>
      </c>
    </row>
    <row r="39" spans="1:42" x14ac:dyDescent="0.25">
      <c r="A39" s="61">
        <f>IFERROR(RANK(TableQBCalcPts[[#This Row],[Custom]],TableQBCalcPts[Custom])+COUNTIF($F$3:F39,F39)-1,"")</f>
        <v>32</v>
      </c>
      <c r="B39" s="59">
        <v>37</v>
      </c>
      <c r="C39" s="59" t="str">
        <f>IFERROR(INDEX(TableQBMaster[Player],MATCH(TableQBCalcPts[[#This Row],[QBRef]],TableQBMaster[QBRef],0)),"")</f>
        <v>Gardner Minshew</v>
      </c>
      <c r="D39" s="59" t="str">
        <f>IFERROR(INDEX(TableQBMaster[TM],MATCH(TableQBCalcPts[[#This Row],[QBRef]],TableQBMaster[QBRef],0)),"")</f>
        <v>LV</v>
      </c>
      <c r="E39" s="59">
        <f>IFERROR(INDEX(TableQBMaster[BYE],MATCH(TableQBCalcPts[[#This Row],[QBRef]],TableQBMaster[QBRef],0)),"")</f>
        <v>10</v>
      </c>
      <c r="F39" s="60">
        <f>IFERROR(INDEX(TableQBMaster[Custom],MATCH(TableQBCalcPts[[#This Row],[QBRef]],TableQBMaster[QBRef],0)),"")</f>
        <v>157.03372905387877</v>
      </c>
      <c r="H39" s="59">
        <f>IFERROR(RANK(TableRBCalcPts[[#This Row],[Custom]],TableRBCalcPts[Custom])+COUNTIF($M$3:M39,M39)-1,"")</f>
        <v>27</v>
      </c>
      <c r="I39" s="59">
        <v>37</v>
      </c>
      <c r="J39" s="59" t="str">
        <f>IFERROR(INDEX(TableRBMaster[Player],MATCH(TableRBCalcPts[[#This Row],[RBRef]],TableRBMaster[RBRef],0)),"")</f>
        <v>David Montgomery</v>
      </c>
      <c r="K39" s="59" t="str">
        <f>IFERROR(INDEX(TableRBMaster[TM],MATCH(TableRBCalcPts[[#This Row],[RBRef]],TableRBMaster[RBRef],0)),"")</f>
        <v>DET</v>
      </c>
      <c r="L39" s="59">
        <f>IFERROR(INDEX(TableRBMaster[BYE],MATCH(TableRBCalcPts[[#This Row],[RBRef]],TableRBMaster[RBRef],0)),"")</f>
        <v>5</v>
      </c>
      <c r="M39" s="60">
        <f>IFERROR(INDEX(TableRBMaster[Custom],MATCH(TableRBCalcPts[[#This Row],[RBRef]],TableRBMaster[RBRef],0)),"")</f>
        <v>175.52927230347515</v>
      </c>
      <c r="O39" s="59">
        <f>IFERROR(RANK(TableWRCalcPts[[#This Row],[Custom]],TableWRCalcPts[Custom])+COUNTIF($T$3:T39,T39)-1,"")</f>
        <v>29</v>
      </c>
      <c r="P39" s="59">
        <v>37</v>
      </c>
      <c r="Q39" s="59" t="str">
        <f>IFERROR(INDEX(TableWRMaster[Player],MATCH(TableWRCalcPts[[#This Row],[WRRef]],TableWRMaster[WRRef],0)),"")</f>
        <v>Amari Cooper</v>
      </c>
      <c r="R39" s="59" t="str">
        <f>IFERROR(INDEX(TableWRMaster[TM],MATCH(TableWRCalcPts[[#This Row],[WRRef]],TableWRMaster[WRRef],0)),"")</f>
        <v>CLE</v>
      </c>
      <c r="S39" s="59">
        <f>IFERROR(INDEX(TableWRMaster[BYE],MATCH(TableWRCalcPts[[#This Row],[WRRef]],TableWRMaster[WRRef],0)),"")</f>
        <v>10</v>
      </c>
      <c r="T39" s="60">
        <f>IFERROR(INDEX(TableWRMaster[Custom],MATCH(TableWRCalcPts[[#This Row],[WRRef]],TableWRMaster[WRRef],0)),"")</f>
        <v>183.56746715999992</v>
      </c>
      <c r="V39" s="59">
        <f>IFERROR(RANK(TableTECalcPts[[#This Row],[Custom]],TableTECalcPts[Custom])+COUNTIF($AA$3:AA39,AA39)-1,"")</f>
        <v>7</v>
      </c>
      <c r="W39" s="59">
        <v>37</v>
      </c>
      <c r="X39" s="59" t="str">
        <f>IFERROR(INDEX(TableTEMaster[Player],MATCH(TableTECalcPts[[#This Row],[TERef]],TableTEMaster[TERef],0)),"")</f>
        <v>Evan Engram</v>
      </c>
      <c r="Y39" s="59" t="str">
        <f>IFERROR(INDEX(TableTEMaster[TM],MATCH(TableTECalcPts[[#This Row],[TERef]],TableTEMaster[TERef],0)),"")</f>
        <v>JAX</v>
      </c>
      <c r="Z39" s="59">
        <f>IFERROR(INDEX(TableTEMaster[BYE],MATCH(TableTECalcPts[[#This Row],[TERef]],TableTEMaster[TERef],0)),"")</f>
        <v>12</v>
      </c>
      <c r="AA39" s="60">
        <f>IFERROR(INDEX(TableTEMaster[Custom],MATCH(TableTECalcPts[[#This Row],[TERef]],TableTEMaster[TERef],0)),"")</f>
        <v>162.13728753207036</v>
      </c>
      <c r="AI39" s="59" t="s">
        <v>10</v>
      </c>
      <c r="AJ39" s="59">
        <f>IFERROR(RANK(TableWRTECalcPts[[#This Row],[Custom]],TableWRTECalcPts[Custom])+COUNTIF($AP$3:AP39,AP39)-1,"")</f>
        <v>54</v>
      </c>
      <c r="AK39" s="59">
        <v>37</v>
      </c>
      <c r="AL39" s="59" t="str">
        <f>IFERROR(INDEX(TableTEMaster[Player],MATCH(TableWRTECalcPts[[#This Row],[POSRef]],TableTEMaster[TERef],0)),"")</f>
        <v>Evan Engram</v>
      </c>
      <c r="AM39" s="59" t="str">
        <f>IFERROR(_xlfn.CONCAT(TableWRTECalcPts[[#This Row],[POS]],INDEX(TableTERanks[RK],MATCH(TableWRTECalcPts[[#This Row],[PLAYER]],TableTERanks[Player],0))),"")</f>
        <v>TE7</v>
      </c>
      <c r="AN39" s="59" t="str">
        <f>IFERROR(INDEX(TableTEMaster[TM],MATCH(TableWRTECalcPts[[#This Row],[POSRef]],TableTEMaster[TERef],0)),"")</f>
        <v>JAX</v>
      </c>
      <c r="AO39" s="59">
        <f>IFERROR(INDEX(TableTEMaster[BYE],MATCH(TableWRTECalcPts[[#This Row],[POSRef]],TableTEMaster[TERef],0)),"")</f>
        <v>12</v>
      </c>
      <c r="AP39" s="60">
        <f>IFERROR(INDEX(TableTEMaster[Custom],MATCH(TableWRTECalcPts[[#This Row],[POSRef]],TableTEMaster[TERef],0)),"")</f>
        <v>162.13728753207036</v>
      </c>
    </row>
    <row r="40" spans="1:42" x14ac:dyDescent="0.25">
      <c r="A40" s="61">
        <f>IFERROR(RANK(TableQBCalcPts[[#This Row],[Custom]],TableQBCalcPts[Custom])+COUNTIF($F$3:F40,F40)-1,"")</f>
        <v>33</v>
      </c>
      <c r="B40" s="59">
        <v>38</v>
      </c>
      <c r="C40" s="59" t="str">
        <f>IFERROR(INDEX(TableQBMaster[Player],MATCH(TableQBCalcPts[[#This Row],[QBRef]],TableQBMaster[QBRef],0)),"")</f>
        <v>Aidan O'Connell</v>
      </c>
      <c r="D40" s="59" t="str">
        <f>IFERROR(INDEX(TableQBMaster[TM],MATCH(TableQBCalcPts[[#This Row],[QBRef]],TableQBMaster[QBRef],0)),"")</f>
        <v>LV</v>
      </c>
      <c r="E40" s="59">
        <f>IFERROR(INDEX(TableQBMaster[BYE],MATCH(TableQBCalcPts[[#This Row],[QBRef]],TableQBMaster[QBRef],0)),"")</f>
        <v>10</v>
      </c>
      <c r="F40" s="60">
        <f>IFERROR(INDEX(TableQBMaster[Custom],MATCH(TableQBCalcPts[[#This Row],[QBRef]],TableQBMaster[QBRef],0)),"")</f>
        <v>96.097259595861857</v>
      </c>
      <c r="H40" s="59">
        <f>IFERROR(RANK(TableRBCalcPts[[#This Row],[Custom]],TableRBCalcPts[Custom])+COUNTIF($M$3:M40,M40)-1,"")</f>
        <v>88</v>
      </c>
      <c r="I40" s="59">
        <v>38</v>
      </c>
      <c r="J40" s="59" t="str">
        <f>IFERROR(INDEX(TableRBMaster[Player],MATCH(TableRBCalcPts[[#This Row],[RBRef]],TableRBMaster[RBRef],0)),"")</f>
        <v>Craig Reynolds</v>
      </c>
      <c r="K40" s="59" t="str">
        <f>IFERROR(INDEX(TableRBMaster[TM],MATCH(TableRBCalcPts[[#This Row],[RBRef]],TableRBMaster[RBRef],0)),"")</f>
        <v>DET</v>
      </c>
      <c r="L40" s="59">
        <f>IFERROR(INDEX(TableRBMaster[BYE],MATCH(TableRBCalcPts[[#This Row],[RBRef]],TableRBMaster[RBRef],0)),"")</f>
        <v>5</v>
      </c>
      <c r="M40" s="60">
        <f>IFERROR(INDEX(TableRBMaster[Custom],MATCH(TableRBCalcPts[[#This Row],[RBRef]],TableRBMaster[RBRef],0)),"")</f>
        <v>19.745636094954225</v>
      </c>
      <c r="O40" s="59">
        <f>IFERROR(RANK(TableWRCalcPts[[#This Row],[Custom]],TableWRCalcPts[Custom])+COUNTIF($T$3:T40,T40)-1,"")</f>
        <v>68</v>
      </c>
      <c r="P40" s="59">
        <v>38</v>
      </c>
      <c r="Q40" s="59" t="str">
        <f>IFERROR(INDEX(TableWRMaster[Player],MATCH(TableWRCalcPts[[#This Row],[WRRef]],TableWRMaster[WRRef],0)),"")</f>
        <v>Jerry Jeudy</v>
      </c>
      <c r="R40" s="59" t="str">
        <f>IFERROR(INDEX(TableWRMaster[TM],MATCH(TableWRCalcPts[[#This Row],[WRRef]],TableWRMaster[WRRef],0)),"")</f>
        <v>CLE</v>
      </c>
      <c r="S40" s="59">
        <f>IFERROR(INDEX(TableWRMaster[BYE],MATCH(TableWRCalcPts[[#This Row],[WRRef]],TableWRMaster[WRRef],0)),"")</f>
        <v>10</v>
      </c>
      <c r="T40" s="60">
        <f>IFERROR(INDEX(TableWRMaster[Custom],MATCH(TableWRCalcPts[[#This Row],[WRRef]],TableWRMaster[WRRef],0)),"")</f>
        <v>119.45643086477995</v>
      </c>
      <c r="V40" s="59">
        <f>IFERROR(RANK(TableTECalcPts[[#This Row],[Custom]],TableTECalcPts[Custom])+COUNTIF($AA$3:AA40,AA40)-1,"")</f>
        <v>54</v>
      </c>
      <c r="W40" s="59">
        <v>38</v>
      </c>
      <c r="X40" s="59" t="str">
        <f>IFERROR(INDEX(TableTEMaster[Player],MATCH(TableTECalcPts[[#This Row],[TERef]],TableTEMaster[TERef],0)),"")</f>
        <v>Brenton Strange</v>
      </c>
      <c r="Y40" s="59" t="str">
        <f>IFERROR(INDEX(TableTEMaster[TM],MATCH(TableTECalcPts[[#This Row],[TERef]],TableTEMaster[TERef],0)),"")</f>
        <v>JAX</v>
      </c>
      <c r="Z40" s="59">
        <f>IFERROR(INDEX(TableTEMaster[BYE],MATCH(TableTECalcPts[[#This Row],[TERef]],TableTEMaster[TERef],0)),"")</f>
        <v>12</v>
      </c>
      <c r="AA40" s="60">
        <f>IFERROR(INDEX(TableTEMaster[Custom],MATCH(TableTECalcPts[[#This Row],[TERef]],TableTEMaster[TERef],0)),"")</f>
        <v>23.035335255416182</v>
      </c>
      <c r="AI40" s="59" t="s">
        <v>10</v>
      </c>
      <c r="AJ40" s="59">
        <f>IFERROR(RANK(TableWRTECalcPts[[#This Row],[Custom]],TableWRTECalcPts[Custom])+COUNTIF($AP$3:AP40,AP40)-1,"")</f>
        <v>186</v>
      </c>
      <c r="AK40" s="59">
        <v>38</v>
      </c>
      <c r="AL40" s="59" t="str">
        <f>IFERROR(INDEX(TableTEMaster[Player],MATCH(TableWRTECalcPts[[#This Row],[POSRef]],TableTEMaster[TERef],0)),"")</f>
        <v>Brenton Strange</v>
      </c>
      <c r="AM40" s="59" t="str">
        <f>IFERROR(_xlfn.CONCAT(TableWRTECalcPts[[#This Row],[POS]],INDEX(TableTERanks[RK],MATCH(TableWRTECalcPts[[#This Row],[PLAYER]],TableTERanks[Player],0))),"")</f>
        <v>TE54</v>
      </c>
      <c r="AN40" s="59" t="str">
        <f>IFERROR(INDEX(TableTEMaster[TM],MATCH(TableWRTECalcPts[[#This Row],[POSRef]],TableTEMaster[TERef],0)),"")</f>
        <v>JAX</v>
      </c>
      <c r="AO40" s="59">
        <f>IFERROR(INDEX(TableTEMaster[BYE],MATCH(TableWRTECalcPts[[#This Row],[POSRef]],TableTEMaster[TERef],0)),"")</f>
        <v>12</v>
      </c>
      <c r="AP40" s="60">
        <f>IFERROR(INDEX(TableTEMaster[Custom],MATCH(TableWRTECalcPts[[#This Row],[POSRef]],TableTEMaster[TERef],0)),"")</f>
        <v>23.035335255416182</v>
      </c>
    </row>
    <row r="41" spans="1:42" x14ac:dyDescent="0.25">
      <c r="A41" s="61">
        <f>IFERROR(RANK(TableQBCalcPts[[#This Row],[Custom]],TableQBCalcPts[Custom])+COUNTIF($F$3:F41,F41)-1,"")</f>
        <v>16</v>
      </c>
      <c r="B41" s="59">
        <v>39</v>
      </c>
      <c r="C41" s="59" t="str">
        <f>IFERROR(INDEX(TableQBMaster[Player],MATCH(TableQBCalcPts[[#This Row],[QBRef]],TableQBMaster[QBRef],0)),"")</f>
        <v>Tua Tagovailoa</v>
      </c>
      <c r="D41" s="59" t="str">
        <f>IFERROR(INDEX(TableQBMaster[TM],MATCH(TableQBCalcPts[[#This Row],[QBRef]],TableQBMaster[QBRef],0)),"")</f>
        <v>MIA</v>
      </c>
      <c r="E41" s="59">
        <f>IFERROR(INDEX(TableQBMaster[BYE],MATCH(TableQBCalcPts[[#This Row],[QBRef]],TableQBMaster[QBRef],0)),"")</f>
        <v>6</v>
      </c>
      <c r="F41" s="60">
        <f>IFERROR(INDEX(TableQBMaster[Custom],MATCH(TableQBCalcPts[[#This Row],[QBRef]],TableQBMaster[QBRef],0)),"")</f>
        <v>298.29362645876625</v>
      </c>
      <c r="H41" s="59">
        <f>IFERROR(RANK(TableRBCalcPts[[#This Row],[Custom]],TableRBCalcPts[Custom])+COUNTIF($M$3:M41,M41)-1,"")</f>
        <v>9</v>
      </c>
      <c r="I41" s="59">
        <v>39</v>
      </c>
      <c r="J41" s="59" t="str">
        <f>IFERROR(INDEX(TableRBMaster[Player],MATCH(TableRBCalcPts[[#This Row],[RBRef]],TableRBMaster[RBRef],0)),"")</f>
        <v>Josh Jacobs</v>
      </c>
      <c r="K41" s="59" t="str">
        <f>IFERROR(INDEX(TableRBMaster[TM],MATCH(TableRBCalcPts[[#This Row],[RBRef]],TableRBMaster[RBRef],0)),"")</f>
        <v>GB</v>
      </c>
      <c r="L41" s="59">
        <f>IFERROR(INDEX(TableRBMaster[BYE],MATCH(TableRBCalcPts[[#This Row],[RBRef]],TableRBMaster[RBRef],0)),"")</f>
        <v>10</v>
      </c>
      <c r="M41" s="60">
        <f>IFERROR(INDEX(TableRBMaster[Custom],MATCH(TableRBCalcPts[[#This Row],[RBRef]],TableRBMaster[RBRef],0)),"")</f>
        <v>214.24072523951244</v>
      </c>
      <c r="O41" s="59">
        <f>IFERROR(RANK(TableWRCalcPts[[#This Row],[Custom]],TableWRCalcPts[Custom])+COUNTIF($T$3:T41,T41)-1,"")</f>
        <v>78</v>
      </c>
      <c r="P41" s="59">
        <v>39</v>
      </c>
      <c r="Q41" s="59" t="str">
        <f>IFERROR(INDEX(TableWRMaster[Player],MATCH(TableWRCalcPts[[#This Row],[WRRef]],TableWRMaster[WRRef],0)),"")</f>
        <v>Elijah Moore</v>
      </c>
      <c r="R41" s="59" t="str">
        <f>IFERROR(INDEX(TableWRMaster[TM],MATCH(TableWRCalcPts[[#This Row],[WRRef]],TableWRMaster[WRRef],0)),"")</f>
        <v>CLE</v>
      </c>
      <c r="S41" s="59">
        <f>IFERROR(INDEX(TableWRMaster[BYE],MATCH(TableWRCalcPts[[#This Row],[WRRef]],TableWRMaster[WRRef],0)),"")</f>
        <v>10</v>
      </c>
      <c r="T41" s="60">
        <f>IFERROR(INDEX(TableWRMaster[Custom],MATCH(TableWRCalcPts[[#This Row],[WRRef]],TableWRMaster[WRRef],0)),"")</f>
        <v>102.86910659024997</v>
      </c>
      <c r="V41" s="59">
        <f>IFERROR(RANK(TableTECalcPts[[#This Row],[Custom]],TableTECalcPts[Custom])+COUNTIF($AA$3:AA41,AA41)-1,"")</f>
        <v>67</v>
      </c>
      <c r="W41" s="59">
        <v>39</v>
      </c>
      <c r="X41" s="59" t="str">
        <f>IFERROR(INDEX(TableTEMaster[Player],MATCH(TableTECalcPts[[#This Row],[TERef]],TableTEMaster[TERef],0)),"")</f>
        <v>Luke Farrell</v>
      </c>
      <c r="Y41" s="59" t="str">
        <f>IFERROR(INDEX(TableTEMaster[TM],MATCH(TableTECalcPts[[#This Row],[TERef]],TableTEMaster[TERef],0)),"")</f>
        <v>JAX</v>
      </c>
      <c r="Z41" s="59">
        <f>IFERROR(INDEX(TableTEMaster[BYE],MATCH(TableTECalcPts[[#This Row],[TERef]],TableTEMaster[TERef],0)),"")</f>
        <v>12</v>
      </c>
      <c r="AA41" s="60">
        <f>IFERROR(INDEX(TableTEMaster[Custom],MATCH(TableTECalcPts[[#This Row],[TERef]],TableTEMaster[TERef],0)),"")</f>
        <v>11.845446054100696</v>
      </c>
      <c r="AI41" s="59" t="s">
        <v>10</v>
      </c>
      <c r="AJ41" s="59">
        <f>IFERROR(RANK(TableWRTECalcPts[[#This Row],[Custom]],TableWRTECalcPts[Custom])+COUNTIF($AP$3:AP41,AP41)-1,"")</f>
        <v>224</v>
      </c>
      <c r="AK41" s="59">
        <v>39</v>
      </c>
      <c r="AL41" s="59" t="str">
        <f>IFERROR(INDEX(TableTEMaster[Player],MATCH(TableWRTECalcPts[[#This Row],[POSRef]],TableTEMaster[TERef],0)),"")</f>
        <v>Luke Farrell</v>
      </c>
      <c r="AM41" s="59" t="str">
        <f>IFERROR(_xlfn.CONCAT(TableWRTECalcPts[[#This Row],[POS]],INDEX(TableTERanks[RK],MATCH(TableWRTECalcPts[[#This Row],[PLAYER]],TableTERanks[Player],0))),"")</f>
        <v>TE67</v>
      </c>
      <c r="AN41" s="59" t="str">
        <f>IFERROR(INDEX(TableTEMaster[TM],MATCH(TableWRTECalcPts[[#This Row],[POSRef]],TableTEMaster[TERef],0)),"")</f>
        <v>JAX</v>
      </c>
      <c r="AO41" s="59">
        <f>IFERROR(INDEX(TableTEMaster[BYE],MATCH(TableWRTECalcPts[[#This Row],[POSRef]],TableTEMaster[TERef],0)),"")</f>
        <v>12</v>
      </c>
      <c r="AP41" s="60">
        <f>IFERROR(INDEX(TableTEMaster[Custom],MATCH(TableWRTECalcPts[[#This Row],[POSRef]],TableTEMaster[TERef],0)),"")</f>
        <v>11.845446054100696</v>
      </c>
    </row>
    <row r="42" spans="1:42" x14ac:dyDescent="0.25">
      <c r="A42" s="61">
        <f>IFERROR(RANK(TableQBCalcPts[[#This Row],[Custom]],TableQBCalcPts[Custom])+COUNTIF($F$3:F42,F42)-1,"")</f>
        <v>50</v>
      </c>
      <c r="B42" s="59">
        <v>40</v>
      </c>
      <c r="C42" s="59" t="str">
        <f>IFERROR(INDEX(TableQBMaster[Player],MATCH(TableQBCalcPts[[#This Row],[QBRef]],TableQBMaster[QBRef],0)),"")</f>
        <v>Mike White</v>
      </c>
      <c r="D42" s="59" t="str">
        <f>IFERROR(INDEX(TableQBMaster[TM],MATCH(TableQBCalcPts[[#This Row],[QBRef]],TableQBMaster[QBRef],0)),"")</f>
        <v>MIA</v>
      </c>
      <c r="E42" s="59">
        <f>IFERROR(INDEX(TableQBMaster[BYE],MATCH(TableQBCalcPts[[#This Row],[QBRef]],TableQBMaster[QBRef],0)),"")</f>
        <v>6</v>
      </c>
      <c r="F42" s="60">
        <f>IFERROR(INDEX(TableQBMaster[Custom],MATCH(TableQBCalcPts[[#This Row],[QBRef]],TableQBMaster[QBRef],0)),"")</f>
        <v>6.8101210808395845</v>
      </c>
      <c r="H42" s="59">
        <f>IFERROR(RANK(TableRBCalcPts[[#This Row],[Custom]],TableRBCalcPts[Custom])+COUNTIF($M$3:M42,M42)-1,"")</f>
        <v>94</v>
      </c>
      <c r="I42" s="59">
        <v>40</v>
      </c>
      <c r="J42" s="59" t="str">
        <f>IFERROR(INDEX(TableRBMaster[Player],MATCH(TableRBCalcPts[[#This Row],[RBRef]],TableRBMaster[RBRef],0)),"")</f>
        <v>Emanuel Wilson</v>
      </c>
      <c r="K42" s="59" t="str">
        <f>IFERROR(INDEX(TableRBMaster[TM],MATCH(TableRBCalcPts[[#This Row],[RBRef]],TableRBMaster[RBRef],0)),"")</f>
        <v>GB</v>
      </c>
      <c r="L42" s="59">
        <f>IFERROR(INDEX(TableRBMaster[BYE],MATCH(TableRBCalcPts[[#This Row],[RBRef]],TableRBMaster[RBRef],0)),"")</f>
        <v>10</v>
      </c>
      <c r="M42" s="60">
        <f>IFERROR(INDEX(TableRBMaster[Custom],MATCH(TableRBCalcPts[[#This Row],[RBRef]],TableRBMaster[RBRef],0)),"")</f>
        <v>14.378845048288003</v>
      </c>
      <c r="O42" s="59">
        <f>IFERROR(RANK(TableWRCalcPts[[#This Row],[Custom]],TableWRCalcPts[Custom])+COUNTIF($T$3:T42,T42)-1,"")</f>
        <v>113</v>
      </c>
      <c r="P42" s="59">
        <v>40</v>
      </c>
      <c r="Q42" s="59" t="str">
        <f>IFERROR(INDEX(TableWRMaster[Player],MATCH(TableWRCalcPts[[#This Row],[WRRef]],TableWRMaster[WRRef],0)),"")</f>
        <v>Cedric Tillman</v>
      </c>
      <c r="R42" s="59" t="str">
        <f>IFERROR(INDEX(TableWRMaster[TM],MATCH(TableWRCalcPts[[#This Row],[WRRef]],TableWRMaster[WRRef],0)),"")</f>
        <v>CLE</v>
      </c>
      <c r="S42" s="59">
        <f>IFERROR(INDEX(TableWRMaster[BYE],MATCH(TableWRCalcPts[[#This Row],[WRRef]],TableWRMaster[WRRef],0)),"")</f>
        <v>10</v>
      </c>
      <c r="T42" s="60">
        <f>IFERROR(INDEX(TableWRMaster[Custom],MATCH(TableWRCalcPts[[#This Row],[WRRef]],TableWRMaster[WRRef],0)),"")</f>
        <v>42.801082616668182</v>
      </c>
      <c r="V42" s="59">
        <f>IFERROR(RANK(TableTECalcPts[[#This Row],[Custom]],TableTECalcPts[Custom])+COUNTIF($AA$3:AA42,AA42)-1,"")</f>
        <v>1</v>
      </c>
      <c r="W42" s="59">
        <v>40</v>
      </c>
      <c r="X42" s="59" t="str">
        <f>IFERROR(INDEX(TableTEMaster[Player],MATCH(TableTECalcPts[[#This Row],[TERef]],TableTEMaster[TERef],0)),"")</f>
        <v>Travis Kelce</v>
      </c>
      <c r="Y42" s="59" t="str">
        <f>IFERROR(INDEX(TableTEMaster[TM],MATCH(TableTECalcPts[[#This Row],[TERef]],TableTEMaster[TERef],0)),"")</f>
        <v>KC</v>
      </c>
      <c r="Z42" s="59">
        <f>IFERROR(INDEX(TableTEMaster[BYE],MATCH(TableTECalcPts[[#This Row],[TERef]],TableTEMaster[TERef],0)),"")</f>
        <v>6</v>
      </c>
      <c r="AA42" s="60">
        <f>IFERROR(INDEX(TableTEMaster[Custom],MATCH(TableTECalcPts[[#This Row],[TERef]],TableTEMaster[TERef],0)),"")</f>
        <v>200.94815106912</v>
      </c>
      <c r="AI42" s="59" t="s">
        <v>10</v>
      </c>
      <c r="AJ42" s="59">
        <f>IFERROR(RANK(TableWRTECalcPts[[#This Row],[Custom]],TableWRTECalcPts[Custom])+COUNTIF($AP$3:AP42,AP42)-1,"")</f>
        <v>16</v>
      </c>
      <c r="AK42" s="59">
        <v>40</v>
      </c>
      <c r="AL42" s="59" t="str">
        <f>IFERROR(INDEX(TableTEMaster[Player],MATCH(TableWRTECalcPts[[#This Row],[POSRef]],TableTEMaster[TERef],0)),"")</f>
        <v>Travis Kelce</v>
      </c>
      <c r="AM42" s="59" t="str">
        <f>IFERROR(_xlfn.CONCAT(TableWRTECalcPts[[#This Row],[POS]],INDEX(TableTERanks[RK],MATCH(TableWRTECalcPts[[#This Row],[PLAYER]],TableTERanks[Player],0))),"")</f>
        <v>TE1</v>
      </c>
      <c r="AN42" s="59" t="str">
        <f>IFERROR(INDEX(TableTEMaster[TM],MATCH(TableWRTECalcPts[[#This Row],[POSRef]],TableTEMaster[TERef],0)),"")</f>
        <v>KC</v>
      </c>
      <c r="AO42" s="59">
        <f>IFERROR(INDEX(TableTEMaster[BYE],MATCH(TableWRTECalcPts[[#This Row],[POSRef]],TableTEMaster[TERef],0)),"")</f>
        <v>6</v>
      </c>
      <c r="AP42" s="60">
        <f>IFERROR(INDEX(TableTEMaster[Custom],MATCH(TableWRTECalcPts[[#This Row],[POSRef]],TableTEMaster[TERef],0)),"")</f>
        <v>200.94815106912</v>
      </c>
    </row>
    <row r="43" spans="1:42" x14ac:dyDescent="0.25">
      <c r="A43" s="61">
        <f>IFERROR(RANK(TableQBCalcPts[[#This Row],[Custom]],TableQBCalcPts[Custom])+COUNTIF($F$3:F43,F43)-1,"")</f>
        <v>27</v>
      </c>
      <c r="B43" s="59">
        <v>41</v>
      </c>
      <c r="C43" s="59" t="str">
        <f>IFERROR(INDEX(TableQBMaster[Player],MATCH(TableQBCalcPts[[#This Row],[QBRef]],TableQBMaster[QBRef],0)),"")</f>
        <v>Sam Darnold</v>
      </c>
      <c r="D43" s="59" t="str">
        <f>IFERROR(INDEX(TableQBMaster[TM],MATCH(TableQBCalcPts[[#This Row],[QBRef]],TableQBMaster[QBRef],0)),"")</f>
        <v>MIN</v>
      </c>
      <c r="E43" s="59">
        <f>IFERROR(INDEX(TableQBMaster[BYE],MATCH(TableQBCalcPts[[#This Row],[QBRef]],TableQBMaster[QBRef],0)),"")</f>
        <v>6</v>
      </c>
      <c r="F43" s="60">
        <f>IFERROR(INDEX(TableQBMaster[Custom],MATCH(TableQBCalcPts[[#This Row],[QBRef]],TableQBMaster[QBRef],0)),"")</f>
        <v>258.71409293844147</v>
      </c>
      <c r="H43" s="59">
        <f>IFERROR(RANK(TableRBCalcPts[[#This Row],[Custom]],TableRBCalcPts[Custom])+COUNTIF($M$3:M43,M43)-1,"")</f>
        <v>52</v>
      </c>
      <c r="I43" s="59">
        <v>41</v>
      </c>
      <c r="J43" s="59" t="str">
        <f>IFERROR(INDEX(TableRBMaster[Player],MATCH(TableRBCalcPts[[#This Row],[RBRef]],TableRBMaster[RBRef],0)),"")</f>
        <v>MarShawn Lloyd</v>
      </c>
      <c r="K43" s="59" t="str">
        <f>IFERROR(INDEX(TableRBMaster[TM],MATCH(TableRBCalcPts[[#This Row],[RBRef]],TableRBMaster[RBRef],0)),"")</f>
        <v>GB</v>
      </c>
      <c r="L43" s="59">
        <f>IFERROR(INDEX(TableRBMaster[BYE],MATCH(TableRBCalcPts[[#This Row],[RBRef]],TableRBMaster[RBRef],0)),"")</f>
        <v>10</v>
      </c>
      <c r="M43" s="60">
        <f>IFERROR(INDEX(TableRBMaster[Custom],MATCH(TableRBCalcPts[[#This Row],[RBRef]],TableRBMaster[RBRef],0)),"")</f>
        <v>96.388395498843764</v>
      </c>
      <c r="O43" s="59">
        <f>IFERROR(RANK(TableWRCalcPts[[#This Row],[Custom]],TableWRCalcPts[Custom])+COUNTIF($T$3:T43,T43)-1,"")</f>
        <v>159</v>
      </c>
      <c r="P43" s="59">
        <v>41</v>
      </c>
      <c r="Q43" s="59" t="str">
        <f>IFERROR(INDEX(TableWRMaster[Player],MATCH(TableWRCalcPts[[#This Row],[WRRef]],TableWRMaster[WRRef],0)),"")</f>
        <v>Jamari Thrash</v>
      </c>
      <c r="R43" s="59" t="str">
        <f>IFERROR(INDEX(TableWRMaster[TM],MATCH(TableWRCalcPts[[#This Row],[WRRef]],TableWRMaster[WRRef],0)),"")</f>
        <v>CLE</v>
      </c>
      <c r="S43" s="59">
        <f>IFERROR(INDEX(TableWRMaster[BYE],MATCH(TableWRCalcPts[[#This Row],[WRRef]],TableWRMaster[WRRef],0)),"")</f>
        <v>10</v>
      </c>
      <c r="T43" s="60">
        <f>IFERROR(INDEX(TableWRMaster[Custom],MATCH(TableWRCalcPts[[#This Row],[WRRef]],TableWRMaster[WRRef],0)),"")</f>
        <v>11.41575617028</v>
      </c>
      <c r="V43" s="59">
        <f>IFERROR(RANK(TableTECalcPts[[#This Row],[Custom]],TableTECalcPts[Custom])+COUNTIF($AA$3:AA43,AA43)-1,"")</f>
        <v>51</v>
      </c>
      <c r="W43" s="59">
        <v>41</v>
      </c>
      <c r="X43" s="59" t="str">
        <f>IFERROR(INDEX(TableTEMaster[Player],MATCH(TableTECalcPts[[#This Row],[TERef]],TableTEMaster[TERef],0)),"")</f>
        <v>Jared Wiley</v>
      </c>
      <c r="Y43" s="59" t="str">
        <f>IFERROR(INDEX(TableTEMaster[TM],MATCH(TableTECalcPts[[#This Row],[TERef]],TableTEMaster[TERef],0)),"")</f>
        <v>KC</v>
      </c>
      <c r="Z43" s="59">
        <f>IFERROR(INDEX(TableTEMaster[BYE],MATCH(TableTECalcPts[[#This Row],[TERef]],TableTEMaster[TERef],0)),"")</f>
        <v>6</v>
      </c>
      <c r="AA43" s="60">
        <f>IFERROR(INDEX(TableTEMaster[Custom],MATCH(TableTECalcPts[[#This Row],[TERef]],TableTEMaster[TERef],0)),"")</f>
        <v>25.838048037454413</v>
      </c>
      <c r="AI43" s="59" t="s">
        <v>10</v>
      </c>
      <c r="AJ43" s="59">
        <f>IFERROR(RANK(TableWRTECalcPts[[#This Row],[Custom]],TableWRTECalcPts[Custom])+COUNTIF($AP$3:AP43,AP43)-1,"")</f>
        <v>179</v>
      </c>
      <c r="AK43" s="59">
        <v>41</v>
      </c>
      <c r="AL43" s="59" t="str">
        <f>IFERROR(INDEX(TableTEMaster[Player],MATCH(TableWRTECalcPts[[#This Row],[POSRef]],TableTEMaster[TERef],0)),"")</f>
        <v>Jared Wiley</v>
      </c>
      <c r="AM43" s="59" t="str">
        <f>IFERROR(_xlfn.CONCAT(TableWRTECalcPts[[#This Row],[POS]],INDEX(TableTERanks[RK],MATCH(TableWRTECalcPts[[#This Row],[PLAYER]],TableTERanks[Player],0))),"")</f>
        <v>TE51</v>
      </c>
      <c r="AN43" s="59" t="str">
        <f>IFERROR(INDEX(TableTEMaster[TM],MATCH(TableWRTECalcPts[[#This Row],[POSRef]],TableTEMaster[TERef],0)),"")</f>
        <v>KC</v>
      </c>
      <c r="AO43" s="59">
        <f>IFERROR(INDEX(TableTEMaster[BYE],MATCH(TableWRTECalcPts[[#This Row],[POSRef]],TableTEMaster[TERef],0)),"")</f>
        <v>6</v>
      </c>
      <c r="AP43" s="60">
        <f>IFERROR(INDEX(TableTEMaster[Custom],MATCH(TableWRTECalcPts[[#This Row],[POSRef]],TableTEMaster[TERef],0)),"")</f>
        <v>25.838048037454413</v>
      </c>
    </row>
    <row r="44" spans="1:42" x14ac:dyDescent="0.25">
      <c r="A44" s="61">
        <f>IFERROR(RANK(TableQBCalcPts[[#This Row],[Custom]],TableQBCalcPts[Custom])+COUNTIF($F$3:F44,F44)-1,"")</f>
        <v>37</v>
      </c>
      <c r="B44" s="59">
        <v>42</v>
      </c>
      <c r="C44" s="59" t="str">
        <f>IFERROR(INDEX(TableQBMaster[Player],MATCH(TableQBCalcPts[[#This Row],[QBRef]],TableQBMaster[QBRef],0)),"")</f>
        <v>Nick Mullens</v>
      </c>
      <c r="D44" s="59" t="str">
        <f>IFERROR(INDEX(TableQBMaster[TM],MATCH(TableQBCalcPts[[#This Row],[QBRef]],TableQBMaster[QBRef],0)),"")</f>
        <v>MIN</v>
      </c>
      <c r="E44" s="59">
        <f>IFERROR(INDEX(TableQBMaster[BYE],MATCH(TableQBCalcPts[[#This Row],[QBRef]],TableQBMaster[QBRef],0)),"")</f>
        <v>6</v>
      </c>
      <c r="F44" s="60">
        <f>IFERROR(INDEX(TableQBMaster[Custom],MATCH(TableQBCalcPts[[#This Row],[QBRef]],TableQBMaster[QBRef],0)),"")</f>
        <v>33.390141439999994</v>
      </c>
      <c r="H44" s="59">
        <f>IFERROR(RANK(TableRBCalcPts[[#This Row],[Custom]],TableRBCalcPts[Custom])+COUNTIF($M$3:M44,M44)-1,"")</f>
        <v>7</v>
      </c>
      <c r="I44" s="59">
        <v>42</v>
      </c>
      <c r="J44" s="59" t="str">
        <f>IFERROR(INDEX(TableRBMaster[Player],MATCH(TableRBCalcPts[[#This Row],[RBRef]],TableRBMaster[RBRef],0)),"")</f>
        <v>Joe Mixon</v>
      </c>
      <c r="K44" s="59" t="str">
        <f>IFERROR(INDEX(TableRBMaster[TM],MATCH(TableRBCalcPts[[#This Row],[RBRef]],TableRBMaster[RBRef],0)),"")</f>
        <v>HOU</v>
      </c>
      <c r="L44" s="59">
        <f>IFERROR(INDEX(TableRBMaster[BYE],MATCH(TableRBCalcPts[[#This Row],[RBRef]],TableRBMaster[RBRef],0)),"")</f>
        <v>14</v>
      </c>
      <c r="M44" s="60">
        <f>IFERROR(INDEX(TableRBMaster[Custom],MATCH(TableRBCalcPts[[#This Row],[RBRef]],TableRBMaster[RBRef],0)),"")</f>
        <v>221.58915310275702</v>
      </c>
      <c r="O44" s="59">
        <f>IFERROR(RANK(TableWRCalcPts[[#This Row],[Custom]],TableWRCalcPts[Custom])+COUNTIF($T$3:T44,T44)-1,"")</f>
        <v>175</v>
      </c>
      <c r="P44" s="59">
        <v>42</v>
      </c>
      <c r="Q44" s="59" t="str">
        <f>IFERROR(INDEX(TableWRMaster[Player],MATCH(TableWRCalcPts[[#This Row],[WRRef]],TableWRMaster[WRRef],0)),"")</f>
        <v>David Bell</v>
      </c>
      <c r="R44" s="59" t="str">
        <f>IFERROR(INDEX(TableWRMaster[TM],MATCH(TableWRCalcPts[[#This Row],[WRRef]],TableWRMaster[WRRef],0)),"")</f>
        <v>CLE</v>
      </c>
      <c r="S44" s="59">
        <f>IFERROR(INDEX(TableWRMaster[BYE],MATCH(TableWRCalcPts[[#This Row],[WRRef]],TableWRMaster[WRRef],0)),"")</f>
        <v>10</v>
      </c>
      <c r="T44" s="60">
        <f>IFERROR(INDEX(TableWRMaster[Custom],MATCH(TableWRCalcPts[[#This Row],[WRRef]],TableWRMaster[WRRef],0)),"")</f>
        <v>6.426609524515027</v>
      </c>
      <c r="V44" s="59">
        <f>IFERROR(RANK(TableTECalcPts[[#This Row],[Custom]],TableTECalcPts[Custom])+COUNTIF($AA$3:AA44,AA44)-1,"")</f>
        <v>40</v>
      </c>
      <c r="W44" s="59">
        <v>42</v>
      </c>
      <c r="X44" s="59" t="str">
        <f>IFERROR(INDEX(TableTEMaster[Player],MATCH(TableTECalcPts[[#This Row],[TERef]],TableTEMaster[TERef],0)),"")</f>
        <v>Will Dissly</v>
      </c>
      <c r="Y44" s="59" t="str">
        <f>IFERROR(INDEX(TableTEMaster[TM],MATCH(TableTECalcPts[[#This Row],[TERef]],TableTEMaster[TERef],0)),"")</f>
        <v>LAC</v>
      </c>
      <c r="Z44" s="59">
        <f>IFERROR(INDEX(TableTEMaster[BYE],MATCH(TableTECalcPts[[#This Row],[TERef]],TableTEMaster[TERef],0)),"")</f>
        <v>5</v>
      </c>
      <c r="AA44" s="60">
        <f>IFERROR(INDEX(TableTEMaster[Custom],MATCH(TableTECalcPts[[#This Row],[TERef]],TableTEMaster[TERef],0)),"")</f>
        <v>51.886490271348435</v>
      </c>
      <c r="AI44" s="59" t="s">
        <v>10</v>
      </c>
      <c r="AJ44" s="59">
        <f>IFERROR(RANK(TableWRTECalcPts[[#This Row],[Custom]],TableWRTECalcPts[Custom])+COUNTIF($AP$3:AP44,AP44)-1,"")</f>
        <v>146</v>
      </c>
      <c r="AK44" s="59">
        <v>42</v>
      </c>
      <c r="AL44" s="59" t="str">
        <f>IFERROR(INDEX(TableTEMaster[Player],MATCH(TableWRTECalcPts[[#This Row],[POSRef]],TableTEMaster[TERef],0)),"")</f>
        <v>Will Dissly</v>
      </c>
      <c r="AM44" s="59" t="str">
        <f>IFERROR(_xlfn.CONCAT(TableWRTECalcPts[[#This Row],[POS]],INDEX(TableTERanks[RK],MATCH(TableWRTECalcPts[[#This Row],[PLAYER]],TableTERanks[Player],0))),"")</f>
        <v>TE40</v>
      </c>
      <c r="AN44" s="59" t="str">
        <f>IFERROR(INDEX(TableTEMaster[TM],MATCH(TableWRTECalcPts[[#This Row],[POSRef]],TableTEMaster[TERef],0)),"")</f>
        <v>LAC</v>
      </c>
      <c r="AO44" s="59">
        <f>IFERROR(INDEX(TableTEMaster[BYE],MATCH(TableWRTECalcPts[[#This Row],[POSRef]],TableTEMaster[TERef],0)),"")</f>
        <v>5</v>
      </c>
      <c r="AP44" s="60">
        <f>IFERROR(INDEX(TableTEMaster[Custom],MATCH(TableWRTECalcPts[[#This Row],[POSRef]],TableTEMaster[TERef],0)),"")</f>
        <v>51.886490271348435</v>
      </c>
    </row>
    <row r="45" spans="1:42" x14ac:dyDescent="0.25">
      <c r="A45" s="61">
        <f>IFERROR(RANK(TableQBCalcPts[[#This Row],[Custom]],TableQBCalcPts[Custom])+COUNTIF($F$3:F45,F45)-1,"")</f>
        <v>31</v>
      </c>
      <c r="B45" s="59">
        <v>43</v>
      </c>
      <c r="C45" s="59" t="str">
        <f>IFERROR(INDEX(TableQBMaster[Player],MATCH(TableQBCalcPts[[#This Row],[QBRef]],TableQBMaster[QBRef],0)),"")</f>
        <v>Drake Maye</v>
      </c>
      <c r="D45" s="59" t="str">
        <f>IFERROR(INDEX(TableQBMaster[TM],MATCH(TableQBCalcPts[[#This Row],[QBRef]],TableQBMaster[QBRef],0)),"")</f>
        <v>NE</v>
      </c>
      <c r="E45" s="59">
        <f>IFERROR(INDEX(TableQBMaster[BYE],MATCH(TableQBCalcPts[[#This Row],[QBRef]],TableQBMaster[QBRef],0)),"")</f>
        <v>14</v>
      </c>
      <c r="F45" s="60">
        <f>IFERROR(INDEX(TableQBMaster[Custom],MATCH(TableQBCalcPts[[#This Row],[QBRef]],TableQBMaster[QBRef],0)),"")</f>
        <v>196.96135361153011</v>
      </c>
      <c r="H45" s="59">
        <f>IFERROR(RANK(TableRBCalcPts[[#This Row],[Custom]],TableRBCalcPts[Custom])+COUNTIF($M$3:M45,M45)-1,"")</f>
        <v>73</v>
      </c>
      <c r="I45" s="59">
        <v>43</v>
      </c>
      <c r="J45" s="59" t="str">
        <f>IFERROR(INDEX(TableRBMaster[Player],MATCH(TableRBCalcPts[[#This Row],[RBRef]],TableRBMaster[RBRef],0)),"")</f>
        <v>Dameon Pierce</v>
      </c>
      <c r="K45" s="59" t="str">
        <f>IFERROR(INDEX(TableRBMaster[TM],MATCH(TableRBCalcPts[[#This Row],[RBRef]],TableRBMaster[RBRef],0)),"")</f>
        <v>HOU</v>
      </c>
      <c r="L45" s="59">
        <f>IFERROR(INDEX(TableRBMaster[BYE],MATCH(TableRBCalcPts[[#This Row],[RBRef]],TableRBMaster[RBRef],0)),"")</f>
        <v>14</v>
      </c>
      <c r="M45" s="60">
        <f>IFERROR(INDEX(TableRBMaster[Custom],MATCH(TableRBCalcPts[[#This Row],[RBRef]],TableRBMaster[RBRef],0)),"")</f>
        <v>43.444613605393208</v>
      </c>
      <c r="O45" s="59">
        <f>IFERROR(RANK(TableWRCalcPts[[#This Row],[Custom]],TableWRCalcPts[Custom])+COUNTIF($T$3:T45,T45)-1,"")</f>
        <v>1</v>
      </c>
      <c r="P45" s="59">
        <v>43</v>
      </c>
      <c r="Q45" s="59" t="str">
        <f>IFERROR(INDEX(TableWRMaster[Player],MATCH(TableWRCalcPts[[#This Row],[WRRef]],TableWRMaster[WRRef],0)),"")</f>
        <v>CeeDee Lamb</v>
      </c>
      <c r="R45" s="59" t="str">
        <f>IFERROR(INDEX(TableWRMaster[TM],MATCH(TableWRCalcPts[[#This Row],[WRRef]],TableWRMaster[WRRef],0)),"")</f>
        <v>DAL</v>
      </c>
      <c r="S45" s="59">
        <f>IFERROR(INDEX(TableWRMaster[BYE],MATCH(TableWRCalcPts[[#This Row],[WRRef]],TableWRMaster[WRRef],0)),"")</f>
        <v>7</v>
      </c>
      <c r="T45" s="60">
        <f>IFERROR(INDEX(TableWRMaster[Custom],MATCH(TableWRCalcPts[[#This Row],[WRRef]],TableWRMaster[WRRef],0)),"")</f>
        <v>271.55717234290148</v>
      </c>
      <c r="V45" s="59">
        <f>IFERROR(RANK(TableTECalcPts[[#This Row],[Custom]],TableTECalcPts[Custom])+COUNTIF($AA$3:AA45,AA45)-1,"")</f>
        <v>27</v>
      </c>
      <c r="W45" s="59">
        <v>43</v>
      </c>
      <c r="X45" s="59" t="str">
        <f>IFERROR(INDEX(TableTEMaster[Player],MATCH(TableTECalcPts[[#This Row],[TERef]],TableTEMaster[TERef],0)),"")</f>
        <v>Hayden Hurst</v>
      </c>
      <c r="Y45" s="59" t="str">
        <f>IFERROR(INDEX(TableTEMaster[TM],MATCH(TableTECalcPts[[#This Row],[TERef]],TableTEMaster[TERef],0)),"")</f>
        <v>LAC</v>
      </c>
      <c r="Z45" s="59">
        <f>IFERROR(INDEX(TableTEMaster[BYE],MATCH(TableTECalcPts[[#This Row],[TERef]],TableTEMaster[TERef],0)),"")</f>
        <v>5</v>
      </c>
      <c r="AA45" s="60">
        <f>IFERROR(INDEX(TableTEMaster[Custom],MATCH(TableTECalcPts[[#This Row],[TERef]],TableTEMaster[TERef],0)),"")</f>
        <v>79.726833329761405</v>
      </c>
      <c r="AI45" s="59" t="s">
        <v>10</v>
      </c>
      <c r="AJ45" s="59">
        <f>IFERROR(RANK(TableWRTECalcPts[[#This Row],[Custom]],TableWRTECalcPts[Custom])+COUNTIF($AP$3:AP45,AP45)-1,"")</f>
        <v>116</v>
      </c>
      <c r="AK45" s="59">
        <v>43</v>
      </c>
      <c r="AL45" s="59" t="str">
        <f>IFERROR(INDEX(TableTEMaster[Player],MATCH(TableWRTECalcPts[[#This Row],[POSRef]],TableTEMaster[TERef],0)),"")</f>
        <v>Hayden Hurst</v>
      </c>
      <c r="AM45" s="59" t="str">
        <f>IFERROR(_xlfn.CONCAT(TableWRTECalcPts[[#This Row],[POS]],INDEX(TableTERanks[RK],MATCH(TableWRTECalcPts[[#This Row],[PLAYER]],TableTERanks[Player],0))),"")</f>
        <v>TE27</v>
      </c>
      <c r="AN45" s="59" t="str">
        <f>IFERROR(INDEX(TableTEMaster[TM],MATCH(TableWRTECalcPts[[#This Row],[POSRef]],TableTEMaster[TERef],0)),"")</f>
        <v>LAC</v>
      </c>
      <c r="AO45" s="59">
        <f>IFERROR(INDEX(TableTEMaster[BYE],MATCH(TableWRTECalcPts[[#This Row],[POSRef]],TableTEMaster[TERef],0)),"")</f>
        <v>5</v>
      </c>
      <c r="AP45" s="60">
        <f>IFERROR(INDEX(TableTEMaster[Custom],MATCH(TableWRTECalcPts[[#This Row],[POSRef]],TableTEMaster[TERef],0)),"")</f>
        <v>79.726833329761405</v>
      </c>
    </row>
    <row r="46" spans="1:42" x14ac:dyDescent="0.25">
      <c r="A46" s="61">
        <f>IFERROR(RANK(TableQBCalcPts[[#This Row],[Custom]],TableQBCalcPts[Custom])+COUNTIF($F$3:F46,F46)-1,"")</f>
        <v>35</v>
      </c>
      <c r="B46" s="59">
        <v>44</v>
      </c>
      <c r="C46" s="59" t="str">
        <f>IFERROR(INDEX(TableQBMaster[Player],MATCH(TableQBCalcPts[[#This Row],[QBRef]],TableQBMaster[QBRef],0)),"")</f>
        <v>Jacoby Brissett</v>
      </c>
      <c r="D46" s="59" t="str">
        <f>IFERROR(INDEX(TableQBMaster[TM],MATCH(TableQBCalcPts[[#This Row],[QBRef]],TableQBMaster[QBRef],0)),"")</f>
        <v>NE</v>
      </c>
      <c r="E46" s="59">
        <f>IFERROR(INDEX(TableQBMaster[BYE],MATCH(TableQBCalcPts[[#This Row],[QBRef]],TableQBMaster[QBRef],0)),"")</f>
        <v>14</v>
      </c>
      <c r="F46" s="60">
        <f>IFERROR(INDEX(TableQBMaster[Custom],MATCH(TableQBCalcPts[[#This Row],[QBRef]],TableQBMaster[QBRef],0)),"")</f>
        <v>71.758407648976288</v>
      </c>
      <c r="H46" s="59">
        <f>IFERROR(RANK(TableRBCalcPts[[#This Row],[Custom]],TableRBCalcPts[Custom])+COUNTIF($M$3:M46,M46)-1,"")</f>
        <v>69</v>
      </c>
      <c r="I46" s="59">
        <v>44</v>
      </c>
      <c r="J46" s="59" t="str">
        <f>IFERROR(INDEX(TableRBMaster[Player],MATCH(TableRBCalcPts[[#This Row],[RBRef]],TableRBMaster[RBRef],0)),"")</f>
        <v>Cam Akers</v>
      </c>
      <c r="K46" s="59" t="str">
        <f>IFERROR(INDEX(TableRBMaster[TM],MATCH(TableRBCalcPts[[#This Row],[RBRef]],TableRBMaster[RBRef],0)),"")</f>
        <v>HOU</v>
      </c>
      <c r="L46" s="59">
        <f>IFERROR(INDEX(TableRBMaster[BYE],MATCH(TableRBCalcPts[[#This Row],[RBRef]],TableRBMaster[RBRef],0)),"")</f>
        <v>14</v>
      </c>
      <c r="M46" s="60">
        <f>IFERROR(INDEX(TableRBMaster[Custom],MATCH(TableRBCalcPts[[#This Row],[RBRef]],TableRBMaster[RBRef],0)),"")</f>
        <v>55.821044843199999</v>
      </c>
      <c r="O46" s="59">
        <f>IFERROR(RANK(TableWRCalcPts[[#This Row],[Custom]],TableWRCalcPts[Custom])+COUNTIF($T$3:T46,T46)-1,"")</f>
        <v>60</v>
      </c>
      <c r="P46" s="59">
        <v>44</v>
      </c>
      <c r="Q46" s="59" t="str">
        <f>IFERROR(INDEX(TableWRMaster[Player],MATCH(TableWRCalcPts[[#This Row],[WRRef]],TableWRMaster[WRRef],0)),"")</f>
        <v>Brandin Cooks</v>
      </c>
      <c r="R46" s="59" t="str">
        <f>IFERROR(INDEX(TableWRMaster[TM],MATCH(TableWRCalcPts[[#This Row],[WRRef]],TableWRMaster[WRRef],0)),"")</f>
        <v>DAL</v>
      </c>
      <c r="S46" s="59">
        <f>IFERROR(INDEX(TableWRMaster[BYE],MATCH(TableWRCalcPts[[#This Row],[WRRef]],TableWRMaster[WRRef],0)),"")</f>
        <v>7</v>
      </c>
      <c r="T46" s="60">
        <f>IFERROR(INDEX(TableWRMaster[Custom],MATCH(TableWRCalcPts[[#This Row],[WRRef]],TableWRMaster[WRRef],0)),"")</f>
        <v>143.24353207428095</v>
      </c>
      <c r="V46" s="59">
        <f>IFERROR(RANK(TableTECalcPts[[#This Row],[Custom]],TableTECalcPts[Custom])+COUNTIF($AA$3:AA46,AA46)-1,"")</f>
        <v>44</v>
      </c>
      <c r="W46" s="59">
        <v>44</v>
      </c>
      <c r="X46" s="59" t="str">
        <f>IFERROR(INDEX(TableTEMaster[Player],MATCH(TableTECalcPts[[#This Row],[TERef]],TableTEMaster[TERef],0)),"")</f>
        <v>Tyler Higbee</v>
      </c>
      <c r="Y46" s="59" t="str">
        <f>IFERROR(INDEX(TableTEMaster[TM],MATCH(TableTECalcPts[[#This Row],[TERef]],TableTEMaster[TERef],0)),"")</f>
        <v>LAR</v>
      </c>
      <c r="Z46" s="59">
        <f>IFERROR(INDEX(TableTEMaster[BYE],MATCH(TableTECalcPts[[#This Row],[TERef]],TableTEMaster[TERef],0)),"")</f>
        <v>6</v>
      </c>
      <c r="AA46" s="60">
        <f>IFERROR(INDEX(TableTEMaster[Custom],MATCH(TableTECalcPts[[#This Row],[TERef]],TableTEMaster[TERef],0)),"")</f>
        <v>40.797864195877821</v>
      </c>
      <c r="AI46" s="59" t="s">
        <v>10</v>
      </c>
      <c r="AJ46" s="59">
        <f>IFERROR(RANK(TableWRTECalcPts[[#This Row],[Custom]],TableWRTECalcPts[Custom])+COUNTIF($AP$3:AP46,AP46)-1,"")</f>
        <v>158</v>
      </c>
      <c r="AK46" s="59">
        <v>44</v>
      </c>
      <c r="AL46" s="59" t="str">
        <f>IFERROR(INDEX(TableTEMaster[Player],MATCH(TableWRTECalcPts[[#This Row],[POSRef]],TableTEMaster[TERef],0)),"")</f>
        <v>Tyler Higbee</v>
      </c>
      <c r="AM46" s="59" t="str">
        <f>IFERROR(_xlfn.CONCAT(TableWRTECalcPts[[#This Row],[POS]],INDEX(TableTERanks[RK],MATCH(TableWRTECalcPts[[#This Row],[PLAYER]],TableTERanks[Player],0))),"")</f>
        <v>TE44</v>
      </c>
      <c r="AN46" s="59" t="str">
        <f>IFERROR(INDEX(TableTEMaster[TM],MATCH(TableWRTECalcPts[[#This Row],[POSRef]],TableTEMaster[TERef],0)),"")</f>
        <v>LAR</v>
      </c>
      <c r="AO46" s="59">
        <f>IFERROR(INDEX(TableTEMaster[BYE],MATCH(TableWRTECalcPts[[#This Row],[POSRef]],TableTEMaster[TERef],0)),"")</f>
        <v>6</v>
      </c>
      <c r="AP46" s="60">
        <f>IFERROR(INDEX(TableTEMaster[Custom],MATCH(TableWRTECalcPts[[#This Row],[POSRef]],TableTEMaster[TERef],0)),"")</f>
        <v>40.797864195877821</v>
      </c>
    </row>
    <row r="47" spans="1:42" x14ac:dyDescent="0.25">
      <c r="A47" s="61">
        <f>IFERROR(RANK(TableQBCalcPts[[#This Row],[Custom]],TableQBCalcPts[Custom])+COUNTIF($F$3:F47,F47)-1,"")</f>
        <v>28</v>
      </c>
      <c r="B47" s="59">
        <v>45</v>
      </c>
      <c r="C47" s="59" t="str">
        <f>IFERROR(INDEX(TableQBMaster[Player],MATCH(TableQBCalcPts[[#This Row],[QBRef]],TableQBMaster[QBRef],0)),"")</f>
        <v>Derek Carr</v>
      </c>
      <c r="D47" s="59" t="str">
        <f>IFERROR(INDEX(TableQBMaster[TM],MATCH(TableQBCalcPts[[#This Row],[QBRef]],TableQBMaster[QBRef],0)),"")</f>
        <v>NO</v>
      </c>
      <c r="E47" s="59">
        <f>IFERROR(INDEX(TableQBMaster[BYE],MATCH(TableQBCalcPts[[#This Row],[QBRef]],TableQBMaster[QBRef],0)),"")</f>
        <v>12</v>
      </c>
      <c r="F47" s="60">
        <f>IFERROR(INDEX(TableQBMaster[Custom],MATCH(TableQBCalcPts[[#This Row],[QBRef]],TableQBMaster[QBRef],0)),"")</f>
        <v>256.00216389991385</v>
      </c>
      <c r="H47" s="59">
        <f>IFERROR(RANK(TableRBCalcPts[[#This Row],[Custom]],TableRBCalcPts[Custom])+COUNTIF($M$3:M47,M47)-1,"")</f>
        <v>2</v>
      </c>
      <c r="I47" s="59">
        <v>45</v>
      </c>
      <c r="J47" s="59" t="str">
        <f>IFERROR(INDEX(TableRBMaster[Player],MATCH(TableRBCalcPts[[#This Row],[RBRef]],TableRBMaster[RBRef],0)),"")</f>
        <v>Jonathan Taylor</v>
      </c>
      <c r="K47" s="59" t="str">
        <f>IFERROR(INDEX(TableRBMaster[TM],MATCH(TableRBCalcPts[[#This Row],[RBRef]],TableRBMaster[RBRef],0)),"")</f>
        <v>IND</v>
      </c>
      <c r="L47" s="59">
        <f>IFERROR(INDEX(TableRBMaster[BYE],MATCH(TableRBCalcPts[[#This Row],[RBRef]],TableRBMaster[RBRef],0)),"")</f>
        <v>14</v>
      </c>
      <c r="M47" s="60">
        <f>IFERROR(INDEX(TableRBMaster[Custom],MATCH(TableRBCalcPts[[#This Row],[RBRef]],TableRBMaster[RBRef],0)),"")</f>
        <v>261.70705676419283</v>
      </c>
      <c r="O47" s="59">
        <f>IFERROR(RANK(TableWRCalcPts[[#This Row],[Custom]],TableWRCalcPts[Custom])+COUNTIF($T$3:T47,T47)-1,"")</f>
        <v>67</v>
      </c>
      <c r="P47" s="59">
        <v>45</v>
      </c>
      <c r="Q47" s="59" t="str">
        <f>IFERROR(INDEX(TableWRMaster[Player],MATCH(TableWRCalcPts[[#This Row],[WRRef]],TableWRMaster[WRRef],0)),"")</f>
        <v>Jalen Tolbert</v>
      </c>
      <c r="R47" s="59" t="str">
        <f>IFERROR(INDEX(TableWRMaster[TM],MATCH(TableWRCalcPts[[#This Row],[WRRef]],TableWRMaster[WRRef],0)),"")</f>
        <v>DAL</v>
      </c>
      <c r="S47" s="59">
        <f>IFERROR(INDEX(TableWRMaster[BYE],MATCH(TableWRCalcPts[[#This Row],[WRRef]],TableWRMaster[WRRef],0)),"")</f>
        <v>7</v>
      </c>
      <c r="T47" s="60">
        <f>IFERROR(INDEX(TableWRMaster[Custom],MATCH(TableWRCalcPts[[#This Row],[WRRef]],TableWRMaster[WRRef],0)),"")</f>
        <v>123.19600289357085</v>
      </c>
      <c r="V47" s="59">
        <f>IFERROR(RANK(TableTECalcPts[[#This Row],[Custom]],TableTECalcPts[Custom])+COUNTIF($AA$3:AA47,AA47)-1,"")</f>
        <v>25</v>
      </c>
      <c r="W47" s="59">
        <v>45</v>
      </c>
      <c r="X47" s="59" t="str">
        <f>IFERROR(INDEX(TableTEMaster[Player],MATCH(TableTECalcPts[[#This Row],[TERef]],TableTEMaster[TERef],0)),"")</f>
        <v>Colby Parkinson</v>
      </c>
      <c r="Y47" s="59" t="str">
        <f>IFERROR(INDEX(TableTEMaster[TM],MATCH(TableTECalcPts[[#This Row],[TERef]],TableTEMaster[TERef],0)),"")</f>
        <v>LAR</v>
      </c>
      <c r="Z47" s="59">
        <f>IFERROR(INDEX(TableTEMaster[BYE],MATCH(TableTECalcPts[[#This Row],[TERef]],TableTEMaster[TERef],0)),"")</f>
        <v>6</v>
      </c>
      <c r="AA47" s="60">
        <f>IFERROR(INDEX(TableTEMaster[Custom],MATCH(TableTECalcPts[[#This Row],[TERef]],TableTEMaster[TERef],0)),"")</f>
        <v>81.17558367219813</v>
      </c>
      <c r="AI47" s="59" t="s">
        <v>10</v>
      </c>
      <c r="AJ47" s="59">
        <f>IFERROR(RANK(TableWRTECalcPts[[#This Row],[Custom]],TableWRTECalcPts[Custom])+COUNTIF($AP$3:AP47,AP47)-1,"")</f>
        <v>114</v>
      </c>
      <c r="AK47" s="59">
        <v>45</v>
      </c>
      <c r="AL47" s="59" t="str">
        <f>IFERROR(INDEX(TableTEMaster[Player],MATCH(TableWRTECalcPts[[#This Row],[POSRef]],TableTEMaster[TERef],0)),"")</f>
        <v>Colby Parkinson</v>
      </c>
      <c r="AM47" s="59" t="str">
        <f>IFERROR(_xlfn.CONCAT(TableWRTECalcPts[[#This Row],[POS]],INDEX(TableTERanks[RK],MATCH(TableWRTECalcPts[[#This Row],[PLAYER]],TableTERanks[Player],0))),"")</f>
        <v>TE25</v>
      </c>
      <c r="AN47" s="59" t="str">
        <f>IFERROR(INDEX(TableTEMaster[TM],MATCH(TableWRTECalcPts[[#This Row],[POSRef]],TableTEMaster[TERef],0)),"")</f>
        <v>LAR</v>
      </c>
      <c r="AO47" s="59">
        <f>IFERROR(INDEX(TableTEMaster[BYE],MATCH(TableWRTECalcPts[[#This Row],[POSRef]],TableTEMaster[TERef],0)),"")</f>
        <v>6</v>
      </c>
      <c r="AP47" s="60">
        <f>IFERROR(INDEX(TableTEMaster[Custom],MATCH(TableWRTECalcPts[[#This Row],[POSRef]],TableTEMaster[TERef],0)),"")</f>
        <v>81.17558367219813</v>
      </c>
    </row>
    <row r="48" spans="1:42" x14ac:dyDescent="0.25">
      <c r="A48" s="61">
        <f>IFERROR(RANK(TableQBCalcPts[[#This Row],[Custom]],TableQBCalcPts[Custom])+COUNTIF($F$3:F48,F48)-1,"")</f>
        <v>55</v>
      </c>
      <c r="B48" s="59">
        <v>46</v>
      </c>
      <c r="C48" s="59" t="str">
        <f>IFERROR(INDEX(TableQBMaster[Player],MATCH(TableQBCalcPts[[#This Row],[QBRef]],TableQBMaster[QBRef],0)),"")</f>
        <v>Spencer Rattler</v>
      </c>
      <c r="D48" s="59" t="str">
        <f>IFERROR(INDEX(TableQBMaster[TM],MATCH(TableQBCalcPts[[#This Row],[QBRef]],TableQBMaster[QBRef],0)),"")</f>
        <v>NO</v>
      </c>
      <c r="E48" s="59">
        <f>IFERROR(INDEX(TableQBMaster[BYE],MATCH(TableQBCalcPts[[#This Row],[QBRef]],TableQBMaster[QBRef],0)),"")</f>
        <v>12</v>
      </c>
      <c r="F48" s="60">
        <f>IFERROR(INDEX(TableQBMaster[Custom],MATCH(TableQBCalcPts[[#This Row],[QBRef]],TableQBMaster[QBRef],0)),"")</f>
        <v>5.7567016256639985</v>
      </c>
      <c r="H48" s="59">
        <f>IFERROR(RANK(TableRBCalcPts[[#This Row],[Custom]],TableRBCalcPts[Custom])+COUNTIF($M$3:M48,M48)-1,"")</f>
        <v>75</v>
      </c>
      <c r="I48" s="59">
        <v>46</v>
      </c>
      <c r="J48" s="59" t="str">
        <f>IFERROR(INDEX(TableRBMaster[Player],MATCH(TableRBCalcPts[[#This Row],[RBRef]],TableRBMaster[RBRef],0)),"")</f>
        <v>Trey Sermon</v>
      </c>
      <c r="K48" s="59" t="str">
        <f>IFERROR(INDEX(TableRBMaster[TM],MATCH(TableRBCalcPts[[#This Row],[RBRef]],TableRBMaster[RBRef],0)),"")</f>
        <v>IND</v>
      </c>
      <c r="L48" s="59">
        <f>IFERROR(INDEX(TableRBMaster[BYE],MATCH(TableRBCalcPts[[#This Row],[RBRef]],TableRBMaster[RBRef],0)),"")</f>
        <v>14</v>
      </c>
      <c r="M48" s="60">
        <f>IFERROR(INDEX(TableRBMaster[Custom],MATCH(TableRBCalcPts[[#This Row],[RBRef]],TableRBMaster[RBRef],0)),"")</f>
        <v>41.264535512141364</v>
      </c>
      <c r="O48" s="59">
        <f>IFERROR(RANK(TableWRCalcPts[[#This Row],[Custom]],TableWRCalcPts[Custom])+COUNTIF($T$3:T48,T48)-1,"")</f>
        <v>137</v>
      </c>
      <c r="P48" s="59">
        <v>46</v>
      </c>
      <c r="Q48" s="59" t="str">
        <f>IFERROR(INDEX(TableWRMaster[Player],MATCH(TableWRCalcPts[[#This Row],[WRRef]],TableWRMaster[WRRef],0)),"")</f>
        <v>KaVontae Turpin</v>
      </c>
      <c r="R48" s="59" t="str">
        <f>IFERROR(INDEX(TableWRMaster[TM],MATCH(TableWRCalcPts[[#This Row],[WRRef]],TableWRMaster[WRRef],0)),"")</f>
        <v>DAL</v>
      </c>
      <c r="S48" s="59">
        <f>IFERROR(INDEX(TableWRMaster[BYE],MATCH(TableWRCalcPts[[#This Row],[WRRef]],TableWRMaster[WRRef],0)),"")</f>
        <v>7</v>
      </c>
      <c r="T48" s="60">
        <f>IFERROR(INDEX(TableWRMaster[Custom],MATCH(TableWRCalcPts[[#This Row],[WRRef]],TableWRMaster[WRRef],0)),"")</f>
        <v>21.958836132368511</v>
      </c>
      <c r="V48" s="59">
        <f>IFERROR(RANK(TableTECalcPts[[#This Row],[Custom]],TableTECalcPts[Custom])+COUNTIF($AA$3:AA48,AA48)-1,"")</f>
        <v>23</v>
      </c>
      <c r="W48" s="59">
        <v>46</v>
      </c>
      <c r="X48" s="59" t="str">
        <f>IFERROR(INDEX(TableTEMaster[Player],MATCH(TableTECalcPts[[#This Row],[TERef]],TableTEMaster[TERef],0)),"")</f>
        <v>Jonnu Smith</v>
      </c>
      <c r="Y48" s="59" t="str">
        <f>IFERROR(INDEX(TableTEMaster[TM],MATCH(TableTECalcPts[[#This Row],[TERef]],TableTEMaster[TERef],0)),"")</f>
        <v>MIA</v>
      </c>
      <c r="Z48" s="59">
        <f>IFERROR(INDEX(TableTEMaster[BYE],MATCH(TableTECalcPts[[#This Row],[TERef]],TableTEMaster[TERef],0)),"")</f>
        <v>6</v>
      </c>
      <c r="AA48" s="60">
        <f>IFERROR(INDEX(TableTEMaster[Custom],MATCH(TableTECalcPts[[#This Row],[TERef]],TableTEMaster[TERef],0)),"")</f>
        <v>85.626365410456145</v>
      </c>
      <c r="AI48" s="59" t="s">
        <v>10</v>
      </c>
      <c r="AJ48" s="59">
        <f>IFERROR(RANK(TableWRTECalcPts[[#This Row],[Custom]],TableWRTECalcPts[Custom])+COUNTIF($AP$3:AP48,AP48)-1,"")</f>
        <v>110</v>
      </c>
      <c r="AK48" s="59">
        <v>46</v>
      </c>
      <c r="AL48" s="59" t="str">
        <f>IFERROR(INDEX(TableTEMaster[Player],MATCH(TableWRTECalcPts[[#This Row],[POSRef]],TableTEMaster[TERef],0)),"")</f>
        <v>Jonnu Smith</v>
      </c>
      <c r="AM48" s="59" t="str">
        <f>IFERROR(_xlfn.CONCAT(TableWRTECalcPts[[#This Row],[POS]],INDEX(TableTERanks[RK],MATCH(TableWRTECalcPts[[#This Row],[PLAYER]],TableTERanks[Player],0))),"")</f>
        <v>TE23</v>
      </c>
      <c r="AN48" s="59" t="str">
        <f>IFERROR(INDEX(TableTEMaster[TM],MATCH(TableWRTECalcPts[[#This Row],[POSRef]],TableTEMaster[TERef],0)),"")</f>
        <v>MIA</v>
      </c>
      <c r="AO48" s="59">
        <f>IFERROR(INDEX(TableTEMaster[BYE],MATCH(TableWRTECalcPts[[#This Row],[POSRef]],TableTEMaster[TERef],0)),"")</f>
        <v>6</v>
      </c>
      <c r="AP48" s="60">
        <f>IFERROR(INDEX(TableTEMaster[Custom],MATCH(TableWRTECalcPts[[#This Row],[POSRef]],TableTEMaster[TERef],0)),"")</f>
        <v>85.626365410456145</v>
      </c>
    </row>
    <row r="49" spans="1:42" x14ac:dyDescent="0.25">
      <c r="A49" s="61">
        <f>IFERROR(RANK(TableQBCalcPts[[#This Row],[Custom]],TableQBCalcPts[Custom])+COUNTIF($F$3:F49,F49)-1,"")</f>
        <v>29</v>
      </c>
      <c r="B49" s="59">
        <v>47</v>
      </c>
      <c r="C49" s="59" t="str">
        <f>IFERROR(INDEX(TableQBMaster[Player],MATCH(TableQBCalcPts[[#This Row],[QBRef]],TableQBMaster[QBRef],0)),"")</f>
        <v>Daniel Jones</v>
      </c>
      <c r="D49" s="59" t="str">
        <f>IFERROR(INDEX(TableQBMaster[TM],MATCH(TableQBCalcPts[[#This Row],[QBRef]],TableQBMaster[QBRef],0)),"")</f>
        <v>NYG</v>
      </c>
      <c r="E49" s="59">
        <f>IFERROR(INDEX(TableQBMaster[BYE],MATCH(TableQBCalcPts[[#This Row],[QBRef]],TableQBMaster[QBRef],0)),"")</f>
        <v>11</v>
      </c>
      <c r="F49" s="60">
        <f>IFERROR(INDEX(TableQBMaster[Custom],MATCH(TableQBCalcPts[[#This Row],[QBRef]],TableQBMaster[QBRef],0)),"")</f>
        <v>222.95186959043883</v>
      </c>
      <c r="H49" s="59">
        <f>IFERROR(RANK(TableRBCalcPts[[#This Row],[Custom]],TableRBCalcPts[Custom])+COUNTIF($M$3:M49,M49)-1,"")</f>
        <v>86</v>
      </c>
      <c r="I49" s="59">
        <v>47</v>
      </c>
      <c r="J49" s="59" t="str">
        <f>IFERROR(INDEX(TableRBMaster[Player],MATCH(TableRBCalcPts[[#This Row],[RBRef]],TableRBMaster[RBRef],0)),"")</f>
        <v>Tyler Goodson</v>
      </c>
      <c r="K49" s="59" t="str">
        <f>IFERROR(INDEX(TableRBMaster[TM],MATCH(TableRBCalcPts[[#This Row],[RBRef]],TableRBMaster[RBRef],0)),"")</f>
        <v>IND</v>
      </c>
      <c r="L49" s="59">
        <f>IFERROR(INDEX(TableRBMaster[BYE],MATCH(TableRBCalcPts[[#This Row],[RBRef]],TableRBMaster[RBRef],0)),"")</f>
        <v>14</v>
      </c>
      <c r="M49" s="60">
        <f>IFERROR(INDEX(TableRBMaster[Custom],MATCH(TableRBCalcPts[[#This Row],[RBRef]],TableRBMaster[RBRef],0)),"")</f>
        <v>21.431914367906273</v>
      </c>
      <c r="O49" s="59">
        <f>IFERROR(RANK(TableWRCalcPts[[#This Row],[Custom]],TableWRCalcPts[Custom])+COUNTIF($T$3:T49,T49)-1,"")</f>
        <v>147</v>
      </c>
      <c r="P49" s="59">
        <v>47</v>
      </c>
      <c r="Q49" s="59" t="str">
        <f>IFERROR(INDEX(TableWRMaster[Player],MATCH(TableWRCalcPts[[#This Row],[WRRef]],TableWRMaster[WRRef],0)),"")</f>
        <v>Ryan Flournoy</v>
      </c>
      <c r="R49" s="59" t="str">
        <f>IFERROR(INDEX(TableWRMaster[TM],MATCH(TableWRCalcPts[[#This Row],[WRRef]],TableWRMaster[WRRef],0)),"")</f>
        <v>DAL</v>
      </c>
      <c r="S49" s="59">
        <f>IFERROR(INDEX(TableWRMaster[BYE],MATCH(TableWRCalcPts[[#This Row],[WRRef]],TableWRMaster[WRRef],0)),"")</f>
        <v>7</v>
      </c>
      <c r="T49" s="60">
        <f>IFERROR(INDEX(TableWRMaster[Custom],MATCH(TableWRCalcPts[[#This Row],[WRRef]],TableWRMaster[WRRef],0)),"")</f>
        <v>15.366760287490072</v>
      </c>
      <c r="V49" s="59">
        <f>IFERROR(RANK(TableTECalcPts[[#This Row],[Custom]],TableTECalcPts[Custom])+COUNTIF($AA$3:AA49,AA49)-1,"")</f>
        <v>70</v>
      </c>
      <c r="W49" s="59">
        <v>47</v>
      </c>
      <c r="X49" s="59" t="str">
        <f>IFERROR(INDEX(TableTEMaster[Player],MATCH(TableTECalcPts[[#This Row],[TERef]],TableTEMaster[TERef],0)),"")</f>
        <v>Durham Smythe</v>
      </c>
      <c r="Y49" s="59" t="str">
        <f>IFERROR(INDEX(TableTEMaster[TM],MATCH(TableTECalcPts[[#This Row],[TERef]],TableTEMaster[TERef],0)),"")</f>
        <v>MIA</v>
      </c>
      <c r="Z49" s="59">
        <f>IFERROR(INDEX(TableTEMaster[BYE],MATCH(TableTECalcPts[[#This Row],[TERef]],TableTEMaster[TERef],0)),"")</f>
        <v>6</v>
      </c>
      <c r="AA49" s="60">
        <f>IFERROR(INDEX(TableTEMaster[Custom],MATCH(TableTECalcPts[[#This Row],[TERef]],TableTEMaster[TERef],0)),"")</f>
        <v>9.7230845072298351</v>
      </c>
      <c r="AI49" s="59" t="s">
        <v>10</v>
      </c>
      <c r="AJ49" s="59">
        <f>IFERROR(RANK(TableWRTECalcPts[[#This Row],[Custom]],TableWRTECalcPts[Custom])+COUNTIF($AP$3:AP49,AP49)-1,"")</f>
        <v>233</v>
      </c>
      <c r="AK49" s="59">
        <v>47</v>
      </c>
      <c r="AL49" s="59" t="str">
        <f>IFERROR(INDEX(TableTEMaster[Player],MATCH(TableWRTECalcPts[[#This Row],[POSRef]],TableTEMaster[TERef],0)),"")</f>
        <v>Durham Smythe</v>
      </c>
      <c r="AM49" s="59" t="str">
        <f>IFERROR(_xlfn.CONCAT(TableWRTECalcPts[[#This Row],[POS]],INDEX(TableTERanks[RK],MATCH(TableWRTECalcPts[[#This Row],[PLAYER]],TableTERanks[Player],0))),"")</f>
        <v>TE70</v>
      </c>
      <c r="AN49" s="59" t="str">
        <f>IFERROR(INDEX(TableTEMaster[TM],MATCH(TableWRTECalcPts[[#This Row],[POSRef]],TableTEMaster[TERef],0)),"")</f>
        <v>MIA</v>
      </c>
      <c r="AO49" s="59">
        <f>IFERROR(INDEX(TableTEMaster[BYE],MATCH(TableWRTECalcPts[[#This Row],[POSRef]],TableTEMaster[TERef],0)),"")</f>
        <v>6</v>
      </c>
      <c r="AP49" s="60">
        <f>IFERROR(INDEX(TableTEMaster[Custom],MATCH(TableWRTECalcPts[[#This Row],[POSRef]],TableTEMaster[TERef],0)),"")</f>
        <v>9.7230845072298351</v>
      </c>
    </row>
    <row r="50" spans="1:42" x14ac:dyDescent="0.25">
      <c r="A50" s="61">
        <f>IFERROR(RANK(TableQBCalcPts[[#This Row],[Custom]],TableQBCalcPts[Custom])+COUNTIF($F$3:F50,F50)-1,"")</f>
        <v>36</v>
      </c>
      <c r="B50" s="59">
        <v>48</v>
      </c>
      <c r="C50" s="59" t="str">
        <f>IFERROR(INDEX(TableQBMaster[Player],MATCH(TableQBCalcPts[[#This Row],[QBRef]],TableQBMaster[QBRef],0)),"")</f>
        <v>Drew Lock</v>
      </c>
      <c r="D50" s="59" t="str">
        <f>IFERROR(INDEX(TableQBMaster[TM],MATCH(TableQBCalcPts[[#This Row],[QBRef]],TableQBMaster[QBRef],0)),"")</f>
        <v>NYG</v>
      </c>
      <c r="E50" s="59">
        <f>IFERROR(INDEX(TableQBMaster[BYE],MATCH(TableQBCalcPts[[#This Row],[QBRef]],TableQBMaster[QBRef],0)),"")</f>
        <v>11</v>
      </c>
      <c r="F50" s="60">
        <f>IFERROR(INDEX(TableQBMaster[Custom],MATCH(TableQBCalcPts[[#This Row],[QBRef]],TableQBMaster[QBRef],0)),"")</f>
        <v>66.139166646074798</v>
      </c>
      <c r="H50" s="59">
        <f>IFERROR(RANK(TableRBCalcPts[[#This Row],[Custom]],TableRBCalcPts[Custom])+COUNTIF($M$3:M50,M50)-1,"")</f>
        <v>17</v>
      </c>
      <c r="I50" s="59">
        <v>48</v>
      </c>
      <c r="J50" s="59" t="str">
        <f>IFERROR(INDEX(TableRBMaster[Player],MATCH(TableRBCalcPts[[#This Row],[RBRef]],TableRBMaster[RBRef],0)),"")</f>
        <v>Travis Etienne</v>
      </c>
      <c r="K50" s="59" t="str">
        <f>IFERROR(INDEX(TableRBMaster[TM],MATCH(TableRBCalcPts[[#This Row],[RBRef]],TableRBMaster[RBRef],0)),"")</f>
        <v>JAX</v>
      </c>
      <c r="L50" s="59">
        <f>IFERROR(INDEX(TableRBMaster[BYE],MATCH(TableRBCalcPts[[#This Row],[RBRef]],TableRBMaster[RBRef],0)),"")</f>
        <v>12</v>
      </c>
      <c r="M50" s="60">
        <f>IFERROR(INDEX(TableRBMaster[Custom],MATCH(TableRBCalcPts[[#This Row],[RBRef]],TableRBMaster[RBRef],0)),"")</f>
        <v>195.93259725063314</v>
      </c>
      <c r="O50" s="59">
        <f>IFERROR(RANK(TableWRCalcPts[[#This Row],[Custom]],TableWRCalcPts[Custom])+COUNTIF($T$3:T50,T50)-1,"")</f>
        <v>148</v>
      </c>
      <c r="P50" s="59">
        <v>48</v>
      </c>
      <c r="Q50" s="59" t="str">
        <f>IFERROR(INDEX(TableWRMaster[Player],MATCH(TableWRCalcPts[[#This Row],[WRRef]],TableWRMaster[WRRef],0)),"")</f>
        <v>Jalen Brooks</v>
      </c>
      <c r="R50" s="59" t="str">
        <f>IFERROR(INDEX(TableWRMaster[TM],MATCH(TableWRCalcPts[[#This Row],[WRRef]],TableWRMaster[WRRef],0)),"")</f>
        <v>DAL</v>
      </c>
      <c r="S50" s="59">
        <f>IFERROR(INDEX(TableWRMaster[BYE],MATCH(TableWRCalcPts[[#This Row],[WRRef]],TableWRMaster[WRRef],0)),"")</f>
        <v>7</v>
      </c>
      <c r="T50" s="60">
        <f>IFERROR(INDEX(TableWRMaster[Custom],MATCH(TableWRCalcPts[[#This Row],[WRRef]],TableWRMaster[WRRef],0)),"")</f>
        <v>15.178797800477579</v>
      </c>
      <c r="V50" s="59">
        <f>IFERROR(RANK(TableTECalcPts[[#This Row],[Custom]],TableTECalcPts[Custom])+COUNTIF($AA$3:AA50,AA50)-1,"")</f>
        <v>69</v>
      </c>
      <c r="W50" s="59">
        <v>48</v>
      </c>
      <c r="X50" s="59" t="str">
        <f>IFERROR(INDEX(TableTEMaster[Player],MATCH(TableTECalcPts[[#This Row],[TERef]],TableTEMaster[TERef],0)),"")</f>
        <v>Julian Hill</v>
      </c>
      <c r="Y50" s="59" t="str">
        <f>IFERROR(INDEX(TableTEMaster[TM],MATCH(TableTECalcPts[[#This Row],[TERef]],TableTEMaster[TERef],0)),"")</f>
        <v>MIA</v>
      </c>
      <c r="Z50" s="59">
        <f>IFERROR(INDEX(TableTEMaster[BYE],MATCH(TableTECalcPts[[#This Row],[TERef]],TableTEMaster[TERef],0)),"")</f>
        <v>6</v>
      </c>
      <c r="AA50" s="60">
        <f>IFERROR(INDEX(TableTEMaster[Custom],MATCH(TableTECalcPts[[#This Row],[TERef]],TableTEMaster[TERef],0)),"")</f>
        <v>10.861141758436784</v>
      </c>
      <c r="AI50" s="59" t="s">
        <v>10</v>
      </c>
      <c r="AJ50" s="59">
        <f>IFERROR(RANK(TableWRTECalcPts[[#This Row],[Custom]],TableWRTECalcPts[Custom])+COUNTIF($AP$3:AP50,AP50)-1,"")</f>
        <v>231</v>
      </c>
      <c r="AK50" s="59">
        <v>48</v>
      </c>
      <c r="AL50" s="59" t="str">
        <f>IFERROR(INDEX(TableTEMaster[Player],MATCH(TableWRTECalcPts[[#This Row],[POSRef]],TableTEMaster[TERef],0)),"")</f>
        <v>Julian Hill</v>
      </c>
      <c r="AM50" s="59" t="str">
        <f>IFERROR(_xlfn.CONCAT(TableWRTECalcPts[[#This Row],[POS]],INDEX(TableTERanks[RK],MATCH(TableWRTECalcPts[[#This Row],[PLAYER]],TableTERanks[Player],0))),"")</f>
        <v>TE69</v>
      </c>
      <c r="AN50" s="59" t="str">
        <f>IFERROR(INDEX(TableTEMaster[TM],MATCH(TableWRTECalcPts[[#This Row],[POSRef]],TableTEMaster[TERef],0)),"")</f>
        <v>MIA</v>
      </c>
      <c r="AO50" s="59">
        <f>IFERROR(INDEX(TableTEMaster[BYE],MATCH(TableWRTECalcPts[[#This Row],[POSRef]],TableTEMaster[TERef],0)),"")</f>
        <v>6</v>
      </c>
      <c r="AP50" s="60">
        <f>IFERROR(INDEX(TableTEMaster[Custom],MATCH(TableWRTECalcPts[[#This Row],[POSRef]],TableTEMaster[TERef],0)),"")</f>
        <v>10.861141758436784</v>
      </c>
    </row>
    <row r="51" spans="1:42" x14ac:dyDescent="0.25">
      <c r="A51" s="61">
        <f>IFERROR(RANK(TableQBCalcPts[[#This Row],[Custom]],TableQBCalcPts[Custom])+COUNTIF($F$3:F51,F51)-1,"")</f>
        <v>17</v>
      </c>
      <c r="B51" s="59">
        <v>49</v>
      </c>
      <c r="C51" s="59" t="str">
        <f>IFERROR(INDEX(TableQBMaster[Player],MATCH(TableQBCalcPts[[#This Row],[QBRef]],TableQBMaster[QBRef],0)),"")</f>
        <v>Aaron Rodgers</v>
      </c>
      <c r="D51" s="59" t="str">
        <f>IFERROR(INDEX(TableQBMaster[TM],MATCH(TableQBCalcPts[[#This Row],[QBRef]],TableQBMaster[QBRef],0)),"")</f>
        <v>NYJ</v>
      </c>
      <c r="E51" s="59">
        <f>IFERROR(INDEX(TableQBMaster[BYE],MATCH(TableQBCalcPts[[#This Row],[QBRef]],TableQBMaster[QBRef],0)),"")</f>
        <v>12</v>
      </c>
      <c r="F51" s="60">
        <f>IFERROR(INDEX(TableQBMaster[Custom],MATCH(TableQBCalcPts[[#This Row],[QBRef]],TableQBMaster[QBRef],0)),"")</f>
        <v>295.18043126391552</v>
      </c>
      <c r="H51" s="59">
        <f>IFERROR(RANK(TableRBCalcPts[[#This Row],[Custom]],TableRBCalcPts[Custom])+COUNTIF($M$3:M51,M51)-1,"")</f>
        <v>66</v>
      </c>
      <c r="I51" s="59">
        <v>49</v>
      </c>
      <c r="J51" s="59" t="str">
        <f>IFERROR(INDEX(TableRBMaster[Player],MATCH(TableRBCalcPts[[#This Row],[RBRef]],TableRBMaster[RBRef],0)),"")</f>
        <v>Tank Bigsby</v>
      </c>
      <c r="K51" s="59" t="str">
        <f>IFERROR(INDEX(TableRBMaster[TM],MATCH(TableRBCalcPts[[#This Row],[RBRef]],TableRBMaster[RBRef],0)),"")</f>
        <v>JAX</v>
      </c>
      <c r="L51" s="59">
        <f>IFERROR(INDEX(TableRBMaster[BYE],MATCH(TableRBCalcPts[[#This Row],[RBRef]],TableRBMaster[RBRef],0)),"")</f>
        <v>12</v>
      </c>
      <c r="M51" s="60">
        <f>IFERROR(INDEX(TableRBMaster[Custom],MATCH(TableRBCalcPts[[#This Row],[RBRef]],TableRBMaster[RBRef],0)),"")</f>
        <v>63.249476038763987</v>
      </c>
      <c r="O51" s="59">
        <f>IFERROR(RANK(TableWRCalcPts[[#This Row],[Custom]],TableWRCalcPts[Custom])+COUNTIF($T$3:T51,T51)-1,"")</f>
        <v>42</v>
      </c>
      <c r="P51" s="59">
        <v>49</v>
      </c>
      <c r="Q51" s="59" t="str">
        <f>IFERROR(INDEX(TableWRMaster[Player],MATCH(TableWRCalcPts[[#This Row],[WRRef]],TableWRMaster[WRRef],0)),"")</f>
        <v>Courtland Sutton</v>
      </c>
      <c r="R51" s="59" t="str">
        <f>IFERROR(INDEX(TableWRMaster[TM],MATCH(TableWRCalcPts[[#This Row],[WRRef]],TableWRMaster[WRRef],0)),"")</f>
        <v>DEN</v>
      </c>
      <c r="S51" s="59">
        <f>IFERROR(INDEX(TableWRMaster[BYE],MATCH(TableWRCalcPts[[#This Row],[WRRef]],TableWRMaster[WRRef],0)),"")</f>
        <v>14</v>
      </c>
      <c r="T51" s="60">
        <f>IFERROR(INDEX(TableWRMaster[Custom],MATCH(TableWRCalcPts[[#This Row],[WRRef]],TableWRMaster[WRRef],0)),"")</f>
        <v>165.59548838461149</v>
      </c>
      <c r="V51" s="59">
        <f>IFERROR(RANK(TableTECalcPts[[#This Row],[Custom]],TableTECalcPts[Custom])+COUNTIF($AA$3:AA51,AA51)-1,"")</f>
        <v>12</v>
      </c>
      <c r="W51" s="59">
        <v>49</v>
      </c>
      <c r="X51" s="59" t="str">
        <f>IFERROR(INDEX(TableTEMaster[Player],MATCH(TableTECalcPts[[#This Row],[TERef]],TableTEMaster[TERef],0)),"")</f>
        <v>T.J. Hockenson</v>
      </c>
      <c r="Y51" s="59" t="str">
        <f>IFERROR(INDEX(TableTEMaster[TM],MATCH(TableTECalcPts[[#This Row],[TERef]],TableTEMaster[TERef],0)),"")</f>
        <v>MIN</v>
      </c>
      <c r="Z51" s="59">
        <f>IFERROR(INDEX(TableTEMaster[BYE],MATCH(TableTECalcPts[[#This Row],[TERef]],TableTEMaster[TERef],0)),"")</f>
        <v>6</v>
      </c>
      <c r="AA51" s="60">
        <f>IFERROR(INDEX(TableTEMaster[Custom],MATCH(TableTECalcPts[[#This Row],[TERef]],TableTEMaster[TERef],0)),"")</f>
        <v>131.63902916472006</v>
      </c>
      <c r="AI51" s="59" t="s">
        <v>10</v>
      </c>
      <c r="AJ51" s="59">
        <f>IFERROR(RANK(TableWRTECalcPts[[#This Row],[Custom]],TableWRTECalcPts[Custom])+COUNTIF($AP$3:AP51,AP51)-1,"")</f>
        <v>74</v>
      </c>
      <c r="AK51" s="59">
        <v>49</v>
      </c>
      <c r="AL51" s="59" t="str">
        <f>IFERROR(INDEX(TableTEMaster[Player],MATCH(TableWRTECalcPts[[#This Row],[POSRef]],TableTEMaster[TERef],0)),"")</f>
        <v>T.J. Hockenson</v>
      </c>
      <c r="AM51" s="59" t="str">
        <f>IFERROR(_xlfn.CONCAT(TableWRTECalcPts[[#This Row],[POS]],INDEX(TableTERanks[RK],MATCH(TableWRTECalcPts[[#This Row],[PLAYER]],TableTERanks[Player],0))),"")</f>
        <v>TE12</v>
      </c>
      <c r="AN51" s="59" t="str">
        <f>IFERROR(INDEX(TableTEMaster[TM],MATCH(TableWRTECalcPts[[#This Row],[POSRef]],TableTEMaster[TERef],0)),"")</f>
        <v>MIN</v>
      </c>
      <c r="AO51" s="59">
        <f>IFERROR(INDEX(TableTEMaster[BYE],MATCH(TableWRTECalcPts[[#This Row],[POSRef]],TableTEMaster[TERef],0)),"")</f>
        <v>6</v>
      </c>
      <c r="AP51" s="60">
        <f>IFERROR(INDEX(TableTEMaster[Custom],MATCH(TableWRTECalcPts[[#This Row],[POSRef]],TableTEMaster[TERef],0)),"")</f>
        <v>131.63902916472006</v>
      </c>
    </row>
    <row r="52" spans="1:42" x14ac:dyDescent="0.25">
      <c r="A52" s="61">
        <f>IFERROR(RANK(TableQBCalcPts[[#This Row],[Custom]],TableQBCalcPts[Custom])+COUNTIF($F$3:F52,F52)-1,"")</f>
        <v>53</v>
      </c>
      <c r="B52" s="59">
        <v>50</v>
      </c>
      <c r="C52" s="59" t="str">
        <f>IFERROR(INDEX(TableQBMaster[Player],MATCH(TableQBCalcPts[[#This Row],[QBRef]],TableQBMaster[QBRef],0)),"")</f>
        <v>Tyrod Taylor</v>
      </c>
      <c r="D52" s="59" t="str">
        <f>IFERROR(INDEX(TableQBMaster[TM],MATCH(TableQBCalcPts[[#This Row],[QBRef]],TableQBMaster[QBRef],0)),"")</f>
        <v>NYJ</v>
      </c>
      <c r="E52" s="59">
        <f>IFERROR(INDEX(TableQBMaster[BYE],MATCH(TableQBCalcPts[[#This Row],[QBRef]],TableQBMaster[QBRef],0)),"")</f>
        <v>12</v>
      </c>
      <c r="F52" s="60">
        <f>IFERROR(INDEX(TableQBMaster[Custom],MATCH(TableQBCalcPts[[#This Row],[QBRef]],TableQBMaster[QBRef],0)),"")</f>
        <v>6.2338821112386551</v>
      </c>
      <c r="H52" s="59">
        <f>IFERROR(RANK(TableRBCalcPts[[#This Row],[Custom]],TableRBCalcPts[Custom])+COUNTIF($M$3:M52,M52)-1,"")</f>
        <v>83</v>
      </c>
      <c r="I52" s="59">
        <v>50</v>
      </c>
      <c r="J52" s="59" t="str">
        <f>IFERROR(INDEX(TableRBMaster[Player],MATCH(TableRBCalcPts[[#This Row],[RBRef]],TableRBMaster[RBRef],0)),"")</f>
        <v>D'Ernest Johnson</v>
      </c>
      <c r="K52" s="59" t="str">
        <f>IFERROR(INDEX(TableRBMaster[TM],MATCH(TableRBCalcPts[[#This Row],[RBRef]],TableRBMaster[RBRef],0)),"")</f>
        <v>JAX</v>
      </c>
      <c r="L52" s="59">
        <f>IFERROR(INDEX(TableRBMaster[BYE],MATCH(TableRBCalcPts[[#This Row],[RBRef]],TableRBMaster[RBRef],0)),"")</f>
        <v>12</v>
      </c>
      <c r="M52" s="60">
        <f>IFERROR(INDEX(TableRBMaster[Custom],MATCH(TableRBCalcPts[[#This Row],[RBRef]],TableRBMaster[RBRef],0)),"")</f>
        <v>25.442433227514666</v>
      </c>
      <c r="O52" s="59">
        <f>IFERROR(RANK(TableWRCalcPts[[#This Row],[Custom]],TableWRCalcPts[Custom])+COUNTIF($T$3:T52,T52)-1,"")</f>
        <v>71</v>
      </c>
      <c r="P52" s="59">
        <v>50</v>
      </c>
      <c r="Q52" s="59" t="str">
        <f>IFERROR(INDEX(TableWRMaster[Player],MATCH(TableWRCalcPts[[#This Row],[WRRef]],TableWRMaster[WRRef],0)),"")</f>
        <v>Josh Reynolds</v>
      </c>
      <c r="R52" s="59" t="str">
        <f>IFERROR(INDEX(TableWRMaster[TM],MATCH(TableWRCalcPts[[#This Row],[WRRef]],TableWRMaster[WRRef],0)),"")</f>
        <v>DEN</v>
      </c>
      <c r="S52" s="59">
        <f>IFERROR(INDEX(TableWRMaster[BYE],MATCH(TableWRCalcPts[[#This Row],[WRRef]],TableWRMaster[WRRef],0)),"")</f>
        <v>14</v>
      </c>
      <c r="T52" s="60">
        <f>IFERROR(INDEX(TableWRMaster[Custom],MATCH(TableWRCalcPts[[#This Row],[WRRef]],TableWRMaster[WRRef],0)),"")</f>
        <v>115.87277082752136</v>
      </c>
      <c r="V52" s="59">
        <f>IFERROR(RANK(TableTECalcPts[[#This Row],[Custom]],TableTECalcPts[Custom])+COUNTIF($AA$3:AA52,AA52)-1,"")</f>
        <v>43</v>
      </c>
      <c r="W52" s="59">
        <v>50</v>
      </c>
      <c r="X52" s="59" t="str">
        <f>IFERROR(INDEX(TableTEMaster[Player],MATCH(TableTECalcPts[[#This Row],[TERef]],TableTEMaster[TERef],0)),"")</f>
        <v>Josh Oliver</v>
      </c>
      <c r="Y52" s="59" t="str">
        <f>IFERROR(INDEX(TableTEMaster[TM],MATCH(TableTECalcPts[[#This Row],[TERef]],TableTEMaster[TERef],0)),"")</f>
        <v>MIN</v>
      </c>
      <c r="Z52" s="59">
        <f>IFERROR(INDEX(TableTEMaster[BYE],MATCH(TableTECalcPts[[#This Row],[TERef]],TableTEMaster[TERef],0)),"")</f>
        <v>6</v>
      </c>
      <c r="AA52" s="60">
        <f>IFERROR(INDEX(TableTEMaster[Custom],MATCH(TableTECalcPts[[#This Row],[TERef]],TableTEMaster[TERef],0)),"")</f>
        <v>43.132444729764075</v>
      </c>
      <c r="AI52" s="59" t="s">
        <v>10</v>
      </c>
      <c r="AJ52" s="59">
        <f>IFERROR(RANK(TableWRTECalcPts[[#This Row],[Custom]],TableWRTECalcPts[Custom])+COUNTIF($AP$3:AP52,AP52)-1,"")</f>
        <v>155</v>
      </c>
      <c r="AK52" s="59">
        <v>50</v>
      </c>
      <c r="AL52" s="59" t="str">
        <f>IFERROR(INDEX(TableTEMaster[Player],MATCH(TableWRTECalcPts[[#This Row],[POSRef]],TableTEMaster[TERef],0)),"")</f>
        <v>Josh Oliver</v>
      </c>
      <c r="AM52" s="59" t="str">
        <f>IFERROR(_xlfn.CONCAT(TableWRTECalcPts[[#This Row],[POS]],INDEX(TableTERanks[RK],MATCH(TableWRTECalcPts[[#This Row],[PLAYER]],TableTERanks[Player],0))),"")</f>
        <v>TE43</v>
      </c>
      <c r="AN52" s="59" t="str">
        <f>IFERROR(INDEX(TableTEMaster[TM],MATCH(TableWRTECalcPts[[#This Row],[POSRef]],TableTEMaster[TERef],0)),"")</f>
        <v>MIN</v>
      </c>
      <c r="AO52" s="59">
        <f>IFERROR(INDEX(TableTEMaster[BYE],MATCH(TableWRTECalcPts[[#This Row],[POSRef]],TableTEMaster[TERef],0)),"")</f>
        <v>6</v>
      </c>
      <c r="AP52" s="60">
        <f>IFERROR(INDEX(TableTEMaster[Custom],MATCH(TableWRTECalcPts[[#This Row],[POSRef]],TableTEMaster[TERef],0)),"")</f>
        <v>43.132444729764075</v>
      </c>
    </row>
    <row r="53" spans="1:42" x14ac:dyDescent="0.25">
      <c r="A53" s="61">
        <f>IFERROR(RANK(TableQBCalcPts[[#This Row],[Custom]],TableQBCalcPts[Custom])+COUNTIF($F$3:F53,F53)-1,"")</f>
        <v>2</v>
      </c>
      <c r="B53" s="59">
        <v>51</v>
      </c>
      <c r="C53" s="59" t="str">
        <f>IFERROR(INDEX(TableQBMaster[Player],MATCH(TableQBCalcPts[[#This Row],[QBRef]],TableQBMaster[QBRef],0)),"")</f>
        <v>Jalen Hurts</v>
      </c>
      <c r="D53" s="59" t="str">
        <f>IFERROR(INDEX(TableQBMaster[TM],MATCH(TableQBCalcPts[[#This Row],[QBRef]],TableQBMaster[QBRef],0)),"")</f>
        <v>PHI</v>
      </c>
      <c r="E53" s="59">
        <f>IFERROR(INDEX(TableQBMaster[BYE],MATCH(TableQBCalcPts[[#This Row],[QBRef]],TableQBMaster[QBRef],0)),"")</f>
        <v>5</v>
      </c>
      <c r="F53" s="60">
        <f>IFERROR(INDEX(TableQBMaster[Custom],MATCH(TableQBCalcPts[[#This Row],[QBRef]],TableQBMaster[QBRef],0)),"")</f>
        <v>372.4356141320917</v>
      </c>
      <c r="H53" s="59">
        <f>IFERROR(RANK(TableRBCalcPts[[#This Row],[Custom]],TableRBCalcPts[Custom])+COUNTIF($M$3:M53,M53)-1,"")</f>
        <v>92</v>
      </c>
      <c r="I53" s="59">
        <v>51</v>
      </c>
      <c r="J53" s="59" t="str">
        <f>IFERROR(INDEX(TableRBMaster[Player],MATCH(TableRBCalcPts[[#This Row],[RBRef]],TableRBMaster[RBRef],0)),"")</f>
        <v>Keillan Robinson</v>
      </c>
      <c r="K53" s="59" t="str">
        <f>IFERROR(INDEX(TableRBMaster[TM],MATCH(TableRBCalcPts[[#This Row],[RBRef]],TableRBMaster[RBRef],0)),"")</f>
        <v>JAX</v>
      </c>
      <c r="L53" s="59">
        <f>IFERROR(INDEX(TableRBMaster[BYE],MATCH(TableRBCalcPts[[#This Row],[RBRef]],TableRBMaster[RBRef],0)),"")</f>
        <v>12</v>
      </c>
      <c r="M53" s="60">
        <f>IFERROR(INDEX(TableRBMaster[Custom],MATCH(TableRBCalcPts[[#This Row],[RBRef]],TableRBMaster[RBRef],0)),"")</f>
        <v>16.817457293879201</v>
      </c>
      <c r="O53" s="59">
        <f>IFERROR(RANK(TableWRCalcPts[[#This Row],[Custom]],TableWRCalcPts[Custom])+COUNTIF($T$3:T53,T53)-1,"")</f>
        <v>73</v>
      </c>
      <c r="P53" s="59">
        <v>51</v>
      </c>
      <c r="Q53" s="59" t="str">
        <f>IFERROR(INDEX(TableWRMaster[Player],MATCH(TableWRCalcPts[[#This Row],[WRRef]],TableWRMaster[WRRef],0)),"")</f>
        <v>Marvin Mims</v>
      </c>
      <c r="R53" s="59" t="str">
        <f>IFERROR(INDEX(TableWRMaster[TM],MATCH(TableWRCalcPts[[#This Row],[WRRef]],TableWRMaster[WRRef],0)),"")</f>
        <v>DEN</v>
      </c>
      <c r="S53" s="59">
        <f>IFERROR(INDEX(TableWRMaster[BYE],MATCH(TableWRCalcPts[[#This Row],[WRRef]],TableWRMaster[WRRef],0)),"")</f>
        <v>14</v>
      </c>
      <c r="T53" s="60">
        <f>IFERROR(INDEX(TableWRMaster[Custom],MATCH(TableWRCalcPts[[#This Row],[WRRef]],TableWRMaster[WRRef],0)),"")</f>
        <v>113.95181857055516</v>
      </c>
      <c r="V53" s="59">
        <f>IFERROR(RANK(TableTECalcPts[[#This Row],[Custom]],TableTECalcPts[Custom])+COUNTIF($AA$3:AA53,AA53)-1,"")</f>
        <v>62</v>
      </c>
      <c r="W53" s="59">
        <v>51</v>
      </c>
      <c r="X53" s="59" t="str">
        <f>IFERROR(INDEX(TableTEMaster[Player],MATCH(TableTECalcPts[[#This Row],[TERef]],TableTEMaster[TERef],0)),"")</f>
        <v>Robert Tonyan</v>
      </c>
      <c r="Y53" s="59" t="str">
        <f>IFERROR(INDEX(TableTEMaster[TM],MATCH(TableTECalcPts[[#This Row],[TERef]],TableTEMaster[TERef],0)),"")</f>
        <v>MIN</v>
      </c>
      <c r="Z53" s="59">
        <f>IFERROR(INDEX(TableTEMaster[BYE],MATCH(TableTECalcPts[[#This Row],[TERef]],TableTEMaster[TERef],0)),"")</f>
        <v>6</v>
      </c>
      <c r="AA53" s="60">
        <f>IFERROR(INDEX(TableTEMaster[Custom],MATCH(TableTECalcPts[[#This Row],[TERef]],TableTEMaster[TERef],0)),"")</f>
        <v>17.787149326799572</v>
      </c>
      <c r="AI53" s="59" t="s">
        <v>10</v>
      </c>
      <c r="AJ53" s="59">
        <f>IFERROR(RANK(TableWRTECalcPts[[#This Row],[Custom]],TableWRTECalcPts[Custom])+COUNTIF($AP$3:AP53,AP53)-1,"")</f>
        <v>204</v>
      </c>
      <c r="AK53" s="59">
        <v>51</v>
      </c>
      <c r="AL53" s="59" t="str">
        <f>IFERROR(INDEX(TableTEMaster[Player],MATCH(TableWRTECalcPts[[#This Row],[POSRef]],TableTEMaster[TERef],0)),"")</f>
        <v>Robert Tonyan</v>
      </c>
      <c r="AM53" s="59" t="str">
        <f>IFERROR(_xlfn.CONCAT(TableWRTECalcPts[[#This Row],[POS]],INDEX(TableTERanks[RK],MATCH(TableWRTECalcPts[[#This Row],[PLAYER]],TableTERanks[Player],0))),"")</f>
        <v>TE62</v>
      </c>
      <c r="AN53" s="59" t="str">
        <f>IFERROR(INDEX(TableTEMaster[TM],MATCH(TableWRTECalcPts[[#This Row],[POSRef]],TableTEMaster[TERef],0)),"")</f>
        <v>MIN</v>
      </c>
      <c r="AO53" s="59">
        <f>IFERROR(INDEX(TableTEMaster[BYE],MATCH(TableWRTECalcPts[[#This Row],[POSRef]],TableTEMaster[TERef],0)),"")</f>
        <v>6</v>
      </c>
      <c r="AP53" s="60">
        <f>IFERROR(INDEX(TableTEMaster[Custom],MATCH(TableWRTECalcPts[[#This Row],[POSRef]],TableTEMaster[TERef],0)),"")</f>
        <v>17.787149326799572</v>
      </c>
    </row>
    <row r="54" spans="1:42" x14ac:dyDescent="0.25">
      <c r="A54" s="61">
        <f>IFERROR(RANK(TableQBCalcPts[[#This Row],[Custom]],TableQBCalcPts[Custom])+COUNTIF($F$3:F54,F54)-1,"")</f>
        <v>54</v>
      </c>
      <c r="B54" s="59">
        <v>52</v>
      </c>
      <c r="C54" s="59" t="str">
        <f>IFERROR(INDEX(TableQBMaster[Player],MATCH(TableQBCalcPts[[#This Row],[QBRef]],TableQBMaster[QBRef],0)),"")</f>
        <v>Kenny Pickett</v>
      </c>
      <c r="D54" s="59" t="str">
        <f>IFERROR(INDEX(TableQBMaster[TM],MATCH(TableQBCalcPts[[#This Row],[QBRef]],TableQBMaster[QBRef],0)),"")</f>
        <v>PHI</v>
      </c>
      <c r="E54" s="59">
        <f>IFERROR(INDEX(TableQBMaster[BYE],MATCH(TableQBCalcPts[[#This Row],[QBRef]],TableQBMaster[QBRef],0)),"")</f>
        <v>5</v>
      </c>
      <c r="F54" s="60">
        <f>IFERROR(INDEX(TableQBMaster[Custom],MATCH(TableQBCalcPts[[#This Row],[QBRef]],TableQBMaster[QBRef],0)),"")</f>
        <v>6.0923809038144068</v>
      </c>
      <c r="H54" s="59">
        <f>IFERROR(RANK(TableRBCalcPts[[#This Row],[Custom]],TableRBCalcPts[Custom])+COUNTIF($M$3:M54,M54)-1,"")</f>
        <v>10</v>
      </c>
      <c r="I54" s="59">
        <v>52</v>
      </c>
      <c r="J54" s="59" t="str">
        <f>IFERROR(INDEX(TableRBMaster[Player],MATCH(TableRBCalcPts[[#This Row],[RBRef]],TableRBMaster[RBRef],0)),"")</f>
        <v>Isiah Pacheco</v>
      </c>
      <c r="K54" s="59" t="str">
        <f>IFERROR(INDEX(TableRBMaster[TM],MATCH(TableRBCalcPts[[#This Row],[RBRef]],TableRBMaster[RBRef],0)),"")</f>
        <v>KC</v>
      </c>
      <c r="L54" s="59">
        <f>IFERROR(INDEX(TableRBMaster[BYE],MATCH(TableRBCalcPts[[#This Row],[RBRef]],TableRBMaster[RBRef],0)),"")</f>
        <v>6</v>
      </c>
      <c r="M54" s="60">
        <f>IFERROR(INDEX(TableRBMaster[Custom],MATCH(TableRBCalcPts[[#This Row],[RBRef]],TableRBMaster[RBRef],0)),"")</f>
        <v>214.06072143966074</v>
      </c>
      <c r="O54" s="59">
        <f>IFERROR(RANK(TableWRCalcPts[[#This Row],[Custom]],TableWRCalcPts[Custom])+COUNTIF($T$3:T54,T54)-1,"")</f>
        <v>91</v>
      </c>
      <c r="P54" s="59">
        <v>52</v>
      </c>
      <c r="Q54" s="59" t="str">
        <f>IFERROR(INDEX(TableWRMaster[Player],MATCH(TableWRCalcPts[[#This Row],[WRRef]],TableWRMaster[WRRef],0)),"")</f>
        <v>Troy Franklin</v>
      </c>
      <c r="R54" s="59" t="str">
        <f>IFERROR(INDEX(TableWRMaster[TM],MATCH(TableWRCalcPts[[#This Row],[WRRef]],TableWRMaster[WRRef],0)),"")</f>
        <v>DEN</v>
      </c>
      <c r="S54" s="59">
        <f>IFERROR(INDEX(TableWRMaster[BYE],MATCH(TableWRCalcPts[[#This Row],[WRRef]],TableWRMaster[WRRef],0)),"")</f>
        <v>14</v>
      </c>
      <c r="T54" s="60">
        <f>IFERROR(INDEX(TableWRMaster[Custom],MATCH(TableWRCalcPts[[#This Row],[WRRef]],TableWRMaster[WRRef],0)),"")</f>
        <v>77.840978498808838</v>
      </c>
      <c r="V54" s="59">
        <f>IFERROR(RANK(TableTECalcPts[[#This Row],[Custom]],TableTECalcPts[Custom])+COUNTIF($AA$3:AA54,AA54)-1,"")</f>
        <v>15</v>
      </c>
      <c r="W54" s="59">
        <v>52</v>
      </c>
      <c r="X54" s="59" t="str">
        <f>IFERROR(INDEX(TableTEMaster[Player],MATCH(TableTECalcPts[[#This Row],[TERef]],TableTEMaster[TERef],0)),"")</f>
        <v>Hunter Henry</v>
      </c>
      <c r="Y54" s="59" t="str">
        <f>IFERROR(INDEX(TableTEMaster[TM],MATCH(TableTECalcPts[[#This Row],[TERef]],TableTEMaster[TERef],0)),"")</f>
        <v>NE</v>
      </c>
      <c r="Z54" s="59">
        <f>IFERROR(INDEX(TableTEMaster[BYE],MATCH(TableTECalcPts[[#This Row],[TERef]],TableTEMaster[TERef],0)),"")</f>
        <v>14</v>
      </c>
      <c r="AA54" s="60">
        <f>IFERROR(INDEX(TableTEMaster[Custom],MATCH(TableTECalcPts[[#This Row],[TERef]],TableTEMaster[TERef],0)),"")</f>
        <v>101.64388453660112</v>
      </c>
      <c r="AI54" s="59" t="s">
        <v>10</v>
      </c>
      <c r="AJ54" s="59">
        <f>IFERROR(RANK(TableWRTECalcPts[[#This Row],[Custom]],TableWRTECalcPts[Custom])+COUNTIF($AP$3:AP54,AP54)-1,"")</f>
        <v>93</v>
      </c>
      <c r="AK54" s="59">
        <v>52</v>
      </c>
      <c r="AL54" s="59" t="str">
        <f>IFERROR(INDEX(TableTEMaster[Player],MATCH(TableWRTECalcPts[[#This Row],[POSRef]],TableTEMaster[TERef],0)),"")</f>
        <v>Hunter Henry</v>
      </c>
      <c r="AM54" s="59" t="str">
        <f>IFERROR(_xlfn.CONCAT(TableWRTECalcPts[[#This Row],[POS]],INDEX(TableTERanks[RK],MATCH(TableWRTECalcPts[[#This Row],[PLAYER]],TableTERanks[Player],0))),"")</f>
        <v>TE15</v>
      </c>
      <c r="AN54" s="59" t="str">
        <f>IFERROR(INDEX(TableTEMaster[TM],MATCH(TableWRTECalcPts[[#This Row],[POSRef]],TableTEMaster[TERef],0)),"")</f>
        <v>NE</v>
      </c>
      <c r="AO54" s="59">
        <f>IFERROR(INDEX(TableTEMaster[BYE],MATCH(TableWRTECalcPts[[#This Row],[POSRef]],TableTEMaster[TERef],0)),"")</f>
        <v>14</v>
      </c>
      <c r="AP54" s="60">
        <f>IFERROR(INDEX(TableTEMaster[Custom],MATCH(TableWRTECalcPts[[#This Row],[POSRef]],TableTEMaster[TERef],0)),"")</f>
        <v>101.64388453660112</v>
      </c>
    </row>
    <row r="55" spans="1:42" x14ac:dyDescent="0.25">
      <c r="A55" s="61">
        <f>IFERROR(RANK(TableQBCalcPts[[#This Row],[Custom]],TableQBCalcPts[Custom])+COUNTIF($F$3:F55,F55)-1,"")</f>
        <v>30</v>
      </c>
      <c r="B55" s="59">
        <v>53</v>
      </c>
      <c r="C55" s="59" t="str">
        <f>IFERROR(INDEX(TableQBMaster[Player],MATCH(TableQBCalcPts[[#This Row],[QBRef]],TableQBMaster[QBRef],0)),"")</f>
        <v>Russell Wilson</v>
      </c>
      <c r="D55" s="59" t="str">
        <f>IFERROR(INDEX(TableQBMaster[TM],MATCH(TableQBCalcPts[[#This Row],[QBRef]],TableQBMaster[QBRef],0)),"")</f>
        <v>PIT</v>
      </c>
      <c r="E55" s="59">
        <f>IFERROR(INDEX(TableQBMaster[BYE],MATCH(TableQBCalcPts[[#This Row],[QBRef]],TableQBMaster[QBRef],0)),"")</f>
        <v>9</v>
      </c>
      <c r="F55" s="60">
        <f>IFERROR(INDEX(TableQBMaster[Custom],MATCH(TableQBCalcPts[[#This Row],[QBRef]],TableQBMaster[QBRef],0)),"")</f>
        <v>209.11725262807195</v>
      </c>
      <c r="H55" s="59">
        <f>IFERROR(RANK(TableRBCalcPts[[#This Row],[Custom]],TableRBCalcPts[Custom])+COUNTIF($M$3:M55,M55)-1,"")</f>
        <v>87</v>
      </c>
      <c r="I55" s="59">
        <v>53</v>
      </c>
      <c r="J55" s="59" t="str">
        <f>IFERROR(INDEX(TableRBMaster[Player],MATCH(TableRBCalcPts[[#This Row],[RBRef]],TableRBMaster[RBRef],0)),"")</f>
        <v>Clyde Edwards-Helaire</v>
      </c>
      <c r="K55" s="59" t="str">
        <f>IFERROR(INDEX(TableRBMaster[TM],MATCH(TableRBCalcPts[[#This Row],[RBRef]],TableRBMaster[RBRef],0)),"")</f>
        <v>KC</v>
      </c>
      <c r="L55" s="59">
        <f>IFERROR(INDEX(TableRBMaster[BYE],MATCH(TableRBCalcPts[[#This Row],[RBRef]],TableRBMaster[RBRef],0)),"")</f>
        <v>6</v>
      </c>
      <c r="M55" s="60">
        <f>IFERROR(INDEX(TableRBMaster[Custom],MATCH(TableRBCalcPts[[#This Row],[RBRef]],TableRBMaster[RBRef],0)),"")</f>
        <v>19.953388884589188</v>
      </c>
      <c r="O55" s="59">
        <f>IFERROR(RANK(TableWRCalcPts[[#This Row],[Custom]],TableWRCalcPts[Custom])+COUNTIF($T$3:T55,T55)-1,"")</f>
        <v>122</v>
      </c>
      <c r="P55" s="59">
        <v>53</v>
      </c>
      <c r="Q55" s="59" t="str">
        <f>IFERROR(INDEX(TableWRMaster[Player],MATCH(TableWRCalcPts[[#This Row],[WRRef]],TableWRMaster[WRRef],0)),"")</f>
        <v>Devaughn Vele</v>
      </c>
      <c r="R55" s="59" t="str">
        <f>IFERROR(INDEX(TableWRMaster[TM],MATCH(TableWRCalcPts[[#This Row],[WRRef]],TableWRMaster[WRRef],0)),"")</f>
        <v>DEN</v>
      </c>
      <c r="S55" s="59">
        <f>IFERROR(INDEX(TableWRMaster[BYE],MATCH(TableWRCalcPts[[#This Row],[WRRef]],TableWRMaster[WRRef],0)),"")</f>
        <v>14</v>
      </c>
      <c r="T55" s="60">
        <f>IFERROR(INDEX(TableWRMaster[Custom],MATCH(TableWRCalcPts[[#This Row],[WRRef]],TableWRMaster[WRRef],0)),"")</f>
        <v>30.025220415601204</v>
      </c>
      <c r="V55" s="59">
        <f>IFERROR(RANK(TableTECalcPts[[#This Row],[Custom]],TableTECalcPts[Custom])+COUNTIF($AA$3:AA55,AA55)-1,"")</f>
        <v>47</v>
      </c>
      <c r="W55" s="59">
        <v>53</v>
      </c>
      <c r="X55" s="59" t="str">
        <f>IFERROR(INDEX(TableTEMaster[Player],MATCH(TableTECalcPts[[#This Row],[TERef]],TableTEMaster[TERef],0)),"")</f>
        <v>Austin Hooper</v>
      </c>
      <c r="Y55" s="59" t="str">
        <f>IFERROR(INDEX(TableTEMaster[TM],MATCH(TableTECalcPts[[#This Row],[TERef]],TableTEMaster[TERef],0)),"")</f>
        <v>NE</v>
      </c>
      <c r="Z55" s="59">
        <f>IFERROR(INDEX(TableTEMaster[BYE],MATCH(TableTECalcPts[[#This Row],[TERef]],TableTEMaster[TERef],0)),"")</f>
        <v>14</v>
      </c>
      <c r="AA55" s="60">
        <f>IFERROR(INDEX(TableTEMaster[Custom],MATCH(TableTECalcPts[[#This Row],[TERef]],TableTEMaster[TERef],0)),"")</f>
        <v>35.870510360635265</v>
      </c>
      <c r="AI55" s="59" t="s">
        <v>10</v>
      </c>
      <c r="AJ55" s="59">
        <f>IFERROR(RANK(TableWRTECalcPts[[#This Row],[Custom]],TableWRTECalcPts[Custom])+COUNTIF($AP$3:AP55,AP55)-1,"")</f>
        <v>163</v>
      </c>
      <c r="AK55" s="59">
        <v>53</v>
      </c>
      <c r="AL55" s="59" t="str">
        <f>IFERROR(INDEX(TableTEMaster[Player],MATCH(TableWRTECalcPts[[#This Row],[POSRef]],TableTEMaster[TERef],0)),"")</f>
        <v>Austin Hooper</v>
      </c>
      <c r="AM55" s="59" t="str">
        <f>IFERROR(_xlfn.CONCAT(TableWRTECalcPts[[#This Row],[POS]],INDEX(TableTERanks[RK],MATCH(TableWRTECalcPts[[#This Row],[PLAYER]],TableTERanks[Player],0))),"")</f>
        <v>TE47</v>
      </c>
      <c r="AN55" s="59" t="str">
        <f>IFERROR(INDEX(TableTEMaster[TM],MATCH(TableWRTECalcPts[[#This Row],[POSRef]],TableTEMaster[TERef],0)),"")</f>
        <v>NE</v>
      </c>
      <c r="AO55" s="59">
        <f>IFERROR(INDEX(TableTEMaster[BYE],MATCH(TableWRTECalcPts[[#This Row],[POSRef]],TableTEMaster[TERef],0)),"")</f>
        <v>14</v>
      </c>
      <c r="AP55" s="60">
        <f>IFERROR(INDEX(TableTEMaster[Custom],MATCH(TableWRTECalcPts[[#This Row],[POSRef]],TableTEMaster[TERef],0)),"")</f>
        <v>35.870510360635265</v>
      </c>
    </row>
    <row r="56" spans="1:42" x14ac:dyDescent="0.25">
      <c r="A56" s="61">
        <f>IFERROR(RANK(TableQBCalcPts[[#This Row],[Custom]],TableQBCalcPts[Custom])+COUNTIF($F$3:F56,F56)-1,"")</f>
        <v>34</v>
      </c>
      <c r="B56" s="59">
        <v>54</v>
      </c>
      <c r="C56" s="59" t="str">
        <f>IFERROR(INDEX(TableQBMaster[Player],MATCH(TableQBCalcPts[[#This Row],[QBRef]],TableQBMaster[QBRef],0)),"")</f>
        <v>Justin Fields</v>
      </c>
      <c r="D56" s="59" t="str">
        <f>IFERROR(INDEX(TableQBMaster[TM],MATCH(TableQBCalcPts[[#This Row],[QBRef]],TableQBMaster[QBRef],0)),"")</f>
        <v>PIT</v>
      </c>
      <c r="E56" s="59">
        <f>IFERROR(INDEX(TableQBMaster[BYE],MATCH(TableQBCalcPts[[#This Row],[QBRef]],TableQBMaster[QBRef],0)),"")</f>
        <v>9</v>
      </c>
      <c r="F56" s="60">
        <f>IFERROR(INDEX(TableQBMaster[Custom],MATCH(TableQBCalcPts[[#This Row],[QBRef]],TableQBMaster[QBRef],0)),"")</f>
        <v>84.962265033129825</v>
      </c>
      <c r="H56" s="59">
        <f>IFERROR(RANK(TableRBCalcPts[[#This Row],[Custom]],TableRBCalcPts[Custom])+COUNTIF($M$3:M56,M56)-1,"")</f>
        <v>104</v>
      </c>
      <c r="I56" s="59">
        <v>54</v>
      </c>
      <c r="J56" s="59" t="str">
        <f>IFERROR(INDEX(TableRBMaster[Player],MATCH(TableRBCalcPts[[#This Row],[RBRef]],TableRBMaster[RBRef],0)),"")</f>
        <v>Carson Steele</v>
      </c>
      <c r="K56" s="59" t="str">
        <f>IFERROR(INDEX(TableRBMaster[TM],MATCH(TableRBCalcPts[[#This Row],[RBRef]],TableRBMaster[RBRef],0)),"")</f>
        <v>KC</v>
      </c>
      <c r="L56" s="59">
        <f>IFERROR(INDEX(TableRBMaster[BYE],MATCH(TableRBCalcPts[[#This Row],[RBRef]],TableRBMaster[RBRef],0)),"")</f>
        <v>6</v>
      </c>
      <c r="M56" s="60">
        <f>IFERROR(INDEX(TableRBMaster[Custom],MATCH(TableRBCalcPts[[#This Row],[RBRef]],TableRBMaster[RBRef],0)),"")</f>
        <v>9.9794258962344884</v>
      </c>
      <c r="O56" s="59">
        <f>IFERROR(RANK(TableWRCalcPts[[#This Row],[Custom]],TableWRCalcPts[Custom])+COUNTIF($T$3:T56,T56)-1,"")</f>
        <v>43</v>
      </c>
      <c r="P56" s="59">
        <v>54</v>
      </c>
      <c r="Q56" s="59" t="str">
        <f>IFERROR(INDEX(TableWRMaster[Player],MATCH(TableWRCalcPts[[#This Row],[WRRef]],TableWRMaster[WRRef],0)),"")</f>
        <v>Jameson Williams</v>
      </c>
      <c r="R56" s="59" t="str">
        <f>IFERROR(INDEX(TableWRMaster[TM],MATCH(TableWRCalcPts[[#This Row],[WRRef]],TableWRMaster[WRRef],0)),"")</f>
        <v>DET</v>
      </c>
      <c r="S56" s="59">
        <f>IFERROR(INDEX(TableWRMaster[BYE],MATCH(TableWRCalcPts[[#This Row],[WRRef]],TableWRMaster[WRRef],0)),"")</f>
        <v>5</v>
      </c>
      <c r="T56" s="60">
        <f>IFERROR(INDEX(TableWRMaster[Custom],MATCH(TableWRCalcPts[[#This Row],[WRRef]],TableWRMaster[WRRef],0)),"")</f>
        <v>164.89881363257362</v>
      </c>
      <c r="V56" s="59">
        <f>IFERROR(RANK(TableTECalcPts[[#This Row],[Custom]],TableTECalcPts[Custom])+COUNTIF($AA$3:AA56,AA56)-1,"")</f>
        <v>22</v>
      </c>
      <c r="W56" s="59">
        <v>54</v>
      </c>
      <c r="X56" s="59" t="str">
        <f>IFERROR(INDEX(TableTEMaster[Player],MATCH(TableTECalcPts[[#This Row],[TERef]],TableTEMaster[TERef],0)),"")</f>
        <v>Juwan Johnson</v>
      </c>
      <c r="Y56" s="59" t="str">
        <f>IFERROR(INDEX(TableTEMaster[TM],MATCH(TableTECalcPts[[#This Row],[TERef]],TableTEMaster[TERef],0)),"")</f>
        <v>NO</v>
      </c>
      <c r="Z56" s="59">
        <f>IFERROR(INDEX(TableTEMaster[BYE],MATCH(TableTECalcPts[[#This Row],[TERef]],TableTEMaster[TERef],0)),"")</f>
        <v>12</v>
      </c>
      <c r="AA56" s="60">
        <f>IFERROR(INDEX(TableTEMaster[Custom],MATCH(TableTECalcPts[[#This Row],[TERef]],TableTEMaster[TERef],0)),"")</f>
        <v>91.985181995682751</v>
      </c>
      <c r="AI56" s="59" t="s">
        <v>10</v>
      </c>
      <c r="AJ56" s="59">
        <f>IFERROR(RANK(TableWRTECalcPts[[#This Row],[Custom]],TableWRTECalcPts[Custom])+COUNTIF($AP$3:AP56,AP56)-1,"")</f>
        <v>108</v>
      </c>
      <c r="AK56" s="59">
        <v>54</v>
      </c>
      <c r="AL56" s="59" t="str">
        <f>IFERROR(INDEX(TableTEMaster[Player],MATCH(TableWRTECalcPts[[#This Row],[POSRef]],TableTEMaster[TERef],0)),"")</f>
        <v>Juwan Johnson</v>
      </c>
      <c r="AM56" s="59" t="str">
        <f>IFERROR(_xlfn.CONCAT(TableWRTECalcPts[[#This Row],[POS]],INDEX(TableTERanks[RK],MATCH(TableWRTECalcPts[[#This Row],[PLAYER]],TableTERanks[Player],0))),"")</f>
        <v>TE22</v>
      </c>
      <c r="AN56" s="59" t="str">
        <f>IFERROR(INDEX(TableTEMaster[TM],MATCH(TableWRTECalcPts[[#This Row],[POSRef]],TableTEMaster[TERef],0)),"")</f>
        <v>NO</v>
      </c>
      <c r="AO56" s="59">
        <f>IFERROR(INDEX(TableTEMaster[BYE],MATCH(TableWRTECalcPts[[#This Row],[POSRef]],TableTEMaster[TERef],0)),"")</f>
        <v>12</v>
      </c>
      <c r="AP56" s="60">
        <f>IFERROR(INDEX(TableTEMaster[Custom],MATCH(TableWRTECalcPts[[#This Row],[POSRef]],TableTEMaster[TERef],0)),"")</f>
        <v>91.985181995682751</v>
      </c>
    </row>
    <row r="57" spans="1:42" x14ac:dyDescent="0.25">
      <c r="A57" s="61">
        <f>IFERROR(RANK(TableQBCalcPts[[#This Row],[Custom]],TableQBCalcPts[Custom])+COUNTIF($F$3:F57,F57)-1,"")</f>
        <v>26</v>
      </c>
      <c r="B57" s="59">
        <v>55</v>
      </c>
      <c r="C57" s="59" t="str">
        <f>IFERROR(INDEX(TableQBMaster[Player],MATCH(TableQBCalcPts[[#This Row],[QBRef]],TableQBMaster[QBRef],0)),"")</f>
        <v>Geno Smith</v>
      </c>
      <c r="D57" s="59" t="str">
        <f>IFERROR(INDEX(TableQBMaster[TM],MATCH(TableQBCalcPts[[#This Row],[QBRef]],TableQBMaster[QBRef],0)),"")</f>
        <v>SEA</v>
      </c>
      <c r="E57" s="59">
        <f>IFERROR(INDEX(TableQBMaster[BYE],MATCH(TableQBCalcPts[[#This Row],[QBRef]],TableQBMaster[QBRef],0)),"")</f>
        <v>10</v>
      </c>
      <c r="F57" s="60">
        <f>IFERROR(INDEX(TableQBMaster[Custom],MATCH(TableQBCalcPts[[#This Row],[QBRef]],TableQBMaster[QBRef],0)),"")</f>
        <v>264.83536145652607</v>
      </c>
      <c r="H57" s="59">
        <f>IFERROR(RANK(TableRBCalcPts[[#This Row],[Custom]],TableRBCalcPts[Custom])+COUNTIF($M$3:M57,M57)-1,"")</f>
        <v>60</v>
      </c>
      <c r="I57" s="59">
        <v>55</v>
      </c>
      <c r="J57" s="59" t="str">
        <f>IFERROR(INDEX(TableRBMaster[Player],MATCH(TableRBCalcPts[[#This Row],[RBRef]],TableRBMaster[RBRef],0)),"")</f>
        <v>Samaje Perine</v>
      </c>
      <c r="K57" s="59" t="str">
        <f>IFERROR(INDEX(TableRBMaster[TM],MATCH(TableRBCalcPts[[#This Row],[RBRef]],TableRBMaster[RBRef],0)),"")</f>
        <v>KC</v>
      </c>
      <c r="L57" s="59">
        <f>IFERROR(INDEX(TableRBMaster[BYE],MATCH(TableRBCalcPts[[#This Row],[RBRef]],TableRBMaster[RBRef],0)),"")</f>
        <v>6</v>
      </c>
      <c r="M57" s="60">
        <f>IFERROR(INDEX(TableRBMaster[Custom],MATCH(TableRBCalcPts[[#This Row],[RBRef]],TableRBMaster[RBRef],0)),"")</f>
        <v>71.651809288191984</v>
      </c>
      <c r="O57" s="59">
        <f>IFERROR(RANK(TableWRCalcPts[[#This Row],[Custom]],TableWRCalcPts[Custom])+COUNTIF($T$3:T57,T57)-1,"")</f>
        <v>3</v>
      </c>
      <c r="P57" s="59">
        <v>55</v>
      </c>
      <c r="Q57" s="59" t="str">
        <f>IFERROR(INDEX(TableWRMaster[Player],MATCH(TableWRCalcPts[[#This Row],[WRRef]],TableWRMaster[WRRef],0)),"")</f>
        <v>Amon-Ra St. Brown</v>
      </c>
      <c r="R57" s="59" t="str">
        <f>IFERROR(INDEX(TableWRMaster[TM],MATCH(TableWRCalcPts[[#This Row],[WRRef]],TableWRMaster[WRRef],0)),"")</f>
        <v>DET</v>
      </c>
      <c r="S57" s="59">
        <f>IFERROR(INDEX(TableWRMaster[BYE],MATCH(TableWRCalcPts[[#This Row],[WRRef]],TableWRMaster[WRRef],0)),"")</f>
        <v>5</v>
      </c>
      <c r="T57" s="60">
        <f>IFERROR(INDEX(TableWRMaster[Custom],MATCH(TableWRCalcPts[[#This Row],[WRRef]],TableWRMaster[WRRef],0)),"")</f>
        <v>251.21556304873667</v>
      </c>
      <c r="V57" s="59">
        <f>IFERROR(RANK(TableTECalcPts[[#This Row],[Custom]],TableTECalcPts[Custom])+COUNTIF($AA$3:AA57,AA57)-1,"")</f>
        <v>45</v>
      </c>
      <c r="W57" s="59">
        <v>55</v>
      </c>
      <c r="X57" s="59" t="str">
        <f>IFERROR(INDEX(TableTEMaster[Player],MATCH(TableTECalcPts[[#This Row],[TERef]],TableTEMaster[TERef],0)),"")</f>
        <v>Taysom Hill</v>
      </c>
      <c r="Y57" s="59" t="str">
        <f>IFERROR(INDEX(TableTEMaster[TM],MATCH(TableTECalcPts[[#This Row],[TERef]],TableTEMaster[TERef],0)),"")</f>
        <v>NO</v>
      </c>
      <c r="Z57" s="59">
        <f>IFERROR(INDEX(TableTEMaster[BYE],MATCH(TableTECalcPts[[#This Row],[TERef]],TableTEMaster[TERef],0)),"")</f>
        <v>12</v>
      </c>
      <c r="AA57" s="60">
        <f>IFERROR(INDEX(TableTEMaster[Custom],MATCH(TableTECalcPts[[#This Row],[TERef]],TableTEMaster[TERef],0)),"")</f>
        <v>40.294182781789544</v>
      </c>
      <c r="AI57" s="59" t="s">
        <v>10</v>
      </c>
      <c r="AJ57" s="59">
        <f>IFERROR(RANK(TableWRTECalcPts[[#This Row],[Custom]],TableWRTECalcPts[Custom])+COUNTIF($AP$3:AP57,AP57)-1,"")</f>
        <v>159</v>
      </c>
      <c r="AK57" s="59">
        <v>55</v>
      </c>
      <c r="AL57" s="59" t="str">
        <f>IFERROR(INDEX(TableTEMaster[Player],MATCH(TableWRTECalcPts[[#This Row],[POSRef]],TableTEMaster[TERef],0)),"")</f>
        <v>Taysom Hill</v>
      </c>
      <c r="AM57" s="59" t="str">
        <f>IFERROR(_xlfn.CONCAT(TableWRTECalcPts[[#This Row],[POS]],INDEX(TableTERanks[RK],MATCH(TableWRTECalcPts[[#This Row],[PLAYER]],TableTERanks[Player],0))),"")</f>
        <v>TE45</v>
      </c>
      <c r="AN57" s="59" t="str">
        <f>IFERROR(INDEX(TableTEMaster[TM],MATCH(TableWRTECalcPts[[#This Row],[POSRef]],TableTEMaster[TERef],0)),"")</f>
        <v>NO</v>
      </c>
      <c r="AO57" s="59">
        <f>IFERROR(INDEX(TableTEMaster[BYE],MATCH(TableWRTECalcPts[[#This Row],[POSRef]],TableTEMaster[TERef],0)),"")</f>
        <v>12</v>
      </c>
      <c r="AP57" s="60">
        <f>IFERROR(INDEX(TableTEMaster[Custom],MATCH(TableWRTECalcPts[[#This Row],[POSRef]],TableTEMaster[TERef],0)),"")</f>
        <v>40.294182781789544</v>
      </c>
    </row>
    <row r="58" spans="1:42" x14ac:dyDescent="0.25">
      <c r="A58" s="61">
        <f>IFERROR(RANK(TableQBCalcPts[[#This Row],[Custom]],TableQBCalcPts[Custom])+COUNTIF($F$3:F58,F58)-1,"")</f>
        <v>38</v>
      </c>
      <c r="B58" s="59">
        <v>56</v>
      </c>
      <c r="C58" s="59" t="str">
        <f>IFERROR(INDEX(TableQBMaster[Player],MATCH(TableQBCalcPts[[#This Row],[QBRef]],TableQBMaster[QBRef],0)),"")</f>
        <v>Sam Howell</v>
      </c>
      <c r="D58" s="59" t="str">
        <f>IFERROR(INDEX(TableQBMaster[TM],MATCH(TableQBCalcPts[[#This Row],[QBRef]],TableQBMaster[QBRef],0)),"")</f>
        <v>SEA</v>
      </c>
      <c r="E58" s="59">
        <f>IFERROR(INDEX(TableQBMaster[BYE],MATCH(TableQBCalcPts[[#This Row],[QBRef]],TableQBMaster[QBRef],0)),"")</f>
        <v>10</v>
      </c>
      <c r="F58" s="60">
        <f>IFERROR(INDEX(TableQBMaster[Custom],MATCH(TableQBCalcPts[[#This Row],[QBRef]],TableQBMaster[QBRef],0)),"")</f>
        <v>27.688196317621554</v>
      </c>
      <c r="H58" s="59">
        <f>IFERROR(RANK(TableRBCalcPts[[#This Row],[Custom]],TableRBCalcPts[Custom])+COUNTIF($M$3:M58,M58)-1,"")</f>
        <v>32</v>
      </c>
      <c r="I58" s="59">
        <v>56</v>
      </c>
      <c r="J58" s="59" t="str">
        <f>IFERROR(INDEX(TableRBMaster[Player],MATCH(TableRBCalcPts[[#This Row],[RBRef]],TableRBMaster[RBRef],0)),"")</f>
        <v>Gus Edwards</v>
      </c>
      <c r="K58" s="59" t="str">
        <f>IFERROR(INDEX(TableRBMaster[TM],MATCH(TableRBCalcPts[[#This Row],[RBRef]],TableRBMaster[RBRef],0)),"")</f>
        <v>LAC</v>
      </c>
      <c r="L58" s="59">
        <f>IFERROR(INDEX(TableRBMaster[BYE],MATCH(TableRBCalcPts[[#This Row],[RBRef]],TableRBMaster[RBRef],0)),"")</f>
        <v>5</v>
      </c>
      <c r="M58" s="60">
        <f>IFERROR(INDEX(TableRBMaster[Custom],MATCH(TableRBCalcPts[[#This Row],[RBRef]],TableRBMaster[RBRef],0)),"")</f>
        <v>159.16946682775205</v>
      </c>
      <c r="O58" s="59">
        <f>IFERROR(RANK(TableWRCalcPts[[#This Row],[Custom]],TableWRCalcPts[Custom])+COUNTIF($T$3:T58,T58)-1,"")</f>
        <v>124</v>
      </c>
      <c r="P58" s="59">
        <v>56</v>
      </c>
      <c r="Q58" s="59" t="str">
        <f>IFERROR(INDEX(TableWRMaster[Player],MATCH(TableWRCalcPts[[#This Row],[WRRef]],TableWRMaster[WRRef],0)),"")</f>
        <v>Tim Patrick</v>
      </c>
      <c r="R58" s="59" t="str">
        <f>IFERROR(INDEX(TableWRMaster[TM],MATCH(TableWRCalcPts[[#This Row],[WRRef]],TableWRMaster[WRRef],0)),"")</f>
        <v>DET</v>
      </c>
      <c r="S58" s="59">
        <f>IFERROR(INDEX(TableWRMaster[BYE],MATCH(TableWRCalcPts[[#This Row],[WRRef]],TableWRMaster[WRRef],0)),"")</f>
        <v>5</v>
      </c>
      <c r="T58" s="60">
        <f>IFERROR(INDEX(TableWRMaster[Custom],MATCH(TableWRCalcPts[[#This Row],[WRRef]],TableWRMaster[WRRef],0)),"")</f>
        <v>29.408646755318752</v>
      </c>
      <c r="V58" s="59">
        <f>IFERROR(RANK(TableTECalcPts[[#This Row],[Custom]],TableTECalcPts[Custom])+COUNTIF($AA$3:AA58,AA58)-1,"")</f>
        <v>74</v>
      </c>
      <c r="W58" s="59">
        <v>56</v>
      </c>
      <c r="X58" s="59" t="str">
        <f>IFERROR(INDEX(TableTEMaster[Player],MATCH(TableTECalcPts[[#This Row],[TERef]],TableTEMaster[TERef],0)),"")</f>
        <v>Foster Moreau</v>
      </c>
      <c r="Y58" s="59" t="str">
        <f>IFERROR(INDEX(TableTEMaster[TM],MATCH(TableTECalcPts[[#This Row],[TERef]],TableTEMaster[TERef],0)),"")</f>
        <v>NO</v>
      </c>
      <c r="Z58" s="59">
        <f>IFERROR(INDEX(TableTEMaster[BYE],MATCH(TableTECalcPts[[#This Row],[TERef]],TableTEMaster[TERef],0)),"")</f>
        <v>12</v>
      </c>
      <c r="AA58" s="60">
        <f>IFERROR(INDEX(TableTEMaster[Custom],MATCH(TableTECalcPts[[#This Row],[TERef]],TableTEMaster[TERef],0)),"")</f>
        <v>8.164501865644608</v>
      </c>
      <c r="AI58" s="59" t="s">
        <v>10</v>
      </c>
      <c r="AJ58" s="59">
        <f>IFERROR(RANK(TableWRTECalcPts[[#This Row],[Custom]],TableWRTECalcPts[Custom])+COUNTIF($AP$3:AP58,AP58)-1,"")</f>
        <v>243</v>
      </c>
      <c r="AK58" s="59">
        <v>56</v>
      </c>
      <c r="AL58" s="59" t="str">
        <f>IFERROR(INDEX(TableTEMaster[Player],MATCH(TableWRTECalcPts[[#This Row],[POSRef]],TableTEMaster[TERef],0)),"")</f>
        <v>Foster Moreau</v>
      </c>
      <c r="AM58" s="59" t="str">
        <f>IFERROR(_xlfn.CONCAT(TableWRTECalcPts[[#This Row],[POS]],INDEX(TableTERanks[RK],MATCH(TableWRTECalcPts[[#This Row],[PLAYER]],TableTERanks[Player],0))),"")</f>
        <v>TE74</v>
      </c>
      <c r="AN58" s="59" t="str">
        <f>IFERROR(INDEX(TableTEMaster[TM],MATCH(TableWRTECalcPts[[#This Row],[POSRef]],TableTEMaster[TERef],0)),"")</f>
        <v>NO</v>
      </c>
      <c r="AO58" s="59">
        <f>IFERROR(INDEX(TableTEMaster[BYE],MATCH(TableWRTECalcPts[[#This Row],[POSRef]],TableTEMaster[TERef],0)),"")</f>
        <v>12</v>
      </c>
      <c r="AP58" s="60">
        <f>IFERROR(INDEX(TableTEMaster[Custom],MATCH(TableWRTECalcPts[[#This Row],[POSRef]],TableTEMaster[TERef],0)),"")</f>
        <v>8.164501865644608</v>
      </c>
    </row>
    <row r="59" spans="1:42" x14ac:dyDescent="0.25">
      <c r="A59" s="61">
        <f>IFERROR(RANK(TableQBCalcPts[[#This Row],[Custom]],TableQBCalcPts[Custom])+COUNTIF($F$3:F59,F59)-1,"")</f>
        <v>12</v>
      </c>
      <c r="B59" s="59">
        <v>57</v>
      </c>
      <c r="C59" s="59" t="str">
        <f>IFERROR(INDEX(TableQBMaster[Player],MATCH(TableQBCalcPts[[#This Row],[QBRef]],TableQBMaster[QBRef],0)),"")</f>
        <v>Brock Purdy</v>
      </c>
      <c r="D59" s="59" t="str">
        <f>IFERROR(INDEX(TableQBMaster[TM],MATCH(TableQBCalcPts[[#This Row],[QBRef]],TableQBMaster[QBRef],0)),"")</f>
        <v>SF</v>
      </c>
      <c r="E59" s="59">
        <f>IFERROR(INDEX(TableQBMaster[BYE],MATCH(TableQBCalcPts[[#This Row],[QBRef]],TableQBMaster[QBRef],0)),"")</f>
        <v>9</v>
      </c>
      <c r="F59" s="60">
        <f>IFERROR(INDEX(TableQBMaster[Custom],MATCH(TableQBCalcPts[[#This Row],[QBRef]],TableQBMaster[QBRef],0)),"")</f>
        <v>313.75022578782216</v>
      </c>
      <c r="H59" s="59">
        <f>IFERROR(RANK(TableRBCalcPts[[#This Row],[Custom]],TableRBCalcPts[Custom])+COUNTIF($M$3:M59,M59)-1,"")</f>
        <v>37</v>
      </c>
      <c r="I59" s="59">
        <v>57</v>
      </c>
      <c r="J59" s="59" t="str">
        <f>IFERROR(INDEX(TableRBMaster[Player],MATCH(TableRBCalcPts[[#This Row],[RBRef]],TableRBMaster[RBRef],0)),"")</f>
        <v>J.K. Dobbins</v>
      </c>
      <c r="K59" s="59" t="str">
        <f>IFERROR(INDEX(TableRBMaster[TM],MATCH(TableRBCalcPts[[#This Row],[RBRef]],TableRBMaster[RBRef],0)),"")</f>
        <v>LAC</v>
      </c>
      <c r="L59" s="59">
        <f>IFERROR(INDEX(TableRBMaster[BYE],MATCH(TableRBCalcPts[[#This Row],[RBRef]],TableRBMaster[RBRef],0)),"")</f>
        <v>5</v>
      </c>
      <c r="M59" s="60">
        <f>IFERROR(INDEX(TableRBMaster[Custom],MATCH(TableRBCalcPts[[#This Row],[RBRef]],TableRBMaster[RBRef],0)),"")</f>
        <v>141.01839423318069</v>
      </c>
      <c r="O59" s="59">
        <f>IFERROR(RANK(TableWRCalcPts[[#This Row],[Custom]],TableWRCalcPts[Custom])+COUNTIF($T$3:T59,T59)-1,"")</f>
        <v>92</v>
      </c>
      <c r="P59" s="59">
        <v>57</v>
      </c>
      <c r="Q59" s="59" t="str">
        <f>IFERROR(INDEX(TableWRMaster[Player],MATCH(TableWRCalcPts[[#This Row],[WRRef]],TableWRMaster[WRRef],0)),"")</f>
        <v>Kalif Raymond</v>
      </c>
      <c r="R59" s="59" t="str">
        <f>IFERROR(INDEX(TableWRMaster[TM],MATCH(TableWRCalcPts[[#This Row],[WRRef]],TableWRMaster[WRRef],0)),"")</f>
        <v>DET</v>
      </c>
      <c r="S59" s="59">
        <f>IFERROR(INDEX(TableWRMaster[BYE],MATCH(TableWRCalcPts[[#This Row],[WRRef]],TableWRMaster[WRRef],0)),"")</f>
        <v>5</v>
      </c>
      <c r="T59" s="60">
        <f>IFERROR(INDEX(TableWRMaster[Custom],MATCH(TableWRCalcPts[[#This Row],[WRRef]],TableWRMaster[WRRef],0)),"")</f>
        <v>75.815283346782593</v>
      </c>
      <c r="V59" s="59">
        <f>IFERROR(RANK(TableTECalcPts[[#This Row],[Custom]],TableTECalcPts[Custom])+COUNTIF($AA$3:AA59,AA59)-1,"")</f>
        <v>38</v>
      </c>
      <c r="W59" s="59">
        <v>57</v>
      </c>
      <c r="X59" s="59" t="str">
        <f>IFERROR(INDEX(TableTEMaster[Player],MATCH(TableTECalcPts[[#This Row],[TERef]],TableTEMaster[TERef],0)),"")</f>
        <v>Daniel Bellinger</v>
      </c>
      <c r="Y59" s="59" t="str">
        <f>IFERROR(INDEX(TableTEMaster[TM],MATCH(TableTECalcPts[[#This Row],[TERef]],TableTEMaster[TERef],0)),"")</f>
        <v>NYG</v>
      </c>
      <c r="Z59" s="59">
        <f>IFERROR(INDEX(TableTEMaster[BYE],MATCH(TableTECalcPts[[#This Row],[TERef]],TableTEMaster[TERef],0)),"")</f>
        <v>11</v>
      </c>
      <c r="AA59" s="60">
        <f>IFERROR(INDEX(TableTEMaster[Custom],MATCH(TableTECalcPts[[#This Row],[TERef]],TableTEMaster[TERef],0)),"")</f>
        <v>52.988011934465121</v>
      </c>
      <c r="AI59" s="59" t="s">
        <v>10</v>
      </c>
      <c r="AJ59" s="59">
        <f>IFERROR(RANK(TableWRTECalcPts[[#This Row],[Custom]],TableWRTECalcPts[Custom])+COUNTIF($AP$3:AP59,AP59)-1,"")</f>
        <v>144</v>
      </c>
      <c r="AK59" s="59">
        <v>57</v>
      </c>
      <c r="AL59" s="59" t="str">
        <f>IFERROR(INDEX(TableTEMaster[Player],MATCH(TableWRTECalcPts[[#This Row],[POSRef]],TableTEMaster[TERef],0)),"")</f>
        <v>Daniel Bellinger</v>
      </c>
      <c r="AM59" s="59" t="str">
        <f>IFERROR(_xlfn.CONCAT(TableWRTECalcPts[[#This Row],[POS]],INDEX(TableTERanks[RK],MATCH(TableWRTECalcPts[[#This Row],[PLAYER]],TableTERanks[Player],0))),"")</f>
        <v>TE38</v>
      </c>
      <c r="AN59" s="59" t="str">
        <f>IFERROR(INDEX(TableTEMaster[TM],MATCH(TableWRTECalcPts[[#This Row],[POSRef]],TableTEMaster[TERef],0)),"")</f>
        <v>NYG</v>
      </c>
      <c r="AO59" s="59">
        <f>IFERROR(INDEX(TableTEMaster[BYE],MATCH(TableWRTECalcPts[[#This Row],[POSRef]],TableTEMaster[TERef],0)),"")</f>
        <v>11</v>
      </c>
      <c r="AP59" s="60">
        <f>IFERROR(INDEX(TableTEMaster[Custom],MATCH(TableWRTECalcPts[[#This Row],[POSRef]],TableTEMaster[TERef],0)),"")</f>
        <v>52.988011934465121</v>
      </c>
    </row>
    <row r="60" spans="1:42" x14ac:dyDescent="0.25">
      <c r="A60" s="61">
        <f>IFERROR(RANK(TableQBCalcPts[[#This Row],[Custom]],TableQBCalcPts[Custom])+COUNTIF($F$3:F60,F60)-1,"")</f>
        <v>59</v>
      </c>
      <c r="B60" s="59">
        <v>58</v>
      </c>
      <c r="C60" s="59" t="str">
        <f>IFERROR(INDEX(TableQBMaster[Player],MATCH(TableQBCalcPts[[#This Row],[QBRef]],TableQBMaster[QBRef],0)),"")</f>
        <v>Josh Dobbs</v>
      </c>
      <c r="D60" s="59" t="str">
        <f>IFERROR(INDEX(TableQBMaster[TM],MATCH(TableQBCalcPts[[#This Row],[QBRef]],TableQBMaster[QBRef],0)),"")</f>
        <v>SF</v>
      </c>
      <c r="E60" s="59">
        <f>IFERROR(INDEX(TableQBMaster[BYE],MATCH(TableQBCalcPts[[#This Row],[QBRef]],TableQBMaster[QBRef],0)),"")</f>
        <v>9</v>
      </c>
      <c r="F60" s="60">
        <f>IFERROR(INDEX(TableQBMaster[Custom],MATCH(TableQBCalcPts[[#This Row],[QBRef]],TableQBMaster[QBRef],0)),"")</f>
        <v>4.1862129429456001</v>
      </c>
      <c r="H60" s="59">
        <f>IFERROR(RANK(TableRBCalcPts[[#This Row],[Custom]],TableRBCalcPts[Custom])+COUNTIF($M$3:M60,M60)-1,"")</f>
        <v>84</v>
      </c>
      <c r="I60" s="59">
        <v>58</v>
      </c>
      <c r="J60" s="59" t="str">
        <f>IFERROR(INDEX(TableRBMaster[Player],MATCH(TableRBCalcPts[[#This Row],[RBRef]],TableRBMaster[RBRef],0)),"")</f>
        <v>Kimani Vidal</v>
      </c>
      <c r="K60" s="59" t="str">
        <f>IFERROR(INDEX(TableRBMaster[TM],MATCH(TableRBCalcPts[[#This Row],[RBRef]],TableRBMaster[RBRef],0)),"")</f>
        <v>LAC</v>
      </c>
      <c r="L60" s="59">
        <f>IFERROR(INDEX(TableRBMaster[BYE],MATCH(TableRBCalcPts[[#This Row],[RBRef]],TableRBMaster[RBRef],0)),"")</f>
        <v>5</v>
      </c>
      <c r="M60" s="60">
        <f>IFERROR(INDEX(TableRBMaster[Custom],MATCH(TableRBCalcPts[[#This Row],[RBRef]],TableRBMaster[RBRef],0)),"")</f>
        <v>22.870970628816636</v>
      </c>
      <c r="O60" s="59">
        <f>IFERROR(RANK(TableWRCalcPts[[#This Row],[Custom]],TableWRCalcPts[Custom])+COUNTIF($T$3:T60,T60)-1,"")</f>
        <v>150</v>
      </c>
      <c r="P60" s="59">
        <v>58</v>
      </c>
      <c r="Q60" s="59" t="str">
        <f>IFERROR(INDEX(TableWRMaster[Player],MATCH(TableWRCalcPts[[#This Row],[WRRef]],TableWRMaster[WRRef],0)),"")</f>
        <v>Antoine Green</v>
      </c>
      <c r="R60" s="59" t="str">
        <f>IFERROR(INDEX(TableWRMaster[TM],MATCH(TableWRCalcPts[[#This Row],[WRRef]],TableWRMaster[WRRef],0)),"")</f>
        <v>DET</v>
      </c>
      <c r="S60" s="59">
        <f>IFERROR(INDEX(TableWRMaster[BYE],MATCH(TableWRCalcPts[[#This Row],[WRRef]],TableWRMaster[WRRef],0)),"")</f>
        <v>5</v>
      </c>
      <c r="T60" s="60">
        <f>IFERROR(INDEX(TableWRMaster[Custom],MATCH(TableWRCalcPts[[#This Row],[WRRef]],TableWRMaster[WRRef],0)),"")</f>
        <v>14.861922318973217</v>
      </c>
      <c r="V60" s="59">
        <f>IFERROR(RANK(TableTECalcPts[[#This Row],[Custom]],TableTECalcPts[Custom])+COUNTIF($AA$3:AA60,AA60)-1,"")</f>
        <v>30</v>
      </c>
      <c r="W60" s="59">
        <v>58</v>
      </c>
      <c r="X60" s="59" t="str">
        <f>IFERROR(INDEX(TableTEMaster[Player],MATCH(TableTECalcPts[[#This Row],[TERef]],TableTEMaster[TERef],0)),"")</f>
        <v>Theo Johnson</v>
      </c>
      <c r="Y60" s="59" t="str">
        <f>IFERROR(INDEX(TableTEMaster[TM],MATCH(TableTECalcPts[[#This Row],[TERef]],TableTEMaster[TERef],0)),"")</f>
        <v>NYG</v>
      </c>
      <c r="Z60" s="59">
        <f>IFERROR(INDEX(TableTEMaster[BYE],MATCH(TableTECalcPts[[#This Row],[TERef]],TableTEMaster[TERef],0)),"")</f>
        <v>11</v>
      </c>
      <c r="AA60" s="60">
        <f>IFERROR(INDEX(TableTEMaster[Custom],MATCH(TableTECalcPts[[#This Row],[TERef]],TableTEMaster[TERef],0)),"")</f>
        <v>74.308369090843826</v>
      </c>
      <c r="AI60" s="59" t="s">
        <v>10</v>
      </c>
      <c r="AJ60" s="59">
        <f>IFERROR(RANK(TableWRTECalcPts[[#This Row],[Custom]],TableWRTECalcPts[Custom])+COUNTIF($AP$3:AP60,AP60)-1,"")</f>
        <v>123</v>
      </c>
      <c r="AK60" s="59">
        <v>58</v>
      </c>
      <c r="AL60" s="59" t="str">
        <f>IFERROR(INDEX(TableTEMaster[Player],MATCH(TableWRTECalcPts[[#This Row],[POSRef]],TableTEMaster[TERef],0)),"")</f>
        <v>Theo Johnson</v>
      </c>
      <c r="AM60" s="59" t="str">
        <f>IFERROR(_xlfn.CONCAT(TableWRTECalcPts[[#This Row],[POS]],INDEX(TableTERanks[RK],MATCH(TableWRTECalcPts[[#This Row],[PLAYER]],TableTERanks[Player],0))),"")</f>
        <v>TE30</v>
      </c>
      <c r="AN60" s="59" t="str">
        <f>IFERROR(INDEX(TableTEMaster[TM],MATCH(TableWRTECalcPts[[#This Row],[POSRef]],TableTEMaster[TERef],0)),"")</f>
        <v>NYG</v>
      </c>
      <c r="AO60" s="59">
        <f>IFERROR(INDEX(TableTEMaster[BYE],MATCH(TableWRTECalcPts[[#This Row],[POSRef]],TableTEMaster[TERef],0)),"")</f>
        <v>11</v>
      </c>
      <c r="AP60" s="60">
        <f>IFERROR(INDEX(TableTEMaster[Custom],MATCH(TableWRTECalcPts[[#This Row],[POSRef]],TableTEMaster[TERef],0)),"")</f>
        <v>74.308369090843826</v>
      </c>
    </row>
    <row r="61" spans="1:42" x14ac:dyDescent="0.25">
      <c r="A61" s="61">
        <f>IFERROR(RANK(TableQBCalcPts[[#This Row],[Custom]],TableQBCalcPts[Custom])+COUNTIF($F$3:F61,F61)-1,"")</f>
        <v>21</v>
      </c>
      <c r="B61" s="59">
        <v>59</v>
      </c>
      <c r="C61" s="59" t="str">
        <f>IFERROR(INDEX(TableQBMaster[Player],MATCH(TableQBCalcPts[[#This Row],[QBRef]],TableQBMaster[QBRef],0)),"")</f>
        <v>Baker Mayfield</v>
      </c>
      <c r="D61" s="59" t="str">
        <f>IFERROR(INDEX(TableQBMaster[TM],MATCH(TableQBCalcPts[[#This Row],[QBRef]],TableQBMaster[QBRef],0)),"")</f>
        <v>TB</v>
      </c>
      <c r="E61" s="59">
        <f>IFERROR(INDEX(TableQBMaster[BYE],MATCH(TableQBCalcPts[[#This Row],[QBRef]],TableQBMaster[QBRef],0)),"")</f>
        <v>11</v>
      </c>
      <c r="F61" s="60">
        <f>IFERROR(INDEX(TableQBMaster[Custom],MATCH(TableQBCalcPts[[#This Row],[QBRef]],TableQBMaster[QBRef],0)),"")</f>
        <v>279.41011934295392</v>
      </c>
      <c r="H61" s="59">
        <f>IFERROR(RANK(TableRBCalcPts[[#This Row],[Custom]],TableRBCalcPts[Custom])+COUNTIF($M$3:M61,M61)-1,"")</f>
        <v>79</v>
      </c>
      <c r="I61" s="59">
        <v>59</v>
      </c>
      <c r="J61" s="59" t="str">
        <f>IFERROR(INDEX(TableRBMaster[Player],MATCH(TableRBCalcPts[[#This Row],[RBRef]],TableRBMaster[RBRef],0)),"")</f>
        <v>Jaret Patterson</v>
      </c>
      <c r="K61" s="59" t="str">
        <f>IFERROR(INDEX(TableRBMaster[TM],MATCH(TableRBCalcPts[[#This Row],[RBRef]],TableRBMaster[RBRef],0)),"")</f>
        <v>LAC</v>
      </c>
      <c r="L61" s="59">
        <f>IFERROR(INDEX(TableRBMaster[BYE],MATCH(TableRBCalcPts[[#This Row],[RBRef]],TableRBMaster[RBRef],0)),"")</f>
        <v>5</v>
      </c>
      <c r="M61" s="60">
        <f>IFERROR(INDEX(TableRBMaster[Custom],MATCH(TableRBCalcPts[[#This Row],[RBRef]],TableRBMaster[RBRef],0)),"")</f>
        <v>29.588984625290436</v>
      </c>
      <c r="O61" s="59">
        <f>IFERROR(RANK(TableWRCalcPts[[#This Row],[Custom]],TableWRCalcPts[Custom])+COUNTIF($T$3:T61,T61)-1,"")</f>
        <v>52</v>
      </c>
      <c r="P61" s="59">
        <v>59</v>
      </c>
      <c r="Q61" s="59" t="str">
        <f>IFERROR(INDEX(TableWRMaster[Player],MATCH(TableWRCalcPts[[#This Row],[WRRef]],TableWRMaster[WRRef],0)),"")</f>
        <v>Christian Watson</v>
      </c>
      <c r="R61" s="59" t="str">
        <f>IFERROR(INDEX(TableWRMaster[TM],MATCH(TableWRCalcPts[[#This Row],[WRRef]],TableWRMaster[WRRef],0)),"")</f>
        <v>GB</v>
      </c>
      <c r="S61" s="59">
        <f>IFERROR(INDEX(TableWRMaster[BYE],MATCH(TableWRCalcPts[[#This Row],[WRRef]],TableWRMaster[WRRef],0)),"")</f>
        <v>10</v>
      </c>
      <c r="T61" s="60">
        <f>IFERROR(INDEX(TableWRMaster[Custom],MATCH(TableWRCalcPts[[#This Row],[WRRef]],TableWRMaster[WRRef],0)),"")</f>
        <v>155.86557059484923</v>
      </c>
      <c r="V61" s="59">
        <f>IFERROR(RANK(TableTECalcPts[[#This Row],[Custom]],TableTECalcPts[Custom])+COUNTIF($AA$3:AA61,AA61)-1,"")</f>
        <v>71</v>
      </c>
      <c r="W61" s="59">
        <v>59</v>
      </c>
      <c r="X61" s="59" t="str">
        <f>IFERROR(INDEX(TableTEMaster[Player],MATCH(TableTECalcPts[[#This Row],[TERef]],TableTEMaster[TERef],0)),"")</f>
        <v>Chris Manhertz</v>
      </c>
      <c r="Y61" s="59" t="str">
        <f>IFERROR(INDEX(TableTEMaster[TM],MATCH(TableTECalcPts[[#This Row],[TERef]],TableTEMaster[TERef],0)),"")</f>
        <v>NYG</v>
      </c>
      <c r="Z61" s="59">
        <f>IFERROR(INDEX(TableTEMaster[BYE],MATCH(TableTECalcPts[[#This Row],[TERef]],TableTEMaster[TERef],0)),"")</f>
        <v>11</v>
      </c>
      <c r="AA61" s="60">
        <f>IFERROR(INDEX(TableTEMaster[Custom],MATCH(TableTECalcPts[[#This Row],[TERef]],TableTEMaster[TERef],0)),"")</f>
        <v>8.4511644931076084</v>
      </c>
      <c r="AI61" s="59" t="s">
        <v>10</v>
      </c>
      <c r="AJ61" s="59">
        <f>IFERROR(RANK(TableWRTECalcPts[[#This Row],[Custom]],TableWRTECalcPts[Custom])+COUNTIF($AP$3:AP61,AP61)-1,"")</f>
        <v>239</v>
      </c>
      <c r="AK61" s="59">
        <v>59</v>
      </c>
      <c r="AL61" s="59" t="str">
        <f>IFERROR(INDEX(TableTEMaster[Player],MATCH(TableWRTECalcPts[[#This Row],[POSRef]],TableTEMaster[TERef],0)),"")</f>
        <v>Chris Manhertz</v>
      </c>
      <c r="AM61" s="59" t="str">
        <f>IFERROR(_xlfn.CONCAT(TableWRTECalcPts[[#This Row],[POS]],INDEX(TableTERanks[RK],MATCH(TableWRTECalcPts[[#This Row],[PLAYER]],TableTERanks[Player],0))),"")</f>
        <v>TE71</v>
      </c>
      <c r="AN61" s="59" t="str">
        <f>IFERROR(INDEX(TableTEMaster[TM],MATCH(TableWRTECalcPts[[#This Row],[POSRef]],TableTEMaster[TERef],0)),"")</f>
        <v>NYG</v>
      </c>
      <c r="AO61" s="59">
        <f>IFERROR(INDEX(TableTEMaster[BYE],MATCH(TableWRTECalcPts[[#This Row],[POSRef]],TableTEMaster[TERef],0)),"")</f>
        <v>11</v>
      </c>
      <c r="AP61" s="60">
        <f>IFERROR(INDEX(TableTEMaster[Custom],MATCH(TableWRTECalcPts[[#This Row],[POSRef]],TableTEMaster[TERef],0)),"")</f>
        <v>8.4511644931076084</v>
      </c>
    </row>
    <row r="62" spans="1:42" x14ac:dyDescent="0.25">
      <c r="A62" s="61">
        <f>IFERROR(RANK(TableQBCalcPts[[#This Row],[Custom]],TableQBCalcPts[Custom])+COUNTIF($F$3:F62,F62)-1,"")</f>
        <v>43</v>
      </c>
      <c r="B62" s="59">
        <v>60</v>
      </c>
      <c r="C62" s="59" t="str">
        <f>IFERROR(INDEX(TableQBMaster[Player],MATCH(TableQBCalcPts[[#This Row],[QBRef]],TableQBMaster[QBRef],0)),"")</f>
        <v>Kyle Trask</v>
      </c>
      <c r="D62" s="59" t="str">
        <f>IFERROR(INDEX(TableQBMaster[TM],MATCH(TableQBCalcPts[[#This Row],[QBRef]],TableQBMaster[QBRef],0)),"")</f>
        <v>TB</v>
      </c>
      <c r="E62" s="59">
        <f>IFERROR(INDEX(TableQBMaster[BYE],MATCH(TableQBCalcPts[[#This Row],[QBRef]],TableQBMaster[QBRef],0)),"")</f>
        <v>11</v>
      </c>
      <c r="F62" s="60">
        <f>IFERROR(INDEX(TableQBMaster[Custom],MATCH(TableQBCalcPts[[#This Row],[QBRef]],TableQBMaster[QBRef],0)),"")</f>
        <v>12.444899348985402</v>
      </c>
      <c r="H62" s="59">
        <f>IFERROR(RANK(TableRBCalcPts[[#This Row],[Custom]],TableRBCalcPts[Custom])+COUNTIF($M$3:M62,M62)-1,"")</f>
        <v>8</v>
      </c>
      <c r="I62" s="59">
        <v>60</v>
      </c>
      <c r="J62" s="59" t="str">
        <f>IFERROR(INDEX(TableRBMaster[Player],MATCH(TableRBCalcPts[[#This Row],[RBRef]],TableRBMaster[RBRef],0)),"")</f>
        <v>Kyren Williams</v>
      </c>
      <c r="K62" s="59" t="str">
        <f>IFERROR(INDEX(TableRBMaster[TM],MATCH(TableRBCalcPts[[#This Row],[RBRef]],TableRBMaster[RBRef],0)),"")</f>
        <v>LAR</v>
      </c>
      <c r="L62" s="59">
        <f>IFERROR(INDEX(TableRBMaster[BYE],MATCH(TableRBCalcPts[[#This Row],[RBRef]],TableRBMaster[RBRef],0)),"")</f>
        <v>6</v>
      </c>
      <c r="M62" s="60">
        <f>IFERROR(INDEX(TableRBMaster[Custom],MATCH(TableRBCalcPts[[#This Row],[RBRef]],TableRBMaster[RBRef],0)),"")</f>
        <v>214.43728721829297</v>
      </c>
      <c r="O62" s="59">
        <f>IFERROR(RANK(TableWRCalcPts[[#This Row],[Custom]],TableWRCalcPts[Custom])+COUNTIF($T$3:T62,T62)-1,"")</f>
        <v>49</v>
      </c>
      <c r="P62" s="59">
        <v>60</v>
      </c>
      <c r="Q62" s="59" t="str">
        <f>IFERROR(INDEX(TableWRMaster[Player],MATCH(TableWRCalcPts[[#This Row],[WRRef]],TableWRMaster[WRRef],0)),"")</f>
        <v>Romeo Doubs</v>
      </c>
      <c r="R62" s="59" t="str">
        <f>IFERROR(INDEX(TableWRMaster[TM],MATCH(TableWRCalcPts[[#This Row],[WRRef]],TableWRMaster[WRRef],0)),"")</f>
        <v>GB</v>
      </c>
      <c r="S62" s="59">
        <f>IFERROR(INDEX(TableWRMaster[BYE],MATCH(TableWRCalcPts[[#This Row],[WRRef]],TableWRMaster[WRRef],0)),"")</f>
        <v>10</v>
      </c>
      <c r="T62" s="60">
        <f>IFERROR(INDEX(TableWRMaster[Custom],MATCH(TableWRCalcPts[[#This Row],[WRRef]],TableWRMaster[WRRef],0)),"")</f>
        <v>159.42435883867063</v>
      </c>
      <c r="V62" s="59">
        <f>IFERROR(RANK(TableTECalcPts[[#This Row],[Custom]],TableTECalcPts[Custom])+COUNTIF($AA$3:AA62,AA62)-1,"")</f>
        <v>21</v>
      </c>
      <c r="W62" s="59">
        <v>60</v>
      </c>
      <c r="X62" s="59" t="str">
        <f>IFERROR(INDEX(TableTEMaster[Player],MATCH(TableTECalcPts[[#This Row],[TERef]],TableTEMaster[TERef],0)),"")</f>
        <v>Tyler Conklin</v>
      </c>
      <c r="Y62" s="59" t="str">
        <f>IFERROR(INDEX(TableTEMaster[TM],MATCH(TableTECalcPts[[#This Row],[TERef]],TableTEMaster[TERef],0)),"")</f>
        <v>NYJ</v>
      </c>
      <c r="Z62" s="59">
        <f>IFERROR(INDEX(TableTEMaster[BYE],MATCH(TableTECalcPts[[#This Row],[TERef]],TableTEMaster[TERef],0)),"")</f>
        <v>12</v>
      </c>
      <c r="AA62" s="60">
        <f>IFERROR(INDEX(TableTEMaster[Custom],MATCH(TableTECalcPts[[#This Row],[TERef]],TableTEMaster[TERef],0)),"")</f>
        <v>92.077826494206874</v>
      </c>
      <c r="AI62" s="59" t="s">
        <v>10</v>
      </c>
      <c r="AJ62" s="59">
        <f>IFERROR(RANK(TableWRTECalcPts[[#This Row],[Custom]],TableWRTECalcPts[Custom])+COUNTIF($AP$3:AP62,AP62)-1,"")</f>
        <v>107</v>
      </c>
      <c r="AK62" s="59">
        <v>60</v>
      </c>
      <c r="AL62" s="59" t="str">
        <f>IFERROR(INDEX(TableTEMaster[Player],MATCH(TableWRTECalcPts[[#This Row],[POSRef]],TableTEMaster[TERef],0)),"")</f>
        <v>Tyler Conklin</v>
      </c>
      <c r="AM62" s="59" t="str">
        <f>IFERROR(_xlfn.CONCAT(TableWRTECalcPts[[#This Row],[POS]],INDEX(TableTERanks[RK],MATCH(TableWRTECalcPts[[#This Row],[PLAYER]],TableTERanks[Player],0))),"")</f>
        <v>TE21</v>
      </c>
      <c r="AN62" s="59" t="str">
        <f>IFERROR(INDEX(TableTEMaster[TM],MATCH(TableWRTECalcPts[[#This Row],[POSRef]],TableTEMaster[TERef],0)),"")</f>
        <v>NYJ</v>
      </c>
      <c r="AO62" s="59">
        <f>IFERROR(INDEX(TableTEMaster[BYE],MATCH(TableWRTECalcPts[[#This Row],[POSRef]],TableTEMaster[TERef],0)),"")</f>
        <v>12</v>
      </c>
      <c r="AP62" s="60">
        <f>IFERROR(INDEX(TableTEMaster[Custom],MATCH(TableWRTECalcPts[[#This Row],[POSRef]],TableTEMaster[TERef],0)),"")</f>
        <v>92.077826494206874</v>
      </c>
    </row>
    <row r="63" spans="1:42" x14ac:dyDescent="0.25">
      <c r="A63" s="61">
        <f>IFERROR(RANK(TableQBCalcPts[[#This Row],[Custom]],TableQBCalcPts[Custom])+COUNTIF($F$3:F63,F63)-1,"")</f>
        <v>25</v>
      </c>
      <c r="B63" s="59">
        <v>61</v>
      </c>
      <c r="C63" s="59" t="str">
        <f>IFERROR(INDEX(TableQBMaster[Player],MATCH(TableQBCalcPts[[#This Row],[QBRef]],TableQBMaster[QBRef],0)),"")</f>
        <v>Will Levis</v>
      </c>
      <c r="D63" s="59" t="str">
        <f>IFERROR(INDEX(TableQBMaster[TM],MATCH(TableQBCalcPts[[#This Row],[QBRef]],TableQBMaster[QBRef],0)),"")</f>
        <v>TEN</v>
      </c>
      <c r="E63" s="59">
        <f>IFERROR(INDEX(TableQBMaster[BYE],MATCH(TableQBCalcPts[[#This Row],[QBRef]],TableQBMaster[QBRef],0)),"")</f>
        <v>5</v>
      </c>
      <c r="F63" s="60">
        <f>IFERROR(INDEX(TableQBMaster[Custom],MATCH(TableQBCalcPts[[#This Row],[QBRef]],TableQBMaster[QBRef],0)),"")</f>
        <v>270.23832799722175</v>
      </c>
      <c r="H63" s="59">
        <f>IFERROR(RANK(TableRBCalcPts[[#This Row],[Custom]],TableRBCalcPts[Custom])+COUNTIF($M$3:M63,M63)-1,"")</f>
        <v>43</v>
      </c>
      <c r="I63" s="59">
        <v>61</v>
      </c>
      <c r="J63" s="59" t="str">
        <f>IFERROR(INDEX(TableRBMaster[Player],MATCH(TableRBCalcPts[[#This Row],[RBRef]],TableRBMaster[RBRef],0)),"")</f>
        <v>Blake Corum</v>
      </c>
      <c r="K63" s="59" t="str">
        <f>IFERROR(INDEX(TableRBMaster[TM],MATCH(TableRBCalcPts[[#This Row],[RBRef]],TableRBMaster[RBRef],0)),"")</f>
        <v>LAR</v>
      </c>
      <c r="L63" s="59">
        <f>IFERROR(INDEX(TableRBMaster[BYE],MATCH(TableRBCalcPts[[#This Row],[RBRef]],TableRBMaster[RBRef],0)),"")</f>
        <v>6</v>
      </c>
      <c r="M63" s="60">
        <f>IFERROR(INDEX(TableRBMaster[Custom],MATCH(TableRBCalcPts[[#This Row],[RBRef]],TableRBMaster[RBRef],0)),"")</f>
        <v>120.1999000133012</v>
      </c>
      <c r="O63" s="59">
        <f>IFERROR(RANK(TableWRCalcPts[[#This Row],[Custom]],TableWRCalcPts[Custom])+COUNTIF($T$3:T63,T63)-1,"")</f>
        <v>59</v>
      </c>
      <c r="P63" s="59">
        <v>61</v>
      </c>
      <c r="Q63" s="59" t="str">
        <f>IFERROR(INDEX(TableWRMaster[Player],MATCH(TableWRCalcPts[[#This Row],[WRRef]],TableWRMaster[WRRef],0)),"")</f>
        <v>Jayden Reed</v>
      </c>
      <c r="R63" s="59" t="str">
        <f>IFERROR(INDEX(TableWRMaster[TM],MATCH(TableWRCalcPts[[#This Row],[WRRef]],TableWRMaster[WRRef],0)),"")</f>
        <v>GB</v>
      </c>
      <c r="S63" s="59">
        <f>IFERROR(INDEX(TableWRMaster[BYE],MATCH(TableWRCalcPts[[#This Row],[WRRef]],TableWRMaster[WRRef],0)),"")</f>
        <v>10</v>
      </c>
      <c r="T63" s="60">
        <f>IFERROR(INDEX(TableWRMaster[Custom],MATCH(TableWRCalcPts[[#This Row],[WRRef]],TableWRMaster[WRRef],0)),"")</f>
        <v>145.49022396972001</v>
      </c>
      <c r="V63" s="59">
        <f>IFERROR(RANK(TableTECalcPts[[#This Row],[Custom]],TableTECalcPts[Custom])+COUNTIF($AA$3:AA63,AA63)-1,"")</f>
        <v>46</v>
      </c>
      <c r="W63" s="59">
        <v>61</v>
      </c>
      <c r="X63" s="59" t="str">
        <f>IFERROR(INDEX(TableTEMaster[Player],MATCH(TableTECalcPts[[#This Row],[TERef]],TableTEMaster[TERef],0)),"")</f>
        <v>Jeremy Ruckert</v>
      </c>
      <c r="Y63" s="59" t="str">
        <f>IFERROR(INDEX(TableTEMaster[TM],MATCH(TableTECalcPts[[#This Row],[TERef]],TableTEMaster[TERef],0)),"")</f>
        <v>NYJ</v>
      </c>
      <c r="Z63" s="59">
        <f>IFERROR(INDEX(TableTEMaster[BYE],MATCH(TableTECalcPts[[#This Row],[TERef]],TableTEMaster[TERef],0)),"")</f>
        <v>12</v>
      </c>
      <c r="AA63" s="60">
        <f>IFERROR(INDEX(TableTEMaster[Custom],MATCH(TableTECalcPts[[#This Row],[TERef]],TableTEMaster[TERef],0)),"")</f>
        <v>40.072235990399271</v>
      </c>
      <c r="AI63" s="59" t="s">
        <v>10</v>
      </c>
      <c r="AJ63" s="59">
        <f>IFERROR(RANK(TableWRTECalcPts[[#This Row],[Custom]],TableWRTECalcPts[Custom])+COUNTIF($AP$3:AP63,AP63)-1,"")</f>
        <v>160</v>
      </c>
      <c r="AK63" s="59">
        <v>61</v>
      </c>
      <c r="AL63" s="59" t="str">
        <f>IFERROR(INDEX(TableTEMaster[Player],MATCH(TableWRTECalcPts[[#This Row],[POSRef]],TableTEMaster[TERef],0)),"")</f>
        <v>Jeremy Ruckert</v>
      </c>
      <c r="AM63" s="59" t="str">
        <f>IFERROR(_xlfn.CONCAT(TableWRTECalcPts[[#This Row],[POS]],INDEX(TableTERanks[RK],MATCH(TableWRTECalcPts[[#This Row],[PLAYER]],TableTERanks[Player],0))),"")</f>
        <v>TE46</v>
      </c>
      <c r="AN63" s="59" t="str">
        <f>IFERROR(INDEX(TableTEMaster[TM],MATCH(TableWRTECalcPts[[#This Row],[POSRef]],TableTEMaster[TERef],0)),"")</f>
        <v>NYJ</v>
      </c>
      <c r="AO63" s="59">
        <f>IFERROR(INDEX(TableTEMaster[BYE],MATCH(TableWRTECalcPts[[#This Row],[POSRef]],TableTEMaster[TERef],0)),"")</f>
        <v>12</v>
      </c>
      <c r="AP63" s="60">
        <f>IFERROR(INDEX(TableTEMaster[Custom],MATCH(TableWRTECalcPts[[#This Row],[POSRef]],TableTEMaster[TERef],0)),"")</f>
        <v>40.072235990399271</v>
      </c>
    </row>
    <row r="64" spans="1:42" x14ac:dyDescent="0.25">
      <c r="A64" s="61">
        <f>IFERROR(RANK(TableQBCalcPts[[#This Row],[Custom]],TableQBCalcPts[Custom])+COUNTIF($F$3:F64,F64)-1,"")</f>
        <v>44</v>
      </c>
      <c r="B64" s="59">
        <v>62</v>
      </c>
      <c r="C64" s="59" t="str">
        <f>IFERROR(INDEX(TableQBMaster[Player],MATCH(TableQBCalcPts[[#This Row],[QBRef]],TableQBMaster[QBRef],0)),"")</f>
        <v>Mason Rudolph</v>
      </c>
      <c r="D64" s="59" t="str">
        <f>IFERROR(INDEX(TableQBMaster[TM],MATCH(TableQBCalcPts[[#This Row],[QBRef]],TableQBMaster[QBRef],0)),"")</f>
        <v>TEN</v>
      </c>
      <c r="E64" s="59">
        <f>IFERROR(INDEX(TableQBMaster[BYE],MATCH(TableQBCalcPts[[#This Row],[QBRef]],TableQBMaster[QBRef],0)),"")</f>
        <v>5</v>
      </c>
      <c r="F64" s="60">
        <f>IFERROR(INDEX(TableQBMaster[Custom],MATCH(TableQBCalcPts[[#This Row],[QBRef]],TableQBMaster[QBRef],0)),"")</f>
        <v>11.66843933615211</v>
      </c>
      <c r="H64" s="59">
        <f>IFERROR(RANK(TableRBCalcPts[[#This Row],[Custom]],TableRBCalcPts[Custom])+COUNTIF($M$3:M64,M64)-1,"")</f>
        <v>95</v>
      </c>
      <c r="I64" s="59">
        <v>62</v>
      </c>
      <c r="J64" s="59" t="str">
        <f>IFERROR(INDEX(TableRBMaster[Player],MATCH(TableRBCalcPts[[#This Row],[RBRef]],TableRBMaster[RBRef],0)),"")</f>
        <v>Ronnie Rivers</v>
      </c>
      <c r="K64" s="59" t="str">
        <f>IFERROR(INDEX(TableRBMaster[TM],MATCH(TableRBCalcPts[[#This Row],[RBRef]],TableRBMaster[RBRef],0)),"")</f>
        <v>LAR</v>
      </c>
      <c r="L64" s="59">
        <f>IFERROR(INDEX(TableRBMaster[BYE],MATCH(TableRBCalcPts[[#This Row],[RBRef]],TableRBMaster[RBRef],0)),"")</f>
        <v>6</v>
      </c>
      <c r="M64" s="60">
        <f>IFERROR(INDEX(TableRBMaster[Custom],MATCH(TableRBCalcPts[[#This Row],[RBRef]],TableRBMaster[RBRef],0)),"")</f>
        <v>14.014172186551225</v>
      </c>
      <c r="O64" s="59">
        <f>IFERROR(RANK(TableWRCalcPts[[#This Row],[Custom]],TableWRCalcPts[Custom])+COUNTIF($T$3:T64,T64)-1,"")</f>
        <v>70</v>
      </c>
      <c r="P64" s="59">
        <v>62</v>
      </c>
      <c r="Q64" s="59" t="str">
        <f>IFERROR(INDEX(TableWRMaster[Player],MATCH(TableWRCalcPts[[#This Row],[WRRef]],TableWRMaster[WRRef],0)),"")</f>
        <v>Dontayvion Wicks</v>
      </c>
      <c r="R64" s="59" t="str">
        <f>IFERROR(INDEX(TableWRMaster[TM],MATCH(TableWRCalcPts[[#This Row],[WRRef]],TableWRMaster[WRRef],0)),"")</f>
        <v>GB</v>
      </c>
      <c r="S64" s="59">
        <f>IFERROR(INDEX(TableWRMaster[BYE],MATCH(TableWRCalcPts[[#This Row],[WRRef]],TableWRMaster[WRRef],0)),"")</f>
        <v>10</v>
      </c>
      <c r="T64" s="60">
        <f>IFERROR(INDEX(TableWRMaster[Custom],MATCH(TableWRCalcPts[[#This Row],[WRRef]],TableWRMaster[WRRef],0)),"")</f>
        <v>116.82642108095868</v>
      </c>
      <c r="V64" s="59">
        <f>IFERROR(RANK(TableTECalcPts[[#This Row],[Custom]],TableTECalcPts[Custom])+COUNTIF($AA$3:AA64,AA64)-1,"")</f>
        <v>10</v>
      </c>
      <c r="W64" s="59">
        <v>62</v>
      </c>
      <c r="X64" s="59" t="str">
        <f>IFERROR(INDEX(TableTEMaster[Player],MATCH(TableTECalcPts[[#This Row],[TERef]],TableTEMaster[TERef],0)),"")</f>
        <v>Brock Bowers</v>
      </c>
      <c r="Y64" s="59" t="str">
        <f>IFERROR(INDEX(TableTEMaster[TM],MATCH(TableTECalcPts[[#This Row],[TERef]],TableTEMaster[TERef],0)),"")</f>
        <v>LV</v>
      </c>
      <c r="Z64" s="59">
        <f>IFERROR(INDEX(TableTEMaster[BYE],MATCH(TableTECalcPts[[#This Row],[TERef]],TableTEMaster[TERef],0)),"")</f>
        <v>10</v>
      </c>
      <c r="AA64" s="60">
        <f>IFERROR(INDEX(TableTEMaster[Custom],MATCH(TableTECalcPts[[#This Row],[TERef]],TableTEMaster[TERef],0)),"")</f>
        <v>142.6223646861975</v>
      </c>
      <c r="AI64" s="59" t="s">
        <v>10</v>
      </c>
      <c r="AJ64" s="59">
        <f>IFERROR(RANK(TableWRTECalcPts[[#This Row],[Custom]],TableWRTECalcPts[Custom])+COUNTIF($AP$3:AP64,AP64)-1,"")</f>
        <v>70</v>
      </c>
      <c r="AK64" s="59">
        <v>62</v>
      </c>
      <c r="AL64" s="59" t="str">
        <f>IFERROR(INDEX(TableTEMaster[Player],MATCH(TableWRTECalcPts[[#This Row],[POSRef]],TableTEMaster[TERef],0)),"")</f>
        <v>Brock Bowers</v>
      </c>
      <c r="AM64" s="59" t="str">
        <f>IFERROR(_xlfn.CONCAT(TableWRTECalcPts[[#This Row],[POS]],INDEX(TableTERanks[RK],MATCH(TableWRTECalcPts[[#This Row],[PLAYER]],TableTERanks[Player],0))),"")</f>
        <v>TE10</v>
      </c>
      <c r="AN64" s="59" t="str">
        <f>IFERROR(INDEX(TableTEMaster[TM],MATCH(TableWRTECalcPts[[#This Row],[POSRef]],TableTEMaster[TERef],0)),"")</f>
        <v>LV</v>
      </c>
      <c r="AO64" s="59">
        <f>IFERROR(INDEX(TableTEMaster[BYE],MATCH(TableWRTECalcPts[[#This Row],[POSRef]],TableTEMaster[TERef],0)),"")</f>
        <v>10</v>
      </c>
      <c r="AP64" s="60">
        <f>IFERROR(INDEX(TableTEMaster[Custom],MATCH(TableWRTECalcPts[[#This Row],[POSRef]],TableTEMaster[TERef],0)),"")</f>
        <v>142.6223646861975</v>
      </c>
    </row>
    <row r="65" spans="1:42" x14ac:dyDescent="0.25">
      <c r="A65" s="61">
        <f>IFERROR(RANK(TableQBCalcPts[[#This Row],[Custom]],TableQBCalcPts[Custom])+COUNTIF($F$3:F65,F65)-1,"")</f>
        <v>6</v>
      </c>
      <c r="B65" s="59">
        <v>63</v>
      </c>
      <c r="C65" s="59" t="str">
        <f>IFERROR(INDEX(TableQBMaster[Player],MATCH(TableQBCalcPts[[#This Row],[QBRef]],TableQBMaster[QBRef],0)),"")</f>
        <v>Jayden Daniels</v>
      </c>
      <c r="D65" s="59" t="str">
        <f>IFERROR(INDEX(TableQBMaster[TM],MATCH(TableQBCalcPts[[#This Row],[QBRef]],TableQBMaster[QBRef],0)),"")</f>
        <v>WSH</v>
      </c>
      <c r="E65" s="59">
        <f>IFERROR(INDEX(TableQBMaster[BYE],MATCH(TableQBCalcPts[[#This Row],[QBRef]],TableQBMaster[QBRef],0)),"")</f>
        <v>14</v>
      </c>
      <c r="F65" s="60">
        <f>IFERROR(INDEX(TableQBMaster[Custom],MATCH(TableQBCalcPts[[#This Row],[QBRef]],TableQBMaster[QBRef],0)),"")</f>
        <v>340.69552503608452</v>
      </c>
      <c r="H65" s="59">
        <f>IFERROR(RANK(TableRBCalcPts[[#This Row],[Custom]],TableRBCalcPts[Custom])+COUNTIF($M$3:M65,M65)-1,"")</f>
        <v>19</v>
      </c>
      <c r="I65" s="59">
        <v>63</v>
      </c>
      <c r="J65" s="59" t="str">
        <f>IFERROR(INDEX(TableRBMaster[Player],MATCH(TableRBCalcPts[[#This Row],[RBRef]],TableRBMaster[RBRef],0)),"")</f>
        <v>Zamir White</v>
      </c>
      <c r="K65" s="59" t="str">
        <f>IFERROR(INDEX(TableRBMaster[TM],MATCH(TableRBCalcPts[[#This Row],[RBRef]],TableRBMaster[RBRef],0)),"")</f>
        <v>LV</v>
      </c>
      <c r="L65" s="59">
        <f>IFERROR(INDEX(TableRBMaster[BYE],MATCH(TableRBCalcPts[[#This Row],[RBRef]],TableRBMaster[RBRef],0)),"")</f>
        <v>10</v>
      </c>
      <c r="M65" s="60">
        <f>IFERROR(INDEX(TableRBMaster[Custom],MATCH(TableRBCalcPts[[#This Row],[RBRef]],TableRBMaster[RBRef],0)),"")</f>
        <v>192.23347940104071</v>
      </c>
      <c r="O65" s="59">
        <f>IFERROR(RANK(TableWRCalcPts[[#This Row],[Custom]],TableWRCalcPts[Custom])+COUNTIF($T$3:T65,T65)-1,"")</f>
        <v>146</v>
      </c>
      <c r="P65" s="59">
        <v>63</v>
      </c>
      <c r="Q65" s="59" t="str">
        <f>IFERROR(INDEX(TableWRMaster[Player],MATCH(TableWRCalcPts[[#This Row],[WRRef]],TableWRMaster[WRRef],0)),"")</f>
        <v>Bo Melton</v>
      </c>
      <c r="R65" s="59" t="str">
        <f>IFERROR(INDEX(TableWRMaster[TM],MATCH(TableWRCalcPts[[#This Row],[WRRef]],TableWRMaster[WRRef],0)),"")</f>
        <v>GB</v>
      </c>
      <c r="S65" s="59">
        <f>IFERROR(INDEX(TableWRMaster[BYE],MATCH(TableWRCalcPts[[#This Row],[WRRef]],TableWRMaster[WRRef],0)),"")</f>
        <v>10</v>
      </c>
      <c r="T65" s="60">
        <f>IFERROR(INDEX(TableWRMaster[Custom],MATCH(TableWRCalcPts[[#This Row],[WRRef]],TableWRMaster[WRRef],0)),"")</f>
        <v>15.792781181632</v>
      </c>
      <c r="V65" s="59">
        <f>IFERROR(RANK(TableTECalcPts[[#This Row],[Custom]],TableTECalcPts[Custom])+COUNTIF($AA$3:AA65,AA65)-1,"")</f>
        <v>33</v>
      </c>
      <c r="W65" s="59">
        <v>63</v>
      </c>
      <c r="X65" s="59" t="str">
        <f>IFERROR(INDEX(TableTEMaster[Player],MATCH(TableTECalcPts[[#This Row],[TERef]],TableTEMaster[TERef],0)),"")</f>
        <v>Michael Mayer</v>
      </c>
      <c r="Y65" s="59" t="str">
        <f>IFERROR(INDEX(TableTEMaster[TM],MATCH(TableTECalcPts[[#This Row],[TERef]],TableTEMaster[TERef],0)),"")</f>
        <v>LV</v>
      </c>
      <c r="Z65" s="59">
        <f>IFERROR(INDEX(TableTEMaster[BYE],MATCH(TableTECalcPts[[#This Row],[TERef]],TableTEMaster[TERef],0)),"")</f>
        <v>10</v>
      </c>
      <c r="AA65" s="60">
        <f>IFERROR(INDEX(TableTEMaster[Custom],MATCH(TableTECalcPts[[#This Row],[TERef]],TableTEMaster[TERef],0)),"")</f>
        <v>63.541282229215099</v>
      </c>
      <c r="AI65" s="59" t="s">
        <v>10</v>
      </c>
      <c r="AJ65" s="59">
        <f>IFERROR(RANK(TableWRTECalcPts[[#This Row],[Custom]],TableWRTECalcPts[Custom])+COUNTIF($AP$3:AP65,AP65)-1,"")</f>
        <v>131</v>
      </c>
      <c r="AK65" s="59">
        <v>63</v>
      </c>
      <c r="AL65" s="59" t="str">
        <f>IFERROR(INDEX(TableTEMaster[Player],MATCH(TableWRTECalcPts[[#This Row],[POSRef]],TableTEMaster[TERef],0)),"")</f>
        <v>Michael Mayer</v>
      </c>
      <c r="AM65" s="59" t="str">
        <f>IFERROR(_xlfn.CONCAT(TableWRTECalcPts[[#This Row],[POS]],INDEX(TableTERanks[RK],MATCH(TableWRTECalcPts[[#This Row],[PLAYER]],TableTERanks[Player],0))),"")</f>
        <v>TE33</v>
      </c>
      <c r="AN65" s="59" t="str">
        <f>IFERROR(INDEX(TableTEMaster[TM],MATCH(TableWRTECalcPts[[#This Row],[POSRef]],TableTEMaster[TERef],0)),"")</f>
        <v>LV</v>
      </c>
      <c r="AO65" s="59">
        <f>IFERROR(INDEX(TableTEMaster[BYE],MATCH(TableWRTECalcPts[[#This Row],[POSRef]],TableTEMaster[TERef],0)),"")</f>
        <v>10</v>
      </c>
      <c r="AP65" s="60">
        <f>IFERROR(INDEX(TableTEMaster[Custom],MATCH(TableWRTECalcPts[[#This Row],[POSRef]],TableTEMaster[TERef],0)),"")</f>
        <v>63.541282229215099</v>
      </c>
    </row>
    <row r="66" spans="1:42" x14ac:dyDescent="0.25">
      <c r="A66" s="61">
        <f>IFERROR(RANK(TableQBCalcPts[[#This Row],[Custom]],TableQBCalcPts[Custom])+COUNTIF($F$3:F66,F66)-1,"")</f>
        <v>47</v>
      </c>
      <c r="B66" s="59">
        <v>64</v>
      </c>
      <c r="C66" s="59" t="str">
        <f>IFERROR(INDEX(TableQBMaster[Player],MATCH(TableQBCalcPts[[#This Row],[QBRef]],TableQBMaster[QBRef],0)),"")</f>
        <v>Marcus Mariota</v>
      </c>
      <c r="D66" s="59" t="str">
        <f>IFERROR(INDEX(TableQBMaster[TM],MATCH(TableQBCalcPts[[#This Row],[QBRef]],TableQBMaster[QBRef],0)),"")</f>
        <v>WSH</v>
      </c>
      <c r="E66" s="59">
        <f>IFERROR(INDEX(TableQBMaster[BYE],MATCH(TableQBCalcPts[[#This Row],[QBRef]],TableQBMaster[QBRef],0)),"")</f>
        <v>14</v>
      </c>
      <c r="F66" s="60">
        <f>IFERROR(INDEX(TableQBMaster[Custom],MATCH(TableQBCalcPts[[#This Row],[QBRef]],TableQBMaster[QBRef],0)),"")</f>
        <v>11.178047239620373</v>
      </c>
      <c r="H66" s="59">
        <f>IFERROR(RANK(TableRBCalcPts[[#This Row],[Custom]],TableRBCalcPts[Custom])+COUNTIF($M$3:M66,M66)-1,"")</f>
        <v>54</v>
      </c>
      <c r="I66" s="59">
        <v>64</v>
      </c>
      <c r="J66" s="59" t="str">
        <f>IFERROR(INDEX(TableRBMaster[Player],MATCH(TableRBCalcPts[[#This Row],[RBRef]],TableRBMaster[RBRef],0)),"")</f>
        <v>Alexander Mattison</v>
      </c>
      <c r="K66" s="59" t="str">
        <f>IFERROR(INDEX(TableRBMaster[TM],MATCH(TableRBCalcPts[[#This Row],[RBRef]],TableRBMaster[RBRef],0)),"")</f>
        <v>LV</v>
      </c>
      <c r="L66" s="59">
        <f>IFERROR(INDEX(TableRBMaster[BYE],MATCH(TableRBCalcPts[[#This Row],[RBRef]],TableRBMaster[RBRef],0)),"")</f>
        <v>10</v>
      </c>
      <c r="M66" s="60">
        <f>IFERROR(INDEX(TableRBMaster[Custom],MATCH(TableRBCalcPts[[#This Row],[RBRef]],TableRBMaster[RBRef],0)),"")</f>
        <v>84.163578560068146</v>
      </c>
      <c r="O66" s="59">
        <f>IFERROR(RANK(TableWRCalcPts[[#This Row],[Custom]],TableWRCalcPts[Custom])+COUNTIF($T$3:T66,T66)-1,"")</f>
        <v>28</v>
      </c>
      <c r="P66" s="59">
        <v>64</v>
      </c>
      <c r="Q66" s="59" t="str">
        <f>IFERROR(INDEX(TableWRMaster[Player],MATCH(TableWRCalcPts[[#This Row],[WRRef]],TableWRMaster[WRRef],0)),"")</f>
        <v>Stefon Diggs</v>
      </c>
      <c r="R66" s="59" t="str">
        <f>IFERROR(INDEX(TableWRMaster[TM],MATCH(TableWRCalcPts[[#This Row],[WRRef]],TableWRMaster[WRRef],0)),"")</f>
        <v>HOU</v>
      </c>
      <c r="S66" s="59">
        <f>IFERROR(INDEX(TableWRMaster[BYE],MATCH(TableWRCalcPts[[#This Row],[WRRef]],TableWRMaster[WRRef],0)),"")</f>
        <v>14</v>
      </c>
      <c r="T66" s="60">
        <f>IFERROR(INDEX(TableWRMaster[Custom],MATCH(TableWRCalcPts[[#This Row],[WRRef]],TableWRMaster[WRRef],0)),"")</f>
        <v>185.17442688786917</v>
      </c>
      <c r="V66" s="59">
        <f>IFERROR(RANK(TableTECalcPts[[#This Row],[Custom]],TableTECalcPts[Custom])+COUNTIF($AA$3:AA66,AA66)-1,"")</f>
        <v>65</v>
      </c>
      <c r="W66" s="59">
        <v>64</v>
      </c>
      <c r="X66" s="59" t="str">
        <f>IFERROR(INDEX(TableTEMaster[Player],MATCH(TableTECalcPts[[#This Row],[TERef]],TableTEMaster[TERef],0)),"")</f>
        <v>Harrison Bryant</v>
      </c>
      <c r="Y66" s="59" t="str">
        <f>IFERROR(INDEX(TableTEMaster[TM],MATCH(TableTECalcPts[[#This Row],[TERef]],TableTEMaster[TERef],0)),"")</f>
        <v>LV</v>
      </c>
      <c r="Z66" s="59">
        <f>IFERROR(INDEX(TableTEMaster[BYE],MATCH(TableTECalcPts[[#This Row],[TERef]],TableTEMaster[TERef],0)),"")</f>
        <v>10</v>
      </c>
      <c r="AA66" s="60">
        <f>IFERROR(INDEX(TableTEMaster[Custom],MATCH(TableTECalcPts[[#This Row],[TERef]],TableTEMaster[TERef],0)),"")</f>
        <v>13.931348290998656</v>
      </c>
      <c r="AI66" s="59" t="s">
        <v>10</v>
      </c>
      <c r="AJ66" s="59">
        <f>IFERROR(RANK(TableWRTECalcPts[[#This Row],[Custom]],TableWRTECalcPts[Custom])+COUNTIF($AP$3:AP66,AP66)-1,"")</f>
        <v>220</v>
      </c>
      <c r="AK66" s="59">
        <v>64</v>
      </c>
      <c r="AL66" s="59" t="str">
        <f>IFERROR(INDEX(TableTEMaster[Player],MATCH(TableWRTECalcPts[[#This Row],[POSRef]],TableTEMaster[TERef],0)),"")</f>
        <v>Harrison Bryant</v>
      </c>
      <c r="AM66" s="59" t="str">
        <f>IFERROR(_xlfn.CONCAT(TableWRTECalcPts[[#This Row],[POS]],INDEX(TableTERanks[RK],MATCH(TableWRTECalcPts[[#This Row],[PLAYER]],TableTERanks[Player],0))),"")</f>
        <v>TE65</v>
      </c>
      <c r="AN66" s="59" t="str">
        <f>IFERROR(INDEX(TableTEMaster[TM],MATCH(TableWRTECalcPts[[#This Row],[POSRef]],TableTEMaster[TERef],0)),"")</f>
        <v>LV</v>
      </c>
      <c r="AO66" s="59">
        <f>IFERROR(INDEX(TableTEMaster[BYE],MATCH(TableWRTECalcPts[[#This Row],[POSRef]],TableTEMaster[TERef],0)),"")</f>
        <v>10</v>
      </c>
      <c r="AP66" s="60">
        <f>IFERROR(INDEX(TableTEMaster[Custom],MATCH(TableWRTECalcPts[[#This Row],[POSRef]],TableTEMaster[TERef],0)),"")</f>
        <v>13.931348290998656</v>
      </c>
    </row>
    <row r="67" spans="1:42" x14ac:dyDescent="0.25">
      <c r="A67" s="61" t="str">
        <f>IFERROR(RANK(TableQBCalcPts[[#This Row],[Custom]],TableQBCalcPts[Custom])+COUNTIF($F$3:F67,F67)-1,"")</f>
        <v/>
      </c>
      <c r="B67" s="59">
        <v>65</v>
      </c>
      <c r="C67" s="59" t="str">
        <f>IFERROR(INDEX(TableQBMaster[Player],MATCH(TableQBCalcPts[[#This Row],[QBRef]],TableQBMaster[QBRef],0)),"")</f>
        <v/>
      </c>
      <c r="D67" s="59" t="str">
        <f>IFERROR(INDEX(TableQBMaster[TM],MATCH(TableQBCalcPts[[#This Row],[QBRef]],TableQBMaster[QBRef],0)),"")</f>
        <v/>
      </c>
      <c r="E67" s="59" t="str">
        <f>IFERROR(INDEX(TableQBMaster[BYE],MATCH(TableQBCalcPts[[#This Row],[QBRef]],TableQBMaster[QBRef],0)),"")</f>
        <v/>
      </c>
      <c r="F67" s="60" t="str">
        <f>IFERROR(INDEX(TableQBMaster[Custom],MATCH(TableQBCalcPts[[#This Row],[QBRef]],TableQBMaster[QBRef],0)),"")</f>
        <v/>
      </c>
      <c r="H67" s="59">
        <f>IFERROR(RANK(TableRBCalcPts[[#This Row],[Custom]],TableRBCalcPts[Custom])+COUNTIF($M$3:M67,M67)-1,"")</f>
        <v>70</v>
      </c>
      <c r="I67" s="59">
        <v>65</v>
      </c>
      <c r="J67" s="59" t="str">
        <f>IFERROR(INDEX(TableRBMaster[Player],MATCH(TableRBCalcPts[[#This Row],[RBRef]],TableRBMaster[RBRef],0)),"")</f>
        <v>Dylan Laube</v>
      </c>
      <c r="K67" s="59" t="str">
        <f>IFERROR(INDEX(TableRBMaster[TM],MATCH(TableRBCalcPts[[#This Row],[RBRef]],TableRBMaster[RBRef],0)),"")</f>
        <v>LV</v>
      </c>
      <c r="L67" s="59">
        <f>IFERROR(INDEX(TableRBMaster[BYE],MATCH(TableRBCalcPts[[#This Row],[RBRef]],TableRBMaster[RBRef],0)),"")</f>
        <v>10</v>
      </c>
      <c r="M67" s="60">
        <f>IFERROR(INDEX(TableRBMaster[Custom],MATCH(TableRBCalcPts[[#This Row],[RBRef]],TableRBMaster[RBRef],0)),"")</f>
        <v>53.447944614591705</v>
      </c>
      <c r="O67" s="59">
        <f>IFERROR(RANK(TableWRCalcPts[[#This Row],[Custom]],TableWRCalcPts[Custom])+COUNTIF($T$3:T67,T67)-1,"")</f>
        <v>11</v>
      </c>
      <c r="P67" s="59">
        <v>65</v>
      </c>
      <c r="Q67" s="59" t="str">
        <f>IFERROR(INDEX(TableWRMaster[Player],MATCH(TableWRCalcPts[[#This Row],[WRRef]],TableWRMaster[WRRef],0)),"")</f>
        <v>Nico Collins</v>
      </c>
      <c r="R67" s="59" t="str">
        <f>IFERROR(INDEX(TableWRMaster[TM],MATCH(TableWRCalcPts[[#This Row],[WRRef]],TableWRMaster[WRRef],0)),"")</f>
        <v>HOU</v>
      </c>
      <c r="S67" s="59">
        <f>IFERROR(INDEX(TableWRMaster[BYE],MATCH(TableWRCalcPts[[#This Row],[WRRef]],TableWRMaster[WRRef],0)),"")</f>
        <v>14</v>
      </c>
      <c r="T67" s="60">
        <f>IFERROR(INDEX(TableWRMaster[Custom],MATCH(TableWRCalcPts[[#This Row],[WRRef]],TableWRMaster[WRRef],0)),"")</f>
        <v>206.51868818380797</v>
      </c>
      <c r="V67" s="59">
        <f>IFERROR(RANK(TableTECalcPts[[#This Row],[Custom]],TableTECalcPts[Custom])+COUNTIF($AA$3:AA67,AA67)-1,"")</f>
        <v>13</v>
      </c>
      <c r="W67" s="59">
        <v>65</v>
      </c>
      <c r="X67" s="59" t="str">
        <f>IFERROR(INDEX(TableTEMaster[Player],MATCH(TableTECalcPts[[#This Row],[TERef]],TableTEMaster[TERef],0)),"")</f>
        <v>Dallas Goedert</v>
      </c>
      <c r="Y67" s="59" t="str">
        <f>IFERROR(INDEX(TableTEMaster[TM],MATCH(TableTECalcPts[[#This Row],[TERef]],TableTEMaster[TERef],0)),"")</f>
        <v>PHI</v>
      </c>
      <c r="Z67" s="59">
        <f>IFERROR(INDEX(TableTEMaster[BYE],MATCH(TableTECalcPts[[#This Row],[TERef]],TableTEMaster[TERef],0)),"")</f>
        <v>5</v>
      </c>
      <c r="AA67" s="60">
        <f>IFERROR(INDEX(TableTEMaster[Custom],MATCH(TableTECalcPts[[#This Row],[TERef]],TableTEMaster[TERef],0)),"")</f>
        <v>123.25352037647167</v>
      </c>
      <c r="AI67" s="59" t="s">
        <v>10</v>
      </c>
      <c r="AJ67" s="59">
        <f>IFERROR(RANK(TableWRTECalcPts[[#This Row],[Custom]],TableWRTECalcPts[Custom])+COUNTIF($AP$3:AP67,AP67)-1,"")</f>
        <v>79</v>
      </c>
      <c r="AK67" s="59">
        <v>65</v>
      </c>
      <c r="AL67" s="59" t="str">
        <f>IFERROR(INDEX(TableTEMaster[Player],MATCH(TableWRTECalcPts[[#This Row],[POSRef]],TableTEMaster[TERef],0)),"")</f>
        <v>Dallas Goedert</v>
      </c>
      <c r="AM67" s="59" t="str">
        <f>IFERROR(_xlfn.CONCAT(TableWRTECalcPts[[#This Row],[POS]],INDEX(TableTERanks[RK],MATCH(TableWRTECalcPts[[#This Row],[PLAYER]],TableTERanks[Player],0))),"")</f>
        <v>TE13</v>
      </c>
      <c r="AN67" s="59" t="str">
        <f>IFERROR(INDEX(TableTEMaster[TM],MATCH(TableWRTECalcPts[[#This Row],[POSRef]],TableTEMaster[TERef],0)),"")</f>
        <v>PHI</v>
      </c>
      <c r="AO67" s="59">
        <f>IFERROR(INDEX(TableTEMaster[BYE],MATCH(TableWRTECalcPts[[#This Row],[POSRef]],TableTEMaster[TERef],0)),"")</f>
        <v>5</v>
      </c>
      <c r="AP67" s="60">
        <f>IFERROR(INDEX(TableTEMaster[Custom],MATCH(TableWRTECalcPts[[#This Row],[POSRef]],TableTEMaster[TERef],0)),"")</f>
        <v>123.25352037647167</v>
      </c>
    </row>
    <row r="68" spans="1:42" x14ac:dyDescent="0.25">
      <c r="A68" s="61" t="str">
        <f>IFERROR(RANK(TableQBCalcPts[[#This Row],[Custom]],TableQBCalcPts[Custom])+COUNTIF($F$3:F68,F68)-1,"")</f>
        <v/>
      </c>
      <c r="B68" s="59">
        <v>66</v>
      </c>
      <c r="C68" s="59" t="str">
        <f>IFERROR(INDEX(TableQBMaster[Player],MATCH(TableQBCalcPts[[#This Row],[QBRef]],TableQBMaster[QBRef],0)),"")</f>
        <v/>
      </c>
      <c r="D68" s="59" t="str">
        <f>IFERROR(INDEX(TableQBMaster[TM],MATCH(TableQBCalcPts[[#This Row],[QBRef]],TableQBMaster[QBRef],0)),"")</f>
        <v/>
      </c>
      <c r="E68" s="59" t="str">
        <f>IFERROR(INDEX(TableQBMaster[BYE],MATCH(TableQBCalcPts[[#This Row],[QBRef]],TableQBMaster[QBRef],0)),"")</f>
        <v/>
      </c>
      <c r="F68" s="60" t="str">
        <f>IFERROR(INDEX(TableQBMaster[Custom],MATCH(TableQBCalcPts[[#This Row],[QBRef]],TableQBMaster[QBRef],0)),"")</f>
        <v/>
      </c>
      <c r="H68" s="59">
        <f>IFERROR(RANK(TableRBCalcPts[[#This Row],[Custom]],TableRBCalcPts[Custom])+COUNTIF($M$3:M68,M68)-1,"")</f>
        <v>30</v>
      </c>
      <c r="I68" s="59">
        <v>66</v>
      </c>
      <c r="J68" s="59" t="str">
        <f>IFERROR(INDEX(TableRBMaster[Player],MATCH(TableRBCalcPts[[#This Row],[RBRef]],TableRBMaster[RBRef],0)),"")</f>
        <v>Raheem Mostert</v>
      </c>
      <c r="K68" s="59" t="str">
        <f>IFERROR(INDEX(TableRBMaster[TM],MATCH(TableRBCalcPts[[#This Row],[RBRef]],TableRBMaster[RBRef],0)),"")</f>
        <v>MIA</v>
      </c>
      <c r="L68" s="59">
        <f>IFERROR(INDEX(TableRBMaster[BYE],MATCH(TableRBCalcPts[[#This Row],[RBRef]],TableRBMaster[RBRef],0)),"")</f>
        <v>6</v>
      </c>
      <c r="M68" s="60">
        <f>IFERROR(INDEX(TableRBMaster[Custom],MATCH(TableRBCalcPts[[#This Row],[RBRef]],TableRBMaster[RBRef],0)),"")</f>
        <v>169.2372413840734</v>
      </c>
      <c r="O68" s="59">
        <f>IFERROR(RANK(TableWRCalcPts[[#This Row],[Custom]],TableWRCalcPts[Custom])+COUNTIF($T$3:T68,T68)-1,"")</f>
        <v>31</v>
      </c>
      <c r="P68" s="59">
        <v>66</v>
      </c>
      <c r="Q68" s="59" t="str">
        <f>IFERROR(INDEX(TableWRMaster[Player],MATCH(TableWRCalcPts[[#This Row],[WRRef]],TableWRMaster[WRRef],0)),"")</f>
        <v>Tank Dell</v>
      </c>
      <c r="R68" s="59" t="str">
        <f>IFERROR(INDEX(TableWRMaster[TM],MATCH(TableWRCalcPts[[#This Row],[WRRef]],TableWRMaster[WRRef],0)),"")</f>
        <v>HOU</v>
      </c>
      <c r="S68" s="59">
        <f>IFERROR(INDEX(TableWRMaster[BYE],MATCH(TableWRCalcPts[[#This Row],[WRRef]],TableWRMaster[WRRef],0)),"")</f>
        <v>14</v>
      </c>
      <c r="T68" s="60">
        <f>IFERROR(INDEX(TableWRMaster[Custom],MATCH(TableWRCalcPts[[#This Row],[WRRef]],TableWRMaster[WRRef],0)),"")</f>
        <v>181.86577234960347</v>
      </c>
      <c r="V68" s="59">
        <f>IFERROR(RANK(TableTECalcPts[[#This Row],[Custom]],TableTECalcPts[Custom])+COUNTIF($AA$3:AA68,AA68)-1,"")</f>
        <v>58</v>
      </c>
      <c r="W68" s="59">
        <v>66</v>
      </c>
      <c r="X68" s="59" t="str">
        <f>IFERROR(INDEX(TableTEMaster[Player],MATCH(TableTECalcPts[[#This Row],[TERef]],TableTEMaster[TERef],0)),"")</f>
        <v>Grant Calcaterra</v>
      </c>
      <c r="Y68" s="59" t="str">
        <f>IFERROR(INDEX(TableTEMaster[TM],MATCH(TableTECalcPts[[#This Row],[TERef]],TableTEMaster[TERef],0)),"")</f>
        <v>PHI</v>
      </c>
      <c r="Z68" s="59">
        <f>IFERROR(INDEX(TableTEMaster[BYE],MATCH(TableTECalcPts[[#This Row],[TERef]],TableTEMaster[TERef],0)),"")</f>
        <v>5</v>
      </c>
      <c r="AA68" s="60">
        <f>IFERROR(INDEX(TableTEMaster[Custom],MATCH(TableTECalcPts[[#This Row],[TERef]],TableTEMaster[TERef],0)),"")</f>
        <v>20.360312945280004</v>
      </c>
      <c r="AI68" s="59" t="s">
        <v>10</v>
      </c>
      <c r="AJ68" s="59">
        <f>IFERROR(RANK(TableWRTECalcPts[[#This Row],[Custom]],TableWRTECalcPts[Custom])+COUNTIF($AP$3:AP68,AP68)-1,"")</f>
        <v>197</v>
      </c>
      <c r="AK68" s="59">
        <v>66</v>
      </c>
      <c r="AL68" s="59" t="str">
        <f>IFERROR(INDEX(TableTEMaster[Player],MATCH(TableWRTECalcPts[[#This Row],[POSRef]],TableTEMaster[TERef],0)),"")</f>
        <v>Grant Calcaterra</v>
      </c>
      <c r="AM68" s="59" t="str">
        <f>IFERROR(_xlfn.CONCAT(TableWRTECalcPts[[#This Row],[POS]],INDEX(TableTERanks[RK],MATCH(TableWRTECalcPts[[#This Row],[PLAYER]],TableTERanks[Player],0))),"")</f>
        <v>TE58</v>
      </c>
      <c r="AN68" s="59" t="str">
        <f>IFERROR(INDEX(TableTEMaster[TM],MATCH(TableWRTECalcPts[[#This Row],[POSRef]],TableTEMaster[TERef],0)),"")</f>
        <v>PHI</v>
      </c>
      <c r="AO68" s="59">
        <f>IFERROR(INDEX(TableTEMaster[BYE],MATCH(TableWRTECalcPts[[#This Row],[POSRef]],TableTEMaster[TERef],0)),"")</f>
        <v>5</v>
      </c>
      <c r="AP68" s="60">
        <f>IFERROR(INDEX(TableTEMaster[Custom],MATCH(TableWRTECalcPts[[#This Row],[POSRef]],TableTEMaster[TERef],0)),"")</f>
        <v>20.360312945280004</v>
      </c>
    </row>
    <row r="69" spans="1:42" x14ac:dyDescent="0.25">
      <c r="A69" s="61" t="str">
        <f>IFERROR(RANK(TableQBCalcPts[[#This Row],[Custom]],TableQBCalcPts[Custom])+COUNTIF($F$3:F69,F69)-1,"")</f>
        <v/>
      </c>
      <c r="B69" s="59">
        <v>67</v>
      </c>
      <c r="C69" s="59" t="str">
        <f>IFERROR(INDEX(TableQBMaster[Player],MATCH(TableQBCalcPts[[#This Row],[QBRef]],TableQBMaster[QBRef],0)),"")</f>
        <v/>
      </c>
      <c r="D69" s="59" t="str">
        <f>IFERROR(INDEX(TableQBMaster[TM],MATCH(TableQBCalcPts[[#This Row],[QBRef]],TableQBMaster[QBRef],0)),"")</f>
        <v/>
      </c>
      <c r="E69" s="59" t="str">
        <f>IFERROR(INDEX(TableQBMaster[BYE],MATCH(TableQBCalcPts[[#This Row],[QBRef]],TableQBMaster[QBRef],0)),"")</f>
        <v/>
      </c>
      <c r="F69" s="60" t="str">
        <f>IFERROR(INDEX(TableQBMaster[Custom],MATCH(TableQBCalcPts[[#This Row],[QBRef]],TableQBMaster[QBRef],0)),"")</f>
        <v/>
      </c>
      <c r="H69" s="59">
        <f>IFERROR(RANK(TableRBCalcPts[[#This Row],[Custom]],TableRBCalcPts[Custom])+COUNTIF($M$3:M69,M69)-1,"")</f>
        <v>14</v>
      </c>
      <c r="I69" s="59">
        <v>67</v>
      </c>
      <c r="J69" s="59" t="str">
        <f>IFERROR(INDEX(TableRBMaster[Player],MATCH(TableRBCalcPts[[#This Row],[RBRef]],TableRBMaster[RBRef],0)),"")</f>
        <v>De'Von Achane</v>
      </c>
      <c r="K69" s="59" t="str">
        <f>IFERROR(INDEX(TableRBMaster[TM],MATCH(TableRBCalcPts[[#This Row],[RBRef]],TableRBMaster[RBRef],0)),"")</f>
        <v>MIA</v>
      </c>
      <c r="L69" s="59">
        <f>IFERROR(INDEX(TableRBMaster[BYE],MATCH(TableRBCalcPts[[#This Row],[RBRef]],TableRBMaster[RBRef],0)),"")</f>
        <v>6</v>
      </c>
      <c r="M69" s="60">
        <f>IFERROR(INDEX(TableRBMaster[Custom],MATCH(TableRBCalcPts[[#This Row],[RBRef]],TableRBMaster[RBRef],0)),"")</f>
        <v>206.99043080924</v>
      </c>
      <c r="O69" s="59">
        <f>IFERROR(RANK(TableWRCalcPts[[#This Row],[Custom]],TableWRCalcPts[Custom])+COUNTIF($T$3:T69,T69)-1,"")</f>
        <v>123</v>
      </c>
      <c r="P69" s="59">
        <v>67</v>
      </c>
      <c r="Q69" s="59" t="str">
        <f>IFERROR(INDEX(TableWRMaster[Player],MATCH(TableWRCalcPts[[#This Row],[WRRef]],TableWRMaster[WRRef],0)),"")</f>
        <v>Robert Woods</v>
      </c>
      <c r="R69" s="59" t="str">
        <f>IFERROR(INDEX(TableWRMaster[TM],MATCH(TableWRCalcPts[[#This Row],[WRRef]],TableWRMaster[WRRef],0)),"")</f>
        <v>HOU</v>
      </c>
      <c r="S69" s="59">
        <f>IFERROR(INDEX(TableWRMaster[BYE],MATCH(TableWRCalcPts[[#This Row],[WRRef]],TableWRMaster[WRRef],0)),"")</f>
        <v>14</v>
      </c>
      <c r="T69" s="60">
        <f>IFERROR(INDEX(TableWRMaster[Custom],MATCH(TableWRCalcPts[[#This Row],[WRRef]],TableWRMaster[WRRef],0)),"")</f>
        <v>29.421431565209236</v>
      </c>
      <c r="V69" s="59">
        <f>IFERROR(RANK(TableTECalcPts[[#This Row],[Custom]],TableTECalcPts[Custom])+COUNTIF($AA$3:AA69,AA69)-1,"")</f>
        <v>81</v>
      </c>
      <c r="W69" s="59">
        <v>67</v>
      </c>
      <c r="X69" s="59" t="str">
        <f>IFERROR(INDEX(TableTEMaster[Player],MATCH(TableTECalcPts[[#This Row],[TERef]],TableTEMaster[TERef],0)),"")</f>
        <v>Albert Okwuegbunam</v>
      </c>
      <c r="Y69" s="59" t="str">
        <f>IFERROR(INDEX(TableTEMaster[TM],MATCH(TableTECalcPts[[#This Row],[TERef]],TableTEMaster[TERef],0)),"")</f>
        <v>PHI</v>
      </c>
      <c r="Z69" s="59">
        <f>IFERROR(INDEX(TableTEMaster[BYE],MATCH(TableTECalcPts[[#This Row],[TERef]],TableTEMaster[TERef],0)),"")</f>
        <v>5</v>
      </c>
      <c r="AA69" s="60">
        <f>IFERROR(INDEX(TableTEMaster[Custom],MATCH(TableTECalcPts[[#This Row],[TERef]],TableTEMaster[TERef],0)),"")</f>
        <v>7.0925050169705255</v>
      </c>
      <c r="AI69" s="59" t="s">
        <v>10</v>
      </c>
      <c r="AJ69" s="59">
        <f>IFERROR(RANK(TableWRTECalcPts[[#This Row],[Custom]],TableWRTECalcPts[Custom])+COUNTIF($AP$3:AP69,AP69)-1,"")</f>
        <v>253</v>
      </c>
      <c r="AK69" s="59">
        <v>67</v>
      </c>
      <c r="AL69" s="59" t="str">
        <f>IFERROR(INDEX(TableTEMaster[Player],MATCH(TableWRTECalcPts[[#This Row],[POSRef]],TableTEMaster[TERef],0)),"")</f>
        <v>Albert Okwuegbunam</v>
      </c>
      <c r="AM69" s="59" t="str">
        <f>IFERROR(_xlfn.CONCAT(TableWRTECalcPts[[#This Row],[POS]],INDEX(TableTERanks[RK],MATCH(TableWRTECalcPts[[#This Row],[PLAYER]],TableTERanks[Player],0))),"")</f>
        <v>TE81</v>
      </c>
      <c r="AN69" s="59" t="str">
        <f>IFERROR(INDEX(TableTEMaster[TM],MATCH(TableWRTECalcPts[[#This Row],[POSRef]],TableTEMaster[TERef],0)),"")</f>
        <v>PHI</v>
      </c>
      <c r="AO69" s="59">
        <f>IFERROR(INDEX(TableTEMaster[BYE],MATCH(TableWRTECalcPts[[#This Row],[POSRef]],TableTEMaster[TERef],0)),"")</f>
        <v>5</v>
      </c>
      <c r="AP69" s="60">
        <f>IFERROR(INDEX(TableTEMaster[Custom],MATCH(TableWRTECalcPts[[#This Row],[POSRef]],TableTEMaster[TERef],0)),"")</f>
        <v>7.0925050169705255</v>
      </c>
    </row>
    <row r="70" spans="1:42" x14ac:dyDescent="0.25">
      <c r="A70" s="61" t="str">
        <f>IFERROR(RANK(TableQBCalcPts[[#This Row],[Custom]],TableQBCalcPts[Custom])+COUNTIF($F$3:F70,F70)-1,"")</f>
        <v/>
      </c>
      <c r="B70" s="59">
        <v>68</v>
      </c>
      <c r="C70" s="59" t="str">
        <f>IFERROR(INDEX(TableQBMaster[Player],MATCH(TableQBCalcPts[[#This Row],[QBRef]],TableQBMaster[QBRef],0)),"")</f>
        <v/>
      </c>
      <c r="D70" s="59" t="str">
        <f>IFERROR(INDEX(TableQBMaster[TM],MATCH(TableQBCalcPts[[#This Row],[QBRef]],TableQBMaster[QBRef],0)),"")</f>
        <v/>
      </c>
      <c r="E70" s="59" t="str">
        <f>IFERROR(INDEX(TableQBMaster[BYE],MATCH(TableQBCalcPts[[#This Row],[QBRef]],TableQBMaster[QBRef],0)),"")</f>
        <v/>
      </c>
      <c r="F70" s="60" t="str">
        <f>IFERROR(INDEX(TableQBMaster[Custom],MATCH(TableQBCalcPts[[#This Row],[QBRef]],TableQBMaster[QBRef],0)),"")</f>
        <v/>
      </c>
      <c r="H70" s="59">
        <f>IFERROR(RANK(TableRBCalcPts[[#This Row],[Custom]],TableRBCalcPts[Custom])+COUNTIF($M$3:M70,M70)-1,"")</f>
        <v>59</v>
      </c>
      <c r="I70" s="59">
        <v>68</v>
      </c>
      <c r="J70" s="59" t="str">
        <f>IFERROR(INDEX(TableRBMaster[Player],MATCH(TableRBCalcPts[[#This Row],[RBRef]],TableRBMaster[RBRef],0)),"")</f>
        <v>Jaylen Wright</v>
      </c>
      <c r="K70" s="59" t="str">
        <f>IFERROR(INDEX(TableRBMaster[TM],MATCH(TableRBCalcPts[[#This Row],[RBRef]],TableRBMaster[RBRef],0)),"")</f>
        <v>MIA</v>
      </c>
      <c r="L70" s="59">
        <f>IFERROR(INDEX(TableRBMaster[BYE],MATCH(TableRBCalcPts[[#This Row],[RBRef]],TableRBMaster[RBRef],0)),"")</f>
        <v>6</v>
      </c>
      <c r="M70" s="60">
        <f>IFERROR(INDEX(TableRBMaster[Custom],MATCH(TableRBCalcPts[[#This Row],[RBRef]],TableRBMaster[RBRef],0)),"")</f>
        <v>74.368530788872704</v>
      </c>
      <c r="O70" s="59">
        <f>IFERROR(RANK(TableWRCalcPts[[#This Row],[Custom]],TableWRCalcPts[Custom])+COUNTIF($T$3:T70,T70)-1,"")</f>
        <v>155</v>
      </c>
      <c r="P70" s="59">
        <v>68</v>
      </c>
      <c r="Q70" s="59" t="str">
        <f>IFERROR(INDEX(TableWRMaster[Player],MATCH(TableWRCalcPts[[#This Row],[WRRef]],TableWRMaster[WRRef],0)),"")</f>
        <v>Xavier Hutchinson</v>
      </c>
      <c r="R70" s="59" t="str">
        <f>IFERROR(INDEX(TableWRMaster[TM],MATCH(TableWRCalcPts[[#This Row],[WRRef]],TableWRMaster[WRRef],0)),"")</f>
        <v>HOU</v>
      </c>
      <c r="S70" s="59">
        <f>IFERROR(INDEX(TableWRMaster[BYE],MATCH(TableWRCalcPts[[#This Row],[WRRef]],TableWRMaster[WRRef],0)),"")</f>
        <v>14</v>
      </c>
      <c r="T70" s="60">
        <f>IFERROR(INDEX(TableWRMaster[Custom],MATCH(TableWRCalcPts[[#This Row],[WRRef]],TableWRMaster[WRRef],0)),"")</f>
        <v>14.406193515022382</v>
      </c>
      <c r="V70" s="59">
        <f>IFERROR(RANK(TableTECalcPts[[#This Row],[Custom]],TableTECalcPts[Custom])+COUNTIF($AA$3:AA70,AA70)-1,"")</f>
        <v>24</v>
      </c>
      <c r="W70" s="59">
        <v>68</v>
      </c>
      <c r="X70" s="59" t="str">
        <f>IFERROR(INDEX(TableTEMaster[Player],MATCH(TableTECalcPts[[#This Row],[TERef]],TableTEMaster[TERef],0)),"")</f>
        <v>Pat Freiermuth</v>
      </c>
      <c r="Y70" s="59" t="str">
        <f>IFERROR(INDEX(TableTEMaster[TM],MATCH(TableTECalcPts[[#This Row],[TERef]],TableTEMaster[TERef],0)),"")</f>
        <v>PIT</v>
      </c>
      <c r="Z70" s="59">
        <f>IFERROR(INDEX(TableTEMaster[BYE],MATCH(TableTECalcPts[[#This Row],[TERef]],TableTEMaster[TERef],0)),"")</f>
        <v>9</v>
      </c>
      <c r="AA70" s="60">
        <f>IFERROR(INDEX(TableTEMaster[Custom],MATCH(TableTECalcPts[[#This Row],[TERef]],TableTEMaster[TERef],0)),"")</f>
        <v>84.255051648368294</v>
      </c>
      <c r="AI70" s="59" t="s">
        <v>10</v>
      </c>
      <c r="AJ70" s="59">
        <f>IFERROR(RANK(TableWRTECalcPts[[#This Row],[Custom]],TableWRTECalcPts[Custom])+COUNTIF($AP$3:AP70,AP70)-1,"")</f>
        <v>111</v>
      </c>
      <c r="AK70" s="59">
        <v>68</v>
      </c>
      <c r="AL70" s="59" t="str">
        <f>IFERROR(INDEX(TableTEMaster[Player],MATCH(TableWRTECalcPts[[#This Row],[POSRef]],TableTEMaster[TERef],0)),"")</f>
        <v>Pat Freiermuth</v>
      </c>
      <c r="AM70" s="59" t="str">
        <f>IFERROR(_xlfn.CONCAT(TableWRTECalcPts[[#This Row],[POS]],INDEX(TableTERanks[RK],MATCH(TableWRTECalcPts[[#This Row],[PLAYER]],TableTERanks[Player],0))),"")</f>
        <v>TE24</v>
      </c>
      <c r="AN70" s="59" t="str">
        <f>IFERROR(INDEX(TableTEMaster[TM],MATCH(TableWRTECalcPts[[#This Row],[POSRef]],TableTEMaster[TERef],0)),"")</f>
        <v>PIT</v>
      </c>
      <c r="AO70" s="59">
        <f>IFERROR(INDEX(TableTEMaster[BYE],MATCH(TableWRTECalcPts[[#This Row],[POSRef]],TableTEMaster[TERef],0)),"")</f>
        <v>9</v>
      </c>
      <c r="AP70" s="60">
        <f>IFERROR(INDEX(TableTEMaster[Custom],MATCH(TableWRTECalcPts[[#This Row],[POSRef]],TableTEMaster[TERef],0)),"")</f>
        <v>84.255051648368294</v>
      </c>
    </row>
    <row r="71" spans="1:42" x14ac:dyDescent="0.25">
      <c r="A71" s="61" t="str">
        <f>IFERROR(RANK(TableQBCalcPts[[#This Row],[Custom]],TableQBCalcPts[Custom])+COUNTIF($F$3:F71,F71)-1,"")</f>
        <v/>
      </c>
      <c r="B71" s="59">
        <v>69</v>
      </c>
      <c r="C71" s="59" t="str">
        <f>IFERROR(INDEX(TableQBMaster[Player],MATCH(TableQBCalcPts[[#This Row],[QBRef]],TableQBMaster[QBRef],0)),"")</f>
        <v/>
      </c>
      <c r="D71" s="59" t="str">
        <f>IFERROR(INDEX(TableQBMaster[TM],MATCH(TableQBCalcPts[[#This Row],[QBRef]],TableQBMaster[QBRef],0)),"")</f>
        <v/>
      </c>
      <c r="E71" s="59" t="str">
        <f>IFERROR(INDEX(TableQBMaster[BYE],MATCH(TableQBCalcPts[[#This Row],[QBRef]],TableQBMaster[QBRef],0)),"")</f>
        <v/>
      </c>
      <c r="F71" s="60" t="str">
        <f>IFERROR(INDEX(TableQBMaster[Custom],MATCH(TableQBCalcPts[[#This Row],[QBRef]],TableQBMaster[QBRef],0)),"")</f>
        <v/>
      </c>
      <c r="H71" s="59">
        <f>IFERROR(RANK(TableRBCalcPts[[#This Row],[Custom]],TableRBCalcPts[Custom])+COUNTIF($M$3:M71,M71)-1,"")</f>
        <v>102</v>
      </c>
      <c r="I71" s="59">
        <v>69</v>
      </c>
      <c r="J71" s="59" t="str">
        <f>IFERROR(INDEX(TableRBMaster[Player],MATCH(TableRBCalcPts[[#This Row],[RBRef]],TableRBMaster[RBRef],0)),"")</f>
        <v>Jeff Wilson</v>
      </c>
      <c r="K71" s="59" t="str">
        <f>IFERROR(INDEX(TableRBMaster[TM],MATCH(TableRBCalcPts[[#This Row],[RBRef]],TableRBMaster[RBRef],0)),"")</f>
        <v>MIA</v>
      </c>
      <c r="L71" s="59">
        <f>IFERROR(INDEX(TableRBMaster[BYE],MATCH(TableRBCalcPts[[#This Row],[RBRef]],TableRBMaster[RBRef],0)),"")</f>
        <v>6</v>
      </c>
      <c r="M71" s="60">
        <f>IFERROR(INDEX(TableRBMaster[Custom],MATCH(TableRBCalcPts[[#This Row],[RBRef]],TableRBMaster[RBRef],0)),"")</f>
        <v>11.265283336619294</v>
      </c>
      <c r="O71" s="59">
        <f>IFERROR(RANK(TableWRCalcPts[[#This Row],[Custom]],TableWRCalcPts[Custom])+COUNTIF($T$3:T71,T71)-1,"")</f>
        <v>121</v>
      </c>
      <c r="P71" s="59">
        <v>69</v>
      </c>
      <c r="Q71" s="59" t="str">
        <f>IFERROR(INDEX(TableWRMaster[Player],MATCH(TableWRCalcPts[[#This Row],[WRRef]],TableWRMaster[WRRef],0)),"")</f>
        <v>John Metchie</v>
      </c>
      <c r="R71" s="59" t="str">
        <f>IFERROR(INDEX(TableWRMaster[TM],MATCH(TableWRCalcPts[[#This Row],[WRRef]],TableWRMaster[WRRef],0)),"")</f>
        <v>HOU</v>
      </c>
      <c r="S71" s="59">
        <f>IFERROR(INDEX(TableWRMaster[BYE],MATCH(TableWRCalcPts[[#This Row],[WRRef]],TableWRMaster[WRRef],0)),"")</f>
        <v>14</v>
      </c>
      <c r="T71" s="60">
        <f>IFERROR(INDEX(TableWRMaster[Custom],MATCH(TableWRCalcPts[[#This Row],[WRRef]],TableWRMaster[WRRef],0)),"")</f>
        <v>31.120723425792004</v>
      </c>
      <c r="V71" s="59">
        <f>IFERROR(RANK(TableTECalcPts[[#This Row],[Custom]],TableTECalcPts[Custom])+COUNTIF($AA$3:AA71,AA71)-1,"")</f>
        <v>42</v>
      </c>
      <c r="W71" s="59">
        <v>69</v>
      </c>
      <c r="X71" s="59" t="str">
        <f>IFERROR(INDEX(TableTEMaster[Player],MATCH(TableTECalcPts[[#This Row],[TERef]],TableTEMaster[TERef],0)),"")</f>
        <v>Darnell Washington</v>
      </c>
      <c r="Y71" s="59" t="str">
        <f>IFERROR(INDEX(TableTEMaster[TM],MATCH(TableTECalcPts[[#This Row],[TERef]],TableTEMaster[TERef],0)),"")</f>
        <v>PIT</v>
      </c>
      <c r="Z71" s="59">
        <f>IFERROR(INDEX(TableTEMaster[BYE],MATCH(TableTECalcPts[[#This Row],[TERef]],TableTEMaster[TERef],0)),"")</f>
        <v>9</v>
      </c>
      <c r="AA71" s="60">
        <f>IFERROR(INDEX(TableTEMaster[Custom],MATCH(TableTECalcPts[[#This Row],[TERef]],TableTEMaster[TERef],0)),"")</f>
        <v>45.128004722701178</v>
      </c>
      <c r="AI71" s="59" t="s">
        <v>10</v>
      </c>
      <c r="AJ71" s="59">
        <f>IFERROR(RANK(TableWRTECalcPts[[#This Row],[Custom]],TableWRTECalcPts[Custom])+COUNTIF($AP$3:AP71,AP71)-1,"")</f>
        <v>153</v>
      </c>
      <c r="AK71" s="59">
        <v>69</v>
      </c>
      <c r="AL71" s="59" t="str">
        <f>IFERROR(INDEX(TableTEMaster[Player],MATCH(TableWRTECalcPts[[#This Row],[POSRef]],TableTEMaster[TERef],0)),"")</f>
        <v>Darnell Washington</v>
      </c>
      <c r="AM71" s="59" t="str">
        <f>IFERROR(_xlfn.CONCAT(TableWRTECalcPts[[#This Row],[POS]],INDEX(TableTERanks[RK],MATCH(TableWRTECalcPts[[#This Row],[PLAYER]],TableTERanks[Player],0))),"")</f>
        <v>TE42</v>
      </c>
      <c r="AN71" s="59" t="str">
        <f>IFERROR(INDEX(TableTEMaster[TM],MATCH(TableWRTECalcPts[[#This Row],[POSRef]],TableTEMaster[TERef],0)),"")</f>
        <v>PIT</v>
      </c>
      <c r="AO71" s="59">
        <f>IFERROR(INDEX(TableTEMaster[BYE],MATCH(TableWRTECalcPts[[#This Row],[POSRef]],TableTEMaster[TERef],0)),"")</f>
        <v>9</v>
      </c>
      <c r="AP71" s="60">
        <f>IFERROR(INDEX(TableTEMaster[Custom],MATCH(TableWRTECalcPts[[#This Row],[POSRef]],TableTEMaster[TERef],0)),"")</f>
        <v>45.128004722701178</v>
      </c>
    </row>
    <row r="72" spans="1:42" x14ac:dyDescent="0.25">
      <c r="A72" s="61" t="str">
        <f>IFERROR(RANK(TableQBCalcPts[[#This Row],[Custom]],TableQBCalcPts[Custom])+COUNTIF($F$3:F72,F72)-1,"")</f>
        <v/>
      </c>
      <c r="B72" s="59">
        <v>70</v>
      </c>
      <c r="C72" s="59" t="str">
        <f>IFERROR(INDEX(TableQBMaster[Player],MATCH(TableQBCalcPts[[#This Row],[QBRef]],TableQBMaster[QBRef],0)),"")</f>
        <v/>
      </c>
      <c r="D72" s="59" t="str">
        <f>IFERROR(INDEX(TableQBMaster[TM],MATCH(TableQBCalcPts[[#This Row],[QBRef]],TableQBMaster[QBRef],0)),"")</f>
        <v/>
      </c>
      <c r="E72" s="59" t="str">
        <f>IFERROR(INDEX(TableQBMaster[BYE],MATCH(TableQBCalcPts[[#This Row],[QBRef]],TableQBMaster[QBRef],0)),"")</f>
        <v/>
      </c>
      <c r="F72" s="60" t="str">
        <f>IFERROR(INDEX(TableQBMaster[Custom],MATCH(TableQBCalcPts[[#This Row],[QBRef]],TableQBMaster[QBRef],0)),"")</f>
        <v/>
      </c>
      <c r="H72" s="59">
        <f>IFERROR(RANK(TableRBCalcPts[[#This Row],[Custom]],TableRBCalcPts[Custom])+COUNTIF($M$3:M72,M72)-1,"")</f>
        <v>12</v>
      </c>
      <c r="I72" s="59">
        <v>70</v>
      </c>
      <c r="J72" s="59" t="str">
        <f>IFERROR(INDEX(TableRBMaster[Player],MATCH(TableRBCalcPts[[#This Row],[RBRef]],TableRBMaster[RBRef],0)),"")</f>
        <v>Aaron Jones</v>
      </c>
      <c r="K72" s="59" t="str">
        <f>IFERROR(INDEX(TableRBMaster[TM],MATCH(TableRBCalcPts[[#This Row],[RBRef]],TableRBMaster[RBRef],0)),"")</f>
        <v>MIN</v>
      </c>
      <c r="L72" s="59">
        <f>IFERROR(INDEX(TableRBMaster[BYE],MATCH(TableRBCalcPts[[#This Row],[RBRef]],TableRBMaster[RBRef],0)),"")</f>
        <v>6</v>
      </c>
      <c r="M72" s="60">
        <f>IFERROR(INDEX(TableRBMaster[Custom],MATCH(TableRBCalcPts[[#This Row],[RBRef]],TableRBMaster[RBRef],0)),"")</f>
        <v>211.41095636016271</v>
      </c>
      <c r="O72" s="59">
        <f>IFERROR(RANK(TableWRCalcPts[[#This Row],[Custom]],TableWRCalcPts[Custom])+COUNTIF($T$3:T72,T72)-1,"")</f>
        <v>36</v>
      </c>
      <c r="P72" s="59">
        <v>70</v>
      </c>
      <c r="Q72" s="59" t="str">
        <f>IFERROR(INDEX(TableWRMaster[Player],MATCH(TableWRCalcPts[[#This Row],[WRRef]],TableWRMaster[WRRef],0)),"")</f>
        <v>Michael Pittman</v>
      </c>
      <c r="R72" s="59" t="str">
        <f>IFERROR(INDEX(TableWRMaster[TM],MATCH(TableWRCalcPts[[#This Row],[WRRef]],TableWRMaster[WRRef],0)),"")</f>
        <v>IND</v>
      </c>
      <c r="S72" s="59">
        <f>IFERROR(INDEX(TableWRMaster[BYE],MATCH(TableWRCalcPts[[#This Row],[WRRef]],TableWRMaster[WRRef],0)),"")</f>
        <v>14</v>
      </c>
      <c r="T72" s="60">
        <f>IFERROR(INDEX(TableWRMaster[Custom],MATCH(TableWRCalcPts[[#This Row],[WRRef]],TableWRMaster[WRRef],0)),"")</f>
        <v>173.37018571044479</v>
      </c>
      <c r="V72" s="59">
        <f>IFERROR(RANK(TableTECalcPts[[#This Row],[Custom]],TableTECalcPts[Custom])+COUNTIF($AA$3:AA72,AA72)-1,"")</f>
        <v>29</v>
      </c>
      <c r="W72" s="59">
        <v>70</v>
      </c>
      <c r="X72" s="59" t="str">
        <f>IFERROR(INDEX(TableTEMaster[Player],MATCH(TableTECalcPts[[#This Row],[TERef]],TableTEMaster[TERef],0)),"")</f>
        <v>Noah Fant</v>
      </c>
      <c r="Y72" s="59" t="str">
        <f>IFERROR(INDEX(TableTEMaster[TM],MATCH(TableTECalcPts[[#This Row],[TERef]],TableTEMaster[TERef],0)),"")</f>
        <v>SEA</v>
      </c>
      <c r="Z72" s="59">
        <f>IFERROR(INDEX(TableTEMaster[BYE],MATCH(TableTECalcPts[[#This Row],[TERef]],TableTEMaster[TERef],0)),"")</f>
        <v>10</v>
      </c>
      <c r="AA72" s="60">
        <f>IFERROR(INDEX(TableTEMaster[Custom],MATCH(TableTECalcPts[[#This Row],[TERef]],TableTEMaster[TERef],0)),"")</f>
        <v>76.39024214942178</v>
      </c>
      <c r="AI72" s="59" t="s">
        <v>10</v>
      </c>
      <c r="AJ72" s="59">
        <f>IFERROR(RANK(TableWRTECalcPts[[#This Row],[Custom]],TableWRTECalcPts[Custom])+COUNTIF($AP$3:AP72,AP72)-1,"")</f>
        <v>120</v>
      </c>
      <c r="AK72" s="59">
        <v>70</v>
      </c>
      <c r="AL72" s="59" t="str">
        <f>IFERROR(INDEX(TableTEMaster[Player],MATCH(TableWRTECalcPts[[#This Row],[POSRef]],TableTEMaster[TERef],0)),"")</f>
        <v>Noah Fant</v>
      </c>
      <c r="AM72" s="59" t="str">
        <f>IFERROR(_xlfn.CONCAT(TableWRTECalcPts[[#This Row],[POS]],INDEX(TableTERanks[RK],MATCH(TableWRTECalcPts[[#This Row],[PLAYER]],TableTERanks[Player],0))),"")</f>
        <v>TE29</v>
      </c>
      <c r="AN72" s="59" t="str">
        <f>IFERROR(INDEX(TableTEMaster[TM],MATCH(TableWRTECalcPts[[#This Row],[POSRef]],TableTEMaster[TERef],0)),"")</f>
        <v>SEA</v>
      </c>
      <c r="AO72" s="59">
        <f>IFERROR(INDEX(TableTEMaster[BYE],MATCH(TableWRTECalcPts[[#This Row],[POSRef]],TableTEMaster[TERef],0)),"")</f>
        <v>10</v>
      </c>
      <c r="AP72" s="60">
        <f>IFERROR(INDEX(TableTEMaster[Custom],MATCH(TableWRTECalcPts[[#This Row],[POSRef]],TableTEMaster[TERef],0)),"")</f>
        <v>76.39024214942178</v>
      </c>
    </row>
    <row r="73" spans="1:42" x14ac:dyDescent="0.25">
      <c r="A73" s="61" t="str">
        <f>IFERROR(RANK(TableQBCalcPts[[#This Row],[Custom]],TableQBCalcPts[Custom])+COUNTIF($F$3:F73,F73)-1,"")</f>
        <v/>
      </c>
      <c r="B73" s="59">
        <v>71</v>
      </c>
      <c r="C73" s="59" t="str">
        <f>IFERROR(INDEX(TableQBMaster[Player],MATCH(TableQBCalcPts[[#This Row],[QBRef]],TableQBMaster[QBRef],0)),"")</f>
        <v/>
      </c>
      <c r="D73" s="59" t="str">
        <f>IFERROR(INDEX(TableQBMaster[TM],MATCH(TableQBCalcPts[[#This Row],[QBRef]],TableQBMaster[QBRef],0)),"")</f>
        <v/>
      </c>
      <c r="E73" s="59" t="str">
        <f>IFERROR(INDEX(TableQBMaster[BYE],MATCH(TableQBCalcPts[[#This Row],[QBRef]],TableQBMaster[QBRef],0)),"")</f>
        <v/>
      </c>
      <c r="F73" s="60" t="str">
        <f>IFERROR(INDEX(TableQBMaster[Custom],MATCH(TableQBCalcPts[[#This Row],[QBRef]],TableQBMaster[QBRef],0)),"")</f>
        <v/>
      </c>
      <c r="H73" s="59">
        <f>IFERROR(RANK(TableRBCalcPts[[#This Row],[Custom]],TableRBCalcPts[Custom])+COUNTIF($M$3:M73,M73)-1,"")</f>
        <v>45</v>
      </c>
      <c r="I73" s="59">
        <v>71</v>
      </c>
      <c r="J73" s="59" t="str">
        <f>IFERROR(INDEX(TableRBMaster[Player],MATCH(TableRBCalcPts[[#This Row],[RBRef]],TableRBMaster[RBRef],0)),"")</f>
        <v>Ty Chandler</v>
      </c>
      <c r="K73" s="59" t="str">
        <f>IFERROR(INDEX(TableRBMaster[TM],MATCH(TableRBCalcPts[[#This Row],[RBRef]],TableRBMaster[RBRef],0)),"")</f>
        <v>MIN</v>
      </c>
      <c r="L73" s="59">
        <f>IFERROR(INDEX(TableRBMaster[BYE],MATCH(TableRBCalcPts[[#This Row],[RBRef]],TableRBMaster[RBRef],0)),"")</f>
        <v>6</v>
      </c>
      <c r="M73" s="60">
        <f>IFERROR(INDEX(TableRBMaster[Custom],MATCH(TableRBCalcPts[[#This Row],[RBRef]],TableRBMaster[RBRef],0)),"")</f>
        <v>118.79597178821116</v>
      </c>
      <c r="O73" s="59">
        <f>IFERROR(RANK(TableWRCalcPts[[#This Row],[Custom]],TableWRCalcPts[Custom])+COUNTIF($T$3:T73,T73)-1,"")</f>
        <v>54</v>
      </c>
      <c r="P73" s="59">
        <v>71</v>
      </c>
      <c r="Q73" s="59" t="str">
        <f>IFERROR(INDEX(TableWRMaster[Player],MATCH(TableWRCalcPts[[#This Row],[WRRef]],TableWRMaster[WRRef],0)),"")</f>
        <v>Adonai Mitchell</v>
      </c>
      <c r="R73" s="59" t="str">
        <f>IFERROR(INDEX(TableWRMaster[TM],MATCH(TableWRCalcPts[[#This Row],[WRRef]],TableWRMaster[WRRef],0)),"")</f>
        <v>IND</v>
      </c>
      <c r="S73" s="59">
        <f>IFERROR(INDEX(TableWRMaster[BYE],MATCH(TableWRCalcPts[[#This Row],[WRRef]],TableWRMaster[WRRef],0)),"")</f>
        <v>14</v>
      </c>
      <c r="T73" s="60">
        <f>IFERROR(INDEX(TableWRMaster[Custom],MATCH(TableWRCalcPts[[#This Row],[WRRef]],TableWRMaster[WRRef],0)),"")</f>
        <v>151.99119359423997</v>
      </c>
      <c r="V73" s="59">
        <f>IFERROR(RANK(TableTECalcPts[[#This Row],[Custom]],TableTECalcPts[Custom])+COUNTIF($AA$3:AA73,AA73)-1,"")</f>
        <v>56</v>
      </c>
      <c r="W73" s="59">
        <v>71</v>
      </c>
      <c r="X73" s="59" t="str">
        <f>IFERROR(INDEX(TableTEMaster[Player],MATCH(TableTECalcPts[[#This Row],[TERef]],TableTEMaster[TERef],0)),"")</f>
        <v>Pharaoh Brown</v>
      </c>
      <c r="Y73" s="59" t="str">
        <f>IFERROR(INDEX(TableTEMaster[TM],MATCH(TableTECalcPts[[#This Row],[TERef]],TableTEMaster[TERef],0)),"")</f>
        <v>SEA</v>
      </c>
      <c r="Z73" s="59">
        <f>IFERROR(INDEX(TableTEMaster[BYE],MATCH(TableTECalcPts[[#This Row],[TERef]],TableTEMaster[TERef],0)),"")</f>
        <v>10</v>
      </c>
      <c r="AA73" s="60">
        <f>IFERROR(INDEX(TableTEMaster[Custom],MATCH(TableTECalcPts[[#This Row],[TERef]],TableTEMaster[TERef],0)),"")</f>
        <v>21.431073332560469</v>
      </c>
      <c r="AI73" s="59" t="s">
        <v>10</v>
      </c>
      <c r="AJ73" s="59">
        <f>IFERROR(RANK(TableWRTECalcPts[[#This Row],[Custom]],TableWRTECalcPts[Custom])+COUNTIF($AP$3:AP73,AP73)-1,"")</f>
        <v>193</v>
      </c>
      <c r="AK73" s="59">
        <v>71</v>
      </c>
      <c r="AL73" s="59" t="str">
        <f>IFERROR(INDEX(TableTEMaster[Player],MATCH(TableWRTECalcPts[[#This Row],[POSRef]],TableTEMaster[TERef],0)),"")</f>
        <v>Pharaoh Brown</v>
      </c>
      <c r="AM73" s="59" t="str">
        <f>IFERROR(_xlfn.CONCAT(TableWRTECalcPts[[#This Row],[POS]],INDEX(TableTERanks[RK],MATCH(TableWRTECalcPts[[#This Row],[PLAYER]],TableTERanks[Player],0))),"")</f>
        <v>TE56</v>
      </c>
      <c r="AN73" s="59" t="str">
        <f>IFERROR(INDEX(TableTEMaster[TM],MATCH(TableWRTECalcPts[[#This Row],[POSRef]],TableTEMaster[TERef],0)),"")</f>
        <v>SEA</v>
      </c>
      <c r="AO73" s="59">
        <f>IFERROR(INDEX(TableTEMaster[BYE],MATCH(TableWRTECalcPts[[#This Row],[POSRef]],TableTEMaster[TERef],0)),"")</f>
        <v>10</v>
      </c>
      <c r="AP73" s="60">
        <f>IFERROR(INDEX(TableTEMaster[Custom],MATCH(TableWRTECalcPts[[#This Row],[POSRef]],TableTEMaster[TERef],0)),"")</f>
        <v>21.431073332560469</v>
      </c>
    </row>
    <row r="74" spans="1:42" x14ac:dyDescent="0.25">
      <c r="A74" s="61" t="str">
        <f>IFERROR(RANK(TableQBCalcPts[[#This Row],[Custom]],TableQBCalcPts[Custom])+COUNTIF($F$3:F74,F74)-1,"")</f>
        <v/>
      </c>
      <c r="B74" s="59">
        <v>72</v>
      </c>
      <c r="C74" s="59" t="str">
        <f>IFERROR(INDEX(TableQBMaster[Player],MATCH(TableQBCalcPts[[#This Row],[QBRef]],TableQBMaster[QBRef],0)),"")</f>
        <v/>
      </c>
      <c r="D74" s="59" t="str">
        <f>IFERROR(INDEX(TableQBMaster[TM],MATCH(TableQBCalcPts[[#This Row],[QBRef]],TableQBMaster[QBRef],0)),"")</f>
        <v/>
      </c>
      <c r="E74" s="59" t="str">
        <f>IFERROR(INDEX(TableQBMaster[BYE],MATCH(TableQBCalcPts[[#This Row],[QBRef]],TableQBMaster[QBRef],0)),"")</f>
        <v/>
      </c>
      <c r="F74" s="60" t="str">
        <f>IFERROR(INDEX(TableQBMaster[Custom],MATCH(TableQBCalcPts[[#This Row],[QBRef]],TableQBMaster[QBRef],0)),"")</f>
        <v/>
      </c>
      <c r="H74" s="59">
        <f>IFERROR(RANK(TableRBCalcPts[[#This Row],[Custom]],TableRBCalcPts[Custom])+COUNTIF($M$3:M74,M74)-1,"")</f>
        <v>26</v>
      </c>
      <c r="I74" s="59">
        <v>72</v>
      </c>
      <c r="J74" s="59" t="str">
        <f>IFERROR(INDEX(TableRBMaster[Player],MATCH(TableRBCalcPts[[#This Row],[RBRef]],TableRBMaster[RBRef],0)),"")</f>
        <v>Rhamondre Stevenson</v>
      </c>
      <c r="K74" s="59" t="str">
        <f>IFERROR(INDEX(TableRBMaster[TM],MATCH(TableRBCalcPts[[#This Row],[RBRef]],TableRBMaster[RBRef],0)),"")</f>
        <v>NE</v>
      </c>
      <c r="L74" s="59">
        <f>IFERROR(INDEX(TableRBMaster[BYE],MATCH(TableRBCalcPts[[#This Row],[RBRef]],TableRBMaster[RBRef],0)),"")</f>
        <v>14</v>
      </c>
      <c r="M74" s="60">
        <f>IFERROR(INDEX(TableRBMaster[Custom],MATCH(TableRBCalcPts[[#This Row],[RBRef]],TableRBMaster[RBRef],0)),"")</f>
        <v>176.28004011613581</v>
      </c>
      <c r="O74" s="59">
        <f>IFERROR(RANK(TableWRCalcPts[[#This Row],[Custom]],TableWRCalcPts[Custom])+COUNTIF($T$3:T74,T74)-1,"")</f>
        <v>69</v>
      </c>
      <c r="P74" s="59">
        <v>72</v>
      </c>
      <c r="Q74" s="59" t="str">
        <f>IFERROR(INDEX(TableWRMaster[Player],MATCH(TableWRCalcPts[[#This Row],[WRRef]],TableWRMaster[WRRef],0)),"")</f>
        <v>Josh Downs</v>
      </c>
      <c r="R74" s="59" t="str">
        <f>IFERROR(INDEX(TableWRMaster[TM],MATCH(TableWRCalcPts[[#This Row],[WRRef]],TableWRMaster[WRRef],0)),"")</f>
        <v>IND</v>
      </c>
      <c r="S74" s="59">
        <f>IFERROR(INDEX(TableWRMaster[BYE],MATCH(TableWRCalcPts[[#This Row],[WRRef]],TableWRMaster[WRRef],0)),"")</f>
        <v>14</v>
      </c>
      <c r="T74" s="60">
        <f>IFERROR(INDEX(TableWRMaster[Custom],MATCH(TableWRCalcPts[[#This Row],[WRRef]],TableWRMaster[WRRef],0)),"")</f>
        <v>118.20034773366744</v>
      </c>
      <c r="V74" s="59">
        <f>IFERROR(RANK(TableTECalcPts[[#This Row],[Custom]],TableTECalcPts[Custom])+COUNTIF($AA$3:AA74,AA74)-1,"")</f>
        <v>77</v>
      </c>
      <c r="W74" s="59">
        <v>72</v>
      </c>
      <c r="X74" s="59" t="str">
        <f>IFERROR(INDEX(TableTEMaster[Player],MATCH(TableTECalcPts[[#This Row],[TERef]],TableTEMaster[TERef],0)),"")</f>
        <v>AJ Barner</v>
      </c>
      <c r="Y74" s="59" t="str">
        <f>IFERROR(INDEX(TableTEMaster[TM],MATCH(TableTECalcPts[[#This Row],[TERef]],TableTEMaster[TERef],0)),"")</f>
        <v>SEA</v>
      </c>
      <c r="Z74" s="59">
        <f>IFERROR(INDEX(TableTEMaster[BYE],MATCH(TableTECalcPts[[#This Row],[TERef]],TableTEMaster[TERef],0)),"")</f>
        <v>10</v>
      </c>
      <c r="AA74" s="60">
        <f>IFERROR(INDEX(TableTEMaster[Custom],MATCH(TableTECalcPts[[#This Row],[TERef]],TableTEMaster[TERef],0)),"")</f>
        <v>7.5622302815145783</v>
      </c>
      <c r="AI74" s="59" t="s">
        <v>10</v>
      </c>
      <c r="AJ74" s="59">
        <f>IFERROR(RANK(TableWRTECalcPts[[#This Row],[Custom]],TableWRTECalcPts[Custom])+COUNTIF($AP$3:AP74,AP74)-1,"")</f>
        <v>248</v>
      </c>
      <c r="AK74" s="59">
        <v>72</v>
      </c>
      <c r="AL74" s="59" t="str">
        <f>IFERROR(INDEX(TableTEMaster[Player],MATCH(TableWRTECalcPts[[#This Row],[POSRef]],TableTEMaster[TERef],0)),"")</f>
        <v>AJ Barner</v>
      </c>
      <c r="AM74" s="59" t="str">
        <f>IFERROR(_xlfn.CONCAT(TableWRTECalcPts[[#This Row],[POS]],INDEX(TableTERanks[RK],MATCH(TableWRTECalcPts[[#This Row],[PLAYER]],TableTERanks[Player],0))),"")</f>
        <v>TE77</v>
      </c>
      <c r="AN74" s="59" t="str">
        <f>IFERROR(INDEX(TableTEMaster[TM],MATCH(TableWRTECalcPts[[#This Row],[POSRef]],TableTEMaster[TERef],0)),"")</f>
        <v>SEA</v>
      </c>
      <c r="AO74" s="59">
        <f>IFERROR(INDEX(TableTEMaster[BYE],MATCH(TableWRTECalcPts[[#This Row],[POSRef]],TableTEMaster[TERef],0)),"")</f>
        <v>10</v>
      </c>
      <c r="AP74" s="60">
        <f>IFERROR(INDEX(TableTEMaster[Custom],MATCH(TableWRTECalcPts[[#This Row],[POSRef]],TableTEMaster[TERef],0)),"")</f>
        <v>7.5622302815145783</v>
      </c>
    </row>
    <row r="75" spans="1:42" x14ac:dyDescent="0.25">
      <c r="A75" s="61" t="str">
        <f>IFERROR(RANK(TableQBCalcPts[[#This Row],[Custom]],TableQBCalcPts[Custom])+COUNTIF($F$3:F75,F75)-1,"")</f>
        <v/>
      </c>
      <c r="B75" s="59">
        <v>73</v>
      </c>
      <c r="C75" s="59" t="str">
        <f>IFERROR(INDEX(TableQBMaster[Player],MATCH(TableQBCalcPts[[#This Row],[QBRef]],TableQBMaster[QBRef],0)),"")</f>
        <v/>
      </c>
      <c r="D75" s="59" t="str">
        <f>IFERROR(INDEX(TableQBMaster[TM],MATCH(TableQBCalcPts[[#This Row],[QBRef]],TableQBMaster[QBRef],0)),"")</f>
        <v/>
      </c>
      <c r="E75" s="59" t="str">
        <f>IFERROR(INDEX(TableQBMaster[BYE],MATCH(TableQBCalcPts[[#This Row],[QBRef]],TableQBMaster[QBRef],0)),"")</f>
        <v/>
      </c>
      <c r="F75" s="60" t="str">
        <f>IFERROR(INDEX(TableQBMaster[Custom],MATCH(TableQBCalcPts[[#This Row],[QBRef]],TableQBMaster[QBRef],0)),"")</f>
        <v/>
      </c>
      <c r="H75" s="59">
        <f>IFERROR(RANK(TableRBCalcPts[[#This Row],[Custom]],TableRBCalcPts[Custom])+COUNTIF($M$3:M75,M75)-1,"")</f>
        <v>42</v>
      </c>
      <c r="I75" s="59">
        <v>73</v>
      </c>
      <c r="J75" s="59" t="str">
        <f>IFERROR(INDEX(TableRBMaster[Player],MATCH(TableRBCalcPts[[#This Row],[RBRef]],TableRBMaster[RBRef],0)),"")</f>
        <v>Antonio Gibson</v>
      </c>
      <c r="K75" s="59" t="str">
        <f>IFERROR(INDEX(TableRBMaster[TM],MATCH(TableRBCalcPts[[#This Row],[RBRef]],TableRBMaster[RBRef],0)),"")</f>
        <v>NE</v>
      </c>
      <c r="L75" s="59">
        <f>IFERROR(INDEX(TableRBMaster[BYE],MATCH(TableRBCalcPts[[#This Row],[RBRef]],TableRBMaster[RBRef],0)),"")</f>
        <v>14</v>
      </c>
      <c r="M75" s="60">
        <f>IFERROR(INDEX(TableRBMaster[Custom],MATCH(TableRBCalcPts[[#This Row],[RBRef]],TableRBMaster[RBRef],0)),"")</f>
        <v>126.71956996098638</v>
      </c>
      <c r="O75" s="59">
        <f>IFERROR(RANK(TableWRCalcPts[[#This Row],[Custom]],TableWRCalcPts[Custom])+COUNTIF($T$3:T75,T75)-1,"")</f>
        <v>127</v>
      </c>
      <c r="P75" s="59">
        <v>73</v>
      </c>
      <c r="Q75" s="59" t="str">
        <f>IFERROR(INDEX(TableWRMaster[Player],MATCH(TableWRCalcPts[[#This Row],[WRRef]],TableWRMaster[WRRef],0)),"")</f>
        <v>Anthony Gould</v>
      </c>
      <c r="R75" s="59" t="str">
        <f>IFERROR(INDEX(TableWRMaster[TM],MATCH(TableWRCalcPts[[#This Row],[WRRef]],TableWRMaster[WRRef],0)),"")</f>
        <v>IND</v>
      </c>
      <c r="S75" s="59">
        <f>IFERROR(INDEX(TableWRMaster[BYE],MATCH(TableWRCalcPts[[#This Row],[WRRef]],TableWRMaster[WRRef],0)),"")</f>
        <v>14</v>
      </c>
      <c r="T75" s="60">
        <f>IFERROR(INDEX(TableWRMaster[Custom],MATCH(TableWRCalcPts[[#This Row],[WRRef]],TableWRMaster[WRRef],0)),"")</f>
        <v>28.099560916257602</v>
      </c>
      <c r="V75" s="59">
        <f>IFERROR(RANK(TableTECalcPts[[#This Row],[Custom]],TableTECalcPts[Custom])+COUNTIF($AA$3:AA75,AA75)-1,"")</f>
        <v>8</v>
      </c>
      <c r="W75" s="59">
        <v>73</v>
      </c>
      <c r="X75" s="59" t="str">
        <f>IFERROR(INDEX(TableTEMaster[Player],MATCH(TableTECalcPts[[#This Row],[TERef]],TableTEMaster[TERef],0)),"")</f>
        <v>George Kittle</v>
      </c>
      <c r="Y75" s="59" t="str">
        <f>IFERROR(INDEX(TableTEMaster[TM],MATCH(TableTECalcPts[[#This Row],[TERef]],TableTEMaster[TERef],0)),"")</f>
        <v>SF</v>
      </c>
      <c r="Z75" s="59">
        <f>IFERROR(INDEX(TableTEMaster[BYE],MATCH(TableTECalcPts[[#This Row],[TERef]],TableTEMaster[TERef],0)),"")</f>
        <v>9</v>
      </c>
      <c r="AA75" s="60">
        <f>IFERROR(INDEX(TableTEMaster[Custom],MATCH(TableTECalcPts[[#This Row],[TERef]],TableTEMaster[TERef],0)),"")</f>
        <v>161.66168890481731</v>
      </c>
      <c r="AI75" s="59" t="s">
        <v>10</v>
      </c>
      <c r="AJ75" s="59">
        <f>IFERROR(RANK(TableWRTECalcPts[[#This Row],[Custom]],TableWRTECalcPts[Custom])+COUNTIF($AP$3:AP75,AP75)-1,"")</f>
        <v>55</v>
      </c>
      <c r="AK75" s="59">
        <v>73</v>
      </c>
      <c r="AL75" s="59" t="str">
        <f>IFERROR(INDEX(TableTEMaster[Player],MATCH(TableWRTECalcPts[[#This Row],[POSRef]],TableTEMaster[TERef],0)),"")</f>
        <v>George Kittle</v>
      </c>
      <c r="AM75" s="59" t="str">
        <f>IFERROR(_xlfn.CONCAT(TableWRTECalcPts[[#This Row],[POS]],INDEX(TableTERanks[RK],MATCH(TableWRTECalcPts[[#This Row],[PLAYER]],TableTERanks[Player],0))),"")</f>
        <v>TE8</v>
      </c>
      <c r="AN75" s="59" t="str">
        <f>IFERROR(INDEX(TableTEMaster[TM],MATCH(TableWRTECalcPts[[#This Row],[POSRef]],TableTEMaster[TERef],0)),"")</f>
        <v>SF</v>
      </c>
      <c r="AO75" s="59">
        <f>IFERROR(INDEX(TableTEMaster[BYE],MATCH(TableWRTECalcPts[[#This Row],[POSRef]],TableTEMaster[TERef],0)),"")</f>
        <v>9</v>
      </c>
      <c r="AP75" s="60">
        <f>IFERROR(INDEX(TableTEMaster[Custom],MATCH(TableWRTECalcPts[[#This Row],[POSRef]],TableTEMaster[TERef],0)),"")</f>
        <v>161.66168890481731</v>
      </c>
    </row>
    <row r="76" spans="1:42" x14ac:dyDescent="0.25">
      <c r="A76" s="61" t="str">
        <f>IFERROR(RANK(TableQBCalcPts[[#This Row],[Custom]],TableQBCalcPts[Custom])+COUNTIF($F$3:F76,F76)-1,"")</f>
        <v/>
      </c>
      <c r="B76" s="59">
        <v>74</v>
      </c>
      <c r="C76" s="59" t="str">
        <f>IFERROR(INDEX(TableQBMaster[Player],MATCH(TableQBCalcPts[[#This Row],[QBRef]],TableQBMaster[QBRef],0)),"")</f>
        <v/>
      </c>
      <c r="D76" s="59" t="str">
        <f>IFERROR(INDEX(TableQBMaster[TM],MATCH(TableQBCalcPts[[#This Row],[QBRef]],TableQBMaster[QBRef],0)),"")</f>
        <v/>
      </c>
      <c r="E76" s="59" t="str">
        <f>IFERROR(INDEX(TableQBMaster[BYE],MATCH(TableQBCalcPts[[#This Row],[QBRef]],TableQBMaster[QBRef],0)),"")</f>
        <v/>
      </c>
      <c r="F76" s="60" t="str">
        <f>IFERROR(INDEX(TableQBMaster[Custom],MATCH(TableQBCalcPts[[#This Row],[QBRef]],TableQBMaster[QBRef],0)),"")</f>
        <v/>
      </c>
      <c r="H76" s="59">
        <f>IFERROR(RANK(TableRBCalcPts[[#This Row],[Custom]],TableRBCalcPts[Custom])+COUNTIF($M$3:M76,M76)-1,"")</f>
        <v>89</v>
      </c>
      <c r="I76" s="59">
        <v>74</v>
      </c>
      <c r="J76" s="59" t="str">
        <f>IFERROR(INDEX(TableRBMaster[Player],MATCH(TableRBCalcPts[[#This Row],[RBRef]],TableRBMaster[RBRef],0)),"")</f>
        <v>JaMycal Hasty</v>
      </c>
      <c r="K76" s="59" t="str">
        <f>IFERROR(INDEX(TableRBMaster[TM],MATCH(TableRBCalcPts[[#This Row],[RBRef]],TableRBMaster[RBRef],0)),"")</f>
        <v>NE</v>
      </c>
      <c r="L76" s="59">
        <f>IFERROR(INDEX(TableRBMaster[BYE],MATCH(TableRBCalcPts[[#This Row],[RBRef]],TableRBMaster[RBRef],0)),"")</f>
        <v>14</v>
      </c>
      <c r="M76" s="60">
        <f>IFERROR(INDEX(TableRBMaster[Custom],MATCH(TableRBCalcPts[[#This Row],[RBRef]],TableRBMaster[RBRef],0)),"")</f>
        <v>19.737978312410934</v>
      </c>
      <c r="O76" s="59">
        <f>IFERROR(RANK(TableWRCalcPts[[#This Row],[Custom]],TableWRCalcPts[Custom])+COUNTIF($T$3:T76,T76)-1,"")</f>
        <v>130</v>
      </c>
      <c r="P76" s="59">
        <v>74</v>
      </c>
      <c r="Q76" s="59" t="str">
        <f>IFERROR(INDEX(TableWRMaster[Player],MATCH(TableWRCalcPts[[#This Row],[WRRef]],TableWRMaster[WRRef],0)),"")</f>
        <v>Alec Pierce</v>
      </c>
      <c r="R76" s="59" t="str">
        <f>IFERROR(INDEX(TableWRMaster[TM],MATCH(TableWRCalcPts[[#This Row],[WRRef]],TableWRMaster[WRRef],0)),"")</f>
        <v>IND</v>
      </c>
      <c r="S76" s="59">
        <f>IFERROR(INDEX(TableWRMaster[BYE],MATCH(TableWRCalcPts[[#This Row],[WRRef]],TableWRMaster[WRRef],0)),"")</f>
        <v>14</v>
      </c>
      <c r="T76" s="60">
        <f>IFERROR(INDEX(TableWRMaster[Custom],MATCH(TableWRCalcPts[[#This Row],[WRRef]],TableWRMaster[WRRef],0)),"")</f>
        <v>25.049826099296304</v>
      </c>
      <c r="V76" s="59">
        <f>IFERROR(RANK(TableTECalcPts[[#This Row],[Custom]],TableTECalcPts[Custom])+COUNTIF($AA$3:AA76,AA76)-1,"")</f>
        <v>64</v>
      </c>
      <c r="W76" s="59">
        <v>74</v>
      </c>
      <c r="X76" s="59" t="str">
        <f>IFERROR(INDEX(TableTEMaster[Player],MATCH(TableTECalcPts[[#This Row],[TERef]],TableTEMaster[TERef],0)),"")</f>
        <v>Logan Thomas</v>
      </c>
      <c r="Y76" s="59" t="str">
        <f>IFERROR(INDEX(TableTEMaster[TM],MATCH(TableTECalcPts[[#This Row],[TERef]],TableTEMaster[TERef],0)),"")</f>
        <v>SF</v>
      </c>
      <c r="Z76" s="59">
        <f>IFERROR(INDEX(TableTEMaster[BYE],MATCH(TableTECalcPts[[#This Row],[TERef]],TableTEMaster[TERef],0)),"")</f>
        <v>9</v>
      </c>
      <c r="AA76" s="60">
        <f>IFERROR(INDEX(TableTEMaster[Custom],MATCH(TableTECalcPts[[#This Row],[TERef]],TableTEMaster[TERef],0)),"")</f>
        <v>14.762780687885456</v>
      </c>
      <c r="AI76" s="59" t="s">
        <v>10</v>
      </c>
      <c r="AJ76" s="59">
        <f>IFERROR(RANK(TableWRTECalcPts[[#This Row],[Custom]],TableWRTECalcPts[Custom])+COUNTIF($AP$3:AP76,AP76)-1,"")</f>
        <v>215</v>
      </c>
      <c r="AK76" s="59">
        <v>74</v>
      </c>
      <c r="AL76" s="59" t="str">
        <f>IFERROR(INDEX(TableTEMaster[Player],MATCH(TableWRTECalcPts[[#This Row],[POSRef]],TableTEMaster[TERef],0)),"")</f>
        <v>Logan Thomas</v>
      </c>
      <c r="AM76" s="59" t="str">
        <f>IFERROR(_xlfn.CONCAT(TableWRTECalcPts[[#This Row],[POS]],INDEX(TableTERanks[RK],MATCH(TableWRTECalcPts[[#This Row],[PLAYER]],TableTERanks[Player],0))),"")</f>
        <v>TE64</v>
      </c>
      <c r="AN76" s="59" t="str">
        <f>IFERROR(INDEX(TableTEMaster[TM],MATCH(TableWRTECalcPts[[#This Row],[POSRef]],TableTEMaster[TERef],0)),"")</f>
        <v>SF</v>
      </c>
      <c r="AO76" s="59">
        <f>IFERROR(INDEX(TableTEMaster[BYE],MATCH(TableWRTECalcPts[[#This Row],[POSRef]],TableTEMaster[TERef],0)),"")</f>
        <v>9</v>
      </c>
      <c r="AP76" s="60">
        <f>IFERROR(INDEX(TableTEMaster[Custom],MATCH(TableWRTECalcPts[[#This Row],[POSRef]],TableTEMaster[TERef],0)),"")</f>
        <v>14.762780687885456</v>
      </c>
    </row>
    <row r="77" spans="1:42" x14ac:dyDescent="0.25">
      <c r="A77" s="61" t="str">
        <f>IFERROR(RANK(TableQBCalcPts[[#This Row],[Custom]],TableQBCalcPts[Custom])+COUNTIF($F$3:F77,F77)-1,"")</f>
        <v/>
      </c>
      <c r="B77" s="59">
        <v>75</v>
      </c>
      <c r="C77" s="59" t="str">
        <f>IFERROR(INDEX(TableQBMaster[Player],MATCH(TableQBCalcPts[[#This Row],[QBRef]],TableQBMaster[QBRef],0)),"")</f>
        <v/>
      </c>
      <c r="D77" s="59" t="str">
        <f>IFERROR(INDEX(TableQBMaster[TM],MATCH(TableQBCalcPts[[#This Row],[QBRef]],TableQBMaster[QBRef],0)),"")</f>
        <v/>
      </c>
      <c r="E77" s="59" t="str">
        <f>IFERROR(INDEX(TableQBMaster[BYE],MATCH(TableQBCalcPts[[#This Row],[QBRef]],TableQBMaster[QBRef],0)),"")</f>
        <v/>
      </c>
      <c r="F77" s="60" t="str">
        <f>IFERROR(INDEX(TableQBMaster[Custom],MATCH(TableQBCalcPts[[#This Row],[QBRef]],TableQBMaster[QBRef],0)),"")</f>
        <v/>
      </c>
      <c r="H77" s="59">
        <f>IFERROR(RANK(TableRBCalcPts[[#This Row],[Custom]],TableRBCalcPts[Custom])+COUNTIF($M$3:M77,M77)-1,"")</f>
        <v>13</v>
      </c>
      <c r="I77" s="59">
        <v>75</v>
      </c>
      <c r="J77" s="59" t="str">
        <f>IFERROR(INDEX(TableRBMaster[Player],MATCH(TableRBCalcPts[[#This Row],[RBRef]],TableRBMaster[RBRef],0)),"")</f>
        <v>Alvin Kamara</v>
      </c>
      <c r="K77" s="59" t="str">
        <f>IFERROR(INDEX(TableRBMaster[TM],MATCH(TableRBCalcPts[[#This Row],[RBRef]],TableRBMaster[RBRef],0)),"")</f>
        <v>NO</v>
      </c>
      <c r="L77" s="59">
        <f>IFERROR(INDEX(TableRBMaster[BYE],MATCH(TableRBCalcPts[[#This Row],[RBRef]],TableRBMaster[RBRef],0)),"")</f>
        <v>12</v>
      </c>
      <c r="M77" s="60">
        <f>IFERROR(INDEX(TableRBMaster[Custom],MATCH(TableRBCalcPts[[#This Row],[RBRef]],TableRBMaster[RBRef],0)),"")</f>
        <v>208.49750339596642</v>
      </c>
      <c r="O77" s="59">
        <f>IFERROR(RANK(TableWRCalcPts[[#This Row],[Custom]],TableWRCalcPts[Custom])+COUNTIF($T$3:T77,T77)-1,"")</f>
        <v>27</v>
      </c>
      <c r="P77" s="59">
        <v>75</v>
      </c>
      <c r="Q77" s="59" t="str">
        <f>IFERROR(INDEX(TableWRMaster[Player],MATCH(TableWRCalcPts[[#This Row],[WRRef]],TableWRMaster[WRRef],0)),"")</f>
        <v>Christian Kirk</v>
      </c>
      <c r="R77" s="59" t="str">
        <f>IFERROR(INDEX(TableWRMaster[TM],MATCH(TableWRCalcPts[[#This Row],[WRRef]],TableWRMaster[WRRef],0)),"")</f>
        <v>JAX</v>
      </c>
      <c r="S77" s="59">
        <f>IFERROR(INDEX(TableWRMaster[BYE],MATCH(TableWRCalcPts[[#This Row],[WRRef]],TableWRMaster[WRRef],0)),"")</f>
        <v>12</v>
      </c>
      <c r="T77" s="60">
        <f>IFERROR(INDEX(TableWRMaster[Custom],MATCH(TableWRCalcPts[[#This Row],[WRRef]],TableWRMaster[WRRef],0)),"")</f>
        <v>185.57758003995784</v>
      </c>
      <c r="V77" s="59">
        <f>IFERROR(RANK(TableTECalcPts[[#This Row],[Custom]],TableTECalcPts[Custom])+COUNTIF($AA$3:AA77,AA77)-1,"")</f>
        <v>20</v>
      </c>
      <c r="W77" s="59">
        <v>75</v>
      </c>
      <c r="X77" s="59" t="str">
        <f>IFERROR(INDEX(TableTEMaster[Player],MATCH(TableTECalcPts[[#This Row],[TERef]],TableTEMaster[TERef],0)),"")</f>
        <v>Cade Otton</v>
      </c>
      <c r="Y77" s="59" t="str">
        <f>IFERROR(INDEX(TableTEMaster[TM],MATCH(TableTECalcPts[[#This Row],[TERef]],TableTEMaster[TERef],0)),"")</f>
        <v>TB</v>
      </c>
      <c r="Z77" s="59">
        <f>IFERROR(INDEX(TableTEMaster[BYE],MATCH(TableTECalcPts[[#This Row],[TERef]],TableTEMaster[TERef],0)),"")</f>
        <v>11</v>
      </c>
      <c r="AA77" s="60">
        <f>IFERROR(INDEX(TableTEMaster[Custom],MATCH(TableTECalcPts[[#This Row],[TERef]],TableTEMaster[TERef],0)),"")</f>
        <v>93.69854319917674</v>
      </c>
      <c r="AI77" s="59" t="s">
        <v>10</v>
      </c>
      <c r="AJ77" s="59">
        <f>IFERROR(RANK(TableWRTECalcPts[[#This Row],[Custom]],TableWRTECalcPts[Custom])+COUNTIF($AP$3:AP77,AP77)-1,"")</f>
        <v>105</v>
      </c>
      <c r="AK77" s="59">
        <v>75</v>
      </c>
      <c r="AL77" s="59" t="str">
        <f>IFERROR(INDEX(TableTEMaster[Player],MATCH(TableWRTECalcPts[[#This Row],[POSRef]],TableTEMaster[TERef],0)),"")</f>
        <v>Cade Otton</v>
      </c>
      <c r="AM77" s="59" t="str">
        <f>IFERROR(_xlfn.CONCAT(TableWRTECalcPts[[#This Row],[POS]],INDEX(TableTERanks[RK],MATCH(TableWRTECalcPts[[#This Row],[PLAYER]],TableTERanks[Player],0))),"")</f>
        <v>TE20</v>
      </c>
      <c r="AN77" s="59" t="str">
        <f>IFERROR(INDEX(TableTEMaster[TM],MATCH(TableWRTECalcPts[[#This Row],[POSRef]],TableTEMaster[TERef],0)),"")</f>
        <v>TB</v>
      </c>
      <c r="AO77" s="59">
        <f>IFERROR(INDEX(TableTEMaster[BYE],MATCH(TableWRTECalcPts[[#This Row],[POSRef]],TableTEMaster[TERef],0)),"")</f>
        <v>11</v>
      </c>
      <c r="AP77" s="60">
        <f>IFERROR(INDEX(TableTEMaster[Custom],MATCH(TableWRTECalcPts[[#This Row],[POSRef]],TableTEMaster[TERef],0)),"")</f>
        <v>93.69854319917674</v>
      </c>
    </row>
    <row r="78" spans="1:42" x14ac:dyDescent="0.25">
      <c r="A78" s="61" t="str">
        <f>IFERROR(RANK(TableQBCalcPts[[#This Row],[Custom]],TableQBCalcPts[Custom])+COUNTIF($F$3:F78,F78)-1,"")</f>
        <v/>
      </c>
      <c r="B78" s="59">
        <v>76</v>
      </c>
      <c r="C78" s="59" t="str">
        <f>IFERROR(INDEX(TableQBMaster[Player],MATCH(TableQBCalcPts[[#This Row],[QBRef]],TableQBMaster[QBRef],0)),"")</f>
        <v/>
      </c>
      <c r="D78" s="59" t="str">
        <f>IFERROR(INDEX(TableQBMaster[TM],MATCH(TableQBCalcPts[[#This Row],[QBRef]],TableQBMaster[QBRef],0)),"")</f>
        <v/>
      </c>
      <c r="E78" s="59" t="str">
        <f>IFERROR(INDEX(TableQBMaster[BYE],MATCH(TableQBCalcPts[[#This Row],[QBRef]],TableQBMaster[QBRef],0)),"")</f>
        <v/>
      </c>
      <c r="F78" s="60" t="str">
        <f>IFERROR(INDEX(TableQBMaster[Custom],MATCH(TableQBCalcPts[[#This Row],[QBRef]],TableQBMaster[QBRef],0)),"")</f>
        <v/>
      </c>
      <c r="H78" s="59">
        <f>IFERROR(RANK(TableRBCalcPts[[#This Row],[Custom]],TableRBCalcPts[Custom])+COUNTIF($M$3:M78,M78)-1,"")</f>
        <v>71</v>
      </c>
      <c r="I78" s="59">
        <v>76</v>
      </c>
      <c r="J78" s="59" t="str">
        <f>IFERROR(INDEX(TableRBMaster[Player],MATCH(TableRBCalcPts[[#This Row],[RBRef]],TableRBMaster[RBRef],0)),"")</f>
        <v>Kendre Miller</v>
      </c>
      <c r="K78" s="59" t="str">
        <f>IFERROR(INDEX(TableRBMaster[TM],MATCH(TableRBCalcPts[[#This Row],[RBRef]],TableRBMaster[RBRef],0)),"")</f>
        <v>NO</v>
      </c>
      <c r="L78" s="59">
        <f>IFERROR(INDEX(TableRBMaster[BYE],MATCH(TableRBCalcPts[[#This Row],[RBRef]],TableRBMaster[RBRef],0)),"")</f>
        <v>12</v>
      </c>
      <c r="M78" s="60">
        <f>IFERROR(INDEX(TableRBMaster[Custom],MATCH(TableRBCalcPts[[#This Row],[RBRef]],TableRBMaster[RBRef],0)),"")</f>
        <v>50.418412403374404</v>
      </c>
      <c r="O78" s="59">
        <f>IFERROR(RANK(TableWRCalcPts[[#This Row],[Custom]],TableWRCalcPts[Custom])+COUNTIF($T$3:T78,T78)-1,"")</f>
        <v>32</v>
      </c>
      <c r="P78" s="59">
        <v>76</v>
      </c>
      <c r="Q78" s="59" t="str">
        <f>IFERROR(INDEX(TableWRMaster[Player],MATCH(TableWRCalcPts[[#This Row],[WRRef]],TableWRMaster[WRRef],0)),"")</f>
        <v>Brian Thomas</v>
      </c>
      <c r="R78" s="59" t="str">
        <f>IFERROR(INDEX(TableWRMaster[TM],MATCH(TableWRCalcPts[[#This Row],[WRRef]],TableWRMaster[WRRef],0)),"")</f>
        <v>JAX</v>
      </c>
      <c r="S78" s="59">
        <f>IFERROR(INDEX(TableWRMaster[BYE],MATCH(TableWRCalcPts[[#This Row],[WRRef]],TableWRMaster[WRRef],0)),"")</f>
        <v>12</v>
      </c>
      <c r="T78" s="60">
        <f>IFERROR(INDEX(TableWRMaster[Custom],MATCH(TableWRCalcPts[[#This Row],[WRRef]],TableWRMaster[WRRef],0)),"")</f>
        <v>181.1515057352</v>
      </c>
      <c r="V78" s="59">
        <f>IFERROR(RANK(TableTECalcPts[[#This Row],[Custom]],TableTECalcPts[Custom])+COUNTIF($AA$3:AA78,AA78)-1,"")</f>
        <v>55</v>
      </c>
      <c r="W78" s="59">
        <v>76</v>
      </c>
      <c r="X78" s="59" t="str">
        <f>IFERROR(INDEX(TableTEMaster[Player],MATCH(TableTECalcPts[[#This Row],[TERef]],TableTEMaster[TERef],0)),"")</f>
        <v>Ko Kieft</v>
      </c>
      <c r="Y78" s="59" t="str">
        <f>IFERROR(INDEX(TableTEMaster[TM],MATCH(TableTECalcPts[[#This Row],[TERef]],TableTEMaster[TERef],0)),"")</f>
        <v>TB</v>
      </c>
      <c r="Z78" s="59">
        <f>IFERROR(INDEX(TableTEMaster[BYE],MATCH(TableTECalcPts[[#This Row],[TERef]],TableTEMaster[TERef],0)),"")</f>
        <v>11</v>
      </c>
      <c r="AA78" s="60">
        <f>IFERROR(INDEX(TableTEMaster[Custom],MATCH(TableTECalcPts[[#This Row],[TERef]],TableTEMaster[TERef],0)),"")</f>
        <v>22.234463133326038</v>
      </c>
      <c r="AI78" s="59" t="s">
        <v>10</v>
      </c>
      <c r="AJ78" s="59">
        <f>IFERROR(RANK(TableWRTECalcPts[[#This Row],[Custom]],TableWRTECalcPts[Custom])+COUNTIF($AP$3:AP78,AP78)-1,"")</f>
        <v>190</v>
      </c>
      <c r="AK78" s="59">
        <v>76</v>
      </c>
      <c r="AL78" s="59" t="str">
        <f>IFERROR(INDEX(TableTEMaster[Player],MATCH(TableWRTECalcPts[[#This Row],[POSRef]],TableTEMaster[TERef],0)),"")</f>
        <v>Ko Kieft</v>
      </c>
      <c r="AM78" s="59" t="str">
        <f>IFERROR(_xlfn.CONCAT(TableWRTECalcPts[[#This Row],[POS]],INDEX(TableTERanks[RK],MATCH(TableWRTECalcPts[[#This Row],[PLAYER]],TableTERanks[Player],0))),"")</f>
        <v>TE55</v>
      </c>
      <c r="AN78" s="59" t="str">
        <f>IFERROR(INDEX(TableTEMaster[TM],MATCH(TableWRTECalcPts[[#This Row],[POSRef]],TableTEMaster[TERef],0)),"")</f>
        <v>TB</v>
      </c>
      <c r="AO78" s="59">
        <f>IFERROR(INDEX(TableTEMaster[BYE],MATCH(TableWRTECalcPts[[#This Row],[POSRef]],TableTEMaster[TERef],0)),"")</f>
        <v>11</v>
      </c>
      <c r="AP78" s="60">
        <f>IFERROR(INDEX(TableTEMaster[Custom],MATCH(TableWRTECalcPts[[#This Row],[POSRef]],TableTEMaster[TERef],0)),"")</f>
        <v>22.234463133326038</v>
      </c>
    </row>
    <row r="79" spans="1:42" x14ac:dyDescent="0.25">
      <c r="A79" s="61" t="str">
        <f>IFERROR(RANK(TableQBCalcPts[[#This Row],[Custom]],TableQBCalcPts[Custom])+COUNTIF($F$3:F79,F79)-1,"")</f>
        <v/>
      </c>
      <c r="B79" s="59">
        <v>77</v>
      </c>
      <c r="C79" s="59" t="str">
        <f>IFERROR(INDEX(TableQBMaster[Player],MATCH(TableQBCalcPts[[#This Row],[QBRef]],TableQBMaster[QBRef],0)),"")</f>
        <v/>
      </c>
      <c r="D79" s="59" t="str">
        <f>IFERROR(INDEX(TableQBMaster[TM],MATCH(TableQBCalcPts[[#This Row],[QBRef]],TableQBMaster[QBRef],0)),"")</f>
        <v/>
      </c>
      <c r="E79" s="59" t="str">
        <f>IFERROR(INDEX(TableQBMaster[BYE],MATCH(TableQBCalcPts[[#This Row],[QBRef]],TableQBMaster[QBRef],0)),"")</f>
        <v/>
      </c>
      <c r="F79" s="60" t="str">
        <f>IFERROR(INDEX(TableQBMaster[Custom],MATCH(TableQBCalcPts[[#This Row],[QBRef]],TableQBMaster[QBRef],0)),"")</f>
        <v/>
      </c>
      <c r="H79" s="59">
        <f>IFERROR(RANK(TableRBCalcPts[[#This Row],[Custom]],TableRBCalcPts[Custom])+COUNTIF($M$3:M79,M79)-1,"")</f>
        <v>56</v>
      </c>
      <c r="I79" s="59">
        <v>77</v>
      </c>
      <c r="J79" s="59" t="str">
        <f>IFERROR(INDEX(TableRBMaster[Player],MATCH(TableRBCalcPts[[#This Row],[RBRef]],TableRBMaster[RBRef],0)),"")</f>
        <v>Jamaal Williams</v>
      </c>
      <c r="K79" s="59" t="str">
        <f>IFERROR(INDEX(TableRBMaster[TM],MATCH(TableRBCalcPts[[#This Row],[RBRef]],TableRBMaster[RBRef],0)),"")</f>
        <v>NO</v>
      </c>
      <c r="L79" s="59">
        <f>IFERROR(INDEX(TableRBMaster[BYE],MATCH(TableRBCalcPts[[#This Row],[RBRef]],TableRBMaster[RBRef],0)),"")</f>
        <v>12</v>
      </c>
      <c r="M79" s="60">
        <f>IFERROR(INDEX(TableRBMaster[Custom],MATCH(TableRBCalcPts[[#This Row],[RBRef]],TableRBMaster[RBRef],0)),"")</f>
        <v>81.878602195123278</v>
      </c>
      <c r="O79" s="59">
        <f>IFERROR(RANK(TableWRCalcPts[[#This Row],[Custom]],TableWRCalcPts[Custom])+COUNTIF($T$3:T79,T79)-1,"")</f>
        <v>62</v>
      </c>
      <c r="P79" s="59">
        <v>77</v>
      </c>
      <c r="Q79" s="59" t="str">
        <f>IFERROR(INDEX(TableWRMaster[Player],MATCH(TableWRCalcPts[[#This Row],[WRRef]],TableWRMaster[WRRef],0)),"")</f>
        <v>Gabe Davis</v>
      </c>
      <c r="R79" s="59" t="str">
        <f>IFERROR(INDEX(TableWRMaster[TM],MATCH(TableWRCalcPts[[#This Row],[WRRef]],TableWRMaster[WRRef],0)),"")</f>
        <v>JAX</v>
      </c>
      <c r="S79" s="59">
        <f>IFERROR(INDEX(TableWRMaster[BYE],MATCH(TableWRCalcPts[[#This Row],[WRRef]],TableWRMaster[WRRef],0)),"")</f>
        <v>12</v>
      </c>
      <c r="T79" s="60">
        <f>IFERROR(INDEX(TableWRMaster[Custom],MATCH(TableWRCalcPts[[#This Row],[WRRef]],TableWRMaster[WRRef],0)),"")</f>
        <v>132.40466047325438</v>
      </c>
      <c r="V79" s="59">
        <f>IFERROR(RANK(TableTECalcPts[[#This Row],[Custom]],TableTECalcPts[Custom])+COUNTIF($AA$3:AA79,AA79)-1,"")</f>
        <v>80</v>
      </c>
      <c r="W79" s="59">
        <v>77</v>
      </c>
      <c r="X79" s="59" t="str">
        <f>IFERROR(INDEX(TableTEMaster[Player],MATCH(TableTECalcPts[[#This Row],[TERef]],TableTEMaster[TERef],0)),"")</f>
        <v>Payne Durham</v>
      </c>
      <c r="Y79" s="59" t="str">
        <f>IFERROR(INDEX(TableTEMaster[TM],MATCH(TableTECalcPts[[#This Row],[TERef]],TableTEMaster[TERef],0)),"")</f>
        <v>TB</v>
      </c>
      <c r="Z79" s="59">
        <f>IFERROR(INDEX(TableTEMaster[BYE],MATCH(TableTECalcPts[[#This Row],[TERef]],TableTEMaster[TERef],0)),"")</f>
        <v>11</v>
      </c>
      <c r="AA79" s="60">
        <f>IFERROR(INDEX(TableTEMaster[Custom],MATCH(TableTECalcPts[[#This Row],[TERef]],TableTEMaster[TERef],0)),"")</f>
        <v>7.1511440444958074</v>
      </c>
      <c r="AI79" s="59" t="s">
        <v>10</v>
      </c>
      <c r="AJ79" s="59">
        <f>IFERROR(RANK(TableWRTECalcPts[[#This Row],[Custom]],TableWRTECalcPts[Custom])+COUNTIF($AP$3:AP79,AP79)-1,"")</f>
        <v>252</v>
      </c>
      <c r="AK79" s="59">
        <v>77</v>
      </c>
      <c r="AL79" s="59" t="str">
        <f>IFERROR(INDEX(TableTEMaster[Player],MATCH(TableWRTECalcPts[[#This Row],[POSRef]],TableTEMaster[TERef],0)),"")</f>
        <v>Payne Durham</v>
      </c>
      <c r="AM79" s="59" t="str">
        <f>IFERROR(_xlfn.CONCAT(TableWRTECalcPts[[#This Row],[POS]],INDEX(TableTERanks[RK],MATCH(TableWRTECalcPts[[#This Row],[PLAYER]],TableTERanks[Player],0))),"")</f>
        <v>TE80</v>
      </c>
      <c r="AN79" s="59" t="str">
        <f>IFERROR(INDEX(TableTEMaster[TM],MATCH(TableWRTECalcPts[[#This Row],[POSRef]],TableTEMaster[TERef],0)),"")</f>
        <v>TB</v>
      </c>
      <c r="AO79" s="59">
        <f>IFERROR(INDEX(TableTEMaster[BYE],MATCH(TableWRTECalcPts[[#This Row],[POSRef]],TableTEMaster[TERef],0)),"")</f>
        <v>11</v>
      </c>
      <c r="AP79" s="60">
        <f>IFERROR(INDEX(TableTEMaster[Custom],MATCH(TableWRTECalcPts[[#This Row],[POSRef]],TableTEMaster[TERef],0)),"")</f>
        <v>7.1511440444958074</v>
      </c>
    </row>
    <row r="80" spans="1:42" x14ac:dyDescent="0.25">
      <c r="A80" s="61" t="str">
        <f>IFERROR(RANK(TableQBCalcPts[[#This Row],[Custom]],TableQBCalcPts[Custom])+COUNTIF($F$3:F80,F80)-1,"")</f>
        <v/>
      </c>
      <c r="B80" s="59">
        <v>78</v>
      </c>
      <c r="C80" s="59" t="str">
        <f>IFERROR(INDEX(TableQBMaster[Player],MATCH(TableQBCalcPts[[#This Row],[QBRef]],TableQBMaster[QBRef],0)),"")</f>
        <v/>
      </c>
      <c r="D80" s="59" t="str">
        <f>IFERROR(INDEX(TableQBMaster[TM],MATCH(TableQBCalcPts[[#This Row],[QBRef]],TableQBMaster[QBRef],0)),"")</f>
        <v/>
      </c>
      <c r="E80" s="59" t="str">
        <f>IFERROR(INDEX(TableQBMaster[BYE],MATCH(TableQBCalcPts[[#This Row],[QBRef]],TableQBMaster[QBRef],0)),"")</f>
        <v/>
      </c>
      <c r="F80" s="60" t="str">
        <f>IFERROR(INDEX(TableQBMaster[Custom],MATCH(TableQBCalcPts[[#This Row],[QBRef]],TableQBMaster[QBRef],0)),"")</f>
        <v/>
      </c>
      <c r="H80" s="59">
        <f>IFERROR(RANK(TableRBCalcPts[[#This Row],[Custom]],TableRBCalcPts[Custom])+COUNTIF($M$3:M80,M80)-1,"")</f>
        <v>106</v>
      </c>
      <c r="I80" s="59">
        <v>78</v>
      </c>
      <c r="J80" s="59" t="str">
        <f>IFERROR(INDEX(TableRBMaster[Player],MATCH(TableRBCalcPts[[#This Row],[RBRef]],TableRBMaster[RBRef],0)),"")</f>
        <v>Jordan Mims</v>
      </c>
      <c r="K80" s="59" t="str">
        <f>IFERROR(INDEX(TableRBMaster[TM],MATCH(TableRBCalcPts[[#This Row],[RBRef]],TableRBMaster[RBRef],0)),"")</f>
        <v>NO</v>
      </c>
      <c r="L80" s="59">
        <f>IFERROR(INDEX(TableRBMaster[BYE],MATCH(TableRBCalcPts[[#This Row],[RBRef]],TableRBMaster[RBRef],0)),"")</f>
        <v>12</v>
      </c>
      <c r="M80" s="60">
        <f>IFERROR(INDEX(TableRBMaster[Custom],MATCH(TableRBCalcPts[[#This Row],[RBRef]],TableRBMaster[RBRef],0)),"")</f>
        <v>8.9331071860877618</v>
      </c>
      <c r="O80" s="59">
        <f>IFERROR(RANK(TableWRCalcPts[[#This Row],[Custom]],TableWRCalcPts[Custom])+COUNTIF($T$3:T80,T80)-1,"")</f>
        <v>136</v>
      </c>
      <c r="P80" s="59">
        <v>78</v>
      </c>
      <c r="Q80" s="59" t="str">
        <f>IFERROR(INDEX(TableWRMaster[Player],MATCH(TableWRCalcPts[[#This Row],[WRRef]],TableWRMaster[WRRef],0)),"")</f>
        <v>Parker Washington</v>
      </c>
      <c r="R80" s="59" t="str">
        <f>IFERROR(INDEX(TableWRMaster[TM],MATCH(TableWRCalcPts[[#This Row],[WRRef]],TableWRMaster[WRRef],0)),"")</f>
        <v>JAX</v>
      </c>
      <c r="S80" s="59">
        <f>IFERROR(INDEX(TableWRMaster[BYE],MATCH(TableWRCalcPts[[#This Row],[WRRef]],TableWRMaster[WRRef],0)),"")</f>
        <v>12</v>
      </c>
      <c r="T80" s="60">
        <f>IFERROR(INDEX(TableWRMaster[Custom],MATCH(TableWRCalcPts[[#This Row],[WRRef]],TableWRMaster[WRRef],0)),"")</f>
        <v>22.072144527232805</v>
      </c>
      <c r="V80" s="59">
        <f>IFERROR(RANK(TableTECalcPts[[#This Row],[Custom]],TableTECalcPts[Custom])+COUNTIF($AA$3:AA80,AA80)-1,"")</f>
        <v>14</v>
      </c>
      <c r="W80" s="59">
        <v>78</v>
      </c>
      <c r="X80" s="59" t="str">
        <f>IFERROR(INDEX(TableTEMaster[Player],MATCH(TableTECalcPts[[#This Row],[TERef]],TableTEMaster[TERef],0)),"")</f>
        <v>Chigoziem Okonkwo</v>
      </c>
      <c r="Y80" s="59" t="str">
        <f>IFERROR(INDEX(TableTEMaster[TM],MATCH(TableTECalcPts[[#This Row],[TERef]],TableTEMaster[TERef],0)),"")</f>
        <v>TEN</v>
      </c>
      <c r="Z80" s="59">
        <f>IFERROR(INDEX(TableTEMaster[BYE],MATCH(TableTECalcPts[[#This Row],[TERef]],TableTEMaster[TERef],0)),"")</f>
        <v>5</v>
      </c>
      <c r="AA80" s="60">
        <f>IFERROR(INDEX(TableTEMaster[Custom],MATCH(TableTECalcPts[[#This Row],[TERef]],TableTEMaster[TERef],0)),"")</f>
        <v>110.39226567248875</v>
      </c>
      <c r="AI80" s="59" t="s">
        <v>10</v>
      </c>
      <c r="AJ80" s="59">
        <f>IFERROR(RANK(TableWRTECalcPts[[#This Row],[Custom]],TableWRTECalcPts[Custom])+COUNTIF($AP$3:AP80,AP80)-1,"")</f>
        <v>87</v>
      </c>
      <c r="AK80" s="59">
        <v>78</v>
      </c>
      <c r="AL80" s="59" t="str">
        <f>IFERROR(INDEX(TableTEMaster[Player],MATCH(TableWRTECalcPts[[#This Row],[POSRef]],TableTEMaster[TERef],0)),"")</f>
        <v>Chigoziem Okonkwo</v>
      </c>
      <c r="AM80" s="59" t="str">
        <f>IFERROR(_xlfn.CONCAT(TableWRTECalcPts[[#This Row],[POS]],INDEX(TableTERanks[RK],MATCH(TableWRTECalcPts[[#This Row],[PLAYER]],TableTERanks[Player],0))),"")</f>
        <v>TE14</v>
      </c>
      <c r="AN80" s="59" t="str">
        <f>IFERROR(INDEX(TableTEMaster[TM],MATCH(TableWRTECalcPts[[#This Row],[POSRef]],TableTEMaster[TERef],0)),"")</f>
        <v>TEN</v>
      </c>
      <c r="AO80" s="59">
        <f>IFERROR(INDEX(TableTEMaster[BYE],MATCH(TableWRTECalcPts[[#This Row],[POSRef]],TableTEMaster[TERef],0)),"")</f>
        <v>5</v>
      </c>
      <c r="AP80" s="60">
        <f>IFERROR(INDEX(TableTEMaster[Custom],MATCH(TableWRTECalcPts[[#This Row],[POSRef]],TableTEMaster[TERef],0)),"")</f>
        <v>110.39226567248875</v>
      </c>
    </row>
    <row r="81" spans="1:42" x14ac:dyDescent="0.25">
      <c r="A81" s="61" t="str">
        <f>IFERROR(RANK(TableQBCalcPts[[#This Row],[Custom]],TableQBCalcPts[Custom])+COUNTIF($F$3:F81,F81)-1,"")</f>
        <v/>
      </c>
      <c r="B81" s="59">
        <v>79</v>
      </c>
      <c r="C81" s="59" t="str">
        <f>IFERROR(INDEX(TableQBMaster[Player],MATCH(TableQBCalcPts[[#This Row],[QBRef]],TableQBMaster[QBRef],0)),"")</f>
        <v/>
      </c>
      <c r="D81" s="59" t="str">
        <f>IFERROR(INDEX(TableQBMaster[TM],MATCH(TableQBCalcPts[[#This Row],[QBRef]],TableQBMaster[QBRef],0)),"")</f>
        <v/>
      </c>
      <c r="E81" s="59" t="str">
        <f>IFERROR(INDEX(TableQBMaster[BYE],MATCH(TableQBCalcPts[[#This Row],[QBRef]],TableQBMaster[QBRef],0)),"")</f>
        <v/>
      </c>
      <c r="F81" s="60" t="str">
        <f>IFERROR(INDEX(TableQBMaster[Custom],MATCH(TableQBCalcPts[[#This Row],[QBRef]],TableQBMaster[QBRef],0)),"")</f>
        <v/>
      </c>
      <c r="H81" s="59">
        <f>IFERROR(RANK(TableRBCalcPts[[#This Row],[Custom]],TableRBCalcPts[Custom])+COUNTIF($M$3:M81,M81)-1,"")</f>
        <v>22</v>
      </c>
      <c r="I81" s="59">
        <v>79</v>
      </c>
      <c r="J81" s="59" t="str">
        <f>IFERROR(INDEX(TableRBMaster[Player],MATCH(TableRBCalcPts[[#This Row],[RBRef]],TableRBMaster[RBRef],0)),"")</f>
        <v>Devin Singletary</v>
      </c>
      <c r="K81" s="59" t="str">
        <f>IFERROR(INDEX(TableRBMaster[TM],MATCH(TableRBCalcPts[[#This Row],[RBRef]],TableRBMaster[RBRef],0)),"")</f>
        <v>NYG</v>
      </c>
      <c r="L81" s="59">
        <f>IFERROR(INDEX(TableRBMaster[BYE],MATCH(TableRBCalcPts[[#This Row],[RBRef]],TableRBMaster[RBRef],0)),"")</f>
        <v>11</v>
      </c>
      <c r="M81" s="60">
        <f>IFERROR(INDEX(TableRBMaster[Custom],MATCH(TableRBCalcPts[[#This Row],[RBRef]],TableRBMaster[RBRef],0)),"")</f>
        <v>181.76933222371224</v>
      </c>
      <c r="O81" s="59">
        <f>IFERROR(RANK(TableWRCalcPts[[#This Row],[Custom]],TableWRCalcPts[Custom])+COUNTIF($T$3:T81,T81)-1,"")</f>
        <v>157</v>
      </c>
      <c r="P81" s="59">
        <v>79</v>
      </c>
      <c r="Q81" s="59" t="str">
        <f>IFERROR(INDEX(TableWRMaster[Player],MATCH(TableWRCalcPts[[#This Row],[WRRef]],TableWRMaster[WRRef],0)),"")</f>
        <v>Tim Jones</v>
      </c>
      <c r="R81" s="59" t="str">
        <f>IFERROR(INDEX(TableWRMaster[TM],MATCH(TableWRCalcPts[[#This Row],[WRRef]],TableWRMaster[WRRef],0)),"")</f>
        <v>JAX</v>
      </c>
      <c r="S81" s="59">
        <f>IFERROR(INDEX(TableWRMaster[BYE],MATCH(TableWRCalcPts[[#This Row],[WRRef]],TableWRMaster[WRRef],0)),"")</f>
        <v>12</v>
      </c>
      <c r="T81" s="60">
        <f>IFERROR(INDEX(TableWRMaster[Custom],MATCH(TableWRCalcPts[[#This Row],[WRRef]],TableWRMaster[WRRef],0)),"")</f>
        <v>13.451518795651641</v>
      </c>
      <c r="V81" s="59">
        <f>IFERROR(RANK(TableTECalcPts[[#This Row],[Custom]],TableTECalcPts[Custom])+COUNTIF($AA$3:AA81,AA81)-1,"")</f>
        <v>61</v>
      </c>
      <c r="W81" s="59">
        <v>79</v>
      </c>
      <c r="X81" s="59" t="str">
        <f>IFERROR(INDEX(TableTEMaster[Player],MATCH(TableTECalcPts[[#This Row],[TERef]],TableTEMaster[TERef],0)),"")</f>
        <v>Josh Whyle</v>
      </c>
      <c r="Y81" s="59" t="str">
        <f>IFERROR(INDEX(TableTEMaster[TM],MATCH(TableTECalcPts[[#This Row],[TERef]],TableTEMaster[TERef],0)),"")</f>
        <v>TEN</v>
      </c>
      <c r="Z81" s="59">
        <f>IFERROR(INDEX(TableTEMaster[BYE],MATCH(TableTECalcPts[[#This Row],[TERef]],TableTEMaster[TERef],0)),"")</f>
        <v>5</v>
      </c>
      <c r="AA81" s="60">
        <f>IFERROR(INDEX(TableTEMaster[Custom],MATCH(TableTECalcPts[[#This Row],[TERef]],TableTEMaster[TERef],0)),"")</f>
        <v>18.05009058043116</v>
      </c>
      <c r="AI81" s="59" t="s">
        <v>10</v>
      </c>
      <c r="AJ81" s="59">
        <f>IFERROR(RANK(TableWRTECalcPts[[#This Row],[Custom]],TableWRTECalcPts[Custom])+COUNTIF($AP$3:AP81,AP81)-1,"")</f>
        <v>203</v>
      </c>
      <c r="AK81" s="59">
        <v>79</v>
      </c>
      <c r="AL81" s="59" t="str">
        <f>IFERROR(INDEX(TableTEMaster[Player],MATCH(TableWRTECalcPts[[#This Row],[POSRef]],TableTEMaster[TERef],0)),"")</f>
        <v>Josh Whyle</v>
      </c>
      <c r="AM81" s="59" t="str">
        <f>IFERROR(_xlfn.CONCAT(TableWRTECalcPts[[#This Row],[POS]],INDEX(TableTERanks[RK],MATCH(TableWRTECalcPts[[#This Row],[PLAYER]],TableTERanks[Player],0))),"")</f>
        <v>TE61</v>
      </c>
      <c r="AN81" s="59" t="str">
        <f>IFERROR(INDEX(TableTEMaster[TM],MATCH(TableWRTECalcPts[[#This Row],[POSRef]],TableTEMaster[TERef],0)),"")</f>
        <v>TEN</v>
      </c>
      <c r="AO81" s="59">
        <f>IFERROR(INDEX(TableTEMaster[BYE],MATCH(TableWRTECalcPts[[#This Row],[POSRef]],TableTEMaster[TERef],0)),"")</f>
        <v>5</v>
      </c>
      <c r="AP81" s="60">
        <f>IFERROR(INDEX(TableTEMaster[Custom],MATCH(TableWRTECalcPts[[#This Row],[POSRef]],TableTEMaster[TERef],0)),"")</f>
        <v>18.05009058043116</v>
      </c>
    </row>
    <row r="82" spans="1:42" x14ac:dyDescent="0.25">
      <c r="A82" s="61" t="str">
        <f>IFERROR(RANK(TableQBCalcPts[[#This Row],[Custom]],TableQBCalcPts[Custom])+COUNTIF($F$3:F82,F82)-1,"")</f>
        <v/>
      </c>
      <c r="B82" s="59">
        <v>80</v>
      </c>
      <c r="C82" s="59" t="str">
        <f>IFERROR(INDEX(TableQBMaster[Player],MATCH(TableQBCalcPts[[#This Row],[QBRef]],TableQBMaster[QBRef],0)),"")</f>
        <v/>
      </c>
      <c r="D82" s="59" t="str">
        <f>IFERROR(INDEX(TableQBMaster[TM],MATCH(TableQBCalcPts[[#This Row],[QBRef]],TableQBMaster[QBRef],0)),"")</f>
        <v/>
      </c>
      <c r="E82" s="59" t="str">
        <f>IFERROR(INDEX(TableQBMaster[BYE],MATCH(TableQBCalcPts[[#This Row],[QBRef]],TableQBMaster[QBRef],0)),"")</f>
        <v/>
      </c>
      <c r="F82" s="60" t="str">
        <f>IFERROR(INDEX(TableQBMaster[Custom],MATCH(TableQBCalcPts[[#This Row],[QBRef]],TableQBMaster[QBRef],0)),"")</f>
        <v/>
      </c>
      <c r="H82" s="59">
        <f>IFERROR(RANK(TableRBCalcPts[[#This Row],[Custom]],TableRBCalcPts[Custom])+COUNTIF($M$3:M82,M82)-1,"")</f>
        <v>68</v>
      </c>
      <c r="I82" s="59">
        <v>80</v>
      </c>
      <c r="J82" s="59" t="str">
        <f>IFERROR(INDEX(TableRBMaster[Player],MATCH(TableRBCalcPts[[#This Row],[RBRef]],TableRBMaster[RBRef],0)),"")</f>
        <v>Eric Gray</v>
      </c>
      <c r="K82" s="59" t="str">
        <f>IFERROR(INDEX(TableRBMaster[TM],MATCH(TableRBCalcPts[[#This Row],[RBRef]],TableRBMaster[RBRef],0)),"")</f>
        <v>NYG</v>
      </c>
      <c r="L82" s="59">
        <f>IFERROR(INDEX(TableRBMaster[BYE],MATCH(TableRBCalcPts[[#This Row],[RBRef]],TableRBMaster[RBRef],0)),"")</f>
        <v>11</v>
      </c>
      <c r="M82" s="60">
        <f>IFERROR(INDEX(TableRBMaster[Custom],MATCH(TableRBCalcPts[[#This Row],[RBRef]],TableRBMaster[RBRef],0)),"")</f>
        <v>56.079180159279936</v>
      </c>
      <c r="O82" s="59">
        <f>IFERROR(RANK(TableWRCalcPts[[#This Row],[Custom]],TableWRCalcPts[Custom])+COUNTIF($T$3:T82,T82)-1,"")</f>
        <v>172</v>
      </c>
      <c r="P82" s="59">
        <v>80</v>
      </c>
      <c r="Q82" s="59" t="str">
        <f>IFERROR(INDEX(TableWRMaster[Player],MATCH(TableWRCalcPts[[#This Row],[WRRef]],TableWRMaster[WRRef],0)),"")</f>
        <v>Devin Duvernay</v>
      </c>
      <c r="R82" s="59" t="str">
        <f>IFERROR(INDEX(TableWRMaster[TM],MATCH(TableWRCalcPts[[#This Row],[WRRef]],TableWRMaster[WRRef],0)),"")</f>
        <v>JAX</v>
      </c>
      <c r="S82" s="59">
        <f>IFERROR(INDEX(TableWRMaster[BYE],MATCH(TableWRCalcPts[[#This Row],[WRRef]],TableWRMaster[WRRef],0)),"")</f>
        <v>12</v>
      </c>
      <c r="T82" s="60">
        <f>IFERROR(INDEX(TableWRMaster[Custom],MATCH(TableWRCalcPts[[#This Row],[WRRef]],TableWRMaster[WRRef],0)),"")</f>
        <v>7.2324387178669536</v>
      </c>
      <c r="V82" s="59">
        <f>IFERROR(RANK(TableTECalcPts[[#This Row],[Custom]],TableTECalcPts[Custom])+COUNTIF($AA$3:AA82,AA82)-1,"")</f>
        <v>37</v>
      </c>
      <c r="W82" s="59">
        <v>80</v>
      </c>
      <c r="X82" s="59" t="str">
        <f>IFERROR(INDEX(TableTEMaster[Player],MATCH(TableTECalcPts[[#This Row],[TERef]],TableTEMaster[TERef],0)),"")</f>
        <v>Zach Ertz</v>
      </c>
      <c r="Y82" s="59" t="str">
        <f>IFERROR(INDEX(TableTEMaster[TM],MATCH(TableTECalcPts[[#This Row],[TERef]],TableTEMaster[TERef],0)),"")</f>
        <v>WSH</v>
      </c>
      <c r="Z82" s="59">
        <f>IFERROR(INDEX(TableTEMaster[BYE],MATCH(TableTECalcPts[[#This Row],[TERef]],TableTEMaster[TERef],0)),"")</f>
        <v>14</v>
      </c>
      <c r="AA82" s="60">
        <f>IFERROR(INDEX(TableTEMaster[Custom],MATCH(TableTECalcPts[[#This Row],[TERef]],TableTEMaster[TERef],0)),"")</f>
        <v>56.143588018518017</v>
      </c>
      <c r="AI82" s="59" t="s">
        <v>10</v>
      </c>
      <c r="AJ82" s="59">
        <f>IFERROR(RANK(TableWRTECalcPts[[#This Row],[Custom]],TableWRTECalcPts[Custom])+COUNTIF($AP$3:AP82,AP82)-1,"")</f>
        <v>141</v>
      </c>
      <c r="AK82" s="59">
        <v>80</v>
      </c>
      <c r="AL82" s="59" t="str">
        <f>IFERROR(INDEX(TableTEMaster[Player],MATCH(TableWRTECalcPts[[#This Row],[POSRef]],TableTEMaster[TERef],0)),"")</f>
        <v>Zach Ertz</v>
      </c>
      <c r="AM82" s="59" t="str">
        <f>IFERROR(_xlfn.CONCAT(TableWRTECalcPts[[#This Row],[POS]],INDEX(TableTERanks[RK],MATCH(TableWRTECalcPts[[#This Row],[PLAYER]],TableTERanks[Player],0))),"")</f>
        <v>TE37</v>
      </c>
      <c r="AN82" s="59" t="str">
        <f>IFERROR(INDEX(TableTEMaster[TM],MATCH(TableWRTECalcPts[[#This Row],[POSRef]],TableTEMaster[TERef],0)),"")</f>
        <v>WSH</v>
      </c>
      <c r="AO82" s="59">
        <f>IFERROR(INDEX(TableTEMaster[BYE],MATCH(TableWRTECalcPts[[#This Row],[POSRef]],TableTEMaster[TERef],0)),"")</f>
        <v>14</v>
      </c>
      <c r="AP82" s="60">
        <f>IFERROR(INDEX(TableTEMaster[Custom],MATCH(TableWRTECalcPts[[#This Row],[POSRef]],TableTEMaster[TERef],0)),"")</f>
        <v>56.143588018518017</v>
      </c>
    </row>
    <row r="83" spans="1:42" x14ac:dyDescent="0.25">
      <c r="A83" s="61" t="str">
        <f>IFERROR(RANK(TableQBCalcPts[[#This Row],[Custom]],TableQBCalcPts[Custom])+COUNTIF($F$3:F83,F83)-1,"")</f>
        <v/>
      </c>
      <c r="B83" s="59">
        <v>81</v>
      </c>
      <c r="C83" s="59" t="str">
        <f>IFERROR(INDEX(TableQBMaster[Player],MATCH(TableQBCalcPts[[#This Row],[QBRef]],TableQBMaster[QBRef],0)),"")</f>
        <v/>
      </c>
      <c r="D83" s="59" t="str">
        <f>IFERROR(INDEX(TableQBMaster[TM],MATCH(TableQBCalcPts[[#This Row],[QBRef]],TableQBMaster[QBRef],0)),"")</f>
        <v/>
      </c>
      <c r="E83" s="59" t="str">
        <f>IFERROR(INDEX(TableQBMaster[BYE],MATCH(TableQBCalcPts[[#This Row],[QBRef]],TableQBMaster[QBRef],0)),"")</f>
        <v/>
      </c>
      <c r="F83" s="60" t="str">
        <f>IFERROR(INDEX(TableQBMaster[Custom],MATCH(TableQBCalcPts[[#This Row],[QBRef]],TableQBMaster[QBRef],0)),"")</f>
        <v/>
      </c>
      <c r="H83" s="59">
        <f>IFERROR(RANK(TableRBCalcPts[[#This Row],[Custom]],TableRBCalcPts[Custom])+COUNTIF($M$3:M83,M83)-1,"")</f>
        <v>64</v>
      </c>
      <c r="I83" s="59">
        <v>81</v>
      </c>
      <c r="J83" s="59" t="str">
        <f>IFERROR(INDEX(TableRBMaster[Player],MATCH(TableRBCalcPts[[#This Row],[RBRef]],TableRBMaster[RBRef],0)),"")</f>
        <v>Tyrone Tracy</v>
      </c>
      <c r="K83" s="59" t="str">
        <f>IFERROR(INDEX(TableRBMaster[TM],MATCH(TableRBCalcPts[[#This Row],[RBRef]],TableRBMaster[RBRef],0)),"")</f>
        <v>NYG</v>
      </c>
      <c r="L83" s="59">
        <f>IFERROR(INDEX(TableRBMaster[BYE],MATCH(TableRBCalcPts[[#This Row],[RBRef]],TableRBMaster[RBRef],0)),"")</f>
        <v>11</v>
      </c>
      <c r="M83" s="60">
        <f>IFERROR(INDEX(TableRBMaster[Custom],MATCH(TableRBCalcPts[[#This Row],[RBRef]],TableRBMaster[RBRef],0)),"")</f>
        <v>66.263362703752577</v>
      </c>
      <c r="O83" s="59">
        <f>IFERROR(RANK(TableWRCalcPts[[#This Row],[Custom]],TableWRCalcPts[Custom])+COUNTIF($T$3:T83,T83)-1,"")</f>
        <v>40</v>
      </c>
      <c r="P83" s="59">
        <v>81</v>
      </c>
      <c r="Q83" s="59" t="str">
        <f>IFERROR(INDEX(TableWRMaster[Player],MATCH(TableWRCalcPts[[#This Row],[WRRef]],TableWRMaster[WRRef],0)),"")</f>
        <v>Marquise Brown</v>
      </c>
      <c r="R83" s="59" t="str">
        <f>IFERROR(INDEX(TableWRMaster[TM],MATCH(TableWRCalcPts[[#This Row],[WRRef]],TableWRMaster[WRRef],0)),"")</f>
        <v>KC</v>
      </c>
      <c r="S83" s="59">
        <f>IFERROR(INDEX(TableWRMaster[BYE],MATCH(TableWRCalcPts[[#This Row],[WRRef]],TableWRMaster[WRRef],0)),"")</f>
        <v>6</v>
      </c>
      <c r="T83" s="60">
        <f>IFERROR(INDEX(TableWRMaster[Custom],MATCH(TableWRCalcPts[[#This Row],[WRRef]],TableWRMaster[WRRef],0)),"")</f>
        <v>169.58278297902092</v>
      </c>
      <c r="V83" s="59">
        <f>IFERROR(RANK(TableTECalcPts[[#This Row],[Custom]],TableTECalcPts[Custom])+COUNTIF($AA$3:AA83,AA83)-1,"")</f>
        <v>28</v>
      </c>
      <c r="W83" s="59">
        <v>81</v>
      </c>
      <c r="X83" s="59" t="str">
        <f>IFERROR(INDEX(TableTEMaster[Player],MATCH(TableTECalcPts[[#This Row],[TERef]],TableTEMaster[TERef],0)),"")</f>
        <v>Ben Sinnott</v>
      </c>
      <c r="Y83" s="59" t="str">
        <f>IFERROR(INDEX(TableTEMaster[TM],MATCH(TableTECalcPts[[#This Row],[TERef]],TableTEMaster[TERef],0)),"")</f>
        <v>WSH</v>
      </c>
      <c r="Z83" s="59">
        <f>IFERROR(INDEX(TableTEMaster[BYE],MATCH(TableTECalcPts[[#This Row],[TERef]],TableTEMaster[TERef],0)),"")</f>
        <v>14</v>
      </c>
      <c r="AA83" s="60">
        <f>IFERROR(INDEX(TableTEMaster[Custom],MATCH(TableTECalcPts[[#This Row],[TERef]],TableTEMaster[TERef],0)),"")</f>
        <v>79.489285396192031</v>
      </c>
      <c r="AI83" s="59" t="s">
        <v>10</v>
      </c>
      <c r="AJ83" s="59">
        <f>IFERROR(RANK(TableWRTECalcPts[[#This Row],[Custom]],TableWRTECalcPts[Custom])+COUNTIF($AP$3:AP83,AP83)-1,"")</f>
        <v>117</v>
      </c>
      <c r="AK83" s="59">
        <v>81</v>
      </c>
      <c r="AL83" s="59" t="str">
        <f>IFERROR(INDEX(TableTEMaster[Player],MATCH(TableWRTECalcPts[[#This Row],[POSRef]],TableTEMaster[TERef],0)),"")</f>
        <v>Ben Sinnott</v>
      </c>
      <c r="AM83" s="59" t="str">
        <f>IFERROR(_xlfn.CONCAT(TableWRTECalcPts[[#This Row],[POS]],INDEX(TableTERanks[RK],MATCH(TableWRTECalcPts[[#This Row],[PLAYER]],TableTERanks[Player],0))),"")</f>
        <v>TE28</v>
      </c>
      <c r="AN83" s="59" t="str">
        <f>IFERROR(INDEX(TableTEMaster[TM],MATCH(TableWRTECalcPts[[#This Row],[POSRef]],TableTEMaster[TERef],0)),"")</f>
        <v>WSH</v>
      </c>
      <c r="AO83" s="59">
        <f>IFERROR(INDEX(TableTEMaster[BYE],MATCH(TableWRTECalcPts[[#This Row],[POSRef]],TableTEMaster[TERef],0)),"")</f>
        <v>14</v>
      </c>
      <c r="AP83" s="60">
        <f>IFERROR(INDEX(TableTEMaster[Custom],MATCH(TableWRTECalcPts[[#This Row],[POSRef]],TableTEMaster[TERef],0)),"")</f>
        <v>79.489285396192031</v>
      </c>
    </row>
    <row r="84" spans="1:42" x14ac:dyDescent="0.25">
      <c r="A84" s="61" t="str">
        <f>IFERROR(RANK(TableQBCalcPts[[#This Row],[Custom]],TableQBCalcPts[Custom])+COUNTIF($F$3:F84,F84)-1,"")</f>
        <v/>
      </c>
      <c r="B84" s="59">
        <v>82</v>
      </c>
      <c r="C84" s="59" t="str">
        <f>IFERROR(INDEX(TableQBMaster[Player],MATCH(TableQBCalcPts[[#This Row],[QBRef]],TableQBMaster[QBRef],0)),"")</f>
        <v/>
      </c>
      <c r="D84" s="59" t="str">
        <f>IFERROR(INDEX(TableQBMaster[TM],MATCH(TableQBCalcPts[[#This Row],[QBRef]],TableQBMaster[QBRef],0)),"")</f>
        <v/>
      </c>
      <c r="E84" s="59" t="str">
        <f>IFERROR(INDEX(TableQBMaster[BYE],MATCH(TableQBCalcPts[[#This Row],[QBRef]],TableQBMaster[QBRef],0)),"")</f>
        <v/>
      </c>
      <c r="F84" s="60" t="str">
        <f>IFERROR(INDEX(TableQBMaster[Custom],MATCH(TableQBCalcPts[[#This Row],[QBRef]],TableQBMaster[QBRef],0)),"")</f>
        <v/>
      </c>
      <c r="H84" s="59">
        <f>IFERROR(RANK(TableRBCalcPts[[#This Row],[Custom]],TableRBCalcPts[Custom])+COUNTIF($M$3:M84,M84)-1,"")</f>
        <v>3</v>
      </c>
      <c r="I84" s="59">
        <v>82</v>
      </c>
      <c r="J84" s="59" t="str">
        <f>IFERROR(INDEX(TableRBMaster[Player],MATCH(TableRBCalcPts[[#This Row],[RBRef]],TableRBMaster[RBRef],0)),"")</f>
        <v>Breece Hall</v>
      </c>
      <c r="K84" s="59" t="str">
        <f>IFERROR(INDEX(TableRBMaster[TM],MATCH(TableRBCalcPts[[#This Row],[RBRef]],TableRBMaster[RBRef],0)),"")</f>
        <v>NYJ</v>
      </c>
      <c r="L84" s="59">
        <f>IFERROR(INDEX(TableRBMaster[BYE],MATCH(TableRBCalcPts[[#This Row],[RBRef]],TableRBMaster[RBRef],0)),"")</f>
        <v>12</v>
      </c>
      <c r="M84" s="60">
        <f>IFERROR(INDEX(TableRBMaster[Custom],MATCH(TableRBCalcPts[[#This Row],[RBRef]],TableRBMaster[RBRef],0)),"")</f>
        <v>256.69251922440355</v>
      </c>
      <c r="O84" s="59">
        <f>IFERROR(RANK(TableWRCalcPts[[#This Row],[Custom]],TableWRCalcPts[Custom])+COUNTIF($T$3:T84,T84)-1,"")</f>
        <v>12</v>
      </c>
      <c r="P84" s="59">
        <v>82</v>
      </c>
      <c r="Q84" s="59" t="str">
        <f>IFERROR(INDEX(TableWRMaster[Player],MATCH(TableWRCalcPts[[#This Row],[WRRef]],TableWRMaster[WRRef],0)),"")</f>
        <v>Rashee Rice</v>
      </c>
      <c r="R84" s="59" t="str">
        <f>IFERROR(INDEX(TableWRMaster[TM],MATCH(TableWRCalcPts[[#This Row],[WRRef]],TableWRMaster[WRRef],0)),"")</f>
        <v>KC</v>
      </c>
      <c r="S84" s="59">
        <f>IFERROR(INDEX(TableWRMaster[BYE],MATCH(TableWRCalcPts[[#This Row],[WRRef]],TableWRMaster[WRRef],0)),"")</f>
        <v>6</v>
      </c>
      <c r="T84" s="60">
        <f>IFERROR(INDEX(TableWRMaster[Custom],MATCH(TableWRCalcPts[[#This Row],[WRRef]],TableWRMaster[WRRef],0)),"")</f>
        <v>205.3788457910936</v>
      </c>
      <c r="V84" s="59" t="str">
        <f>IFERROR(RANK(TableTECalcPts[[#This Row],[Custom]],TableTECalcPts[Custom])+COUNTIF($AA$3:AA84,AA84)-1,"")</f>
        <v/>
      </c>
      <c r="W84" s="59">
        <v>82</v>
      </c>
      <c r="X84" s="59" t="str">
        <f>IFERROR(INDEX(TableTEMaster[Player],MATCH(TableTECalcPts[[#This Row],[TERef]],TableTEMaster[TERef],0)),"")</f>
        <v/>
      </c>
      <c r="Y84" s="59" t="str">
        <f>IFERROR(INDEX(TableTEMaster[TM],MATCH(TableTECalcPts[[#This Row],[TERef]],TableTEMaster[TERef],0)),"")</f>
        <v/>
      </c>
      <c r="Z84" s="59" t="str">
        <f>IFERROR(INDEX(TableTEMaster[BYE],MATCH(TableTECalcPts[[#This Row],[TERef]],TableTEMaster[TERef],0)),"")</f>
        <v/>
      </c>
      <c r="AA84" s="60" t="str">
        <f>IFERROR(INDEX(TableTEMaster[Custom],MATCH(TableTECalcPts[[#This Row],[TERef]],TableTEMaster[TERef],0)),"")</f>
        <v/>
      </c>
      <c r="AI84" s="59" t="s">
        <v>10</v>
      </c>
      <c r="AJ84" s="59" t="str">
        <f>IFERROR(RANK(TableWRTECalcPts[[#This Row],[Custom]],TableWRTECalcPts[Custom])+COUNTIF($AP$3:AP84,AP84)-1,"")</f>
        <v/>
      </c>
      <c r="AK84" s="59">
        <v>82</v>
      </c>
      <c r="AL84" s="59" t="str">
        <f>IFERROR(INDEX(TableTEMaster[Player],MATCH(TableWRTECalcPts[[#This Row],[POSRef]],TableTEMaster[TERef],0)),"")</f>
        <v/>
      </c>
      <c r="AM84" s="59" t="str">
        <f>IFERROR(_xlfn.CONCAT(TableWRTECalcPts[[#This Row],[POS]],INDEX(TableTERanks[RK],MATCH(TableWRTECalcPts[[#This Row],[PLAYER]],TableTERanks[Player],0))),"")</f>
        <v>TE82</v>
      </c>
      <c r="AN84" s="59" t="str">
        <f>IFERROR(INDEX(TableTEMaster[TM],MATCH(TableWRTECalcPts[[#This Row],[POSRef]],TableTEMaster[TERef],0)),"")</f>
        <v/>
      </c>
      <c r="AO84" s="59" t="str">
        <f>IFERROR(INDEX(TableTEMaster[BYE],MATCH(TableWRTECalcPts[[#This Row],[POSRef]],TableTEMaster[TERef],0)),"")</f>
        <v/>
      </c>
      <c r="AP84" s="60" t="str">
        <f>IFERROR(INDEX(TableTEMaster[Custom],MATCH(TableWRTECalcPts[[#This Row],[POSRef]],TableTEMaster[TERef],0)),"")</f>
        <v/>
      </c>
    </row>
    <row r="85" spans="1:42" x14ac:dyDescent="0.25">
      <c r="A85" s="61" t="str">
        <f>IFERROR(RANK(TableQBCalcPts[[#This Row],[Custom]],TableQBCalcPts[Custom])+COUNTIF($F$3:F85,F85)-1,"")</f>
        <v/>
      </c>
      <c r="B85" s="59">
        <v>83</v>
      </c>
      <c r="C85" s="59" t="str">
        <f>IFERROR(INDEX(TableQBMaster[Player],MATCH(TableQBCalcPts[[#This Row],[QBRef]],TableQBMaster[QBRef],0)),"")</f>
        <v/>
      </c>
      <c r="D85" s="59" t="str">
        <f>IFERROR(INDEX(TableQBMaster[TM],MATCH(TableQBCalcPts[[#This Row],[QBRef]],TableQBMaster[QBRef],0)),"")</f>
        <v/>
      </c>
      <c r="E85" s="59" t="str">
        <f>IFERROR(INDEX(TableQBMaster[BYE],MATCH(TableQBCalcPts[[#This Row],[QBRef]],TableQBMaster[QBRef],0)),"")</f>
        <v/>
      </c>
      <c r="F85" s="60" t="str">
        <f>IFERROR(INDEX(TableQBMaster[Custom],MATCH(TableQBCalcPts[[#This Row],[QBRef]],TableQBMaster[QBRef],0)),"")</f>
        <v/>
      </c>
      <c r="H85" s="59">
        <f>IFERROR(RANK(TableRBCalcPts[[#This Row],[Custom]],TableRBCalcPts[Custom])+COUNTIF($M$3:M85,M85)-1,"")</f>
        <v>62</v>
      </c>
      <c r="I85" s="59">
        <v>83</v>
      </c>
      <c r="J85" s="59" t="str">
        <f>IFERROR(INDEX(TableRBMaster[Player],MATCH(TableRBCalcPts[[#This Row],[RBRef]],TableRBMaster[RBRef],0)),"")</f>
        <v>Braelon Allen</v>
      </c>
      <c r="K85" s="59" t="str">
        <f>IFERROR(INDEX(TableRBMaster[TM],MATCH(TableRBCalcPts[[#This Row],[RBRef]],TableRBMaster[RBRef],0)),"")</f>
        <v>NYJ</v>
      </c>
      <c r="L85" s="59">
        <f>IFERROR(INDEX(TableRBMaster[BYE],MATCH(TableRBCalcPts[[#This Row],[RBRef]],TableRBMaster[RBRef],0)),"")</f>
        <v>12</v>
      </c>
      <c r="M85" s="60">
        <f>IFERROR(INDEX(TableRBMaster[Custom],MATCH(TableRBCalcPts[[#This Row],[RBRef]],TableRBMaster[RBRef],0)),"")</f>
        <v>70.252975679571662</v>
      </c>
      <c r="O85" s="59">
        <f>IFERROR(RANK(TableWRCalcPts[[#This Row],[Custom]],TableWRCalcPts[Custom])+COUNTIF($T$3:T85,T85)-1,"")</f>
        <v>45</v>
      </c>
      <c r="P85" s="59">
        <v>83</v>
      </c>
      <c r="Q85" s="59" t="str">
        <f>IFERROR(INDEX(TableWRMaster[Player],MATCH(TableWRCalcPts[[#This Row],[WRRef]],TableWRMaster[WRRef],0)),"")</f>
        <v>Xavier Worthy</v>
      </c>
      <c r="R85" s="59" t="str">
        <f>IFERROR(INDEX(TableWRMaster[TM],MATCH(TableWRCalcPts[[#This Row],[WRRef]],TableWRMaster[WRRef],0)),"")</f>
        <v>KC</v>
      </c>
      <c r="S85" s="59">
        <f>IFERROR(INDEX(TableWRMaster[BYE],MATCH(TableWRCalcPts[[#This Row],[WRRef]],TableWRMaster[WRRef],0)),"")</f>
        <v>6</v>
      </c>
      <c r="T85" s="60">
        <f>IFERROR(INDEX(TableWRMaster[Custom],MATCH(TableWRCalcPts[[#This Row],[WRRef]],TableWRMaster[WRRef],0)),"")</f>
        <v>163.43310093245475</v>
      </c>
      <c r="V85" s="59" t="str">
        <f>IFERROR(RANK(TableTECalcPts[[#This Row],[Custom]],TableTECalcPts[Custom])+COUNTIF($AA$3:AA85,AA85)-1,"")</f>
        <v/>
      </c>
      <c r="W85" s="59">
        <v>83</v>
      </c>
      <c r="X85" s="59" t="str">
        <f>IFERROR(INDEX(TableTEMaster[Player],MATCH(TableTECalcPts[[#This Row],[TERef]],TableTEMaster[TERef],0)),"")</f>
        <v/>
      </c>
      <c r="Y85" s="59" t="str">
        <f>IFERROR(INDEX(TableTEMaster[TM],MATCH(TableTECalcPts[[#This Row],[TERef]],TableTEMaster[TERef],0)),"")</f>
        <v/>
      </c>
      <c r="Z85" s="59" t="str">
        <f>IFERROR(INDEX(TableTEMaster[BYE],MATCH(TableTECalcPts[[#This Row],[TERef]],TableTEMaster[TERef],0)),"")</f>
        <v/>
      </c>
      <c r="AA85" s="60" t="str">
        <f>IFERROR(INDEX(TableTEMaster[Custom],MATCH(TableTECalcPts[[#This Row],[TERef]],TableTEMaster[TERef],0)),"")</f>
        <v/>
      </c>
      <c r="AI85" s="59" t="s">
        <v>10</v>
      </c>
      <c r="AJ85" s="59" t="str">
        <f>IFERROR(RANK(TableWRTECalcPts[[#This Row],[Custom]],TableWRTECalcPts[Custom])+COUNTIF($AP$3:AP85,AP85)-1,"")</f>
        <v/>
      </c>
      <c r="AK85" s="59">
        <v>83</v>
      </c>
      <c r="AL85" s="59" t="str">
        <f>IFERROR(INDEX(TableTEMaster[Player],MATCH(TableWRTECalcPts[[#This Row],[POSRef]],TableTEMaster[TERef],0)),"")</f>
        <v/>
      </c>
      <c r="AM85" s="59" t="str">
        <f>IFERROR(_xlfn.CONCAT(TableWRTECalcPts[[#This Row],[POS]],INDEX(TableTERanks[RK],MATCH(TableWRTECalcPts[[#This Row],[PLAYER]],TableTERanks[Player],0))),"")</f>
        <v>TE82</v>
      </c>
      <c r="AN85" s="59" t="str">
        <f>IFERROR(INDEX(TableTEMaster[TM],MATCH(TableWRTECalcPts[[#This Row],[POSRef]],TableTEMaster[TERef],0)),"")</f>
        <v/>
      </c>
      <c r="AO85" s="59" t="str">
        <f>IFERROR(INDEX(TableTEMaster[BYE],MATCH(TableWRTECalcPts[[#This Row],[POSRef]],TableTEMaster[TERef],0)),"")</f>
        <v/>
      </c>
      <c r="AP85" s="60" t="str">
        <f>IFERROR(INDEX(TableTEMaster[Custom],MATCH(TableWRTECalcPts[[#This Row],[POSRef]],TableTEMaster[TERef],0)),"")</f>
        <v/>
      </c>
    </row>
    <row r="86" spans="1:42" x14ac:dyDescent="0.25">
      <c r="A86" s="61" t="str">
        <f>IFERROR(RANK(TableQBCalcPts[[#This Row],[Custom]],TableQBCalcPts[Custom])+COUNTIF($F$3:F86,F86)-1,"")</f>
        <v/>
      </c>
      <c r="B86" s="59">
        <v>84</v>
      </c>
      <c r="C86" s="59" t="str">
        <f>IFERROR(INDEX(TableQBMaster[Player],MATCH(TableQBCalcPts[[#This Row],[QBRef]],TableQBMaster[QBRef],0)),"")</f>
        <v/>
      </c>
      <c r="D86" s="59" t="str">
        <f>IFERROR(INDEX(TableQBMaster[TM],MATCH(TableQBCalcPts[[#This Row],[QBRef]],TableQBMaster[QBRef],0)),"")</f>
        <v/>
      </c>
      <c r="E86" s="59" t="str">
        <f>IFERROR(INDEX(TableQBMaster[BYE],MATCH(TableQBCalcPts[[#This Row],[QBRef]],TableQBMaster[QBRef],0)),"")</f>
        <v/>
      </c>
      <c r="F86" s="60" t="str">
        <f>IFERROR(INDEX(TableQBMaster[Custom],MATCH(TableQBCalcPts[[#This Row],[QBRef]],TableQBMaster[QBRef],0)),"")</f>
        <v/>
      </c>
      <c r="H86" s="59">
        <f>IFERROR(RANK(TableRBCalcPts[[#This Row],[Custom]],TableRBCalcPts[Custom])+COUNTIF($M$3:M86,M86)-1,"")</f>
        <v>67</v>
      </c>
      <c r="I86" s="59">
        <v>84</v>
      </c>
      <c r="J86" s="59" t="str">
        <f>IFERROR(INDEX(TableRBMaster[Player],MATCH(TableRBCalcPts[[#This Row],[RBRef]],TableRBMaster[RBRef],0)),"")</f>
        <v>Isaiah Davis</v>
      </c>
      <c r="K86" s="59" t="str">
        <f>IFERROR(INDEX(TableRBMaster[TM],MATCH(TableRBCalcPts[[#This Row],[RBRef]],TableRBMaster[RBRef],0)),"")</f>
        <v>NYJ</v>
      </c>
      <c r="L86" s="59">
        <f>IFERROR(INDEX(TableRBMaster[BYE],MATCH(TableRBCalcPts[[#This Row],[RBRef]],TableRBMaster[RBRef],0)),"")</f>
        <v>12</v>
      </c>
      <c r="M86" s="60">
        <f>IFERROR(INDEX(TableRBMaster[Custom],MATCH(TableRBCalcPts[[#This Row],[RBRef]],TableRBMaster[RBRef],0)),"")</f>
        <v>62.875623136388576</v>
      </c>
      <c r="O86" s="59">
        <f>IFERROR(RANK(TableWRCalcPts[[#This Row],[Custom]],TableWRCalcPts[Custom])+COUNTIF($T$3:T86,T86)-1,"")</f>
        <v>120</v>
      </c>
      <c r="P86" s="59">
        <v>84</v>
      </c>
      <c r="Q86" s="59" t="str">
        <f>IFERROR(INDEX(TableWRMaster[Player],MATCH(TableWRCalcPts[[#This Row],[WRRef]],TableWRMaster[WRRef],0)),"")</f>
        <v>JuJu Smith-Schuster</v>
      </c>
      <c r="R86" s="59" t="str">
        <f>IFERROR(INDEX(TableWRMaster[TM],MATCH(TableWRCalcPts[[#This Row],[WRRef]],TableWRMaster[WRRef],0)),"")</f>
        <v>KC</v>
      </c>
      <c r="S86" s="59">
        <f>IFERROR(INDEX(TableWRMaster[BYE],MATCH(TableWRCalcPts[[#This Row],[WRRef]],TableWRMaster[WRRef],0)),"")</f>
        <v>6</v>
      </c>
      <c r="T86" s="60">
        <f>IFERROR(INDEX(TableWRMaster[Custom],MATCH(TableWRCalcPts[[#This Row],[WRRef]],TableWRMaster[WRRef],0)),"")</f>
        <v>32.587761034751999</v>
      </c>
      <c r="V86" s="59" t="str">
        <f>IFERROR(RANK(TableTECalcPts[[#This Row],[Custom]],TableTECalcPts[Custom])+COUNTIF($AA$3:AA86,AA86)-1,"")</f>
        <v/>
      </c>
      <c r="W86" s="59">
        <v>84</v>
      </c>
      <c r="X86" s="59" t="str">
        <f>IFERROR(INDEX(TableTEMaster[Player],MATCH(TableTECalcPts[[#This Row],[TERef]],TableTEMaster[TERef],0)),"")</f>
        <v/>
      </c>
      <c r="Y86" s="59" t="str">
        <f>IFERROR(INDEX(TableTEMaster[TM],MATCH(TableTECalcPts[[#This Row],[TERef]],TableTEMaster[TERef],0)),"")</f>
        <v/>
      </c>
      <c r="Z86" s="59" t="str">
        <f>IFERROR(INDEX(TableTEMaster[BYE],MATCH(TableTECalcPts[[#This Row],[TERef]],TableTEMaster[TERef],0)),"")</f>
        <v/>
      </c>
      <c r="AA86" s="60" t="str">
        <f>IFERROR(INDEX(TableTEMaster[Custom],MATCH(TableTECalcPts[[#This Row],[TERef]],TableTEMaster[TERef],0)),"")</f>
        <v/>
      </c>
      <c r="AI86" s="59" t="s">
        <v>10</v>
      </c>
      <c r="AJ86" s="59" t="str">
        <f>IFERROR(RANK(TableWRTECalcPts[[#This Row],[Custom]],TableWRTECalcPts[Custom])+COUNTIF($AP$3:AP86,AP86)-1,"")</f>
        <v/>
      </c>
      <c r="AK86" s="59">
        <v>84</v>
      </c>
      <c r="AL86" s="59" t="str">
        <f>IFERROR(INDEX(TableTEMaster[Player],MATCH(TableWRTECalcPts[[#This Row],[POSRef]],TableTEMaster[TERef],0)),"")</f>
        <v/>
      </c>
      <c r="AM86" s="59" t="str">
        <f>IFERROR(_xlfn.CONCAT(TableWRTECalcPts[[#This Row],[POS]],INDEX(TableTERanks[RK],MATCH(TableWRTECalcPts[[#This Row],[PLAYER]],TableTERanks[Player],0))),"")</f>
        <v>TE82</v>
      </c>
      <c r="AN86" s="59" t="str">
        <f>IFERROR(INDEX(TableTEMaster[TM],MATCH(TableWRTECalcPts[[#This Row],[POSRef]],TableTEMaster[TERef],0)),"")</f>
        <v/>
      </c>
      <c r="AO86" s="59" t="str">
        <f>IFERROR(INDEX(TableTEMaster[BYE],MATCH(TableWRTECalcPts[[#This Row],[POSRef]],TableTEMaster[TERef],0)),"")</f>
        <v/>
      </c>
      <c r="AP86" s="60" t="str">
        <f>IFERROR(INDEX(TableTEMaster[Custom],MATCH(TableWRTECalcPts[[#This Row],[POSRef]],TableTEMaster[TERef],0)),"")</f>
        <v/>
      </c>
    </row>
    <row r="87" spans="1:42" x14ac:dyDescent="0.25">
      <c r="A87" s="61" t="str">
        <f>IFERROR(RANK(TableQBCalcPts[[#This Row],[Custom]],TableQBCalcPts[Custom])+COUNTIF($F$3:F87,F87)-1,"")</f>
        <v/>
      </c>
      <c r="B87" s="59">
        <v>85</v>
      </c>
      <c r="C87" s="59" t="str">
        <f>IFERROR(INDEX(TableQBMaster[Player],MATCH(TableQBCalcPts[[#This Row],[QBRef]],TableQBMaster[QBRef],0)),"")</f>
        <v/>
      </c>
      <c r="D87" s="59" t="str">
        <f>IFERROR(INDEX(TableQBMaster[TM],MATCH(TableQBCalcPts[[#This Row],[QBRef]],TableQBMaster[QBRef],0)),"")</f>
        <v/>
      </c>
      <c r="E87" s="59" t="str">
        <f>IFERROR(INDEX(TableQBMaster[BYE],MATCH(TableQBCalcPts[[#This Row],[QBRef]],TableQBMaster[QBRef],0)),"")</f>
        <v/>
      </c>
      <c r="F87" s="60" t="str">
        <f>IFERROR(INDEX(TableQBMaster[Custom],MATCH(TableQBCalcPts[[#This Row],[QBRef]],TableQBMaster[QBRef],0)),"")</f>
        <v/>
      </c>
      <c r="H87" s="59">
        <f>IFERROR(RANK(TableRBCalcPts[[#This Row],[Custom]],TableRBCalcPts[Custom])+COUNTIF($M$3:M87,M87)-1,"")</f>
        <v>91</v>
      </c>
      <c r="I87" s="59">
        <v>85</v>
      </c>
      <c r="J87" s="59" t="str">
        <f>IFERROR(INDEX(TableRBMaster[Player],MATCH(TableRBCalcPts[[#This Row],[RBRef]],TableRBMaster[RBRef],0)),"")</f>
        <v>Israel Abanikanda</v>
      </c>
      <c r="K87" s="59" t="str">
        <f>IFERROR(INDEX(TableRBMaster[TM],MATCH(TableRBCalcPts[[#This Row],[RBRef]],TableRBMaster[RBRef],0)),"")</f>
        <v>NYJ</v>
      </c>
      <c r="L87" s="59">
        <f>IFERROR(INDEX(TableRBMaster[BYE],MATCH(TableRBCalcPts[[#This Row],[RBRef]],TableRBMaster[RBRef],0)),"")</f>
        <v>12</v>
      </c>
      <c r="M87" s="60">
        <f>IFERROR(INDEX(TableRBMaster[Custom],MATCH(TableRBCalcPts[[#This Row],[RBRef]],TableRBMaster[RBRef],0)),"")</f>
        <v>17.414630244290926</v>
      </c>
      <c r="O87" s="59">
        <f>IFERROR(RANK(TableWRCalcPts[[#This Row],[Custom]],TableWRCalcPts[Custom])+COUNTIF($T$3:T87,T87)-1,"")</f>
        <v>131</v>
      </c>
      <c r="P87" s="59">
        <v>85</v>
      </c>
      <c r="Q87" s="59" t="str">
        <f>IFERROR(INDEX(TableWRMaster[Player],MATCH(TableWRCalcPts[[#This Row],[WRRef]],TableWRMaster[WRRef],0)),"")</f>
        <v>Justin Watson</v>
      </c>
      <c r="R87" s="59" t="str">
        <f>IFERROR(INDEX(TableWRMaster[TM],MATCH(TableWRCalcPts[[#This Row],[WRRef]],TableWRMaster[WRRef],0)),"")</f>
        <v>KC</v>
      </c>
      <c r="S87" s="59">
        <f>IFERROR(INDEX(TableWRMaster[BYE],MATCH(TableWRCalcPts[[#This Row],[WRRef]],TableWRMaster[WRRef],0)),"")</f>
        <v>6</v>
      </c>
      <c r="T87" s="60">
        <f>IFERROR(INDEX(TableWRMaster[Custom],MATCH(TableWRCalcPts[[#This Row],[WRRef]],TableWRMaster[WRRef],0)),"")</f>
        <v>24.945080751359992</v>
      </c>
      <c r="V87" s="59" t="str">
        <f>IFERROR(RANK(TableTECalcPts[[#This Row],[Custom]],TableTECalcPts[Custom])+COUNTIF($AA$3:AA87,AA87)-1,"")</f>
        <v/>
      </c>
      <c r="W87" s="59">
        <v>85</v>
      </c>
      <c r="X87" s="59" t="str">
        <f>IFERROR(INDEX(TableTEMaster[Player],MATCH(TableTECalcPts[[#This Row],[TERef]],TableTEMaster[TERef],0)),"")</f>
        <v/>
      </c>
      <c r="Y87" s="59" t="str">
        <f>IFERROR(INDEX(TableTEMaster[TM],MATCH(TableTECalcPts[[#This Row],[TERef]],TableTEMaster[TERef],0)),"")</f>
        <v/>
      </c>
      <c r="Z87" s="59" t="str">
        <f>IFERROR(INDEX(TableTEMaster[BYE],MATCH(TableTECalcPts[[#This Row],[TERef]],TableTEMaster[TERef],0)),"")</f>
        <v/>
      </c>
      <c r="AA87" s="60" t="str">
        <f>IFERROR(INDEX(TableTEMaster[Custom],MATCH(TableTECalcPts[[#This Row],[TERef]],TableTEMaster[TERef],0)),"")</f>
        <v/>
      </c>
      <c r="AI87" s="59" t="s">
        <v>10</v>
      </c>
      <c r="AJ87" s="59" t="str">
        <f>IFERROR(RANK(TableWRTECalcPts[[#This Row],[Custom]],TableWRTECalcPts[Custom])+COUNTIF($AP$3:AP87,AP87)-1,"")</f>
        <v/>
      </c>
      <c r="AK87" s="59">
        <v>85</v>
      </c>
      <c r="AL87" s="59" t="str">
        <f>IFERROR(INDEX(TableTEMaster[Player],MATCH(TableWRTECalcPts[[#This Row],[POSRef]],TableTEMaster[TERef],0)),"")</f>
        <v/>
      </c>
      <c r="AM87" s="59" t="str">
        <f>IFERROR(_xlfn.CONCAT(TableWRTECalcPts[[#This Row],[POS]],INDEX(TableTERanks[RK],MATCH(TableWRTECalcPts[[#This Row],[PLAYER]],TableTERanks[Player],0))),"")</f>
        <v>TE82</v>
      </c>
      <c r="AN87" s="59" t="str">
        <f>IFERROR(INDEX(TableTEMaster[TM],MATCH(TableWRTECalcPts[[#This Row],[POSRef]],TableTEMaster[TERef],0)),"")</f>
        <v/>
      </c>
      <c r="AO87" s="59" t="str">
        <f>IFERROR(INDEX(TableTEMaster[BYE],MATCH(TableWRTECalcPts[[#This Row],[POSRef]],TableTEMaster[TERef],0)),"")</f>
        <v/>
      </c>
      <c r="AP87" s="60" t="str">
        <f>IFERROR(INDEX(TableTEMaster[Custom],MATCH(TableWRTECalcPts[[#This Row],[POSRef]],TableTEMaster[TERef],0)),"")</f>
        <v/>
      </c>
    </row>
    <row r="88" spans="1:42" x14ac:dyDescent="0.25">
      <c r="A88" s="61" t="str">
        <f>IFERROR(RANK(TableQBCalcPts[[#This Row],[Custom]],TableQBCalcPts[Custom])+COUNTIF($F$3:F88,F88)-1,"")</f>
        <v/>
      </c>
      <c r="B88" s="59">
        <v>86</v>
      </c>
      <c r="C88" s="59" t="str">
        <f>IFERROR(INDEX(TableQBMaster[Player],MATCH(TableQBCalcPts[[#This Row],[QBRef]],TableQBMaster[QBRef],0)),"")</f>
        <v/>
      </c>
      <c r="D88" s="59" t="str">
        <f>IFERROR(INDEX(TableQBMaster[TM],MATCH(TableQBCalcPts[[#This Row],[QBRef]],TableQBMaster[QBRef],0)),"")</f>
        <v/>
      </c>
      <c r="E88" s="59" t="str">
        <f>IFERROR(INDEX(TableQBMaster[BYE],MATCH(TableQBCalcPts[[#This Row],[QBRef]],TableQBMaster[QBRef],0)),"")</f>
        <v/>
      </c>
      <c r="F88" s="60" t="str">
        <f>IFERROR(INDEX(TableQBMaster[Custom],MATCH(TableQBCalcPts[[#This Row],[QBRef]],TableQBMaster[QBRef],0)),"")</f>
        <v/>
      </c>
      <c r="H88" s="59">
        <f>IFERROR(RANK(TableRBCalcPts[[#This Row],[Custom]],TableRBCalcPts[Custom])+COUNTIF($M$3:M88,M88)-1,"")</f>
        <v>5</v>
      </c>
      <c r="I88" s="59">
        <v>86</v>
      </c>
      <c r="J88" s="59" t="str">
        <f>IFERROR(INDEX(TableRBMaster[Player],MATCH(TableRBCalcPts[[#This Row],[RBRef]],TableRBMaster[RBRef],0)),"")</f>
        <v>Saquon Barkley</v>
      </c>
      <c r="K88" s="59" t="str">
        <f>IFERROR(INDEX(TableRBMaster[TM],MATCH(TableRBCalcPts[[#This Row],[RBRef]],TableRBMaster[RBRef],0)),"")</f>
        <v>PHI</v>
      </c>
      <c r="L88" s="59">
        <f>IFERROR(INDEX(TableRBMaster[BYE],MATCH(TableRBCalcPts[[#This Row],[RBRef]],TableRBMaster[RBRef],0)),"")</f>
        <v>5</v>
      </c>
      <c r="M88" s="60">
        <f>IFERROR(INDEX(TableRBMaster[Custom],MATCH(TableRBCalcPts[[#This Row],[RBRef]],TableRBMaster[RBRef],0)),"")</f>
        <v>241.74493605547082</v>
      </c>
      <c r="O88" s="59">
        <f>IFERROR(RANK(TableWRCalcPts[[#This Row],[Custom]],TableWRCalcPts[Custom])+COUNTIF($T$3:T88,T88)-1,"")</f>
        <v>140</v>
      </c>
      <c r="P88" s="59">
        <v>86</v>
      </c>
      <c r="Q88" s="59" t="str">
        <f>IFERROR(INDEX(TableWRMaster[Player],MATCH(TableWRCalcPts[[#This Row],[WRRef]],TableWRMaster[WRRef],0)),"")</f>
        <v>Skyy Moore</v>
      </c>
      <c r="R88" s="59" t="str">
        <f>IFERROR(INDEX(TableWRMaster[TM],MATCH(TableWRCalcPts[[#This Row],[WRRef]],TableWRMaster[WRRef],0)),"")</f>
        <v>KC</v>
      </c>
      <c r="S88" s="59">
        <f>IFERROR(INDEX(TableWRMaster[BYE],MATCH(TableWRCalcPts[[#This Row],[WRRef]],TableWRMaster[WRRef],0)),"")</f>
        <v>6</v>
      </c>
      <c r="T88" s="60">
        <f>IFERROR(INDEX(TableWRMaster[Custom],MATCH(TableWRCalcPts[[#This Row],[WRRef]],TableWRMaster[WRRef],0)),"")</f>
        <v>19.594242808998718</v>
      </c>
      <c r="V88" s="59" t="str">
        <f>IFERROR(RANK(TableTECalcPts[[#This Row],[Custom]],TableTECalcPts[Custom])+COUNTIF($AA$3:AA88,AA88)-1,"")</f>
        <v/>
      </c>
      <c r="W88" s="59">
        <v>86</v>
      </c>
      <c r="X88" s="59" t="str">
        <f>IFERROR(INDEX(TableTEMaster[Player],MATCH(TableTECalcPts[[#This Row],[TERef]],TableTEMaster[TERef],0)),"")</f>
        <v/>
      </c>
      <c r="Y88" s="59" t="str">
        <f>IFERROR(INDEX(TableTEMaster[TM],MATCH(TableTECalcPts[[#This Row],[TERef]],TableTEMaster[TERef],0)),"")</f>
        <v/>
      </c>
      <c r="Z88" s="59" t="str">
        <f>IFERROR(INDEX(TableTEMaster[BYE],MATCH(TableTECalcPts[[#This Row],[TERef]],TableTEMaster[TERef],0)),"")</f>
        <v/>
      </c>
      <c r="AA88" s="60" t="str">
        <f>IFERROR(INDEX(TableTEMaster[Custom],MATCH(TableTECalcPts[[#This Row],[TERef]],TableTEMaster[TERef],0)),"")</f>
        <v/>
      </c>
      <c r="AI88" s="59" t="s">
        <v>10</v>
      </c>
      <c r="AJ88" s="59" t="str">
        <f>IFERROR(RANK(TableWRTECalcPts[[#This Row],[Custom]],TableWRTECalcPts[Custom])+COUNTIF($AP$3:AP88,AP88)-1,"")</f>
        <v/>
      </c>
      <c r="AK88" s="59">
        <v>86</v>
      </c>
      <c r="AL88" s="59" t="str">
        <f>IFERROR(INDEX(TableTEMaster[Player],MATCH(TableWRTECalcPts[[#This Row],[POSRef]],TableTEMaster[TERef],0)),"")</f>
        <v/>
      </c>
      <c r="AM88" s="59" t="str">
        <f>IFERROR(_xlfn.CONCAT(TableWRTECalcPts[[#This Row],[POS]],INDEX(TableTERanks[RK],MATCH(TableWRTECalcPts[[#This Row],[PLAYER]],TableTERanks[Player],0))),"")</f>
        <v>TE82</v>
      </c>
      <c r="AN88" s="59" t="str">
        <f>IFERROR(INDEX(TableTEMaster[TM],MATCH(TableWRTECalcPts[[#This Row],[POSRef]],TableTEMaster[TERef],0)),"")</f>
        <v/>
      </c>
      <c r="AO88" s="59" t="str">
        <f>IFERROR(INDEX(TableTEMaster[BYE],MATCH(TableWRTECalcPts[[#This Row],[POSRef]],TableTEMaster[TERef],0)),"")</f>
        <v/>
      </c>
      <c r="AP88" s="60" t="str">
        <f>IFERROR(INDEX(TableTEMaster[Custom],MATCH(TableWRTECalcPts[[#This Row],[POSRef]],TableTEMaster[TERef],0)),"")</f>
        <v/>
      </c>
    </row>
    <row r="89" spans="1:42" x14ac:dyDescent="0.25">
      <c r="A89" s="61" t="str">
        <f>IFERROR(RANK(TableQBCalcPts[[#This Row],[Custom]],TableQBCalcPts[Custom])+COUNTIF($F$3:F89,F89)-1,"")</f>
        <v/>
      </c>
      <c r="B89" s="59">
        <v>87</v>
      </c>
      <c r="C89" s="59" t="str">
        <f>IFERROR(INDEX(TableQBMaster[Player],MATCH(TableQBCalcPts[[#This Row],[QBRef]],TableQBMaster[QBRef],0)),"")</f>
        <v/>
      </c>
      <c r="D89" s="59" t="str">
        <f>IFERROR(INDEX(TableQBMaster[TM],MATCH(TableQBCalcPts[[#This Row],[QBRef]],TableQBMaster[QBRef],0)),"")</f>
        <v/>
      </c>
      <c r="E89" s="59" t="str">
        <f>IFERROR(INDEX(TableQBMaster[BYE],MATCH(TableQBCalcPts[[#This Row],[QBRef]],TableQBMaster[QBRef],0)),"")</f>
        <v/>
      </c>
      <c r="F89" s="60" t="str">
        <f>IFERROR(INDEX(TableQBMaster[Custom],MATCH(TableQBCalcPts[[#This Row],[QBRef]],TableQBMaster[QBRef],0)),"")</f>
        <v/>
      </c>
      <c r="H89" s="59">
        <f>IFERROR(RANK(TableRBCalcPts[[#This Row],[Custom]],TableRBCalcPts[Custom])+COUNTIF($M$3:M89,M89)-1,"")</f>
        <v>63</v>
      </c>
      <c r="I89" s="59">
        <v>87</v>
      </c>
      <c r="J89" s="59" t="str">
        <f>IFERROR(INDEX(TableRBMaster[Player],MATCH(TableRBCalcPts[[#This Row],[RBRef]],TableRBMaster[RBRef],0)),"")</f>
        <v>Kenneth Gainwell</v>
      </c>
      <c r="K89" s="59" t="str">
        <f>IFERROR(INDEX(TableRBMaster[TM],MATCH(TableRBCalcPts[[#This Row],[RBRef]],TableRBMaster[RBRef],0)),"")</f>
        <v>PHI</v>
      </c>
      <c r="L89" s="59">
        <f>IFERROR(INDEX(TableRBMaster[BYE],MATCH(TableRBCalcPts[[#This Row],[RBRef]],TableRBMaster[RBRef],0)),"")</f>
        <v>5</v>
      </c>
      <c r="M89" s="60">
        <f>IFERROR(INDEX(TableRBMaster[Custom],MATCH(TableRBCalcPts[[#This Row],[RBRef]],TableRBMaster[RBRef],0)),"")</f>
        <v>69.800925458603601</v>
      </c>
      <c r="O89" s="59">
        <f>IFERROR(RANK(TableWRCalcPts[[#This Row],[Custom]],TableWRCalcPts[Custom])+COUNTIF($T$3:T89,T89)-1,"")</f>
        <v>37</v>
      </c>
      <c r="P89" s="59">
        <v>87</v>
      </c>
      <c r="Q89" s="59" t="str">
        <f>IFERROR(INDEX(TableWRMaster[Player],MATCH(TableWRCalcPts[[#This Row],[WRRef]],TableWRMaster[WRRef],0)),"")</f>
        <v>Joshua Palmer</v>
      </c>
      <c r="R89" s="59" t="str">
        <f>IFERROR(INDEX(TableWRMaster[TM],MATCH(TableWRCalcPts[[#This Row],[WRRef]],TableWRMaster[WRRef],0)),"")</f>
        <v>LAC</v>
      </c>
      <c r="S89" s="59">
        <f>IFERROR(INDEX(TableWRMaster[BYE],MATCH(TableWRCalcPts[[#This Row],[WRRef]],TableWRMaster[WRRef],0)),"")</f>
        <v>5</v>
      </c>
      <c r="T89" s="60">
        <f>IFERROR(INDEX(TableWRMaster[Custom],MATCH(TableWRCalcPts[[#This Row],[WRRef]],TableWRMaster[WRRef],0)),"")</f>
        <v>172.74939155380375</v>
      </c>
      <c r="V89" s="59" t="str">
        <f>IFERROR(RANK(TableTECalcPts[[#This Row],[Custom]],TableTECalcPts[Custom])+COUNTIF($AA$3:AA89,AA89)-1,"")</f>
        <v/>
      </c>
      <c r="W89" s="59">
        <v>87</v>
      </c>
      <c r="X89" s="59" t="str">
        <f>IFERROR(INDEX(TableTEMaster[Player],MATCH(TableTECalcPts[[#This Row],[TERef]],TableTEMaster[TERef],0)),"")</f>
        <v/>
      </c>
      <c r="Y89" s="59" t="str">
        <f>IFERROR(INDEX(TableTEMaster[TM],MATCH(TableTECalcPts[[#This Row],[TERef]],TableTEMaster[TERef],0)),"")</f>
        <v/>
      </c>
      <c r="Z89" s="59" t="str">
        <f>IFERROR(INDEX(TableTEMaster[BYE],MATCH(TableTECalcPts[[#This Row],[TERef]],TableTEMaster[TERef],0)),"")</f>
        <v/>
      </c>
      <c r="AA89" s="60" t="str">
        <f>IFERROR(INDEX(TableTEMaster[Custom],MATCH(TableTECalcPts[[#This Row],[TERef]],TableTEMaster[TERef],0)),"")</f>
        <v/>
      </c>
      <c r="AI89" s="59" t="s">
        <v>10</v>
      </c>
      <c r="AJ89" s="59" t="str">
        <f>IFERROR(RANK(TableWRTECalcPts[[#This Row],[Custom]],TableWRTECalcPts[Custom])+COUNTIF($AP$3:AP89,AP89)-1,"")</f>
        <v/>
      </c>
      <c r="AK89" s="59">
        <v>87</v>
      </c>
      <c r="AL89" s="59" t="str">
        <f>IFERROR(INDEX(TableTEMaster[Player],MATCH(TableWRTECalcPts[[#This Row],[POSRef]],TableTEMaster[TERef],0)),"")</f>
        <v/>
      </c>
      <c r="AM89" s="59" t="str">
        <f>IFERROR(_xlfn.CONCAT(TableWRTECalcPts[[#This Row],[POS]],INDEX(TableTERanks[RK],MATCH(TableWRTECalcPts[[#This Row],[PLAYER]],TableTERanks[Player],0))),"")</f>
        <v>TE82</v>
      </c>
      <c r="AN89" s="59" t="str">
        <f>IFERROR(INDEX(TableTEMaster[TM],MATCH(TableWRTECalcPts[[#This Row],[POSRef]],TableTEMaster[TERef],0)),"")</f>
        <v/>
      </c>
      <c r="AO89" s="59" t="str">
        <f>IFERROR(INDEX(TableTEMaster[BYE],MATCH(TableWRTECalcPts[[#This Row],[POSRef]],TableTEMaster[TERef],0)),"")</f>
        <v/>
      </c>
      <c r="AP89" s="60" t="str">
        <f>IFERROR(INDEX(TableTEMaster[Custom],MATCH(TableWRTECalcPts[[#This Row],[POSRef]],TableTEMaster[TERef],0)),"")</f>
        <v/>
      </c>
    </row>
    <row r="90" spans="1:42" x14ac:dyDescent="0.25">
      <c r="A90" s="61" t="str">
        <f>IFERROR(RANK(TableQBCalcPts[[#This Row],[Custom]],TableQBCalcPts[Custom])+COUNTIF($F$3:F90,F90)-1,"")</f>
        <v/>
      </c>
      <c r="B90" s="59">
        <v>88</v>
      </c>
      <c r="C90" s="59" t="str">
        <f>IFERROR(INDEX(TableQBMaster[Player],MATCH(TableQBCalcPts[[#This Row],[QBRef]],TableQBMaster[QBRef],0)),"")</f>
        <v/>
      </c>
      <c r="D90" s="59" t="str">
        <f>IFERROR(INDEX(TableQBMaster[TM],MATCH(TableQBCalcPts[[#This Row],[QBRef]],TableQBMaster[QBRef],0)),"")</f>
        <v/>
      </c>
      <c r="E90" s="59" t="str">
        <f>IFERROR(INDEX(TableQBMaster[BYE],MATCH(TableQBCalcPts[[#This Row],[QBRef]],TableQBMaster[QBRef],0)),"")</f>
        <v/>
      </c>
      <c r="F90" s="60" t="str">
        <f>IFERROR(INDEX(TableQBMaster[Custom],MATCH(TableQBCalcPts[[#This Row],[QBRef]],TableQBMaster[QBRef],0)),"")</f>
        <v/>
      </c>
      <c r="H90" s="59">
        <f>IFERROR(RANK(TableRBCalcPts[[#This Row],[Custom]],TableRBCalcPts[Custom])+COUNTIF($M$3:M90,M90)-1,"")</f>
        <v>77</v>
      </c>
      <c r="I90" s="59">
        <v>88</v>
      </c>
      <c r="J90" s="59" t="str">
        <f>IFERROR(INDEX(TableRBMaster[Player],MATCH(TableRBCalcPts[[#This Row],[RBRef]],TableRBMaster[RBRef],0)),"")</f>
        <v>Will Shipley</v>
      </c>
      <c r="K90" s="59" t="str">
        <f>IFERROR(INDEX(TableRBMaster[TM],MATCH(TableRBCalcPts[[#This Row],[RBRef]],TableRBMaster[RBRef],0)),"")</f>
        <v>PHI</v>
      </c>
      <c r="L90" s="59">
        <f>IFERROR(INDEX(TableRBMaster[BYE],MATCH(TableRBCalcPts[[#This Row],[RBRef]],TableRBMaster[RBRef],0)),"")</f>
        <v>5</v>
      </c>
      <c r="M90" s="60">
        <f>IFERROR(INDEX(TableRBMaster[Custom],MATCH(TableRBCalcPts[[#This Row],[RBRef]],TableRBMaster[RBRef],0)),"")</f>
        <v>36.098389367547966</v>
      </c>
      <c r="O90" s="59">
        <f>IFERROR(RANK(TableWRCalcPts[[#This Row],[Custom]],TableWRCalcPts[Custom])+COUNTIF($T$3:T90,T90)-1,"")</f>
        <v>46</v>
      </c>
      <c r="P90" s="59">
        <v>88</v>
      </c>
      <c r="Q90" s="59" t="str">
        <f>IFERROR(INDEX(TableWRMaster[Player],MATCH(TableWRCalcPts[[#This Row],[WRRef]],TableWRMaster[WRRef],0)),"")</f>
        <v>Ladd McConkey</v>
      </c>
      <c r="R90" s="59" t="str">
        <f>IFERROR(INDEX(TableWRMaster[TM],MATCH(TableWRCalcPts[[#This Row],[WRRef]],TableWRMaster[WRRef],0)),"")</f>
        <v>LAC</v>
      </c>
      <c r="S90" s="59">
        <f>IFERROR(INDEX(TableWRMaster[BYE],MATCH(TableWRCalcPts[[#This Row],[WRRef]],TableWRMaster[WRRef],0)),"")</f>
        <v>5</v>
      </c>
      <c r="T90" s="60">
        <f>IFERROR(INDEX(TableWRMaster[Custom],MATCH(TableWRCalcPts[[#This Row],[WRRef]],TableWRMaster[WRRef],0)),"")</f>
        <v>163.29882840022213</v>
      </c>
      <c r="V90" s="59" t="str">
        <f>IFERROR(RANK(TableTECalcPts[[#This Row],[Custom]],TableTECalcPts[Custom])+COUNTIF($AA$3:AA90,AA90)-1,"")</f>
        <v/>
      </c>
      <c r="W90" s="59">
        <v>88</v>
      </c>
      <c r="X90" s="59" t="str">
        <f>IFERROR(INDEX(TableTEMaster[Player],MATCH(TableTECalcPts[[#This Row],[TERef]],TableTEMaster[TERef],0)),"")</f>
        <v/>
      </c>
      <c r="Y90" s="59" t="str">
        <f>IFERROR(INDEX(TableTEMaster[TM],MATCH(TableTECalcPts[[#This Row],[TERef]],TableTEMaster[TERef],0)),"")</f>
        <v/>
      </c>
      <c r="Z90" s="59" t="str">
        <f>IFERROR(INDEX(TableTEMaster[BYE],MATCH(TableTECalcPts[[#This Row],[TERef]],TableTEMaster[TERef],0)),"")</f>
        <v/>
      </c>
      <c r="AA90" s="60" t="str">
        <f>IFERROR(INDEX(TableTEMaster[Custom],MATCH(TableTECalcPts[[#This Row],[TERef]],TableTEMaster[TERef],0)),"")</f>
        <v/>
      </c>
      <c r="AI90" s="59" t="s">
        <v>10</v>
      </c>
      <c r="AJ90" s="59" t="str">
        <f>IFERROR(RANK(TableWRTECalcPts[[#This Row],[Custom]],TableWRTECalcPts[Custom])+COUNTIF($AP$3:AP90,AP90)-1,"")</f>
        <v/>
      </c>
      <c r="AK90" s="59">
        <v>88</v>
      </c>
      <c r="AL90" s="59" t="str">
        <f>IFERROR(INDEX(TableTEMaster[Player],MATCH(TableWRTECalcPts[[#This Row],[POSRef]],TableTEMaster[TERef],0)),"")</f>
        <v/>
      </c>
      <c r="AM90" s="59" t="str">
        <f>IFERROR(_xlfn.CONCAT(TableWRTECalcPts[[#This Row],[POS]],INDEX(TableTERanks[RK],MATCH(TableWRTECalcPts[[#This Row],[PLAYER]],TableTERanks[Player],0))),"")</f>
        <v>TE82</v>
      </c>
      <c r="AN90" s="59" t="str">
        <f>IFERROR(INDEX(TableTEMaster[TM],MATCH(TableWRTECalcPts[[#This Row],[POSRef]],TableTEMaster[TERef],0)),"")</f>
        <v/>
      </c>
      <c r="AO90" s="59" t="str">
        <f>IFERROR(INDEX(TableTEMaster[BYE],MATCH(TableWRTECalcPts[[#This Row],[POSRef]],TableTEMaster[TERef],0)),"")</f>
        <v/>
      </c>
      <c r="AP90" s="60" t="str">
        <f>IFERROR(INDEX(TableTEMaster[Custom],MATCH(TableWRTECalcPts[[#This Row],[POSRef]],TableTEMaster[TERef],0)),"")</f>
        <v/>
      </c>
    </row>
    <row r="91" spans="1:42" x14ac:dyDescent="0.25">
      <c r="A91" s="61" t="str">
        <f>IFERROR(RANK(TableQBCalcPts[[#This Row],[Custom]],TableQBCalcPts[Custom])+COUNTIF($F$3:F91,F91)-1,"")</f>
        <v/>
      </c>
      <c r="B91" s="59">
        <v>89</v>
      </c>
      <c r="C91" s="59" t="str">
        <f>IFERROR(INDEX(TableQBMaster[Player],MATCH(TableQBCalcPts[[#This Row],[QBRef]],TableQBMaster[QBRef],0)),"")</f>
        <v/>
      </c>
      <c r="D91" s="59" t="str">
        <f>IFERROR(INDEX(TableQBMaster[TM],MATCH(TableQBCalcPts[[#This Row],[QBRef]],TableQBMaster[QBRef],0)),"")</f>
        <v/>
      </c>
      <c r="E91" s="59" t="str">
        <f>IFERROR(INDEX(TableQBMaster[BYE],MATCH(TableQBCalcPts[[#This Row],[QBRef]],TableQBMaster[QBRef],0)),"")</f>
        <v/>
      </c>
      <c r="F91" s="60" t="str">
        <f>IFERROR(INDEX(TableQBMaster[Custom],MATCH(TableQBCalcPts[[#This Row],[QBRef]],TableQBMaster[QBRef],0)),"")</f>
        <v/>
      </c>
      <c r="H91" s="59">
        <f>IFERROR(RANK(TableRBCalcPts[[#This Row],[Custom]],TableRBCalcPts[Custom])+COUNTIF($M$3:M91,M91)-1,"")</f>
        <v>33</v>
      </c>
      <c r="I91" s="59">
        <v>89</v>
      </c>
      <c r="J91" s="59" t="str">
        <f>IFERROR(INDEX(TableRBMaster[Player],MATCH(TableRBCalcPts[[#This Row],[RBRef]],TableRBMaster[RBRef],0)),"")</f>
        <v>Najee Harris</v>
      </c>
      <c r="K91" s="59" t="str">
        <f>IFERROR(INDEX(TableRBMaster[TM],MATCH(TableRBCalcPts[[#This Row],[RBRef]],TableRBMaster[RBRef],0)),"")</f>
        <v>PIT</v>
      </c>
      <c r="L91" s="59">
        <f>IFERROR(INDEX(TableRBMaster[BYE],MATCH(TableRBCalcPts[[#This Row],[RBRef]],TableRBMaster[RBRef],0)),"")</f>
        <v>9</v>
      </c>
      <c r="M91" s="60">
        <f>IFERROR(INDEX(TableRBMaster[Custom],MATCH(TableRBCalcPts[[#This Row],[RBRef]],TableRBMaster[RBRef],0)),"")</f>
        <v>158.00700681706502</v>
      </c>
      <c r="O91" s="59">
        <f>IFERROR(RANK(TableWRCalcPts[[#This Row],[Custom]],TableWRCalcPts[Custom])+COUNTIF($T$3:T91,T91)-1,"")</f>
        <v>93</v>
      </c>
      <c r="P91" s="59">
        <v>89</v>
      </c>
      <c r="Q91" s="59" t="str">
        <f>IFERROR(INDEX(TableWRMaster[Player],MATCH(TableWRCalcPts[[#This Row],[WRRef]],TableWRMaster[WRRef],0)),"")</f>
        <v>DJ Chark</v>
      </c>
      <c r="R91" s="59" t="str">
        <f>IFERROR(INDEX(TableWRMaster[TM],MATCH(TableWRCalcPts[[#This Row],[WRRef]],TableWRMaster[WRRef],0)),"")</f>
        <v>LAC</v>
      </c>
      <c r="S91" s="59">
        <f>IFERROR(INDEX(TableWRMaster[BYE],MATCH(TableWRCalcPts[[#This Row],[WRRef]],TableWRMaster[WRRef],0)),"")</f>
        <v>5</v>
      </c>
      <c r="T91" s="60">
        <f>IFERROR(INDEX(TableWRMaster[Custom],MATCH(TableWRCalcPts[[#This Row],[WRRef]],TableWRMaster[WRRef],0)),"")</f>
        <v>74.74853649727298</v>
      </c>
      <c r="V91" s="59" t="str">
        <f>IFERROR(RANK(TableTECalcPts[[#This Row],[Custom]],TableTECalcPts[Custom])+COUNTIF($AA$3:AA91,AA91)-1,"")</f>
        <v/>
      </c>
      <c r="W91" s="59">
        <v>89</v>
      </c>
      <c r="X91" s="59" t="str">
        <f>IFERROR(INDEX(TableTEMaster[Player],MATCH(TableTECalcPts[[#This Row],[TERef]],TableTEMaster[TERef],0)),"")</f>
        <v/>
      </c>
      <c r="Y91" s="59" t="str">
        <f>IFERROR(INDEX(TableTEMaster[TM],MATCH(TableTECalcPts[[#This Row],[TERef]],TableTEMaster[TERef],0)),"")</f>
        <v/>
      </c>
      <c r="Z91" s="59" t="str">
        <f>IFERROR(INDEX(TableTEMaster[BYE],MATCH(TableTECalcPts[[#This Row],[TERef]],TableTEMaster[TERef],0)),"")</f>
        <v/>
      </c>
      <c r="AA91" s="60" t="str">
        <f>IFERROR(INDEX(TableTEMaster[Custom],MATCH(TableTECalcPts[[#This Row],[TERef]],TableTEMaster[TERef],0)),"")</f>
        <v/>
      </c>
      <c r="AI91" s="59" t="s">
        <v>10</v>
      </c>
      <c r="AJ91" s="59" t="str">
        <f>IFERROR(RANK(TableWRTECalcPts[[#This Row],[Custom]],TableWRTECalcPts[Custom])+COUNTIF($AP$3:AP91,AP91)-1,"")</f>
        <v/>
      </c>
      <c r="AK91" s="59">
        <v>89</v>
      </c>
      <c r="AL91" s="59" t="str">
        <f>IFERROR(INDEX(TableTEMaster[Player],MATCH(TableWRTECalcPts[[#This Row],[POSRef]],TableTEMaster[TERef],0)),"")</f>
        <v/>
      </c>
      <c r="AM91" s="59" t="str">
        <f>IFERROR(_xlfn.CONCAT(TableWRTECalcPts[[#This Row],[POS]],INDEX(TableTERanks[RK],MATCH(TableWRTECalcPts[[#This Row],[PLAYER]],TableTERanks[Player],0))),"")</f>
        <v>TE82</v>
      </c>
      <c r="AN91" s="59" t="str">
        <f>IFERROR(INDEX(TableTEMaster[TM],MATCH(TableWRTECalcPts[[#This Row],[POSRef]],TableTEMaster[TERef],0)),"")</f>
        <v/>
      </c>
      <c r="AO91" s="59" t="str">
        <f>IFERROR(INDEX(TableTEMaster[BYE],MATCH(TableWRTECalcPts[[#This Row],[POSRef]],TableTEMaster[TERef],0)),"")</f>
        <v/>
      </c>
      <c r="AP91" s="60" t="str">
        <f>IFERROR(INDEX(TableTEMaster[Custom],MATCH(TableWRTECalcPts[[#This Row],[POSRef]],TableTEMaster[TERef],0)),"")</f>
        <v/>
      </c>
    </row>
    <row r="92" spans="1:42" x14ac:dyDescent="0.25">
      <c r="A92" s="61" t="str">
        <f>IFERROR(RANK(TableQBCalcPts[[#This Row],[Custom]],TableQBCalcPts[Custom])+COUNTIF($F$3:F92,F92)-1,"")</f>
        <v/>
      </c>
      <c r="B92" s="59">
        <v>90</v>
      </c>
      <c r="C92" s="59" t="str">
        <f>IFERROR(INDEX(TableQBMaster[Player],MATCH(TableQBCalcPts[[#This Row],[QBRef]],TableQBMaster[QBRef],0)),"")</f>
        <v/>
      </c>
      <c r="D92" s="59" t="str">
        <f>IFERROR(INDEX(TableQBMaster[TM],MATCH(TableQBCalcPts[[#This Row],[QBRef]],TableQBMaster[QBRef],0)),"")</f>
        <v/>
      </c>
      <c r="E92" s="59" t="str">
        <f>IFERROR(INDEX(TableQBMaster[BYE],MATCH(TableQBCalcPts[[#This Row],[QBRef]],TableQBMaster[QBRef],0)),"")</f>
        <v/>
      </c>
      <c r="F92" s="60" t="str">
        <f>IFERROR(INDEX(TableQBMaster[Custom],MATCH(TableQBCalcPts[[#This Row],[QBRef]],TableQBMaster[QBRef],0)),"")</f>
        <v/>
      </c>
      <c r="H92" s="59">
        <f>IFERROR(RANK(TableRBCalcPts[[#This Row],[Custom]],TableRBCalcPts[Custom])+COUNTIF($M$3:M92,M92)-1,"")</f>
        <v>41</v>
      </c>
      <c r="I92" s="59">
        <v>90</v>
      </c>
      <c r="J92" s="59" t="str">
        <f>IFERROR(INDEX(TableRBMaster[Player],MATCH(TableRBCalcPts[[#This Row],[RBRef]],TableRBMaster[RBRef],0)),"")</f>
        <v>Jaylen Warren</v>
      </c>
      <c r="K92" s="59" t="str">
        <f>IFERROR(INDEX(TableRBMaster[TM],MATCH(TableRBCalcPts[[#This Row],[RBRef]],TableRBMaster[RBRef],0)),"")</f>
        <v>PIT</v>
      </c>
      <c r="L92" s="59">
        <f>IFERROR(INDEX(TableRBMaster[BYE],MATCH(TableRBCalcPts[[#This Row],[RBRef]],TableRBMaster[RBRef],0)),"")</f>
        <v>9</v>
      </c>
      <c r="M92" s="60">
        <f>IFERROR(INDEX(TableRBMaster[Custom],MATCH(TableRBCalcPts[[#This Row],[RBRef]],TableRBMaster[RBRef],0)),"")</f>
        <v>136.92310756992001</v>
      </c>
      <c r="O92" s="59">
        <f>IFERROR(RANK(TableWRCalcPts[[#This Row],[Custom]],TableWRCalcPts[Custom])+COUNTIF($T$3:T92,T92)-1,"")</f>
        <v>96</v>
      </c>
      <c r="P92" s="59">
        <v>90</v>
      </c>
      <c r="Q92" s="59" t="str">
        <f>IFERROR(INDEX(TableWRMaster[Player],MATCH(TableWRCalcPts[[#This Row],[WRRef]],TableWRMaster[WRRef],0)),"")</f>
        <v>Brenden Rice</v>
      </c>
      <c r="R92" s="59" t="str">
        <f>IFERROR(INDEX(TableWRMaster[TM],MATCH(TableWRCalcPts[[#This Row],[WRRef]],TableWRMaster[WRRef],0)),"")</f>
        <v>LAC</v>
      </c>
      <c r="S92" s="59">
        <f>IFERROR(INDEX(TableWRMaster[BYE],MATCH(TableWRCalcPts[[#This Row],[WRRef]],TableWRMaster[WRRef],0)),"")</f>
        <v>5</v>
      </c>
      <c r="T92" s="60">
        <f>IFERROR(INDEX(TableWRMaster[Custom],MATCH(TableWRCalcPts[[#This Row],[WRRef]],TableWRMaster[WRRef],0)),"")</f>
        <v>65.713634104769312</v>
      </c>
      <c r="V92" s="59" t="str">
        <f>IFERROR(RANK(TableTECalcPts[[#This Row],[Custom]],TableTECalcPts[Custom])+COUNTIF($AA$3:AA92,AA92)-1,"")</f>
        <v/>
      </c>
      <c r="W92" s="59">
        <v>90</v>
      </c>
      <c r="X92" s="59" t="str">
        <f>IFERROR(INDEX(TableTEMaster[Player],MATCH(TableTECalcPts[[#This Row],[TERef]],TableTEMaster[TERef],0)),"")</f>
        <v/>
      </c>
      <c r="Y92" s="59" t="str">
        <f>IFERROR(INDEX(TableTEMaster[TM],MATCH(TableTECalcPts[[#This Row],[TERef]],TableTEMaster[TERef],0)),"")</f>
        <v/>
      </c>
      <c r="Z92" s="59" t="str">
        <f>IFERROR(INDEX(TableTEMaster[BYE],MATCH(TableTECalcPts[[#This Row],[TERef]],TableTEMaster[TERef],0)),"")</f>
        <v/>
      </c>
      <c r="AA92" s="60" t="str">
        <f>IFERROR(INDEX(TableTEMaster[Custom],MATCH(TableTECalcPts[[#This Row],[TERef]],TableTEMaster[TERef],0)),"")</f>
        <v/>
      </c>
      <c r="AI92" s="59" t="s">
        <v>10</v>
      </c>
      <c r="AJ92" s="59" t="str">
        <f>IFERROR(RANK(TableWRTECalcPts[[#This Row],[Custom]],TableWRTECalcPts[Custom])+COUNTIF($AP$3:AP92,AP92)-1,"")</f>
        <v/>
      </c>
      <c r="AK92" s="59">
        <v>90</v>
      </c>
      <c r="AL92" s="59" t="str">
        <f>IFERROR(INDEX(TableTEMaster[Player],MATCH(TableWRTECalcPts[[#This Row],[POSRef]],TableTEMaster[TERef],0)),"")</f>
        <v/>
      </c>
      <c r="AM92" s="59" t="str">
        <f>IFERROR(_xlfn.CONCAT(TableWRTECalcPts[[#This Row],[POS]],INDEX(TableTERanks[RK],MATCH(TableWRTECalcPts[[#This Row],[PLAYER]],TableTERanks[Player],0))),"")</f>
        <v>TE82</v>
      </c>
      <c r="AN92" s="59" t="str">
        <f>IFERROR(INDEX(TableTEMaster[TM],MATCH(TableWRTECalcPts[[#This Row],[POSRef]],TableTEMaster[TERef],0)),"")</f>
        <v/>
      </c>
      <c r="AO92" s="59" t="str">
        <f>IFERROR(INDEX(TableTEMaster[BYE],MATCH(TableWRTECalcPts[[#This Row],[POSRef]],TableTEMaster[TERef],0)),"")</f>
        <v/>
      </c>
      <c r="AP92" s="60" t="str">
        <f>IFERROR(INDEX(TableTEMaster[Custom],MATCH(TableWRTECalcPts[[#This Row],[POSRef]],TableTEMaster[TERef],0)),"")</f>
        <v/>
      </c>
    </row>
    <row r="93" spans="1:42" x14ac:dyDescent="0.25">
      <c r="A93" s="61" t="str">
        <f>IFERROR(RANK(TableQBCalcPts[[#This Row],[Custom]],TableQBCalcPts[Custom])+COUNTIF($F$3:F93,F93)-1,"")</f>
        <v/>
      </c>
      <c r="B93" s="59">
        <v>91</v>
      </c>
      <c r="C93" s="59" t="str">
        <f>IFERROR(INDEX(TableQBMaster[Player],MATCH(TableQBCalcPts[[#This Row],[QBRef]],TableQBMaster[QBRef],0)),"")</f>
        <v/>
      </c>
      <c r="D93" s="59" t="str">
        <f>IFERROR(INDEX(TableQBMaster[TM],MATCH(TableQBCalcPts[[#This Row],[QBRef]],TableQBMaster[QBRef],0)),"")</f>
        <v/>
      </c>
      <c r="E93" s="59" t="str">
        <f>IFERROR(INDEX(TableQBMaster[BYE],MATCH(TableQBCalcPts[[#This Row],[QBRef]],TableQBMaster[QBRef],0)),"")</f>
        <v/>
      </c>
      <c r="F93" s="60" t="str">
        <f>IFERROR(INDEX(TableQBMaster[Custom],MATCH(TableQBCalcPts[[#This Row],[QBRef]],TableQBMaster[QBRef],0)),"")</f>
        <v/>
      </c>
      <c r="H93" s="59">
        <f>IFERROR(RANK(TableRBCalcPts[[#This Row],[Custom]],TableRBCalcPts[Custom])+COUNTIF($M$3:M93,M93)-1,"")</f>
        <v>57</v>
      </c>
      <c r="I93" s="59">
        <v>91</v>
      </c>
      <c r="J93" s="59" t="str">
        <f>IFERROR(INDEX(TableRBMaster[Player],MATCH(TableRBCalcPts[[#This Row],[RBRef]],TableRBMaster[RBRef],0)),"")</f>
        <v>Cordarrelle Patterson</v>
      </c>
      <c r="K93" s="59" t="str">
        <f>IFERROR(INDEX(TableRBMaster[TM],MATCH(TableRBCalcPts[[#This Row],[RBRef]],TableRBMaster[RBRef],0)),"")</f>
        <v>PIT</v>
      </c>
      <c r="L93" s="59">
        <f>IFERROR(INDEX(TableRBMaster[BYE],MATCH(TableRBCalcPts[[#This Row],[RBRef]],TableRBMaster[RBRef],0)),"")</f>
        <v>9</v>
      </c>
      <c r="M93" s="60">
        <f>IFERROR(INDEX(TableRBMaster[Custom],MATCH(TableRBCalcPts[[#This Row],[RBRef]],TableRBMaster[RBRef],0)),"")</f>
        <v>79.44702930055405</v>
      </c>
      <c r="O93" s="59">
        <f>IFERROR(RANK(TableWRCalcPts[[#This Row],[Custom]],TableWRCalcPts[Custom])+COUNTIF($T$3:T93,T93)-1,"")</f>
        <v>106</v>
      </c>
      <c r="P93" s="59">
        <v>91</v>
      </c>
      <c r="Q93" s="59" t="str">
        <f>IFERROR(INDEX(TableWRMaster[Player],MATCH(TableWRCalcPts[[#This Row],[WRRef]],TableWRMaster[WRRef],0)),"")</f>
        <v>Quentin Johnston</v>
      </c>
      <c r="R93" s="59" t="str">
        <f>IFERROR(INDEX(TableWRMaster[TM],MATCH(TableWRCalcPts[[#This Row],[WRRef]],TableWRMaster[WRRef],0)),"")</f>
        <v>LAC</v>
      </c>
      <c r="S93" s="59">
        <f>IFERROR(INDEX(TableWRMaster[BYE],MATCH(TableWRCalcPts[[#This Row],[WRRef]],TableWRMaster[WRRef],0)),"")</f>
        <v>5</v>
      </c>
      <c r="T93" s="60">
        <f>IFERROR(INDEX(TableWRMaster[Custom],MATCH(TableWRCalcPts[[#This Row],[WRRef]],TableWRMaster[WRRef],0)),"")</f>
        <v>55.174368621131777</v>
      </c>
      <c r="V93" s="59" t="str">
        <f>IFERROR(RANK(TableTECalcPts[[#This Row],[Custom]],TableTECalcPts[Custom])+COUNTIF($AA$3:AA93,AA93)-1,"")</f>
        <v/>
      </c>
      <c r="W93" s="59">
        <v>91</v>
      </c>
      <c r="X93" s="59" t="str">
        <f>IFERROR(INDEX(TableTEMaster[Player],MATCH(TableTECalcPts[[#This Row],[TERef]],TableTEMaster[TERef],0)),"")</f>
        <v/>
      </c>
      <c r="Y93" s="59" t="str">
        <f>IFERROR(INDEX(TableTEMaster[TM],MATCH(TableTECalcPts[[#This Row],[TERef]],TableTEMaster[TERef],0)),"")</f>
        <v/>
      </c>
      <c r="Z93" s="59" t="str">
        <f>IFERROR(INDEX(TableTEMaster[BYE],MATCH(TableTECalcPts[[#This Row],[TERef]],TableTEMaster[TERef],0)),"")</f>
        <v/>
      </c>
      <c r="AA93" s="60" t="str">
        <f>IFERROR(INDEX(TableTEMaster[Custom],MATCH(TableTECalcPts[[#This Row],[TERef]],TableTEMaster[TERef],0)),"")</f>
        <v/>
      </c>
      <c r="AI93" s="59" t="s">
        <v>10</v>
      </c>
      <c r="AJ93" s="59" t="str">
        <f>IFERROR(RANK(TableWRTECalcPts[[#This Row],[Custom]],TableWRTECalcPts[Custom])+COUNTIF($AP$3:AP93,AP93)-1,"")</f>
        <v/>
      </c>
      <c r="AK93" s="59">
        <v>91</v>
      </c>
      <c r="AL93" s="59" t="str">
        <f>IFERROR(INDEX(TableTEMaster[Player],MATCH(TableWRTECalcPts[[#This Row],[POSRef]],TableTEMaster[TERef],0)),"")</f>
        <v/>
      </c>
      <c r="AM93" s="59" t="str">
        <f>IFERROR(_xlfn.CONCAT(TableWRTECalcPts[[#This Row],[POS]],INDEX(TableTERanks[RK],MATCH(TableWRTECalcPts[[#This Row],[PLAYER]],TableTERanks[Player],0))),"")</f>
        <v>TE82</v>
      </c>
      <c r="AN93" s="59" t="str">
        <f>IFERROR(INDEX(TableTEMaster[TM],MATCH(TableWRTECalcPts[[#This Row],[POSRef]],TableTEMaster[TERef],0)),"")</f>
        <v/>
      </c>
      <c r="AO93" s="59" t="str">
        <f>IFERROR(INDEX(TableTEMaster[BYE],MATCH(TableWRTECalcPts[[#This Row],[POSRef]],TableTEMaster[TERef],0)),"")</f>
        <v/>
      </c>
      <c r="AP93" s="60" t="str">
        <f>IFERROR(INDEX(TableTEMaster[Custom],MATCH(TableWRTECalcPts[[#This Row],[POSRef]],TableTEMaster[TERef],0)),"")</f>
        <v/>
      </c>
    </row>
    <row r="94" spans="1:42" x14ac:dyDescent="0.25">
      <c r="A94" s="61" t="str">
        <f>IFERROR(RANK(TableQBCalcPts[[#This Row],[Custom]],TableQBCalcPts[Custom])+COUNTIF($F$3:F94,F94)-1,"")</f>
        <v/>
      </c>
      <c r="B94" s="59">
        <v>92</v>
      </c>
      <c r="C94" s="59" t="str">
        <f>IFERROR(INDEX(TableQBMaster[Player],MATCH(TableQBCalcPts[[#This Row],[QBRef]],TableQBMaster[QBRef],0)),"")</f>
        <v/>
      </c>
      <c r="D94" s="59" t="str">
        <f>IFERROR(INDEX(TableQBMaster[TM],MATCH(TableQBCalcPts[[#This Row],[QBRef]],TableQBMaster[QBRef],0)),"")</f>
        <v/>
      </c>
      <c r="E94" s="59" t="str">
        <f>IFERROR(INDEX(TableQBMaster[BYE],MATCH(TableQBCalcPts[[#This Row],[QBRef]],TableQBMaster[QBRef],0)),"")</f>
        <v/>
      </c>
      <c r="F94" s="60" t="str">
        <f>IFERROR(INDEX(TableQBMaster[Custom],MATCH(TableQBCalcPts[[#This Row],[QBRef]],TableQBMaster[QBRef],0)),"")</f>
        <v/>
      </c>
      <c r="H94" s="59">
        <f>IFERROR(RANK(TableRBCalcPts[[#This Row],[Custom]],TableRBCalcPts[Custom])+COUNTIF($M$3:M94,M94)-1,"")</f>
        <v>16</v>
      </c>
      <c r="I94" s="59">
        <v>92</v>
      </c>
      <c r="J94" s="59" t="str">
        <f>IFERROR(INDEX(TableRBMaster[Player],MATCH(TableRBCalcPts[[#This Row],[RBRef]],TableRBMaster[RBRef],0)),"")</f>
        <v>Kenneth Walker</v>
      </c>
      <c r="K94" s="59" t="str">
        <f>IFERROR(INDEX(TableRBMaster[TM],MATCH(TableRBCalcPts[[#This Row],[RBRef]],TableRBMaster[RBRef],0)),"")</f>
        <v>SEA</v>
      </c>
      <c r="L94" s="59">
        <f>IFERROR(INDEX(TableRBMaster[BYE],MATCH(TableRBCalcPts[[#This Row],[RBRef]],TableRBMaster[RBRef],0)),"")</f>
        <v>10</v>
      </c>
      <c r="M94" s="60">
        <f>IFERROR(INDEX(TableRBMaster[Custom],MATCH(TableRBCalcPts[[#This Row],[RBRef]],TableRBMaster[RBRef],0)),"")</f>
        <v>196.34691268147145</v>
      </c>
      <c r="O94" s="59">
        <f>IFERROR(RANK(TableWRCalcPts[[#This Row],[Custom]],TableWRCalcPts[Custom])+COUNTIF($T$3:T94,T94)-1,"")</f>
        <v>151</v>
      </c>
      <c r="P94" s="59">
        <v>92</v>
      </c>
      <c r="Q94" s="59" t="str">
        <f>IFERROR(INDEX(TableWRMaster[Player],MATCH(TableWRCalcPts[[#This Row],[WRRef]],TableWRMaster[WRRef],0)),"")</f>
        <v>Derius Davis</v>
      </c>
      <c r="R94" s="59" t="str">
        <f>IFERROR(INDEX(TableWRMaster[TM],MATCH(TableWRCalcPts[[#This Row],[WRRef]],TableWRMaster[WRRef],0)),"")</f>
        <v>LAC</v>
      </c>
      <c r="S94" s="59">
        <f>IFERROR(INDEX(TableWRMaster[BYE],MATCH(TableWRCalcPts[[#This Row],[WRRef]],TableWRMaster[WRRef],0)),"")</f>
        <v>5</v>
      </c>
      <c r="T94" s="60">
        <f>IFERROR(INDEX(TableWRMaster[Custom],MATCH(TableWRCalcPts[[#This Row],[WRRef]],TableWRMaster[WRRef],0)),"")</f>
        <v>14.815385969013441</v>
      </c>
      <c r="V94" s="59" t="str">
        <f>IFERROR(RANK(TableTECalcPts[[#This Row],[Custom]],TableTECalcPts[Custom])+COUNTIF($AA$3:AA94,AA94)-1,"")</f>
        <v/>
      </c>
      <c r="W94" s="59">
        <v>92</v>
      </c>
      <c r="X94" s="59" t="str">
        <f>IFERROR(INDEX(TableTEMaster[Player],MATCH(TableTECalcPts[[#This Row],[TERef]],TableTEMaster[TERef],0)),"")</f>
        <v/>
      </c>
      <c r="Y94" s="59" t="str">
        <f>IFERROR(INDEX(TableTEMaster[TM],MATCH(TableTECalcPts[[#This Row],[TERef]],TableTEMaster[TERef],0)),"")</f>
        <v/>
      </c>
      <c r="Z94" s="59" t="str">
        <f>IFERROR(INDEX(TableTEMaster[BYE],MATCH(TableTECalcPts[[#This Row],[TERef]],TableTEMaster[TERef],0)),"")</f>
        <v/>
      </c>
      <c r="AA94" s="60" t="str">
        <f>IFERROR(INDEX(TableTEMaster[Custom],MATCH(TableTECalcPts[[#This Row],[TERef]],TableTEMaster[TERef],0)),"")</f>
        <v/>
      </c>
      <c r="AI94" s="59" t="s">
        <v>10</v>
      </c>
      <c r="AJ94" s="59" t="str">
        <f>IFERROR(RANK(TableWRTECalcPts[[#This Row],[Custom]],TableWRTECalcPts[Custom])+COUNTIF($AP$3:AP94,AP94)-1,"")</f>
        <v/>
      </c>
      <c r="AK94" s="59">
        <v>92</v>
      </c>
      <c r="AL94" s="59" t="str">
        <f>IFERROR(INDEX(TableTEMaster[Player],MATCH(TableWRTECalcPts[[#This Row],[POSRef]],TableTEMaster[TERef],0)),"")</f>
        <v/>
      </c>
      <c r="AM94" s="59" t="str">
        <f>IFERROR(_xlfn.CONCAT(TableWRTECalcPts[[#This Row],[POS]],INDEX(TableTERanks[RK],MATCH(TableWRTECalcPts[[#This Row],[PLAYER]],TableTERanks[Player],0))),"")</f>
        <v>TE82</v>
      </c>
      <c r="AN94" s="59" t="str">
        <f>IFERROR(INDEX(TableTEMaster[TM],MATCH(TableWRTECalcPts[[#This Row],[POSRef]],TableTEMaster[TERef],0)),"")</f>
        <v/>
      </c>
      <c r="AO94" s="59" t="str">
        <f>IFERROR(INDEX(TableTEMaster[BYE],MATCH(TableWRTECalcPts[[#This Row],[POSRef]],TableTEMaster[TERef],0)),"")</f>
        <v/>
      </c>
      <c r="AP94" s="60" t="str">
        <f>IFERROR(INDEX(TableTEMaster[Custom],MATCH(TableWRTECalcPts[[#This Row],[POSRef]],TableTEMaster[TERef],0)),"")</f>
        <v/>
      </c>
    </row>
    <row r="95" spans="1:42" x14ac:dyDescent="0.25">
      <c r="A95" s="61" t="str">
        <f>IFERROR(RANK(TableQBCalcPts[[#This Row],[Custom]],TableQBCalcPts[Custom])+COUNTIF($F$3:F95,F95)-1,"")</f>
        <v/>
      </c>
      <c r="B95" s="59">
        <v>93</v>
      </c>
      <c r="C95" s="59" t="str">
        <f>IFERROR(INDEX(TableQBMaster[Player],MATCH(TableQBCalcPts[[#This Row],[QBRef]],TableQBMaster[QBRef],0)),"")</f>
        <v/>
      </c>
      <c r="D95" s="59" t="str">
        <f>IFERROR(INDEX(TableQBMaster[TM],MATCH(TableQBCalcPts[[#This Row],[QBRef]],TableQBMaster[QBRef],0)),"")</f>
        <v/>
      </c>
      <c r="E95" s="59" t="str">
        <f>IFERROR(INDEX(TableQBMaster[BYE],MATCH(TableQBCalcPts[[#This Row],[QBRef]],TableQBMaster[QBRef],0)),"")</f>
        <v/>
      </c>
      <c r="F95" s="60" t="str">
        <f>IFERROR(INDEX(TableQBMaster[Custom],MATCH(TableQBCalcPts[[#This Row],[QBRef]],TableQBMaster[QBRef],0)),"")</f>
        <v/>
      </c>
      <c r="H95" s="59">
        <f>IFERROR(RANK(TableRBCalcPts[[#This Row],[Custom]],TableRBCalcPts[Custom])+COUNTIF($M$3:M95,M95)-1,"")</f>
        <v>38</v>
      </c>
      <c r="I95" s="59">
        <v>93</v>
      </c>
      <c r="J95" s="59" t="str">
        <f>IFERROR(INDEX(TableRBMaster[Player],MATCH(TableRBCalcPts[[#This Row],[RBRef]],TableRBMaster[RBRef],0)),"")</f>
        <v>Zach Charbonnet</v>
      </c>
      <c r="K95" s="59" t="str">
        <f>IFERROR(INDEX(TableRBMaster[TM],MATCH(TableRBCalcPts[[#This Row],[RBRef]],TableRBMaster[RBRef],0)),"")</f>
        <v>SEA</v>
      </c>
      <c r="L95" s="59">
        <f>IFERROR(INDEX(TableRBMaster[BYE],MATCH(TableRBCalcPts[[#This Row],[RBRef]],TableRBMaster[RBRef],0)),"")</f>
        <v>10</v>
      </c>
      <c r="M95" s="60">
        <f>IFERROR(INDEX(TableRBMaster[Custom],MATCH(TableRBCalcPts[[#This Row],[RBRef]],TableRBMaster[RBRef],0)),"")</f>
        <v>140.95837720488342</v>
      </c>
      <c r="O95" s="59">
        <f>IFERROR(RANK(TableWRCalcPts[[#This Row],[Custom]],TableWRCalcPts[Custom])+COUNTIF($T$3:T95,T95)-1,"")</f>
        <v>8</v>
      </c>
      <c r="P95" s="59">
        <v>93</v>
      </c>
      <c r="Q95" s="59" t="str">
        <f>IFERROR(INDEX(TableWRMaster[Player],MATCH(TableWRCalcPts[[#This Row],[WRRef]],TableWRMaster[WRRef],0)),"")</f>
        <v>Cooper Kupp</v>
      </c>
      <c r="R95" s="59" t="str">
        <f>IFERROR(INDEX(TableWRMaster[TM],MATCH(TableWRCalcPts[[#This Row],[WRRef]],TableWRMaster[WRRef],0)),"")</f>
        <v>LAR</v>
      </c>
      <c r="S95" s="59">
        <f>IFERROR(INDEX(TableWRMaster[BYE],MATCH(TableWRCalcPts[[#This Row],[WRRef]],TableWRMaster[WRRef],0)),"")</f>
        <v>6</v>
      </c>
      <c r="T95" s="60">
        <f>IFERROR(INDEX(TableWRMaster[Custom],MATCH(TableWRCalcPts[[#This Row],[WRRef]],TableWRMaster[WRRef],0)),"")</f>
        <v>212.00270106103099</v>
      </c>
      <c r="V95" s="59" t="str">
        <f>IFERROR(RANK(TableTECalcPts[[#This Row],[Custom]],TableTECalcPts[Custom])+COUNTIF($AA$3:AA95,AA95)-1,"")</f>
        <v/>
      </c>
      <c r="W95" s="59">
        <v>93</v>
      </c>
      <c r="X95" s="59" t="str">
        <f>IFERROR(INDEX(TableTEMaster[Player],MATCH(TableTECalcPts[[#This Row],[TERef]],TableTEMaster[TERef],0)),"")</f>
        <v/>
      </c>
      <c r="Y95" s="59" t="str">
        <f>IFERROR(INDEX(TableTEMaster[TM],MATCH(TableTECalcPts[[#This Row],[TERef]],TableTEMaster[TERef],0)),"")</f>
        <v/>
      </c>
      <c r="Z95" s="59" t="str">
        <f>IFERROR(INDEX(TableTEMaster[BYE],MATCH(TableTECalcPts[[#This Row],[TERef]],TableTEMaster[TERef],0)),"")</f>
        <v/>
      </c>
      <c r="AA95" s="60" t="str">
        <f>IFERROR(INDEX(TableTEMaster[Custom],MATCH(TableTECalcPts[[#This Row],[TERef]],TableTEMaster[TERef],0)),"")</f>
        <v/>
      </c>
      <c r="AI95" s="59" t="s">
        <v>10</v>
      </c>
      <c r="AJ95" s="59" t="str">
        <f>IFERROR(RANK(TableWRTECalcPts[[#This Row],[Custom]],TableWRTECalcPts[Custom])+COUNTIF($AP$3:AP95,AP95)-1,"")</f>
        <v/>
      </c>
      <c r="AK95" s="59">
        <v>93</v>
      </c>
      <c r="AL95" s="59" t="str">
        <f>IFERROR(INDEX(TableTEMaster[Player],MATCH(TableWRTECalcPts[[#This Row],[POSRef]],TableTEMaster[TERef],0)),"")</f>
        <v/>
      </c>
      <c r="AM95" s="59" t="str">
        <f>IFERROR(_xlfn.CONCAT(TableWRTECalcPts[[#This Row],[POS]],INDEX(TableTERanks[RK],MATCH(TableWRTECalcPts[[#This Row],[PLAYER]],TableTERanks[Player],0))),"")</f>
        <v>TE82</v>
      </c>
      <c r="AN95" s="59" t="str">
        <f>IFERROR(INDEX(TableTEMaster[TM],MATCH(TableWRTECalcPts[[#This Row],[POSRef]],TableTEMaster[TERef],0)),"")</f>
        <v/>
      </c>
      <c r="AO95" s="59" t="str">
        <f>IFERROR(INDEX(TableTEMaster[BYE],MATCH(TableWRTECalcPts[[#This Row],[POSRef]],TableTEMaster[TERef],0)),"")</f>
        <v/>
      </c>
      <c r="AP95" s="60" t="str">
        <f>IFERROR(INDEX(TableTEMaster[Custom],MATCH(TableWRTECalcPts[[#This Row],[POSRef]],TableTEMaster[TERef],0)),"")</f>
        <v/>
      </c>
    </row>
    <row r="96" spans="1:42" x14ac:dyDescent="0.25">
      <c r="A96" s="61" t="str">
        <f>IFERROR(RANK(TableQBCalcPts[[#This Row],[Custom]],TableQBCalcPts[Custom])+COUNTIF($F$3:F96,F96)-1,"")</f>
        <v/>
      </c>
      <c r="B96" s="59">
        <v>94</v>
      </c>
      <c r="C96" s="59" t="str">
        <f>IFERROR(INDEX(TableQBMaster[Player],MATCH(TableQBCalcPts[[#This Row],[QBRef]],TableQBMaster[QBRef],0)),"")</f>
        <v/>
      </c>
      <c r="D96" s="59" t="str">
        <f>IFERROR(INDEX(TableQBMaster[TM],MATCH(TableQBCalcPts[[#This Row],[QBRef]],TableQBMaster[QBRef],0)),"")</f>
        <v/>
      </c>
      <c r="E96" s="59" t="str">
        <f>IFERROR(INDEX(TableQBMaster[BYE],MATCH(TableQBCalcPts[[#This Row],[QBRef]],TableQBMaster[QBRef],0)),"")</f>
        <v/>
      </c>
      <c r="F96" s="60" t="str">
        <f>IFERROR(INDEX(TableQBMaster[Custom],MATCH(TableQBCalcPts[[#This Row],[QBRef]],TableQBMaster[QBRef],0)),"")</f>
        <v/>
      </c>
      <c r="H96" s="59">
        <f>IFERROR(RANK(TableRBCalcPts[[#This Row],[Custom]],TableRBCalcPts[Custom])+COUNTIF($M$3:M96,M96)-1,"")</f>
        <v>81</v>
      </c>
      <c r="I96" s="59">
        <v>94</v>
      </c>
      <c r="J96" s="59" t="str">
        <f>IFERROR(INDEX(TableRBMaster[Player],MATCH(TableRBCalcPts[[#This Row],[RBRef]],TableRBMaster[RBRef],0)),"")</f>
        <v>Kenny McIntosh</v>
      </c>
      <c r="K96" s="59" t="str">
        <f>IFERROR(INDEX(TableRBMaster[TM],MATCH(TableRBCalcPts[[#This Row],[RBRef]],TableRBMaster[RBRef],0)),"")</f>
        <v>SEA</v>
      </c>
      <c r="L96" s="59">
        <f>IFERROR(INDEX(TableRBMaster[BYE],MATCH(TableRBCalcPts[[#This Row],[RBRef]],TableRBMaster[RBRef],0)),"")</f>
        <v>10</v>
      </c>
      <c r="M96" s="60">
        <f>IFERROR(INDEX(TableRBMaster[Custom],MATCH(TableRBCalcPts[[#This Row],[RBRef]],TableRBMaster[RBRef],0)),"")</f>
        <v>28.385205661229314</v>
      </c>
      <c r="O96" s="59">
        <f>IFERROR(RANK(TableWRCalcPts[[#This Row],[Custom]],TableWRCalcPts[Custom])+COUNTIF($T$3:T96,T96)-1,"")</f>
        <v>6</v>
      </c>
      <c r="P96" s="59">
        <v>94</v>
      </c>
      <c r="Q96" s="59" t="str">
        <f>IFERROR(INDEX(TableWRMaster[Player],MATCH(TableWRCalcPts[[#This Row],[WRRef]],TableWRMaster[WRRef],0)),"")</f>
        <v>Puka Nacua</v>
      </c>
      <c r="R96" s="59" t="str">
        <f>IFERROR(INDEX(TableWRMaster[TM],MATCH(TableWRCalcPts[[#This Row],[WRRef]],TableWRMaster[WRRef],0)),"")</f>
        <v>LAR</v>
      </c>
      <c r="S96" s="59">
        <f>IFERROR(INDEX(TableWRMaster[BYE],MATCH(TableWRCalcPts[[#This Row],[WRRef]],TableWRMaster[WRRef],0)),"")</f>
        <v>6</v>
      </c>
      <c r="T96" s="60">
        <f>IFERROR(INDEX(TableWRMaster[Custom],MATCH(TableWRCalcPts[[#This Row],[WRRef]],TableWRMaster[WRRef],0)),"")</f>
        <v>229.19735538856321</v>
      </c>
      <c r="V96" s="59" t="str">
        <f>IFERROR(RANK(TableTECalcPts[[#This Row],[Custom]],TableTECalcPts[Custom])+COUNTIF($AA$3:AA96,AA96)-1,"")</f>
        <v/>
      </c>
      <c r="W96" s="59">
        <v>94</v>
      </c>
      <c r="X96" s="59" t="str">
        <f>IFERROR(INDEX(TableTEMaster[Player],MATCH(TableTECalcPts[[#This Row],[TERef]],TableTEMaster[TERef],0)),"")</f>
        <v/>
      </c>
      <c r="Y96" s="59" t="str">
        <f>IFERROR(INDEX(TableTEMaster[TM],MATCH(TableTECalcPts[[#This Row],[TERef]],TableTEMaster[TERef],0)),"")</f>
        <v/>
      </c>
      <c r="Z96" s="59" t="str">
        <f>IFERROR(INDEX(TableTEMaster[BYE],MATCH(TableTECalcPts[[#This Row],[TERef]],TableTEMaster[TERef],0)),"")</f>
        <v/>
      </c>
      <c r="AA96" s="60" t="str">
        <f>IFERROR(INDEX(TableTEMaster[Custom],MATCH(TableTECalcPts[[#This Row],[TERef]],TableTEMaster[TERef],0)),"")</f>
        <v/>
      </c>
      <c r="AI96" s="59" t="s">
        <v>10</v>
      </c>
      <c r="AJ96" s="59" t="str">
        <f>IFERROR(RANK(TableWRTECalcPts[[#This Row],[Custom]],TableWRTECalcPts[Custom])+COUNTIF($AP$3:AP96,AP96)-1,"")</f>
        <v/>
      </c>
      <c r="AK96" s="59">
        <v>94</v>
      </c>
      <c r="AL96" s="59" t="str">
        <f>IFERROR(INDEX(TableTEMaster[Player],MATCH(TableWRTECalcPts[[#This Row],[POSRef]],TableTEMaster[TERef],0)),"")</f>
        <v/>
      </c>
      <c r="AM96" s="59" t="str">
        <f>IFERROR(_xlfn.CONCAT(TableWRTECalcPts[[#This Row],[POS]],INDEX(TableTERanks[RK],MATCH(TableWRTECalcPts[[#This Row],[PLAYER]],TableTERanks[Player],0))),"")</f>
        <v>TE82</v>
      </c>
      <c r="AN96" s="59" t="str">
        <f>IFERROR(INDEX(TableTEMaster[TM],MATCH(TableWRTECalcPts[[#This Row],[POSRef]],TableTEMaster[TERef],0)),"")</f>
        <v/>
      </c>
      <c r="AO96" s="59" t="str">
        <f>IFERROR(INDEX(TableTEMaster[BYE],MATCH(TableWRTECalcPts[[#This Row],[POSRef]],TableTEMaster[TERef],0)),"")</f>
        <v/>
      </c>
      <c r="AP96" s="60" t="str">
        <f>IFERROR(INDEX(TableTEMaster[Custom],MATCH(TableWRTECalcPts[[#This Row],[POSRef]],TableTEMaster[TERef],0)),"")</f>
        <v/>
      </c>
    </row>
    <row r="97" spans="1:42" x14ac:dyDescent="0.25">
      <c r="A97" s="61" t="str">
        <f>IFERROR(RANK(TableQBCalcPts[[#This Row],[Custom]],TableQBCalcPts[Custom])+COUNTIF($F$3:F97,F97)-1,"")</f>
        <v/>
      </c>
      <c r="B97" s="59">
        <v>95</v>
      </c>
      <c r="C97" s="59" t="str">
        <f>IFERROR(INDEX(TableQBMaster[Player],MATCH(TableQBCalcPts[[#This Row],[QBRef]],TableQBMaster[QBRef],0)),"")</f>
        <v/>
      </c>
      <c r="D97" s="59" t="str">
        <f>IFERROR(INDEX(TableQBMaster[TM],MATCH(TableQBCalcPts[[#This Row],[QBRef]],TableQBMaster[QBRef],0)),"")</f>
        <v/>
      </c>
      <c r="E97" s="59" t="str">
        <f>IFERROR(INDEX(TableQBMaster[BYE],MATCH(TableQBCalcPts[[#This Row],[QBRef]],TableQBMaster[QBRef],0)),"")</f>
        <v/>
      </c>
      <c r="F97" s="60" t="str">
        <f>IFERROR(INDEX(TableQBMaster[Custom],MATCH(TableQBCalcPts[[#This Row],[QBRef]],TableQBMaster[QBRef],0)),"")</f>
        <v/>
      </c>
      <c r="H97" s="59">
        <f>IFERROR(RANK(TableRBCalcPts[[#This Row],[Custom]],TableRBCalcPts[Custom])+COUNTIF($M$3:M97,M97)-1,"")</f>
        <v>1</v>
      </c>
      <c r="I97" s="59">
        <v>95</v>
      </c>
      <c r="J97" s="59" t="str">
        <f>IFERROR(INDEX(TableRBMaster[Player],MATCH(TableRBCalcPts[[#This Row],[RBRef]],TableRBMaster[RBRef],0)),"")</f>
        <v>Christian McCaffrey</v>
      </c>
      <c r="K97" s="59" t="str">
        <f>IFERROR(INDEX(TableRBMaster[TM],MATCH(TableRBCalcPts[[#This Row],[RBRef]],TableRBMaster[RBRef],0)),"")</f>
        <v>SF</v>
      </c>
      <c r="L97" s="59">
        <f>IFERROR(INDEX(TableRBMaster[BYE],MATCH(TableRBCalcPts[[#This Row],[RBRef]],TableRBMaster[RBRef],0)),"")</f>
        <v>9</v>
      </c>
      <c r="M97" s="60">
        <f>IFERROR(INDEX(TableRBMaster[Custom],MATCH(TableRBCalcPts[[#This Row],[RBRef]],TableRBMaster[RBRef],0)),"")</f>
        <v>318.16897140131476</v>
      </c>
      <c r="O97" s="59">
        <f>IFERROR(RANK(TableWRCalcPts[[#This Row],[Custom]],TableWRCalcPts[Custom])+COUNTIF($T$3:T97,T97)-1,"")</f>
        <v>63</v>
      </c>
      <c r="P97" s="59">
        <v>95</v>
      </c>
      <c r="Q97" s="59" t="str">
        <f>IFERROR(INDEX(TableWRMaster[Player],MATCH(TableWRCalcPts[[#This Row],[WRRef]],TableWRMaster[WRRef],0)),"")</f>
        <v>Demarcus Robinson</v>
      </c>
      <c r="R97" s="59" t="str">
        <f>IFERROR(INDEX(TableWRMaster[TM],MATCH(TableWRCalcPts[[#This Row],[WRRef]],TableWRMaster[WRRef],0)),"")</f>
        <v>LAR</v>
      </c>
      <c r="S97" s="59">
        <f>IFERROR(INDEX(TableWRMaster[BYE],MATCH(TableWRCalcPts[[#This Row],[WRRef]],TableWRMaster[WRRef],0)),"")</f>
        <v>6</v>
      </c>
      <c r="T97" s="60">
        <f>IFERROR(INDEX(TableWRMaster[Custom],MATCH(TableWRCalcPts[[#This Row],[WRRef]],TableWRMaster[WRRef],0)),"")</f>
        <v>130.31560834928999</v>
      </c>
      <c r="V97" s="59" t="str">
        <f>IFERROR(RANK(TableTECalcPts[[#This Row],[Custom]],TableTECalcPts[Custom])+COUNTIF($AA$3:AA97,AA97)-1,"")</f>
        <v/>
      </c>
      <c r="W97" s="59">
        <v>95</v>
      </c>
      <c r="X97" s="59" t="str">
        <f>IFERROR(INDEX(TableTEMaster[Player],MATCH(TableTECalcPts[[#This Row],[TERef]],TableTEMaster[TERef],0)),"")</f>
        <v/>
      </c>
      <c r="Y97" s="59" t="str">
        <f>IFERROR(INDEX(TableTEMaster[TM],MATCH(TableTECalcPts[[#This Row],[TERef]],TableTEMaster[TERef],0)),"")</f>
        <v/>
      </c>
      <c r="Z97" s="59" t="str">
        <f>IFERROR(INDEX(TableTEMaster[BYE],MATCH(TableTECalcPts[[#This Row],[TERef]],TableTEMaster[TERef],0)),"")</f>
        <v/>
      </c>
      <c r="AA97" s="60" t="str">
        <f>IFERROR(INDEX(TableTEMaster[Custom],MATCH(TableTECalcPts[[#This Row],[TERef]],TableTEMaster[TERef],0)),"")</f>
        <v/>
      </c>
      <c r="AI97" s="59" t="s">
        <v>10</v>
      </c>
      <c r="AJ97" s="59" t="str">
        <f>IFERROR(RANK(TableWRTECalcPts[[#This Row],[Custom]],TableWRTECalcPts[Custom])+COUNTIF($AP$3:AP97,AP97)-1,"")</f>
        <v/>
      </c>
      <c r="AK97" s="59">
        <v>95</v>
      </c>
      <c r="AL97" s="59" t="str">
        <f>IFERROR(INDEX(TableTEMaster[Player],MATCH(TableWRTECalcPts[[#This Row],[POSRef]],TableTEMaster[TERef],0)),"")</f>
        <v/>
      </c>
      <c r="AM97" s="59" t="str">
        <f>IFERROR(_xlfn.CONCAT(TableWRTECalcPts[[#This Row],[POS]],INDEX(TableTERanks[RK],MATCH(TableWRTECalcPts[[#This Row],[PLAYER]],TableTERanks[Player],0))),"")</f>
        <v>TE82</v>
      </c>
      <c r="AN97" s="59" t="str">
        <f>IFERROR(INDEX(TableTEMaster[TM],MATCH(TableWRTECalcPts[[#This Row],[POSRef]],TableTEMaster[TERef],0)),"")</f>
        <v/>
      </c>
      <c r="AO97" s="59" t="str">
        <f>IFERROR(INDEX(TableTEMaster[BYE],MATCH(TableWRTECalcPts[[#This Row],[POSRef]],TableTEMaster[TERef],0)),"")</f>
        <v/>
      </c>
      <c r="AP97" s="60" t="str">
        <f>IFERROR(INDEX(TableTEMaster[Custom],MATCH(TableWRTECalcPts[[#This Row],[POSRef]],TableTEMaster[TERef],0)),"")</f>
        <v/>
      </c>
    </row>
    <row r="98" spans="1:42" x14ac:dyDescent="0.25">
      <c r="A98" s="61" t="str">
        <f>IFERROR(RANK(TableQBCalcPts[[#This Row],[Custom]],TableQBCalcPts[Custom])+COUNTIF($F$3:F98,F98)-1,"")</f>
        <v/>
      </c>
      <c r="B98" s="59">
        <v>96</v>
      </c>
      <c r="C98" s="59" t="str">
        <f>IFERROR(INDEX(TableQBMaster[Player],MATCH(TableQBCalcPts[[#This Row],[QBRef]],TableQBMaster[QBRef],0)),"")</f>
        <v/>
      </c>
      <c r="D98" s="59" t="str">
        <f>IFERROR(INDEX(TableQBMaster[TM],MATCH(TableQBCalcPts[[#This Row],[QBRef]],TableQBMaster[QBRef],0)),"")</f>
        <v/>
      </c>
      <c r="E98" s="59" t="str">
        <f>IFERROR(INDEX(TableQBMaster[BYE],MATCH(TableQBCalcPts[[#This Row],[QBRef]],TableQBMaster[QBRef],0)),"")</f>
        <v/>
      </c>
      <c r="F98" s="60" t="str">
        <f>IFERROR(INDEX(TableQBMaster[Custom],MATCH(TableQBCalcPts[[#This Row],[QBRef]],TableQBMaster[QBRef],0)),"")</f>
        <v/>
      </c>
      <c r="H98" s="59">
        <f>IFERROR(RANK(TableRBCalcPts[[#This Row],[Custom]],TableRBCalcPts[Custom])+COUNTIF($M$3:M98,M98)-1,"")</f>
        <v>80</v>
      </c>
      <c r="I98" s="59">
        <v>96</v>
      </c>
      <c r="J98" s="59" t="str">
        <f>IFERROR(INDEX(TableRBMaster[Player],MATCH(TableRBCalcPts[[#This Row],[RBRef]],TableRBMaster[RBRef],0)),"")</f>
        <v>Isaac Guerendo</v>
      </c>
      <c r="K98" s="59" t="str">
        <f>IFERROR(INDEX(TableRBMaster[TM],MATCH(TableRBCalcPts[[#This Row],[RBRef]],TableRBMaster[RBRef],0)),"")</f>
        <v>SF</v>
      </c>
      <c r="L98" s="59">
        <f>IFERROR(INDEX(TableRBMaster[BYE],MATCH(TableRBCalcPts[[#This Row],[RBRef]],TableRBMaster[RBRef],0)),"")</f>
        <v>9</v>
      </c>
      <c r="M98" s="60">
        <f>IFERROR(INDEX(TableRBMaster[Custom],MATCH(TableRBCalcPts[[#This Row],[RBRef]],TableRBMaster[RBRef],0)),"")</f>
        <v>28.83727157398889</v>
      </c>
      <c r="O98" s="59">
        <f>IFERROR(RANK(TableWRCalcPts[[#This Row],[Custom]],TableWRCalcPts[Custom])+COUNTIF($T$3:T98,T98)-1,"")</f>
        <v>105</v>
      </c>
      <c r="P98" s="59">
        <v>96</v>
      </c>
      <c r="Q98" s="59" t="str">
        <f>IFERROR(INDEX(TableWRMaster[Player],MATCH(TableWRCalcPts[[#This Row],[WRRef]],TableWRMaster[WRRef],0)),"")</f>
        <v>Jordan Whittington</v>
      </c>
      <c r="R98" s="59" t="str">
        <f>IFERROR(INDEX(TableWRMaster[TM],MATCH(TableWRCalcPts[[#This Row],[WRRef]],TableWRMaster[WRRef],0)),"")</f>
        <v>LAR</v>
      </c>
      <c r="S98" s="59">
        <f>IFERROR(INDEX(TableWRMaster[BYE],MATCH(TableWRCalcPts[[#This Row],[WRRef]],TableWRMaster[WRRef],0)),"")</f>
        <v>6</v>
      </c>
      <c r="T98" s="60">
        <f>IFERROR(INDEX(TableWRMaster[Custom],MATCH(TableWRCalcPts[[#This Row],[WRRef]],TableWRMaster[WRRef],0)),"")</f>
        <v>55.873140032859624</v>
      </c>
      <c r="V98" s="59" t="str">
        <f>IFERROR(RANK(TableTECalcPts[[#This Row],[Custom]],TableTECalcPts[Custom])+COUNTIF($AA$3:AA98,AA98)-1,"")</f>
        <v/>
      </c>
      <c r="W98" s="59">
        <v>96</v>
      </c>
      <c r="X98" s="59" t="str">
        <f>IFERROR(INDEX(TableTEMaster[Player],MATCH(TableTECalcPts[[#This Row],[TERef]],TableTEMaster[TERef],0)),"")</f>
        <v/>
      </c>
      <c r="Y98" s="59" t="str">
        <f>IFERROR(INDEX(TableTEMaster[TM],MATCH(TableTECalcPts[[#This Row],[TERef]],TableTEMaster[TERef],0)),"")</f>
        <v/>
      </c>
      <c r="Z98" s="59" t="str">
        <f>IFERROR(INDEX(TableTEMaster[BYE],MATCH(TableTECalcPts[[#This Row],[TERef]],TableTEMaster[TERef],0)),"")</f>
        <v/>
      </c>
      <c r="AA98" s="60" t="str">
        <f>IFERROR(INDEX(TableTEMaster[Custom],MATCH(TableTECalcPts[[#This Row],[TERef]],TableTEMaster[TERef],0)),"")</f>
        <v/>
      </c>
      <c r="AI98" s="59" t="s">
        <v>10</v>
      </c>
      <c r="AJ98" s="59" t="str">
        <f>IFERROR(RANK(TableWRTECalcPts[[#This Row],[Custom]],TableWRTECalcPts[Custom])+COUNTIF($AP$3:AP98,AP98)-1,"")</f>
        <v/>
      </c>
      <c r="AK98" s="59">
        <v>96</v>
      </c>
      <c r="AL98" s="59" t="str">
        <f>IFERROR(INDEX(TableTEMaster[Player],MATCH(TableWRTECalcPts[[#This Row],[POSRef]],TableTEMaster[TERef],0)),"")</f>
        <v/>
      </c>
      <c r="AM98" s="59" t="str">
        <f>IFERROR(_xlfn.CONCAT(TableWRTECalcPts[[#This Row],[POS]],INDEX(TableTERanks[RK],MATCH(TableWRTECalcPts[[#This Row],[PLAYER]],TableTERanks[Player],0))),"")</f>
        <v>TE82</v>
      </c>
      <c r="AN98" s="59" t="str">
        <f>IFERROR(INDEX(TableTEMaster[TM],MATCH(TableWRTECalcPts[[#This Row],[POSRef]],TableTEMaster[TERef],0)),"")</f>
        <v/>
      </c>
      <c r="AO98" s="59" t="str">
        <f>IFERROR(INDEX(TableTEMaster[BYE],MATCH(TableWRTECalcPts[[#This Row],[POSRef]],TableTEMaster[TERef],0)),"")</f>
        <v/>
      </c>
      <c r="AP98" s="60" t="str">
        <f>IFERROR(INDEX(TableTEMaster[Custom],MATCH(TableWRTECalcPts[[#This Row],[POSRef]],TableTEMaster[TERef],0)),"")</f>
        <v/>
      </c>
    </row>
    <row r="99" spans="1:42" x14ac:dyDescent="0.25">
      <c r="A99" s="61" t="str">
        <f>IFERROR(RANK(TableQBCalcPts[[#This Row],[Custom]],TableQBCalcPts[Custom])+COUNTIF($F$3:F99,F99)-1,"")</f>
        <v/>
      </c>
      <c r="B99" s="59">
        <v>97</v>
      </c>
      <c r="C99" s="59" t="str">
        <f>IFERROR(INDEX(TableQBMaster[Player],MATCH(TableQBCalcPts[[#This Row],[QBRef]],TableQBMaster[QBRef],0)),"")</f>
        <v/>
      </c>
      <c r="D99" s="59" t="str">
        <f>IFERROR(INDEX(TableQBMaster[TM],MATCH(TableQBCalcPts[[#This Row],[QBRef]],TableQBMaster[QBRef],0)),"")</f>
        <v/>
      </c>
      <c r="E99" s="59" t="str">
        <f>IFERROR(INDEX(TableQBMaster[BYE],MATCH(TableQBCalcPts[[#This Row],[QBRef]],TableQBMaster[QBRef],0)),"")</f>
        <v/>
      </c>
      <c r="F99" s="60" t="str">
        <f>IFERROR(INDEX(TableQBMaster[Custom],MATCH(TableQBCalcPts[[#This Row],[QBRef]],TableQBMaster[QBRef],0)),"")</f>
        <v/>
      </c>
      <c r="H99" s="59">
        <f>IFERROR(RANK(TableRBCalcPts[[#This Row],[Custom]],TableRBCalcPts[Custom])+COUNTIF($M$3:M99,M99)-1,"")</f>
        <v>51</v>
      </c>
      <c r="I99" s="59">
        <v>97</v>
      </c>
      <c r="J99" s="59" t="str">
        <f>IFERROR(INDEX(TableRBMaster[Player],MATCH(TableRBCalcPts[[#This Row],[RBRef]],TableRBMaster[RBRef],0)),"")</f>
        <v>Jordan Mason</v>
      </c>
      <c r="K99" s="59" t="str">
        <f>IFERROR(INDEX(TableRBMaster[TM],MATCH(TableRBCalcPts[[#This Row],[RBRef]],TableRBMaster[RBRef],0)),"")</f>
        <v>SF</v>
      </c>
      <c r="L99" s="59">
        <f>IFERROR(INDEX(TableRBMaster[BYE],MATCH(TableRBCalcPts[[#This Row],[RBRef]],TableRBMaster[RBRef],0)),"")</f>
        <v>9</v>
      </c>
      <c r="M99" s="60">
        <f>IFERROR(INDEX(TableRBMaster[Custom],MATCH(TableRBCalcPts[[#This Row],[RBRef]],TableRBMaster[RBRef],0)),"")</f>
        <v>98.495229171198076</v>
      </c>
      <c r="O99" s="59">
        <f>IFERROR(RANK(TableWRCalcPts[[#This Row],[Custom]],TableWRCalcPts[Custom])+COUNTIF($T$3:T99,T99)-1,"")</f>
        <v>139</v>
      </c>
      <c r="P99" s="59">
        <v>97</v>
      </c>
      <c r="Q99" s="59" t="str">
        <f>IFERROR(INDEX(TableWRMaster[Player],MATCH(TableWRCalcPts[[#This Row],[WRRef]],TableWRMaster[WRRef],0)),"")</f>
        <v>Tutu Atwell</v>
      </c>
      <c r="R99" s="59" t="str">
        <f>IFERROR(INDEX(TableWRMaster[TM],MATCH(TableWRCalcPts[[#This Row],[WRRef]],TableWRMaster[WRRef],0)),"")</f>
        <v>LAR</v>
      </c>
      <c r="S99" s="59">
        <f>IFERROR(INDEX(TableWRMaster[BYE],MATCH(TableWRCalcPts[[#This Row],[WRRef]],TableWRMaster[WRRef],0)),"")</f>
        <v>6</v>
      </c>
      <c r="T99" s="60">
        <f>IFERROR(INDEX(TableWRMaster[Custom],MATCH(TableWRCalcPts[[#This Row],[WRRef]],TableWRMaster[WRRef],0)),"")</f>
        <v>21.022461117950055</v>
      </c>
      <c r="V99" s="59" t="str">
        <f>IFERROR(RANK(TableTECalcPts[[#This Row],[Custom]],TableTECalcPts[Custom])+COUNTIF($AA$3:AA99,AA99)-1,"")</f>
        <v/>
      </c>
      <c r="W99" s="59">
        <v>97</v>
      </c>
      <c r="X99" s="59" t="str">
        <f>IFERROR(INDEX(TableTEMaster[Player],MATCH(TableTECalcPts[[#This Row],[TERef]],TableTEMaster[TERef],0)),"")</f>
        <v/>
      </c>
      <c r="Y99" s="59" t="str">
        <f>IFERROR(INDEX(TableTEMaster[TM],MATCH(TableTECalcPts[[#This Row],[TERef]],TableTEMaster[TERef],0)),"")</f>
        <v/>
      </c>
      <c r="Z99" s="59" t="str">
        <f>IFERROR(INDEX(TableTEMaster[BYE],MATCH(TableTECalcPts[[#This Row],[TERef]],TableTEMaster[TERef],0)),"")</f>
        <v/>
      </c>
      <c r="AA99" s="60" t="str">
        <f>IFERROR(INDEX(TableTEMaster[Custom],MATCH(TableTECalcPts[[#This Row],[TERef]],TableTEMaster[TERef],0)),"")</f>
        <v/>
      </c>
      <c r="AI99" s="59" t="s">
        <v>10</v>
      </c>
      <c r="AJ99" s="59" t="str">
        <f>IFERROR(RANK(TableWRTECalcPts[[#This Row],[Custom]],TableWRTECalcPts[Custom])+COUNTIF($AP$3:AP99,AP99)-1,"")</f>
        <v/>
      </c>
      <c r="AK99" s="59">
        <v>97</v>
      </c>
      <c r="AL99" s="59" t="str">
        <f>IFERROR(INDEX(TableTEMaster[Player],MATCH(TableWRTECalcPts[[#This Row],[POSRef]],TableTEMaster[TERef],0)),"")</f>
        <v/>
      </c>
      <c r="AM99" s="59" t="str">
        <f>IFERROR(_xlfn.CONCAT(TableWRTECalcPts[[#This Row],[POS]],INDEX(TableTERanks[RK],MATCH(TableWRTECalcPts[[#This Row],[PLAYER]],TableTERanks[Player],0))),"")</f>
        <v>TE82</v>
      </c>
      <c r="AN99" s="59" t="str">
        <f>IFERROR(INDEX(TableTEMaster[TM],MATCH(TableWRTECalcPts[[#This Row],[POSRef]],TableTEMaster[TERef],0)),"")</f>
        <v/>
      </c>
      <c r="AO99" s="59" t="str">
        <f>IFERROR(INDEX(TableTEMaster[BYE],MATCH(TableWRTECalcPts[[#This Row],[POSRef]],TableTEMaster[TERef],0)),"")</f>
        <v/>
      </c>
      <c r="AP99" s="60" t="str">
        <f>IFERROR(INDEX(TableTEMaster[Custom],MATCH(TableWRTECalcPts[[#This Row],[POSRef]],TableTEMaster[TERef],0)),"")</f>
        <v/>
      </c>
    </row>
    <row r="100" spans="1:42" x14ac:dyDescent="0.25">
      <c r="A100" s="61" t="str">
        <f>IFERROR(RANK(TableQBCalcPts[[#This Row],[Custom]],TableQBCalcPts[Custom])+COUNTIF($F$3:F100,F100)-1,"")</f>
        <v/>
      </c>
      <c r="B100" s="59">
        <v>98</v>
      </c>
      <c r="C100" s="59" t="str">
        <f>IFERROR(INDEX(TableQBMaster[Player],MATCH(TableQBCalcPts[[#This Row],[QBRef]],TableQBMaster[QBRef],0)),"")</f>
        <v/>
      </c>
      <c r="D100" s="59" t="str">
        <f>IFERROR(INDEX(TableQBMaster[TM],MATCH(TableQBCalcPts[[#This Row],[QBRef]],TableQBMaster[QBRef],0)),"")</f>
        <v/>
      </c>
      <c r="E100" s="59" t="str">
        <f>IFERROR(INDEX(TableQBMaster[BYE],MATCH(TableQBCalcPts[[#This Row],[QBRef]],TableQBMaster[QBRef],0)),"")</f>
        <v/>
      </c>
      <c r="F100" s="60" t="str">
        <f>IFERROR(INDEX(TableQBMaster[Custom],MATCH(TableQBCalcPts[[#This Row],[QBRef]],TableQBMaster[QBRef],0)),"")</f>
        <v/>
      </c>
      <c r="H100" s="59">
        <f>IFERROR(RANK(TableRBCalcPts[[#This Row],[Custom]],TableRBCalcPts[Custom])+COUNTIF($M$3:M100,M100)-1,"")</f>
        <v>15</v>
      </c>
      <c r="I100" s="59">
        <v>98</v>
      </c>
      <c r="J100" s="59" t="str">
        <f>IFERROR(INDEX(TableRBMaster[Player],MATCH(TableRBCalcPts[[#This Row],[RBRef]],TableRBMaster[RBRef],0)),"")</f>
        <v>Rachaad White</v>
      </c>
      <c r="K100" s="59" t="str">
        <f>IFERROR(INDEX(TableRBMaster[TM],MATCH(TableRBCalcPts[[#This Row],[RBRef]],TableRBMaster[RBRef],0)),"")</f>
        <v>TB</v>
      </c>
      <c r="L100" s="59">
        <f>IFERROR(INDEX(TableRBMaster[BYE],MATCH(TableRBCalcPts[[#This Row],[RBRef]],TableRBMaster[RBRef],0)),"")</f>
        <v>11</v>
      </c>
      <c r="M100" s="60">
        <f>IFERROR(INDEX(TableRBMaster[Custom],MATCH(TableRBCalcPts[[#This Row],[RBRef]],TableRBMaster[RBRef],0)),"")</f>
        <v>197.44771324617597</v>
      </c>
      <c r="O100" s="59">
        <f>IFERROR(RANK(TableWRCalcPts[[#This Row],[Custom]],TableWRCalcPts[Custom])+COUNTIF($T$3:T100,T100)-1,"")</f>
        <v>21</v>
      </c>
      <c r="P100" s="59">
        <v>98</v>
      </c>
      <c r="Q100" s="59" t="str">
        <f>IFERROR(INDEX(TableWRMaster[Player],MATCH(TableWRCalcPts[[#This Row],[WRRef]],TableWRMaster[WRRef],0)),"")</f>
        <v>Davante Adams</v>
      </c>
      <c r="R100" s="59" t="str">
        <f>IFERROR(INDEX(TableWRMaster[TM],MATCH(TableWRCalcPts[[#This Row],[WRRef]],TableWRMaster[WRRef],0)),"")</f>
        <v>LV</v>
      </c>
      <c r="S100" s="59">
        <f>IFERROR(INDEX(TableWRMaster[BYE],MATCH(TableWRCalcPts[[#This Row],[WRRef]],TableWRMaster[WRRef],0)),"")</f>
        <v>10</v>
      </c>
      <c r="T100" s="60">
        <f>IFERROR(INDEX(TableWRMaster[Custom],MATCH(TableWRCalcPts[[#This Row],[WRRef]],TableWRMaster[WRRef],0)),"")</f>
        <v>193.52615414390021</v>
      </c>
      <c r="V100" s="59" t="str">
        <f>IFERROR(RANK(TableTECalcPts[[#This Row],[Custom]],TableTECalcPts[Custom])+COUNTIF($AA$3:AA100,AA100)-1,"")</f>
        <v/>
      </c>
      <c r="W100" s="59">
        <v>98</v>
      </c>
      <c r="X100" s="59" t="str">
        <f>IFERROR(INDEX(TableTEMaster[Player],MATCH(TableTECalcPts[[#This Row],[TERef]],TableTEMaster[TERef],0)),"")</f>
        <v/>
      </c>
      <c r="Y100" s="59" t="str">
        <f>IFERROR(INDEX(TableTEMaster[TM],MATCH(TableTECalcPts[[#This Row],[TERef]],TableTEMaster[TERef],0)),"")</f>
        <v/>
      </c>
      <c r="Z100" s="59" t="str">
        <f>IFERROR(INDEX(TableTEMaster[BYE],MATCH(TableTECalcPts[[#This Row],[TERef]],TableTEMaster[TERef],0)),"")</f>
        <v/>
      </c>
      <c r="AA100" s="60" t="str">
        <f>IFERROR(INDEX(TableTEMaster[Custom],MATCH(TableTECalcPts[[#This Row],[TERef]],TableTEMaster[TERef],0)),"")</f>
        <v/>
      </c>
      <c r="AI100" s="59" t="s">
        <v>10</v>
      </c>
      <c r="AJ100" s="59" t="str">
        <f>IFERROR(RANK(TableWRTECalcPts[[#This Row],[Custom]],TableWRTECalcPts[Custom])+COUNTIF($AP$3:AP100,AP100)-1,"")</f>
        <v/>
      </c>
      <c r="AK100" s="59">
        <v>98</v>
      </c>
      <c r="AL100" s="59" t="str">
        <f>IFERROR(INDEX(TableTEMaster[Player],MATCH(TableWRTECalcPts[[#This Row],[POSRef]],TableTEMaster[TERef],0)),"")</f>
        <v/>
      </c>
      <c r="AM100" s="59" t="str">
        <f>IFERROR(_xlfn.CONCAT(TableWRTECalcPts[[#This Row],[POS]],INDEX(TableTERanks[RK],MATCH(TableWRTECalcPts[[#This Row],[PLAYER]],TableTERanks[Player],0))),"")</f>
        <v>TE82</v>
      </c>
      <c r="AN100" s="59" t="str">
        <f>IFERROR(INDEX(TableTEMaster[TM],MATCH(TableWRTECalcPts[[#This Row],[POSRef]],TableTEMaster[TERef],0)),"")</f>
        <v/>
      </c>
      <c r="AO100" s="59" t="str">
        <f>IFERROR(INDEX(TableTEMaster[BYE],MATCH(TableWRTECalcPts[[#This Row],[POSRef]],TableTEMaster[TERef],0)),"")</f>
        <v/>
      </c>
      <c r="AP100" s="60" t="str">
        <f>IFERROR(INDEX(TableTEMaster[Custom],MATCH(TableWRTECalcPts[[#This Row],[POSRef]],TableTEMaster[TERef],0)),"")</f>
        <v/>
      </c>
    </row>
    <row r="101" spans="1:42" x14ac:dyDescent="0.25">
      <c r="A101" s="61" t="str">
        <f>IFERROR(RANK(TableQBCalcPts[[#This Row],[Custom]],TableQBCalcPts[Custom])+COUNTIF($F$3:F101,F101)-1,"")</f>
        <v/>
      </c>
      <c r="B101" s="59">
        <v>99</v>
      </c>
      <c r="C101" s="59" t="str">
        <f>IFERROR(INDEX(TableQBMaster[Player],MATCH(TableQBCalcPts[[#This Row],[QBRef]],TableQBMaster[QBRef],0)),"")</f>
        <v/>
      </c>
      <c r="D101" s="59" t="str">
        <f>IFERROR(INDEX(TableQBMaster[TM],MATCH(TableQBCalcPts[[#This Row],[QBRef]],TableQBMaster[QBRef],0)),"")</f>
        <v/>
      </c>
      <c r="E101" s="59" t="str">
        <f>IFERROR(INDEX(TableQBMaster[BYE],MATCH(TableQBCalcPts[[#This Row],[QBRef]],TableQBMaster[QBRef],0)),"")</f>
        <v/>
      </c>
      <c r="F101" s="60" t="str">
        <f>IFERROR(INDEX(TableQBMaster[Custom],MATCH(TableQBCalcPts[[#This Row],[QBRef]],TableQBMaster[QBRef],0)),"")</f>
        <v/>
      </c>
      <c r="H101" s="59">
        <f>IFERROR(RANK(TableRBCalcPts[[#This Row],[Custom]],TableRBCalcPts[Custom])+COUNTIF($M$3:M101,M101)-1,"")</f>
        <v>49</v>
      </c>
      <c r="I101" s="59">
        <v>99</v>
      </c>
      <c r="J101" s="59" t="str">
        <f>IFERROR(INDEX(TableRBMaster[Player],MATCH(TableRBCalcPts[[#This Row],[RBRef]],TableRBMaster[RBRef],0)),"")</f>
        <v>Bucky Irving</v>
      </c>
      <c r="K101" s="59" t="str">
        <f>IFERROR(INDEX(TableRBMaster[TM],MATCH(TableRBCalcPts[[#This Row],[RBRef]],TableRBMaster[RBRef],0)),"")</f>
        <v>TB</v>
      </c>
      <c r="L101" s="59">
        <f>IFERROR(INDEX(TableRBMaster[BYE],MATCH(TableRBCalcPts[[#This Row],[RBRef]],TableRBMaster[RBRef],0)),"")</f>
        <v>11</v>
      </c>
      <c r="M101" s="60">
        <f>IFERROR(INDEX(TableRBMaster[Custom],MATCH(TableRBCalcPts[[#This Row],[RBRef]],TableRBMaster[RBRef],0)),"")</f>
        <v>108.09268065474014</v>
      </c>
      <c r="O101" s="59">
        <f>IFERROR(RANK(TableWRCalcPts[[#This Row],[Custom]],TableWRCalcPts[Custom])+COUNTIF($T$3:T101,T101)-1,"")</f>
        <v>48</v>
      </c>
      <c r="P101" s="59">
        <v>99</v>
      </c>
      <c r="Q101" s="59" t="str">
        <f>IFERROR(INDEX(TableWRMaster[Player],MATCH(TableWRCalcPts[[#This Row],[WRRef]],TableWRMaster[WRRef],0)),"")</f>
        <v>Jakobi Meyers</v>
      </c>
      <c r="R101" s="59" t="str">
        <f>IFERROR(INDEX(TableWRMaster[TM],MATCH(TableWRCalcPts[[#This Row],[WRRef]],TableWRMaster[WRRef],0)),"")</f>
        <v>LV</v>
      </c>
      <c r="S101" s="59">
        <f>IFERROR(INDEX(TableWRMaster[BYE],MATCH(TableWRCalcPts[[#This Row],[WRRef]],TableWRMaster[WRRef],0)),"")</f>
        <v>10</v>
      </c>
      <c r="T101" s="60">
        <f>IFERROR(INDEX(TableWRMaster[Custom],MATCH(TableWRCalcPts[[#This Row],[WRRef]],TableWRMaster[WRRef],0)),"")</f>
        <v>159.5175566273596</v>
      </c>
      <c r="V101" s="59" t="str">
        <f>IFERROR(RANK(TableTECalcPts[[#This Row],[Custom]],TableTECalcPts[Custom])+COUNTIF($AA$3:AA101,AA101)-1,"")</f>
        <v/>
      </c>
      <c r="W101" s="59">
        <v>99</v>
      </c>
      <c r="X101" s="59" t="str">
        <f>IFERROR(INDEX(TableTEMaster[Player],MATCH(TableTECalcPts[[#This Row],[TERef]],TableTEMaster[TERef],0)),"")</f>
        <v/>
      </c>
      <c r="Y101" s="59" t="str">
        <f>IFERROR(INDEX(TableTEMaster[TM],MATCH(TableTECalcPts[[#This Row],[TERef]],TableTEMaster[TERef],0)),"")</f>
        <v/>
      </c>
      <c r="Z101" s="59" t="str">
        <f>IFERROR(INDEX(TableTEMaster[BYE],MATCH(TableTECalcPts[[#This Row],[TERef]],TableTEMaster[TERef],0)),"")</f>
        <v/>
      </c>
      <c r="AA101" s="60" t="str">
        <f>IFERROR(INDEX(TableTEMaster[Custom],MATCH(TableTECalcPts[[#This Row],[TERef]],TableTEMaster[TERef],0)),"")</f>
        <v/>
      </c>
      <c r="AI101" s="59" t="s">
        <v>10</v>
      </c>
      <c r="AJ101" s="59" t="str">
        <f>IFERROR(RANK(TableWRTECalcPts[[#This Row],[Custom]],TableWRTECalcPts[Custom])+COUNTIF($AP$3:AP101,AP101)-1,"")</f>
        <v/>
      </c>
      <c r="AK101" s="59">
        <v>99</v>
      </c>
      <c r="AL101" s="59" t="str">
        <f>IFERROR(INDEX(TableTEMaster[Player],MATCH(TableWRTECalcPts[[#This Row],[POSRef]],TableTEMaster[TERef],0)),"")</f>
        <v/>
      </c>
      <c r="AM101" s="59" t="str">
        <f>IFERROR(_xlfn.CONCAT(TableWRTECalcPts[[#This Row],[POS]],INDEX(TableTERanks[RK],MATCH(TableWRTECalcPts[[#This Row],[PLAYER]],TableTERanks[Player],0))),"")</f>
        <v>TE82</v>
      </c>
      <c r="AN101" s="59" t="str">
        <f>IFERROR(INDEX(TableTEMaster[TM],MATCH(TableWRTECalcPts[[#This Row],[POSRef]],TableTEMaster[TERef],0)),"")</f>
        <v/>
      </c>
      <c r="AO101" s="59" t="str">
        <f>IFERROR(INDEX(TableTEMaster[BYE],MATCH(TableWRTECalcPts[[#This Row],[POSRef]],TableTEMaster[TERef],0)),"")</f>
        <v/>
      </c>
      <c r="AP101" s="60" t="str">
        <f>IFERROR(INDEX(TableTEMaster[Custom],MATCH(TableWRTECalcPts[[#This Row],[POSRef]],TableTEMaster[TERef],0)),"")</f>
        <v/>
      </c>
    </row>
    <row r="102" spans="1:42" x14ac:dyDescent="0.25">
      <c r="A102" s="61" t="str">
        <f>IFERROR(RANK(TableQBCalcPts[[#This Row],[Custom]],TableQBCalcPts[Custom])+COUNTIF($F$3:F102,F102)-1,"")</f>
        <v/>
      </c>
      <c r="B102" s="59">
        <v>100</v>
      </c>
      <c r="C102" s="59" t="str">
        <f>IFERROR(INDEX(TableQBMaster[Player],MATCH(TableQBCalcPts[[#This Row],[QBRef]],TableQBMaster[QBRef],0)),"")</f>
        <v/>
      </c>
      <c r="D102" s="59" t="str">
        <f>IFERROR(INDEX(TableQBMaster[TM],MATCH(TableQBCalcPts[[#This Row],[QBRef]],TableQBMaster[QBRef],0)),"")</f>
        <v/>
      </c>
      <c r="E102" s="59" t="str">
        <f>IFERROR(INDEX(TableQBMaster[BYE],MATCH(TableQBCalcPts[[#This Row],[QBRef]],TableQBMaster[QBRef],0)),"")</f>
        <v/>
      </c>
      <c r="F102" s="60" t="str">
        <f>IFERROR(INDEX(TableQBMaster[Custom],MATCH(TableQBCalcPts[[#This Row],[QBRef]],TableQBMaster[QBRef],0)),"")</f>
        <v/>
      </c>
      <c r="H102" s="59">
        <f>IFERROR(RANK(TableRBCalcPts[[#This Row],[Custom]],TableRBCalcPts[Custom])+COUNTIF($M$3:M102,M102)-1,"")</f>
        <v>72</v>
      </c>
      <c r="I102" s="59">
        <v>100</v>
      </c>
      <c r="J102" s="59" t="str">
        <f>IFERROR(INDEX(TableRBMaster[Player],MATCH(TableRBCalcPts[[#This Row],[RBRef]],TableRBMaster[RBRef],0)),"")</f>
        <v>Sean Tucker</v>
      </c>
      <c r="K102" s="59" t="str">
        <f>IFERROR(INDEX(TableRBMaster[TM],MATCH(TableRBCalcPts[[#This Row],[RBRef]],TableRBMaster[RBRef],0)),"")</f>
        <v>TB</v>
      </c>
      <c r="L102" s="59">
        <f>IFERROR(INDEX(TableRBMaster[BYE],MATCH(TableRBCalcPts[[#This Row],[RBRef]],TableRBMaster[RBRef],0)),"")</f>
        <v>11</v>
      </c>
      <c r="M102" s="60">
        <f>IFERROR(INDEX(TableRBMaster[Custom],MATCH(TableRBCalcPts[[#This Row],[RBRef]],TableRBMaster[RBRef],0)),"")</f>
        <v>43.954561520048074</v>
      </c>
      <c r="O102" s="59">
        <f>IFERROR(RANK(TableWRCalcPts[[#This Row],[Custom]],TableWRCalcPts[Custom])+COUNTIF($T$3:T102,T102)-1,"")</f>
        <v>135</v>
      </c>
      <c r="P102" s="59">
        <v>100</v>
      </c>
      <c r="Q102" s="59" t="str">
        <f>IFERROR(INDEX(TableWRMaster[Player],MATCH(TableWRCalcPts[[#This Row],[WRRef]],TableWRMaster[WRRef],0)),"")</f>
        <v>DJ Turner</v>
      </c>
      <c r="R102" s="59" t="str">
        <f>IFERROR(INDEX(TableWRMaster[TM],MATCH(TableWRCalcPts[[#This Row],[WRRef]],TableWRMaster[WRRef],0)),"")</f>
        <v>LV</v>
      </c>
      <c r="S102" s="59">
        <f>IFERROR(INDEX(TableWRMaster[BYE],MATCH(TableWRCalcPts[[#This Row],[WRRef]],TableWRMaster[WRRef],0)),"")</f>
        <v>10</v>
      </c>
      <c r="T102" s="60">
        <f>IFERROR(INDEX(TableWRMaster[Custom],MATCH(TableWRCalcPts[[#This Row],[WRRef]],TableWRMaster[WRRef],0)),"")</f>
        <v>22.294969913999999</v>
      </c>
      <c r="V102" s="59" t="str">
        <f>IFERROR(RANK(TableTECalcPts[[#This Row],[Custom]],TableTECalcPts[Custom])+COUNTIF($AA$3:AA102,AA102)-1,"")</f>
        <v/>
      </c>
      <c r="W102" s="59">
        <v>100</v>
      </c>
      <c r="X102" s="59" t="str">
        <f>IFERROR(INDEX(TableTEMaster[Player],MATCH(TableTECalcPts[[#This Row],[TERef]],TableTEMaster[TERef],0)),"")</f>
        <v/>
      </c>
      <c r="Y102" s="59" t="str">
        <f>IFERROR(INDEX(TableTEMaster[TM],MATCH(TableTECalcPts[[#This Row],[TERef]],TableTEMaster[TERef],0)),"")</f>
        <v/>
      </c>
      <c r="Z102" s="59" t="str">
        <f>IFERROR(INDEX(TableTEMaster[BYE],MATCH(TableTECalcPts[[#This Row],[TERef]],TableTEMaster[TERef],0)),"")</f>
        <v/>
      </c>
      <c r="AA102" s="60" t="str">
        <f>IFERROR(INDEX(TableTEMaster[Custom],MATCH(TableTECalcPts[[#This Row],[TERef]],TableTEMaster[TERef],0)),"")</f>
        <v/>
      </c>
      <c r="AI102" s="59" t="s">
        <v>10</v>
      </c>
      <c r="AJ102" s="59" t="str">
        <f>IFERROR(RANK(TableWRTECalcPts[[#This Row],[Custom]],TableWRTECalcPts[Custom])+COUNTIF($AP$3:AP102,AP102)-1,"")</f>
        <v/>
      </c>
      <c r="AK102" s="59">
        <v>100</v>
      </c>
      <c r="AL102" s="59" t="str">
        <f>IFERROR(INDEX(TableTEMaster[Player],MATCH(TableWRTECalcPts[[#This Row],[POSRef]],TableTEMaster[TERef],0)),"")</f>
        <v/>
      </c>
      <c r="AM102" s="59" t="str">
        <f>IFERROR(_xlfn.CONCAT(TableWRTECalcPts[[#This Row],[POS]],INDEX(TableTERanks[RK],MATCH(TableWRTECalcPts[[#This Row],[PLAYER]],TableTERanks[Player],0))),"")</f>
        <v>TE82</v>
      </c>
      <c r="AN102" s="59" t="str">
        <f>IFERROR(INDEX(TableTEMaster[TM],MATCH(TableWRTECalcPts[[#This Row],[POSRef]],TableTEMaster[TERef],0)),"")</f>
        <v/>
      </c>
      <c r="AO102" s="59" t="str">
        <f>IFERROR(INDEX(TableTEMaster[BYE],MATCH(TableWRTECalcPts[[#This Row],[POSRef]],TableTEMaster[TERef],0)),"")</f>
        <v/>
      </c>
      <c r="AP102" s="60" t="str">
        <f>IFERROR(INDEX(TableTEMaster[Custom],MATCH(TableWRTECalcPts[[#This Row],[POSRef]],TableTEMaster[TERef],0)),"")</f>
        <v/>
      </c>
    </row>
    <row r="103" spans="1:42" x14ac:dyDescent="0.25">
      <c r="H103" s="59">
        <f>IFERROR(RANK(TableRBCalcPts[[#This Row],[Custom]],TableRBCalcPts[Custom])+COUNTIF($M$3:M103,M103)-1,"")</f>
        <v>28</v>
      </c>
      <c r="I103" s="59">
        <v>101</v>
      </c>
      <c r="J103" s="59" t="str">
        <f>IFERROR(INDEX(TableRBMaster[Player],MATCH(TableRBCalcPts[[#This Row],[RBRef]],TableRBMaster[RBRef],0)),"")</f>
        <v>Tony Pollard</v>
      </c>
      <c r="K103" s="59" t="str">
        <f>IFERROR(INDEX(TableRBMaster[TM],MATCH(TableRBCalcPts[[#This Row],[RBRef]],TableRBMaster[RBRef],0)),"")</f>
        <v>TEN</v>
      </c>
      <c r="L103" s="59">
        <f>IFERROR(INDEX(TableRBMaster[BYE],MATCH(TableRBCalcPts[[#This Row],[RBRef]],TableRBMaster[RBRef],0)),"")</f>
        <v>5</v>
      </c>
      <c r="M103" s="60">
        <f>IFERROR(INDEX(TableRBMaster[Custom],MATCH(TableRBCalcPts[[#This Row],[RBRef]],TableRBMaster[RBRef],0)),"")</f>
        <v>175.18208691056179</v>
      </c>
      <c r="O103" s="59">
        <f>IFERROR(RANK(TableWRCalcPts[[#This Row],[Custom]],TableWRCalcPts[Custom])+COUNTIF($T$3:T103,T103)-1,"")</f>
        <v>110</v>
      </c>
      <c r="P103" s="59">
        <v>101</v>
      </c>
      <c r="Q103" s="59" t="str">
        <f>IFERROR(INDEX(TableWRMaster[Player],MATCH(TableWRCalcPts[[#This Row],[WRRef]],TableWRMaster[WRRef],0)),"")</f>
        <v>Tre Tucker</v>
      </c>
      <c r="R103" s="59" t="str">
        <f>IFERROR(INDEX(TableWRMaster[TM],MATCH(TableWRCalcPts[[#This Row],[WRRef]],TableWRMaster[WRRef],0)),"")</f>
        <v>LV</v>
      </c>
      <c r="S103" s="59">
        <f>IFERROR(INDEX(TableWRMaster[BYE],MATCH(TableWRCalcPts[[#This Row],[WRRef]],TableWRMaster[WRRef],0)),"")</f>
        <v>10</v>
      </c>
      <c r="T103" s="60">
        <f>IFERROR(INDEX(TableWRMaster[Custom],MATCH(TableWRCalcPts[[#This Row],[WRRef]],TableWRMaster[WRRef],0)),"")</f>
        <v>46.554964034031769</v>
      </c>
      <c r="AI103" s="59" t="s">
        <v>208</v>
      </c>
      <c r="AJ103" s="59">
        <f>IFERROR(RANK(TableWRTECalcPts[[#This Row],[Custom]],TableWRTECalcPts[Custom])+COUNTIF($AP$3:AP103,AP103)-1,"")</f>
        <v>21</v>
      </c>
      <c r="AK103" s="105">
        <v>1</v>
      </c>
      <c r="AL103" s="105" t="str">
        <f>IFERROR(INDEX(TableWRMaster[Player],MATCH(TableWRTECalcPts[[#This Row],[POSRef]],TableWRMaster[WRRef],0)),"")</f>
        <v>Marvin Harrison</v>
      </c>
      <c r="AM103" s="105" t="str">
        <f>IFERROR(_xlfn.CONCAT(TableWRTECalcPts[[#This Row],[POS]],INDEX(TableWRRanks[RK],MATCH(TableWRTECalcPts[[#This Row],[PLAYER]],TableWRRanks[Player],0))),"")</f>
        <v>WR20</v>
      </c>
      <c r="AN103" s="105" t="str">
        <f>IFERROR(INDEX(TableWRMaster[TM],MATCH(TableWRTECalcPts[[#This Row],[POSRef]],TableWRMaster[WRRef],0)),"")</f>
        <v>ARI</v>
      </c>
      <c r="AO103" s="105">
        <f>IFERROR(INDEX(TableWRMaster[BYE],MATCH(TableWRTECalcPts[[#This Row],[POSRef]],TableWRMaster[WRRef],0)),"")</f>
        <v>11</v>
      </c>
      <c r="AP103" s="103">
        <f>IFERROR(INDEX(TableWRMaster[Custom],MATCH(TableWRTECalcPts[[#This Row],[POSRef]],TableWRMaster[WRRef],0)),"")</f>
        <v>196.12822049057965</v>
      </c>
    </row>
    <row r="104" spans="1:42" x14ac:dyDescent="0.25">
      <c r="H104" s="59">
        <f>IFERROR(RANK(TableRBCalcPts[[#This Row],[Custom]],TableRBCalcPts[Custom])+COUNTIF($M$3:M104,M104)-1,"")</f>
        <v>29</v>
      </c>
      <c r="I104" s="59">
        <v>102</v>
      </c>
      <c r="J104" s="59" t="str">
        <f>IFERROR(INDEX(TableRBMaster[Player],MATCH(TableRBCalcPts[[#This Row],[RBRef]],TableRBMaster[RBRef],0)),"")</f>
        <v>Tyjae Spears</v>
      </c>
      <c r="K104" s="59" t="str">
        <f>IFERROR(INDEX(TableRBMaster[TM],MATCH(TableRBCalcPts[[#This Row],[RBRef]],TableRBMaster[RBRef],0)),"")</f>
        <v>TEN</v>
      </c>
      <c r="L104" s="59">
        <f>IFERROR(INDEX(TableRBMaster[BYE],MATCH(TableRBCalcPts[[#This Row],[RBRef]],TableRBMaster[RBRef],0)),"")</f>
        <v>5</v>
      </c>
      <c r="M104" s="60">
        <f>IFERROR(INDEX(TableRBMaster[Custom],MATCH(TableRBCalcPts[[#This Row],[RBRef]],TableRBMaster[RBRef],0)),"")</f>
        <v>174.00101222826075</v>
      </c>
      <c r="O104" s="59">
        <f>IFERROR(RANK(TableWRCalcPts[[#This Row],[Custom]],TableWRCalcPts[Custom])+COUNTIF($T$3:T104,T104)-1,"")</f>
        <v>170</v>
      </c>
      <c r="P104" s="59">
        <v>102</v>
      </c>
      <c r="Q104" s="59" t="str">
        <f>IFERROR(INDEX(TableWRMaster[Player],MATCH(TableWRCalcPts[[#This Row],[WRRef]],TableWRMaster[WRRef],0)),"")</f>
        <v>Jalen Guyton</v>
      </c>
      <c r="R104" s="59" t="str">
        <f>IFERROR(INDEX(TableWRMaster[TM],MATCH(TableWRCalcPts[[#This Row],[WRRef]],TableWRMaster[WRRef],0)),"")</f>
        <v>LV</v>
      </c>
      <c r="S104" s="59">
        <f>IFERROR(INDEX(TableWRMaster[BYE],MATCH(TableWRCalcPts[[#This Row],[WRRef]],TableWRMaster[WRRef],0)),"")</f>
        <v>10</v>
      </c>
      <c r="T104" s="60">
        <f>IFERROR(INDEX(TableWRMaster[Custom],MATCH(TableWRCalcPts[[#This Row],[WRRef]],TableWRMaster[WRRef],0)),"")</f>
        <v>7.7891903186564804</v>
      </c>
      <c r="AI104" s="59" t="s">
        <v>208</v>
      </c>
      <c r="AJ104" s="59">
        <f>IFERROR(RANK(TableWRTECalcPts[[#This Row],[Custom]],TableWRTECalcPts[Custom])+COUNTIF($AP$3:AP104,AP104)-1,"")</f>
        <v>88</v>
      </c>
      <c r="AK104" s="105">
        <v>2</v>
      </c>
      <c r="AL104" s="105" t="str">
        <f>IFERROR(INDEX(TableWRMaster[Player],MATCH(TableWRTECalcPts[[#This Row],[POSRef]],TableWRMaster[WRRef],0)),"")</f>
        <v>Michael Wilson</v>
      </c>
      <c r="AM104" s="105" t="str">
        <f>IFERROR(_xlfn.CONCAT(TableWRTECalcPts[[#This Row],[POS]],INDEX(TableWRRanks[RK],MATCH(TableWRTECalcPts[[#This Row],[PLAYER]],TableWRRanks[Player],0))),"")</f>
        <v>WR74</v>
      </c>
      <c r="AN104" s="105" t="str">
        <f>IFERROR(INDEX(TableWRMaster[TM],MATCH(TableWRTECalcPts[[#This Row],[POSRef]],TableWRMaster[WRRef],0)),"")</f>
        <v>ARI</v>
      </c>
      <c r="AO104" s="105">
        <f>IFERROR(INDEX(TableWRMaster[BYE],MATCH(TableWRTECalcPts[[#This Row],[POSRef]],TableWRMaster[WRRef],0)),"")</f>
        <v>11</v>
      </c>
      <c r="AP104" s="103">
        <f>IFERROR(INDEX(TableWRMaster[Custom],MATCH(TableWRTECalcPts[[#This Row],[POSRef]],TableWRMaster[WRRef],0)),"")</f>
        <v>109.27077006195002</v>
      </c>
    </row>
    <row r="105" spans="1:42" x14ac:dyDescent="0.25">
      <c r="H105" s="59">
        <f>IFERROR(RANK(TableRBCalcPts[[#This Row],[Custom]],TableRBCalcPts[Custom])+COUNTIF($M$3:M105,M105)-1,"")</f>
        <v>93</v>
      </c>
      <c r="I105" s="59">
        <v>103</v>
      </c>
      <c r="J105" s="59" t="str">
        <f>IFERROR(INDEX(TableRBMaster[Player],MATCH(TableRBCalcPts[[#This Row],[RBRef]],TableRBMaster[RBRef],0)),"")</f>
        <v>Hassan Haskins</v>
      </c>
      <c r="K105" s="59" t="str">
        <f>IFERROR(INDEX(TableRBMaster[TM],MATCH(TableRBCalcPts[[#This Row],[RBRef]],TableRBMaster[RBRef],0)),"")</f>
        <v>TEN</v>
      </c>
      <c r="L105" s="59">
        <f>IFERROR(INDEX(TableRBMaster[BYE],MATCH(TableRBCalcPts[[#This Row],[RBRef]],TableRBMaster[RBRef],0)),"")</f>
        <v>5</v>
      </c>
      <c r="M105" s="60">
        <f>IFERROR(INDEX(TableRBMaster[Custom],MATCH(TableRBCalcPts[[#This Row],[RBRef]],TableRBMaster[RBRef],0)),"")</f>
        <v>15.651052764334191</v>
      </c>
      <c r="O105" s="59">
        <f>IFERROR(RANK(TableWRCalcPts[[#This Row],[Custom]],TableWRCalcPts[Custom])+COUNTIF($T$3:T105,T105)-1,"")</f>
        <v>2</v>
      </c>
      <c r="P105" s="59">
        <v>103</v>
      </c>
      <c r="Q105" s="59" t="str">
        <f>IFERROR(INDEX(TableWRMaster[Player],MATCH(TableWRCalcPts[[#This Row],[WRRef]],TableWRMaster[WRRef],0)),"")</f>
        <v>Tyreek Hill</v>
      </c>
      <c r="R105" s="59" t="str">
        <f>IFERROR(INDEX(TableWRMaster[TM],MATCH(TableWRCalcPts[[#This Row],[WRRef]],TableWRMaster[WRRef],0)),"")</f>
        <v>MIA</v>
      </c>
      <c r="S105" s="59">
        <f>IFERROR(INDEX(TableWRMaster[BYE],MATCH(TableWRCalcPts[[#This Row],[WRRef]],TableWRMaster[WRRef],0)),"")</f>
        <v>6</v>
      </c>
      <c r="T105" s="60">
        <f>IFERROR(INDEX(TableWRMaster[Custom],MATCH(TableWRCalcPts[[#This Row],[WRRef]],TableWRMaster[WRRef],0)),"")</f>
        <v>266.35924114405168</v>
      </c>
      <c r="AI105" s="59" t="s">
        <v>208</v>
      </c>
      <c r="AJ105" s="59">
        <f>IFERROR(RANK(TableWRTECalcPts[[#This Row],[Custom]],TableWRTECalcPts[Custom])+COUNTIF($AP$3:AP105,AP105)-1,"")</f>
        <v>85</v>
      </c>
      <c r="AK105" s="105">
        <v>3</v>
      </c>
      <c r="AL105" s="105" t="str">
        <f>IFERROR(INDEX(TableWRMaster[Player],MATCH(TableWRTECalcPts[[#This Row],[POSRef]],TableWRMaster[WRRef],0)),"")</f>
        <v>Greg Dortch</v>
      </c>
      <c r="AM105" s="105" t="str">
        <f>IFERROR(_xlfn.CONCAT(TableWRTECalcPts[[#This Row],[POS]],INDEX(TableWRRanks[RK],MATCH(TableWRTECalcPts[[#This Row],[PLAYER]],TableWRRanks[Player],0))),"")</f>
        <v>WR72</v>
      </c>
      <c r="AN105" s="105" t="str">
        <f>IFERROR(INDEX(TableWRMaster[TM],MATCH(TableWRTECalcPts[[#This Row],[POSRef]],TableWRMaster[WRRef],0)),"")</f>
        <v>ARI</v>
      </c>
      <c r="AO105" s="105">
        <f>IFERROR(INDEX(TableWRMaster[BYE],MATCH(TableWRTECalcPts[[#This Row],[POSRef]],TableWRMaster[WRRef],0)),"")</f>
        <v>11</v>
      </c>
      <c r="AP105" s="103">
        <f>IFERROR(INDEX(TableWRMaster[Custom],MATCH(TableWRTECalcPts[[#This Row],[POSRef]],TableWRMaster[WRRef],0)),"")</f>
        <v>114.91314586095427</v>
      </c>
    </row>
    <row r="106" spans="1:42" x14ac:dyDescent="0.25">
      <c r="H106" s="59">
        <f>IFERROR(RANK(TableRBCalcPts[[#This Row],[Custom]],TableRBCalcPts[Custom])+COUNTIF($M$3:M106,M106)-1,"")</f>
        <v>34</v>
      </c>
      <c r="I106" s="59">
        <v>104</v>
      </c>
      <c r="J106" s="59" t="str">
        <f>IFERROR(INDEX(TableRBMaster[Player],MATCH(TableRBCalcPts[[#This Row],[RBRef]],TableRBMaster[RBRef],0)),"")</f>
        <v>Austin Ekeler</v>
      </c>
      <c r="K106" s="59" t="str">
        <f>IFERROR(INDEX(TableRBMaster[TM],MATCH(TableRBCalcPts[[#This Row],[RBRef]],TableRBMaster[RBRef],0)),"")</f>
        <v>WSH</v>
      </c>
      <c r="L106" s="59">
        <f>IFERROR(INDEX(TableRBMaster[BYE],MATCH(TableRBCalcPts[[#This Row],[RBRef]],TableRBMaster[RBRef],0)),"")</f>
        <v>14</v>
      </c>
      <c r="M106" s="60">
        <f>IFERROR(INDEX(TableRBMaster[Custom],MATCH(TableRBCalcPts[[#This Row],[RBRef]],TableRBMaster[RBRef],0)),"")</f>
        <v>150.92304762595202</v>
      </c>
      <c r="O106" s="59">
        <f>IFERROR(RANK(TableWRCalcPts[[#This Row],[Custom]],TableWRCalcPts[Custom])+COUNTIF($T$3:T106,T106)-1,"")</f>
        <v>13</v>
      </c>
      <c r="P106" s="59">
        <v>104</v>
      </c>
      <c r="Q106" s="59" t="str">
        <f>IFERROR(INDEX(TableWRMaster[Player],MATCH(TableWRCalcPts[[#This Row],[WRRef]],TableWRMaster[WRRef],0)),"")</f>
        <v>Jaylen Waddle</v>
      </c>
      <c r="R106" s="59" t="str">
        <f>IFERROR(INDEX(TableWRMaster[TM],MATCH(TableWRCalcPts[[#This Row],[WRRef]],TableWRMaster[WRRef],0)),"")</f>
        <v>MIA</v>
      </c>
      <c r="S106" s="59">
        <f>IFERROR(INDEX(TableWRMaster[BYE],MATCH(TableWRCalcPts[[#This Row],[WRRef]],TableWRMaster[WRRef],0)),"")</f>
        <v>6</v>
      </c>
      <c r="T106" s="60">
        <f>IFERROR(INDEX(TableWRMaster[Custom],MATCH(TableWRCalcPts[[#This Row],[WRRef]],TableWRMaster[WRRef],0)),"")</f>
        <v>205.17621580917057</v>
      </c>
      <c r="AI106" s="59" t="s">
        <v>208</v>
      </c>
      <c r="AJ106" s="59">
        <f>IFERROR(RANK(TableWRTECalcPts[[#This Row],[Custom]],TableWRTECalcPts[Custom])+COUNTIF($AP$3:AP106,AP106)-1,"")</f>
        <v>164</v>
      </c>
      <c r="AK106" s="105">
        <v>4</v>
      </c>
      <c r="AL106" s="105" t="str">
        <f>IFERROR(INDEX(TableWRMaster[Player],MATCH(TableWRTECalcPts[[#This Row],[POSRef]],TableWRMaster[WRRef],0)),"")</f>
        <v>Zay Jones</v>
      </c>
      <c r="AM106" s="105" t="str">
        <f>IFERROR(_xlfn.CONCAT(TableWRTECalcPts[[#This Row],[POS]],INDEX(TableWRRanks[RK],MATCH(TableWRTECalcPts[[#This Row],[PLAYER]],TableWRRanks[Player],0))),"")</f>
        <v>WR117</v>
      </c>
      <c r="AN106" s="105" t="str">
        <f>IFERROR(INDEX(TableWRMaster[TM],MATCH(TableWRTECalcPts[[#This Row],[POSRef]],TableWRMaster[WRRef],0)),"")</f>
        <v>ARI</v>
      </c>
      <c r="AO106" s="105">
        <f>IFERROR(INDEX(TableWRMaster[BYE],MATCH(TableWRTECalcPts[[#This Row],[POSRef]],TableWRMaster[WRRef],0)),"")</f>
        <v>11</v>
      </c>
      <c r="AP106" s="103">
        <f>IFERROR(INDEX(TableWRMaster[Custom],MATCH(TableWRTECalcPts[[#This Row],[POSRef]],TableWRMaster[WRRef],0)),"")</f>
        <v>34.491975864600278</v>
      </c>
    </row>
    <row r="107" spans="1:42" x14ac:dyDescent="0.25">
      <c r="H107" s="59">
        <f>IFERROR(RANK(TableRBCalcPts[[#This Row],[Custom]],TableRBCalcPts[Custom])+COUNTIF($M$3:M107,M107)-1,"")</f>
        <v>23</v>
      </c>
      <c r="I107" s="59">
        <v>105</v>
      </c>
      <c r="J107" s="59" t="str">
        <f>IFERROR(INDEX(TableRBMaster[Player],MATCH(TableRBCalcPts[[#This Row],[RBRef]],TableRBMaster[RBRef],0)),"")</f>
        <v>Brian Robinson</v>
      </c>
      <c r="K107" s="59" t="str">
        <f>IFERROR(INDEX(TableRBMaster[TM],MATCH(TableRBCalcPts[[#This Row],[RBRef]],TableRBMaster[RBRef],0)),"")</f>
        <v>WSH</v>
      </c>
      <c r="L107" s="59">
        <f>IFERROR(INDEX(TableRBMaster[BYE],MATCH(TableRBCalcPts[[#This Row],[RBRef]],TableRBMaster[RBRef],0)),"")</f>
        <v>14</v>
      </c>
      <c r="M107" s="60">
        <f>IFERROR(INDEX(TableRBMaster[Custom],MATCH(TableRBCalcPts[[#This Row],[RBRef]],TableRBMaster[RBRef],0)),"")</f>
        <v>180.40365584897597</v>
      </c>
      <c r="O107" s="59">
        <f>IFERROR(RANK(TableWRCalcPts[[#This Row],[Custom]],TableWRCalcPts[Custom])+COUNTIF($T$3:T107,T107)-1,"")</f>
        <v>112</v>
      </c>
      <c r="P107" s="59">
        <v>105</v>
      </c>
      <c r="Q107" s="59" t="str">
        <f>IFERROR(INDEX(TableWRMaster[Player],MATCH(TableWRCalcPts[[#This Row],[WRRef]],TableWRMaster[WRRef],0)),"")</f>
        <v>Odell Beckham</v>
      </c>
      <c r="R107" s="59" t="str">
        <f>IFERROR(INDEX(TableWRMaster[TM],MATCH(TableWRCalcPts[[#This Row],[WRRef]],TableWRMaster[WRRef],0)),"")</f>
        <v>MIA</v>
      </c>
      <c r="S107" s="59">
        <f>IFERROR(INDEX(TableWRMaster[BYE],MATCH(TableWRCalcPts[[#This Row],[WRRef]],TableWRMaster[WRRef],0)),"")</f>
        <v>6</v>
      </c>
      <c r="T107" s="60">
        <f>IFERROR(INDEX(TableWRMaster[Custom],MATCH(TableWRCalcPts[[#This Row],[WRRef]],TableWRMaster[WRRef],0)),"")</f>
        <v>43.144873904039258</v>
      </c>
      <c r="AI107" s="59" t="s">
        <v>208</v>
      </c>
      <c r="AJ107" s="59">
        <f>IFERROR(RANK(TableWRTECalcPts[[#This Row],[Custom]],TableWRTECalcPts[Custom])+COUNTIF($AP$3:AP107,AP107)-1,"")</f>
        <v>212</v>
      </c>
      <c r="AK107" s="105">
        <v>5</v>
      </c>
      <c r="AL107" s="105" t="str">
        <f>IFERROR(INDEX(TableWRMaster[Player],MATCH(TableWRTECalcPts[[#This Row],[POSRef]],TableWRMaster[WRRef],0)),"")</f>
        <v>Chris Moore</v>
      </c>
      <c r="AM107" s="105" t="str">
        <f>IFERROR(_xlfn.CONCAT(TableWRTECalcPts[[#This Row],[POS]],INDEX(TableWRRanks[RK],MATCH(TableWRTECalcPts[[#This Row],[PLAYER]],TableWRRanks[Player],0))),"")</f>
        <v>WR149</v>
      </c>
      <c r="AN107" s="105" t="str">
        <f>IFERROR(INDEX(TableWRMaster[TM],MATCH(TableWRTECalcPts[[#This Row],[POSRef]],TableWRMaster[WRRef],0)),"")</f>
        <v>ARI</v>
      </c>
      <c r="AO107" s="105">
        <f>IFERROR(INDEX(TableWRMaster[BYE],MATCH(TableWRTECalcPts[[#This Row],[POSRef]],TableWRMaster[WRRef],0)),"")</f>
        <v>11</v>
      </c>
      <c r="AP107" s="103">
        <f>IFERROR(INDEX(TableWRMaster[Custom],MATCH(TableWRTECalcPts[[#This Row],[POSRef]],TableWRMaster[WRRef],0)),"")</f>
        <v>14.964485193398426</v>
      </c>
    </row>
    <row r="108" spans="1:42" x14ac:dyDescent="0.25">
      <c r="H108" s="59">
        <f>IFERROR(RANK(TableRBCalcPts[[#This Row],[Custom]],TableRBCalcPts[Custom])+COUNTIF($M$3:M108,M108)-1,"")</f>
        <v>100</v>
      </c>
      <c r="I108" s="59">
        <v>106</v>
      </c>
      <c r="J108" s="59" t="str">
        <f>IFERROR(INDEX(TableRBMaster[Player],MATCH(TableRBCalcPts[[#This Row],[RBRef]],TableRBMaster[RBRef],0)),"")</f>
        <v>Jeremy McNichols</v>
      </c>
      <c r="K108" s="59" t="str">
        <f>IFERROR(INDEX(TableRBMaster[TM],MATCH(TableRBCalcPts[[#This Row],[RBRef]],TableRBMaster[RBRef],0)),"")</f>
        <v>WSH</v>
      </c>
      <c r="L108" s="59">
        <f>IFERROR(INDEX(TableRBMaster[BYE],MATCH(TableRBCalcPts[[#This Row],[RBRef]],TableRBMaster[RBRef],0)),"")</f>
        <v>14</v>
      </c>
      <c r="M108" s="60">
        <f>IFERROR(INDEX(TableRBMaster[Custom],MATCH(TableRBCalcPts[[#This Row],[RBRef]],TableRBMaster[RBRef],0)),"")</f>
        <v>12.903486134583991</v>
      </c>
      <c r="O108" s="59">
        <f>IFERROR(RANK(TableWRCalcPts[[#This Row],[Custom]],TableWRCalcPts[Custom])+COUNTIF($T$3:T108,T108)-1,"")</f>
        <v>160</v>
      </c>
      <c r="P108" s="59">
        <v>106</v>
      </c>
      <c r="Q108" s="59" t="str">
        <f>IFERROR(INDEX(TableWRMaster[Player],MATCH(TableWRCalcPts[[#This Row],[WRRef]],TableWRMaster[WRRef],0)),"")</f>
        <v>Braxton Berrios</v>
      </c>
      <c r="R108" s="59" t="str">
        <f>IFERROR(INDEX(TableWRMaster[TM],MATCH(TableWRCalcPts[[#This Row],[WRRef]],TableWRMaster[WRRef],0)),"")</f>
        <v>MIA</v>
      </c>
      <c r="S108" s="59">
        <f>IFERROR(INDEX(TableWRMaster[BYE],MATCH(TableWRCalcPts[[#This Row],[WRRef]],TableWRMaster[WRRef],0)),"")</f>
        <v>6</v>
      </c>
      <c r="T108" s="60">
        <f>IFERROR(INDEX(TableWRMaster[Custom],MATCH(TableWRCalcPts[[#This Row],[WRRef]],TableWRMaster[WRRef],0)),"")</f>
        <v>11.404967640175933</v>
      </c>
      <c r="AI108" s="59" t="s">
        <v>208</v>
      </c>
      <c r="AJ108" s="59">
        <f>IFERROR(RANK(TableWRTECalcPts[[#This Row],[Custom]],TableWRTECalcPts[Custom])+COUNTIF($AP$3:AP108,AP108)-1,"")</f>
        <v>234</v>
      </c>
      <c r="AK108" s="105">
        <v>6</v>
      </c>
      <c r="AL108" s="105" t="str">
        <f>IFERROR(INDEX(TableWRMaster[Player],MATCH(TableWRTECalcPts[[#This Row],[POSRef]],TableWRMaster[WRRef],0)),"")</f>
        <v>Zach Pascal</v>
      </c>
      <c r="AM108" s="105" t="str">
        <f>IFERROR(_xlfn.CONCAT(TableWRTECalcPts[[#This Row],[POS]],INDEX(TableWRRanks[RK],MATCH(TableWRTECalcPts[[#This Row],[PLAYER]],TableWRRanks[Player],0))),"")</f>
        <v>WR164</v>
      </c>
      <c r="AN108" s="105" t="str">
        <f>IFERROR(INDEX(TableWRMaster[TM],MATCH(TableWRTECalcPts[[#This Row],[POSRef]],TableWRMaster[WRRef],0)),"")</f>
        <v>ARI</v>
      </c>
      <c r="AO108" s="105">
        <f>IFERROR(INDEX(TableWRMaster[BYE],MATCH(TableWRTECalcPts[[#This Row],[POSRef]],TableWRMaster[WRRef],0)),"")</f>
        <v>11</v>
      </c>
      <c r="AP108" s="103">
        <f>IFERROR(INDEX(TableWRMaster[Custom],MATCH(TableWRTECalcPts[[#This Row],[POSRef]],TableWRMaster[WRRef],0)),"")</f>
        <v>9.377240640284997</v>
      </c>
    </row>
    <row r="109" spans="1:42" x14ac:dyDescent="0.25">
      <c r="H109" s="59" t="str">
        <f>IFERROR(RANK(TableRBCalcPts[[#This Row],[Custom]],TableRBCalcPts[Custom])+COUNTIF($M$3:M109,M109)-1,"")</f>
        <v/>
      </c>
      <c r="I109" s="59">
        <v>107</v>
      </c>
      <c r="J109" s="59" t="str">
        <f>IFERROR(INDEX(TableRBMaster[Player],MATCH(TableRBCalcPts[[#This Row],[RBRef]],TableRBMaster[RBRef],0)),"")</f>
        <v/>
      </c>
      <c r="K109" s="59" t="str">
        <f>IFERROR(INDEX(TableRBMaster[TM],MATCH(TableRBCalcPts[[#This Row],[RBRef]],TableRBMaster[RBRef],0)),"")</f>
        <v/>
      </c>
      <c r="L109" s="59" t="str">
        <f>IFERROR(INDEX(TableRBMaster[BYE],MATCH(TableRBCalcPts[[#This Row],[RBRef]],TableRBMaster[RBRef],0)),"")</f>
        <v/>
      </c>
      <c r="M109" s="60" t="str">
        <f>IFERROR(INDEX(TableRBMaster[Custom],MATCH(TableRBCalcPts[[#This Row],[RBRef]],TableRBMaster[RBRef],0)),"")</f>
        <v/>
      </c>
      <c r="O109" s="59">
        <f>IFERROR(RANK(TableWRCalcPts[[#This Row],[Custom]],TableWRCalcPts[Custom])+COUNTIF($T$3:T109,T109)-1,"")</f>
        <v>104</v>
      </c>
      <c r="P109" s="59">
        <v>107</v>
      </c>
      <c r="Q109" s="59" t="str">
        <f>IFERROR(INDEX(TableWRMaster[Player],MATCH(TableWRCalcPts[[#This Row],[WRRef]],TableWRMaster[WRRef],0)),"")</f>
        <v>Malik Washington</v>
      </c>
      <c r="R109" s="59" t="str">
        <f>IFERROR(INDEX(TableWRMaster[TM],MATCH(TableWRCalcPts[[#This Row],[WRRef]],TableWRMaster[WRRef],0)),"")</f>
        <v>MIA</v>
      </c>
      <c r="S109" s="59">
        <f>IFERROR(INDEX(TableWRMaster[BYE],MATCH(TableWRCalcPts[[#This Row],[WRRef]],TableWRMaster[WRRef],0)),"")</f>
        <v>6</v>
      </c>
      <c r="T109" s="60">
        <f>IFERROR(INDEX(TableWRMaster[Custom],MATCH(TableWRCalcPts[[#This Row],[WRRef]],TableWRMaster[WRRef],0)),"")</f>
        <v>56.740369681564793</v>
      </c>
      <c r="AI109" s="59" t="s">
        <v>208</v>
      </c>
      <c r="AJ109" s="59">
        <f>IFERROR(RANK(TableWRTECalcPts[[#This Row],[Custom]],TableWRTECalcPts[Custom])+COUNTIF($AP$3:AP109,AP109)-1,"")</f>
        <v>18</v>
      </c>
      <c r="AK109" s="105">
        <v>7</v>
      </c>
      <c r="AL109" s="105" t="str">
        <f>IFERROR(INDEX(TableWRMaster[Player],MATCH(TableWRTECalcPts[[#This Row],[POSRef]],TableWRMaster[WRRef],0)),"")</f>
        <v>Drake London</v>
      </c>
      <c r="AM109" s="105" t="str">
        <f>IFERROR(_xlfn.CONCAT(TableWRTECalcPts[[#This Row],[POS]],INDEX(TableWRRanks[RK],MATCH(TableWRTECalcPts[[#This Row],[PLAYER]],TableWRRanks[Player],0))),"")</f>
        <v>WR17</v>
      </c>
      <c r="AN109" s="105" t="str">
        <f>IFERROR(INDEX(TableWRMaster[TM],MATCH(TableWRTECalcPts[[#This Row],[POSRef]],TableWRMaster[WRRef],0)),"")</f>
        <v>ATL</v>
      </c>
      <c r="AO109" s="105">
        <f>IFERROR(INDEX(TableWRMaster[BYE],MATCH(TableWRTECalcPts[[#This Row],[POSRef]],TableWRMaster[WRRef],0)),"")</f>
        <v>12</v>
      </c>
      <c r="AP109" s="103">
        <f>IFERROR(INDEX(TableWRMaster[Custom],MATCH(TableWRTECalcPts[[#This Row],[POSRef]],TableWRMaster[WRRef],0)),"")</f>
        <v>198.04928813429765</v>
      </c>
    </row>
    <row r="110" spans="1:42" x14ac:dyDescent="0.25">
      <c r="H110" s="59" t="str">
        <f>IFERROR(RANK(TableRBCalcPts[[#This Row],[Custom]],TableRBCalcPts[Custom])+COUNTIF($M$3:M110,M110)-1,"")</f>
        <v/>
      </c>
      <c r="I110" s="59">
        <v>108</v>
      </c>
      <c r="J110" s="59" t="str">
        <f>IFERROR(INDEX(TableRBMaster[Player],MATCH(TableRBCalcPts[[#This Row],[RBRef]],TableRBMaster[RBRef],0)),"")</f>
        <v/>
      </c>
      <c r="K110" s="59" t="str">
        <f>IFERROR(INDEX(TableRBMaster[TM],MATCH(TableRBCalcPts[[#This Row],[RBRef]],TableRBMaster[RBRef],0)),"")</f>
        <v/>
      </c>
      <c r="L110" s="59" t="str">
        <f>IFERROR(INDEX(TableRBMaster[BYE],MATCH(TableRBCalcPts[[#This Row],[RBRef]],TableRBMaster[RBRef],0)),"")</f>
        <v/>
      </c>
      <c r="M110" s="60" t="str">
        <f>IFERROR(INDEX(TableRBMaster[Custom],MATCH(TableRBCalcPts[[#This Row],[RBRef]],TableRBMaster[RBRef],0)),"")</f>
        <v/>
      </c>
      <c r="O110" s="59">
        <f>IFERROR(RANK(TableWRCalcPts[[#This Row],[Custom]],TableWRCalcPts[Custom])+COUNTIF($T$3:T110,T110)-1,"")</f>
        <v>167</v>
      </c>
      <c r="P110" s="59">
        <v>108</v>
      </c>
      <c r="Q110" s="59" t="str">
        <f>IFERROR(INDEX(TableWRMaster[Player],MATCH(TableWRCalcPts[[#This Row],[WRRef]],TableWRMaster[WRRef],0)),"")</f>
        <v>River Cracraft</v>
      </c>
      <c r="R110" s="59" t="str">
        <f>IFERROR(INDEX(TableWRMaster[TM],MATCH(TableWRCalcPts[[#This Row],[WRRef]],TableWRMaster[WRRef],0)),"")</f>
        <v>MIA</v>
      </c>
      <c r="S110" s="59">
        <f>IFERROR(INDEX(TableWRMaster[BYE],MATCH(TableWRCalcPts[[#This Row],[WRRef]],TableWRMaster[WRRef],0)),"")</f>
        <v>6</v>
      </c>
      <c r="T110" s="60">
        <f>IFERROR(INDEX(TableWRMaster[Custom],MATCH(TableWRCalcPts[[#This Row],[WRRef]],TableWRMaster[WRRef],0)),"")</f>
        <v>8.5156327785290653</v>
      </c>
      <c r="AI110" s="59" t="s">
        <v>208</v>
      </c>
      <c r="AJ110" s="59">
        <f>IFERROR(RANK(TableWRTECalcPts[[#This Row],[Custom]],TableWRTECalcPts[Custom])+COUNTIF($AP$3:AP110,AP110)-1,"")</f>
        <v>66</v>
      </c>
      <c r="AK110" s="105">
        <v>8</v>
      </c>
      <c r="AL110" s="105" t="str">
        <f>IFERROR(INDEX(TableWRMaster[Player],MATCH(TableWRTECalcPts[[#This Row],[POSRef]],TableWRMaster[WRRef],0)),"")</f>
        <v>Darnell Mooney</v>
      </c>
      <c r="AM110" s="105" t="str">
        <f>IFERROR(_xlfn.CONCAT(TableWRTECalcPts[[#This Row],[POS]],INDEX(TableWRRanks[RK],MATCH(TableWRTECalcPts[[#This Row],[PLAYER]],TableWRRanks[Player],0))),"")</f>
        <v>WR57</v>
      </c>
      <c r="AN110" s="105" t="str">
        <f>IFERROR(INDEX(TableWRMaster[TM],MATCH(TableWRTECalcPts[[#This Row],[POSRef]],TableWRMaster[WRRef],0)),"")</f>
        <v>ATL</v>
      </c>
      <c r="AO110" s="105">
        <f>IFERROR(INDEX(TableWRMaster[BYE],MATCH(TableWRTECalcPts[[#This Row],[POSRef]],TableWRMaster[WRRef],0)),"")</f>
        <v>12</v>
      </c>
      <c r="AP110" s="103">
        <f>IFERROR(INDEX(TableWRMaster[Custom],MATCH(TableWRTECalcPts[[#This Row],[POSRef]],TableWRMaster[WRRef],0)),"")</f>
        <v>147.21911184250882</v>
      </c>
    </row>
    <row r="111" spans="1:42" x14ac:dyDescent="0.25">
      <c r="H111" s="59" t="str">
        <f>IFERROR(RANK(TableRBCalcPts[[#This Row],[Custom]],TableRBCalcPts[Custom])+COUNTIF($M$3:M111,M111)-1,"")</f>
        <v/>
      </c>
      <c r="I111" s="59">
        <v>109</v>
      </c>
      <c r="J111" s="59" t="str">
        <f>IFERROR(INDEX(TableRBMaster[Player],MATCH(TableRBCalcPts[[#This Row],[RBRef]],TableRBMaster[RBRef],0)),"")</f>
        <v/>
      </c>
      <c r="K111" s="59" t="str">
        <f>IFERROR(INDEX(TableRBMaster[TM],MATCH(TableRBCalcPts[[#This Row],[RBRef]],TableRBMaster[RBRef],0)),"")</f>
        <v/>
      </c>
      <c r="L111" s="59" t="str">
        <f>IFERROR(INDEX(TableRBMaster[BYE],MATCH(TableRBCalcPts[[#This Row],[RBRef]],TableRBMaster[RBRef],0)),"")</f>
        <v/>
      </c>
      <c r="M111" s="60" t="str">
        <f>IFERROR(INDEX(TableRBMaster[Custom],MATCH(TableRBCalcPts[[#This Row],[RBRef]],TableRBMaster[RBRef],0)),"")</f>
        <v/>
      </c>
      <c r="O111" s="59">
        <f>IFERROR(RANK(TableWRCalcPts[[#This Row],[Custom]],TableWRCalcPts[Custom])+COUNTIF($T$3:T111,T111)-1,"")</f>
        <v>5</v>
      </c>
      <c r="P111" s="59">
        <v>109</v>
      </c>
      <c r="Q111" s="59" t="str">
        <f>IFERROR(INDEX(TableWRMaster[Player],MATCH(TableWRCalcPts[[#This Row],[WRRef]],TableWRMaster[WRRef],0)),"")</f>
        <v>Justin Jefferson</v>
      </c>
      <c r="R111" s="59" t="str">
        <f>IFERROR(INDEX(TableWRMaster[TM],MATCH(TableWRCalcPts[[#This Row],[WRRef]],TableWRMaster[WRRef],0)),"")</f>
        <v>MIN</v>
      </c>
      <c r="S111" s="59">
        <f>IFERROR(INDEX(TableWRMaster[BYE],MATCH(TableWRCalcPts[[#This Row],[WRRef]],TableWRMaster[WRRef],0)),"")</f>
        <v>6</v>
      </c>
      <c r="T111" s="60">
        <f>IFERROR(INDEX(TableWRMaster[Custom],MATCH(TableWRCalcPts[[#This Row],[WRRef]],TableWRMaster[WRRef],0)),"")</f>
        <v>241.32118821726243</v>
      </c>
      <c r="AI111" s="59" t="s">
        <v>208</v>
      </c>
      <c r="AJ111" s="59">
        <f>IFERROR(RANK(TableWRTECalcPts[[#This Row],[Custom]],TableWRTECalcPts[Custom])+COUNTIF($AP$3:AP111,AP111)-1,"")</f>
        <v>112</v>
      </c>
      <c r="AK111" s="105">
        <v>9</v>
      </c>
      <c r="AL111" s="105" t="str">
        <f>IFERROR(INDEX(TableWRMaster[Player],MATCH(TableWRTECalcPts[[#This Row],[POSRef]],TableWRMaster[WRRef],0)),"")</f>
        <v>Ray-Ray McCloud</v>
      </c>
      <c r="AM111" s="105" t="str">
        <f>IFERROR(_xlfn.CONCAT(TableWRTECalcPts[[#This Row],[POS]],INDEX(TableWRRanks[RK],MATCH(TableWRTECalcPts[[#This Row],[PLAYER]],TableWRRanks[Player],0))),"")</f>
        <v>WR88</v>
      </c>
      <c r="AN111" s="105" t="str">
        <f>IFERROR(INDEX(TableWRMaster[TM],MATCH(TableWRTECalcPts[[#This Row],[POSRef]],TableWRMaster[WRRef],0)),"")</f>
        <v>ATL</v>
      </c>
      <c r="AO111" s="105">
        <f>IFERROR(INDEX(TableWRMaster[BYE],MATCH(TableWRTECalcPts[[#This Row],[POSRef]],TableWRMaster[WRRef],0)),"")</f>
        <v>12</v>
      </c>
      <c r="AP111" s="103">
        <f>IFERROR(INDEX(TableWRMaster[Custom],MATCH(TableWRTECalcPts[[#This Row],[POSRef]],TableWRMaster[WRRef],0)),"")</f>
        <v>84.228861685020107</v>
      </c>
    </row>
    <row r="112" spans="1:42" x14ac:dyDescent="0.25">
      <c r="H112" s="59" t="str">
        <f>IFERROR(RANK(TableRBCalcPts[[#This Row],[Custom]],TableRBCalcPts[Custom])+COUNTIF($M$3:M112,M112)-1,"")</f>
        <v/>
      </c>
      <c r="I112" s="59">
        <v>110</v>
      </c>
      <c r="J112" s="59" t="str">
        <f>IFERROR(INDEX(TableRBMaster[Player],MATCH(TableRBCalcPts[[#This Row],[RBRef]],TableRBMaster[RBRef],0)),"")</f>
        <v/>
      </c>
      <c r="K112" s="59" t="str">
        <f>IFERROR(INDEX(TableRBMaster[TM],MATCH(TableRBCalcPts[[#This Row],[RBRef]],TableRBMaster[RBRef],0)),"")</f>
        <v/>
      </c>
      <c r="L112" s="59" t="str">
        <f>IFERROR(INDEX(TableRBMaster[BYE],MATCH(TableRBCalcPts[[#This Row],[RBRef]],TableRBMaster[RBRef],0)),"")</f>
        <v/>
      </c>
      <c r="M112" s="60" t="str">
        <f>IFERROR(INDEX(TableRBMaster[Custom],MATCH(TableRBCalcPts[[#This Row],[RBRef]],TableRBMaster[RBRef],0)),"")</f>
        <v/>
      </c>
      <c r="O112" s="59">
        <f>IFERROR(RANK(TableWRCalcPts[[#This Row],[Custom]],TableWRCalcPts[Custom])+COUNTIF($T$3:T112,T112)-1,"")</f>
        <v>35</v>
      </c>
      <c r="P112" s="59">
        <v>110</v>
      </c>
      <c r="Q112" s="59" t="str">
        <f>IFERROR(INDEX(TableWRMaster[Player],MATCH(TableWRCalcPts[[#This Row],[WRRef]],TableWRMaster[WRRef],0)),"")</f>
        <v>Jordan Addison</v>
      </c>
      <c r="R112" s="59" t="str">
        <f>IFERROR(INDEX(TableWRMaster[TM],MATCH(TableWRCalcPts[[#This Row],[WRRef]],TableWRMaster[WRRef],0)),"")</f>
        <v>MIN</v>
      </c>
      <c r="S112" s="59">
        <f>IFERROR(INDEX(TableWRMaster[BYE],MATCH(TableWRCalcPts[[#This Row],[WRRef]],TableWRMaster[WRRef],0)),"")</f>
        <v>6</v>
      </c>
      <c r="T112" s="60">
        <f>IFERROR(INDEX(TableWRMaster[Custom],MATCH(TableWRCalcPts[[#This Row],[WRRef]],TableWRMaster[WRRef],0)),"")</f>
        <v>173.55431512473601</v>
      </c>
      <c r="AI112" s="59" t="s">
        <v>208</v>
      </c>
      <c r="AJ112" s="59">
        <f>IFERROR(RANK(TableWRTECalcPts[[#This Row],[Custom]],TableWRTECalcPts[Custom])+COUNTIF($AP$3:AP112,AP112)-1,"")</f>
        <v>174</v>
      </c>
      <c r="AK112" s="105">
        <v>10</v>
      </c>
      <c r="AL112" s="105" t="str">
        <f>IFERROR(INDEX(TableWRMaster[Player],MATCH(TableWRTECalcPts[[#This Row],[POSRef]],TableWRMaster[WRRef],0)),"")</f>
        <v>KhaDarel Hodge</v>
      </c>
      <c r="AM112" s="105" t="str">
        <f>IFERROR(_xlfn.CONCAT(TableWRTECalcPts[[#This Row],[POS]],INDEX(TableWRRanks[RK],MATCH(TableWRTECalcPts[[#This Row],[PLAYER]],TableWRRanks[Player],0))),"")</f>
        <v>WR126</v>
      </c>
      <c r="AN112" s="105" t="str">
        <f>IFERROR(INDEX(TableWRMaster[TM],MATCH(TableWRTECalcPts[[#This Row],[POSRef]],TableWRMaster[WRRef],0)),"")</f>
        <v>ATL</v>
      </c>
      <c r="AO112" s="105">
        <f>IFERROR(INDEX(TableWRMaster[BYE],MATCH(TableWRTECalcPts[[#This Row],[POSRef]],TableWRMaster[WRRef],0)),"")</f>
        <v>12</v>
      </c>
      <c r="AP112" s="103">
        <f>IFERROR(INDEX(TableWRMaster[Custom],MATCH(TableWRTECalcPts[[#This Row],[POSRef]],TableWRMaster[WRRef],0)),"")</f>
        <v>28.719195128877054</v>
      </c>
    </row>
    <row r="113" spans="8:42" x14ac:dyDescent="0.25">
      <c r="H113" s="59" t="str">
        <f>IFERROR(RANK(TableRBCalcPts[[#This Row],[Custom]],TableRBCalcPts[Custom])+COUNTIF($M$3:M113,M113)-1,"")</f>
        <v/>
      </c>
      <c r="I113" s="59">
        <v>111</v>
      </c>
      <c r="J113" s="59" t="str">
        <f>IFERROR(INDEX(TableRBMaster[Player],MATCH(TableRBCalcPts[[#This Row],[RBRef]],TableRBMaster[RBRef],0)),"")</f>
        <v/>
      </c>
      <c r="K113" s="59" t="str">
        <f>IFERROR(INDEX(TableRBMaster[TM],MATCH(TableRBCalcPts[[#This Row],[RBRef]],TableRBMaster[RBRef],0)),"")</f>
        <v/>
      </c>
      <c r="L113" s="59" t="str">
        <f>IFERROR(INDEX(TableRBMaster[BYE],MATCH(TableRBCalcPts[[#This Row],[RBRef]],TableRBMaster[RBRef],0)),"")</f>
        <v/>
      </c>
      <c r="M113" s="60" t="str">
        <f>IFERROR(INDEX(TableRBMaster[Custom],MATCH(TableRBCalcPts[[#This Row],[RBRef]],TableRBMaster[RBRef],0)),"")</f>
        <v/>
      </c>
      <c r="O113" s="59">
        <f>IFERROR(RANK(TableWRCalcPts[[#This Row],[Custom]],TableWRCalcPts[Custom])+COUNTIF($T$3:T113,T113)-1,"")</f>
        <v>132</v>
      </c>
      <c r="P113" s="59">
        <v>111</v>
      </c>
      <c r="Q113" s="59" t="str">
        <f>IFERROR(INDEX(TableWRMaster[Player],MATCH(TableWRCalcPts[[#This Row],[WRRef]],TableWRMaster[WRRef],0)),"")</f>
        <v>Brandon Powell</v>
      </c>
      <c r="R113" s="59" t="str">
        <f>IFERROR(INDEX(TableWRMaster[TM],MATCH(TableWRCalcPts[[#This Row],[WRRef]],TableWRMaster[WRRef],0)),"")</f>
        <v>MIN</v>
      </c>
      <c r="S113" s="59">
        <f>IFERROR(INDEX(TableWRMaster[BYE],MATCH(TableWRCalcPts[[#This Row],[WRRef]],TableWRMaster[WRRef],0)),"")</f>
        <v>6</v>
      </c>
      <c r="T113" s="60">
        <f>IFERROR(INDEX(TableWRMaster[Custom],MATCH(TableWRCalcPts[[#This Row],[WRRef]],TableWRMaster[WRRef],0)),"")</f>
        <v>24.407091129565359</v>
      </c>
      <c r="AI113" s="59" t="s">
        <v>208</v>
      </c>
      <c r="AJ113" s="59">
        <f>IFERROR(RANK(TableWRTECalcPts[[#This Row],[Custom]],TableWRTECalcPts[Custom])+COUNTIF($AP$3:AP113,AP113)-1,"")</f>
        <v>188</v>
      </c>
      <c r="AK113" s="105">
        <v>11</v>
      </c>
      <c r="AL113" s="105" t="str">
        <f>IFERROR(INDEX(TableWRMaster[Player],MATCH(TableWRTECalcPts[[#This Row],[POSRef]],TableWRMaster[WRRef],0)),"")</f>
        <v>Casey Washington</v>
      </c>
      <c r="AM113" s="105" t="str">
        <f>IFERROR(_xlfn.CONCAT(TableWRTECalcPts[[#This Row],[POS]],INDEX(TableWRRanks[RK],MATCH(TableWRTECalcPts[[#This Row],[PLAYER]],TableWRRanks[Player],0))),"")</f>
        <v>WR134</v>
      </c>
      <c r="AN113" s="105" t="str">
        <f>IFERROR(INDEX(TableWRMaster[TM],MATCH(TableWRTECalcPts[[#This Row],[POSRef]],TableWRMaster[WRRef],0)),"")</f>
        <v>ATL</v>
      </c>
      <c r="AO113" s="105">
        <f>IFERROR(INDEX(TableWRMaster[BYE],MATCH(TableWRTECalcPts[[#This Row],[POSRef]],TableWRMaster[WRRef],0)),"")</f>
        <v>12</v>
      </c>
      <c r="AP113" s="103">
        <f>IFERROR(INDEX(TableWRMaster[Custom],MATCH(TableWRTECalcPts[[#This Row],[POSRef]],TableWRMaster[WRRef],0)),"")</f>
        <v>22.563065964479041</v>
      </c>
    </row>
    <row r="114" spans="8:42" x14ac:dyDescent="0.25">
      <c r="H114" s="59" t="str">
        <f>IFERROR(RANK(TableRBCalcPts[[#This Row],[Custom]],TableRBCalcPts[Custom])+COUNTIF($M$3:M114,M114)-1,"")</f>
        <v/>
      </c>
      <c r="I114" s="59">
        <v>112</v>
      </c>
      <c r="J114" s="59" t="str">
        <f>IFERROR(INDEX(TableRBMaster[Player],MATCH(TableRBCalcPts[[#This Row],[RBRef]],TableRBMaster[RBRef],0)),"")</f>
        <v/>
      </c>
      <c r="K114" s="59" t="str">
        <f>IFERROR(INDEX(TableRBMaster[TM],MATCH(TableRBCalcPts[[#This Row],[RBRef]],TableRBMaster[RBRef],0)),"")</f>
        <v/>
      </c>
      <c r="L114" s="59" t="str">
        <f>IFERROR(INDEX(TableRBMaster[BYE],MATCH(TableRBCalcPts[[#This Row],[RBRef]],TableRBMaster[RBRef],0)),"")</f>
        <v/>
      </c>
      <c r="M114" s="60" t="str">
        <f>IFERROR(INDEX(TableRBMaster[Custom],MATCH(TableRBCalcPts[[#This Row],[RBRef]],TableRBMaster[RBRef],0)),"")</f>
        <v/>
      </c>
      <c r="O114" s="59">
        <f>IFERROR(RANK(TableWRCalcPts[[#This Row],[Custom]],TableWRCalcPts[Custom])+COUNTIF($T$3:T114,T114)-1,"")</f>
        <v>152</v>
      </c>
      <c r="P114" s="59">
        <v>112</v>
      </c>
      <c r="Q114" s="59" t="str">
        <f>IFERROR(INDEX(TableWRMaster[Player],MATCH(TableWRCalcPts[[#This Row],[WRRef]],TableWRMaster[WRRef],0)),"")</f>
        <v>Trent Sherfield</v>
      </c>
      <c r="R114" s="59" t="str">
        <f>IFERROR(INDEX(TableWRMaster[TM],MATCH(TableWRCalcPts[[#This Row],[WRRef]],TableWRMaster[WRRef],0)),"")</f>
        <v>MIN</v>
      </c>
      <c r="S114" s="59">
        <f>IFERROR(INDEX(TableWRMaster[BYE],MATCH(TableWRCalcPts[[#This Row],[WRRef]],TableWRMaster[WRRef],0)),"")</f>
        <v>6</v>
      </c>
      <c r="T114" s="60">
        <f>IFERROR(INDEX(TableWRMaster[Custom],MATCH(TableWRCalcPts[[#This Row],[WRRef]],TableWRMaster[WRRef],0)),"")</f>
        <v>14.679469050603101</v>
      </c>
      <c r="AI114" s="59" t="s">
        <v>208</v>
      </c>
      <c r="AJ114" s="59">
        <f>IFERROR(RANK(TableWRTECalcPts[[#This Row],[Custom]],TableWRTECalcPts[Custom])+COUNTIF($AP$3:AP114,AP114)-1,"")</f>
        <v>38</v>
      </c>
      <c r="AK114" s="105">
        <v>12</v>
      </c>
      <c r="AL114" s="105" t="str">
        <f>IFERROR(INDEX(TableWRMaster[Player],MATCH(TableWRTECalcPts[[#This Row],[POSRef]],TableWRMaster[WRRef],0)),"")</f>
        <v>Zay Flowers</v>
      </c>
      <c r="AM114" s="105" t="str">
        <f>IFERROR(_xlfn.CONCAT(TableWRTECalcPts[[#This Row],[POS]],INDEX(TableWRRanks[RK],MATCH(TableWRTECalcPts[[#This Row],[PLAYER]],TableWRRanks[Player],0))),"")</f>
        <v>WR34</v>
      </c>
      <c r="AN114" s="105" t="str">
        <f>IFERROR(INDEX(TableWRMaster[TM],MATCH(TableWRTECalcPts[[#This Row],[POSRef]],TableWRMaster[WRRef],0)),"")</f>
        <v>BAL</v>
      </c>
      <c r="AO114" s="105">
        <f>IFERROR(INDEX(TableWRMaster[BYE],MATCH(TableWRTECalcPts[[#This Row],[POSRef]],TableWRMaster[WRRef],0)),"")</f>
        <v>14</v>
      </c>
      <c r="AP114" s="103">
        <f>IFERROR(INDEX(TableWRMaster[Custom],MATCH(TableWRTECalcPts[[#This Row],[POSRef]],TableWRMaster[WRRef],0)),"")</f>
        <v>176.12076560183124</v>
      </c>
    </row>
    <row r="115" spans="8:42" x14ac:dyDescent="0.25">
      <c r="H115" s="59" t="str">
        <f>IFERROR(RANK(TableRBCalcPts[[#This Row],[Custom]],TableRBCalcPts[Custom])+COUNTIF($M$3:M115,M115)-1,"")</f>
        <v/>
      </c>
      <c r="I115" s="59">
        <v>113</v>
      </c>
      <c r="J115" s="59" t="str">
        <f>IFERROR(INDEX(TableRBMaster[Player],MATCH(TableRBCalcPts[[#This Row],[RBRef]],TableRBMaster[RBRef],0)),"")</f>
        <v/>
      </c>
      <c r="K115" s="59" t="str">
        <f>IFERROR(INDEX(TableRBMaster[TM],MATCH(TableRBCalcPts[[#This Row],[RBRef]],TableRBMaster[RBRef],0)),"")</f>
        <v/>
      </c>
      <c r="L115" s="59" t="str">
        <f>IFERROR(INDEX(TableRBMaster[BYE],MATCH(TableRBCalcPts[[#This Row],[RBRef]],TableRBMaster[RBRef],0)),"")</f>
        <v/>
      </c>
      <c r="M115" s="60" t="str">
        <f>IFERROR(INDEX(TableRBMaster[Custom],MATCH(TableRBCalcPts[[#This Row],[RBRef]],TableRBMaster[RBRef],0)),"")</f>
        <v/>
      </c>
      <c r="O115" s="59">
        <f>IFERROR(RANK(TableWRCalcPts[[#This Row],[Custom]],TableWRCalcPts[Custom])+COUNTIF($T$3:T115,T115)-1,"")</f>
        <v>97</v>
      </c>
      <c r="P115" s="59">
        <v>113</v>
      </c>
      <c r="Q115" s="59" t="str">
        <f>IFERROR(INDEX(TableWRMaster[Player],MATCH(TableWRCalcPts[[#This Row],[WRRef]],TableWRMaster[WRRef],0)),"")</f>
        <v>Jalen Nailor</v>
      </c>
      <c r="R115" s="59" t="str">
        <f>IFERROR(INDEX(TableWRMaster[TM],MATCH(TableWRCalcPts[[#This Row],[WRRef]],TableWRMaster[WRRef],0)),"")</f>
        <v>MIN</v>
      </c>
      <c r="S115" s="59">
        <f>IFERROR(INDEX(TableWRMaster[BYE],MATCH(TableWRCalcPts[[#This Row],[WRRef]],TableWRMaster[WRRef],0)),"")</f>
        <v>6</v>
      </c>
      <c r="T115" s="60">
        <f>IFERROR(INDEX(TableWRMaster[Custom],MATCH(TableWRCalcPts[[#This Row],[WRRef]],TableWRMaster[WRRef],0)),"")</f>
        <v>64.716988902047987</v>
      </c>
      <c r="AI115" s="59" t="s">
        <v>208</v>
      </c>
      <c r="AJ115" s="59">
        <f>IFERROR(RANK(TableWRTECalcPts[[#This Row],[Custom]],TableWRTECalcPts[Custom])+COUNTIF($AP$3:AP115,AP115)-1,"")</f>
        <v>90</v>
      </c>
      <c r="AK115" s="105">
        <v>13</v>
      </c>
      <c r="AL115" s="105" t="str">
        <f>IFERROR(INDEX(TableWRMaster[Player],MATCH(TableWRTECalcPts[[#This Row],[POSRef]],TableWRMaster[WRRef],0)),"")</f>
        <v>Rashod Bateman</v>
      </c>
      <c r="AM115" s="105" t="str">
        <f>IFERROR(_xlfn.CONCAT(TableWRTECalcPts[[#This Row],[POS]],INDEX(TableWRRanks[RK],MATCH(TableWRTECalcPts[[#This Row],[PLAYER]],TableWRRanks[Player],0))),"")</f>
        <v>WR76</v>
      </c>
      <c r="AN115" s="105" t="str">
        <f>IFERROR(INDEX(TableWRMaster[TM],MATCH(TableWRTECalcPts[[#This Row],[POSRef]],TableWRMaster[WRRef],0)),"")</f>
        <v>BAL</v>
      </c>
      <c r="AO115" s="105">
        <f>IFERROR(INDEX(TableWRMaster[BYE],MATCH(TableWRTECalcPts[[#This Row],[POSRef]],TableWRMaster[WRRef],0)),"")</f>
        <v>14</v>
      </c>
      <c r="AP115" s="103">
        <f>IFERROR(INDEX(TableWRMaster[Custom],MATCH(TableWRTECalcPts[[#This Row],[POSRef]],TableWRMaster[WRRef],0)),"")</f>
        <v>104.43680487103371</v>
      </c>
    </row>
    <row r="116" spans="8:42" x14ac:dyDescent="0.25">
      <c r="H116" s="59" t="str">
        <f>IFERROR(RANK(TableRBCalcPts[[#This Row],[Custom]],TableRBCalcPts[Custom])+COUNTIF($M$3:M116,M116)-1,"")</f>
        <v/>
      </c>
      <c r="I116" s="59">
        <v>114</v>
      </c>
      <c r="J116" s="59" t="str">
        <f>IFERROR(INDEX(TableRBMaster[Player],MATCH(TableRBCalcPts[[#This Row],[RBRef]],TableRBMaster[RBRef],0)),"")</f>
        <v/>
      </c>
      <c r="K116" s="59" t="str">
        <f>IFERROR(INDEX(TableRBMaster[TM],MATCH(TableRBCalcPts[[#This Row],[RBRef]],TableRBMaster[RBRef],0)),"")</f>
        <v/>
      </c>
      <c r="L116" s="59" t="str">
        <f>IFERROR(INDEX(TableRBMaster[BYE],MATCH(TableRBCalcPts[[#This Row],[RBRef]],TableRBMaster[RBRef],0)),"")</f>
        <v/>
      </c>
      <c r="M116" s="60" t="str">
        <f>IFERROR(INDEX(TableRBMaster[Custom],MATCH(TableRBCalcPts[[#This Row],[RBRef]],TableRBMaster[RBRef],0)),"")</f>
        <v/>
      </c>
      <c r="O116" s="59">
        <f>IFERROR(RANK(TableWRCalcPts[[#This Row],[Custom]],TableWRCalcPts[Custom])+COUNTIF($T$3:T116,T116)-1,"")</f>
        <v>64</v>
      </c>
      <c r="P116" s="59">
        <v>114</v>
      </c>
      <c r="Q116" s="59" t="str">
        <f>IFERROR(INDEX(TableWRMaster[Player],MATCH(TableWRCalcPts[[#This Row],[WRRef]],TableWRMaster[WRRef],0)),"")</f>
        <v>Demario Douglas</v>
      </c>
      <c r="R116" s="59" t="str">
        <f>IFERROR(INDEX(TableWRMaster[TM],MATCH(TableWRCalcPts[[#This Row],[WRRef]],TableWRMaster[WRRef],0)),"")</f>
        <v>NE</v>
      </c>
      <c r="S116" s="59">
        <f>IFERROR(INDEX(TableWRMaster[BYE],MATCH(TableWRCalcPts[[#This Row],[WRRef]],TableWRMaster[WRRef],0)),"")</f>
        <v>14</v>
      </c>
      <c r="T116" s="60">
        <f>IFERROR(INDEX(TableWRMaster[Custom],MATCH(TableWRCalcPts[[#This Row],[WRRef]],TableWRMaster[WRRef],0)),"")</f>
        <v>127.43642317391996</v>
      </c>
      <c r="AI116" s="59" t="s">
        <v>208</v>
      </c>
      <c r="AJ116" s="59">
        <f>IFERROR(RANK(TableWRTECalcPts[[#This Row],[Custom]],TableWRTECalcPts[Custom])+COUNTIF($AP$3:AP116,AP116)-1,"")</f>
        <v>109</v>
      </c>
      <c r="AK116" s="105">
        <v>14</v>
      </c>
      <c r="AL116" s="105" t="str">
        <f>IFERROR(INDEX(TableWRMaster[Player],MATCH(TableWRTECalcPts[[#This Row],[POSRef]],TableWRMaster[WRRef],0)),"")</f>
        <v>Nelson Agholor</v>
      </c>
      <c r="AM116" s="105" t="str">
        <f>IFERROR(_xlfn.CONCAT(TableWRTECalcPts[[#This Row],[POS]],INDEX(TableWRRanks[RK],MATCH(TableWRTECalcPts[[#This Row],[PLAYER]],TableWRRanks[Player],0))),"")</f>
        <v>WR87</v>
      </c>
      <c r="AN116" s="105" t="str">
        <f>IFERROR(INDEX(TableWRMaster[TM],MATCH(TableWRTECalcPts[[#This Row],[POSRef]],TableWRMaster[WRRef],0)),"")</f>
        <v>BAL</v>
      </c>
      <c r="AO116" s="105">
        <f>IFERROR(INDEX(TableWRMaster[BYE],MATCH(TableWRTECalcPts[[#This Row],[POSRef]],TableWRMaster[WRRef],0)),"")</f>
        <v>14</v>
      </c>
      <c r="AP116" s="103">
        <f>IFERROR(INDEX(TableWRMaster[Custom],MATCH(TableWRTECalcPts[[#This Row],[POSRef]],TableWRMaster[WRRef],0)),"")</f>
        <v>88.344267554403842</v>
      </c>
    </row>
    <row r="117" spans="8:42" x14ac:dyDescent="0.25">
      <c r="H117" s="59" t="str">
        <f>IFERROR(RANK(TableRBCalcPts[[#This Row],[Custom]],TableRBCalcPts[Custom])+COUNTIF($M$3:M117,M117)-1,"")</f>
        <v/>
      </c>
      <c r="I117" s="59">
        <v>115</v>
      </c>
      <c r="J117" s="59" t="str">
        <f>IFERROR(INDEX(TableRBMaster[Player],MATCH(TableRBCalcPts[[#This Row],[RBRef]],TableRBMaster[RBRef],0)),"")</f>
        <v/>
      </c>
      <c r="K117" s="59" t="str">
        <f>IFERROR(INDEX(TableRBMaster[TM],MATCH(TableRBCalcPts[[#This Row],[RBRef]],TableRBMaster[RBRef],0)),"")</f>
        <v/>
      </c>
      <c r="L117" s="59" t="str">
        <f>IFERROR(INDEX(TableRBMaster[BYE],MATCH(TableRBCalcPts[[#This Row],[RBRef]],TableRBMaster[RBRef],0)),"")</f>
        <v/>
      </c>
      <c r="M117" s="60" t="str">
        <f>IFERROR(INDEX(TableRBMaster[Custom],MATCH(TableRBCalcPts[[#This Row],[RBRef]],TableRBMaster[RBRef],0)),"")</f>
        <v/>
      </c>
      <c r="O117" s="59">
        <f>IFERROR(RANK(TableWRCalcPts[[#This Row],[Custom]],TableWRCalcPts[Custom])+COUNTIF($T$3:T117,T117)-1,"")</f>
        <v>95</v>
      </c>
      <c r="P117" s="59">
        <v>115</v>
      </c>
      <c r="Q117" s="59" t="str">
        <f>IFERROR(INDEX(TableWRMaster[Player],MATCH(TableWRCalcPts[[#This Row],[WRRef]],TableWRMaster[WRRef],0)),"")</f>
        <v>Kendrick Bourne</v>
      </c>
      <c r="R117" s="59" t="str">
        <f>IFERROR(INDEX(TableWRMaster[TM],MATCH(TableWRCalcPts[[#This Row],[WRRef]],TableWRMaster[WRRef],0)),"")</f>
        <v>NE</v>
      </c>
      <c r="S117" s="59">
        <f>IFERROR(INDEX(TableWRMaster[BYE],MATCH(TableWRCalcPts[[#This Row],[WRRef]],TableWRMaster[WRRef],0)),"")</f>
        <v>14</v>
      </c>
      <c r="T117" s="60">
        <f>IFERROR(INDEX(TableWRMaster[Custom],MATCH(TableWRCalcPts[[#This Row],[WRRef]],TableWRMaster[WRRef],0)),"")</f>
        <v>70.699840083387201</v>
      </c>
      <c r="AI117" s="59" t="s">
        <v>208</v>
      </c>
      <c r="AJ117" s="59">
        <f>IFERROR(RANK(TableWRTECalcPts[[#This Row],[Custom]],TableWRTECalcPts[Custom])+COUNTIF($AP$3:AP117,AP117)-1,"")</f>
        <v>207</v>
      </c>
      <c r="AK117" s="105">
        <v>15</v>
      </c>
      <c r="AL117" s="105" t="str">
        <f>IFERROR(INDEX(TableWRMaster[Player],MATCH(TableWRTECalcPts[[#This Row],[POSRef]],TableWRMaster[WRRef],0)),"")</f>
        <v>Devontez Walker</v>
      </c>
      <c r="AM117" s="105" t="str">
        <f>IFERROR(_xlfn.CONCAT(TableWRTECalcPts[[#This Row],[POS]],INDEX(TableWRRanks[RK],MATCH(TableWRTECalcPts[[#This Row],[PLAYER]],TableWRRanks[Player],0))),"")</f>
        <v>WR144</v>
      </c>
      <c r="AN117" s="105" t="str">
        <f>IFERROR(INDEX(TableWRMaster[TM],MATCH(TableWRTECalcPts[[#This Row],[POSRef]],TableWRMaster[WRRef],0)),"")</f>
        <v>BAL</v>
      </c>
      <c r="AO117" s="105">
        <f>IFERROR(INDEX(TableWRMaster[BYE],MATCH(TableWRTECalcPts[[#This Row],[POSRef]],TableWRMaster[WRRef],0)),"")</f>
        <v>14</v>
      </c>
      <c r="AP117" s="103">
        <f>IFERROR(INDEX(TableWRMaster[Custom],MATCH(TableWRTECalcPts[[#This Row],[POSRef]],TableWRMaster[WRRef],0)),"")</f>
        <v>16.825698512797491</v>
      </c>
    </row>
    <row r="118" spans="8:42" x14ac:dyDescent="0.25">
      <c r="H118" s="59" t="str">
        <f>IFERROR(RANK(TableRBCalcPts[[#This Row],[Custom]],TableRBCalcPts[Custom])+COUNTIF($M$3:M118,M118)-1,"")</f>
        <v/>
      </c>
      <c r="I118" s="59">
        <v>116</v>
      </c>
      <c r="J118" s="59" t="str">
        <f>IFERROR(INDEX(TableRBMaster[Player],MATCH(TableRBCalcPts[[#This Row],[RBRef]],TableRBMaster[RBRef],0)),"")</f>
        <v/>
      </c>
      <c r="K118" s="59" t="str">
        <f>IFERROR(INDEX(TableRBMaster[TM],MATCH(TableRBCalcPts[[#This Row],[RBRef]],TableRBMaster[RBRef],0)),"")</f>
        <v/>
      </c>
      <c r="L118" s="59" t="str">
        <f>IFERROR(INDEX(TableRBMaster[BYE],MATCH(TableRBCalcPts[[#This Row],[RBRef]],TableRBMaster[RBRef],0)),"")</f>
        <v/>
      </c>
      <c r="M118" s="60" t="str">
        <f>IFERROR(INDEX(TableRBMaster[Custom],MATCH(TableRBCalcPts[[#This Row],[RBRef]],TableRBMaster[RBRef],0)),"")</f>
        <v/>
      </c>
      <c r="O118" s="59">
        <f>IFERROR(RANK(TableWRCalcPts[[#This Row],[Custom]],TableWRCalcPts[Custom])+COUNTIF($T$3:T118,T118)-1,"")</f>
        <v>86</v>
      </c>
      <c r="P118" s="59">
        <v>116</v>
      </c>
      <c r="Q118" s="59" t="str">
        <f>IFERROR(INDEX(TableWRMaster[Player],MATCH(TableWRCalcPts[[#This Row],[WRRef]],TableWRMaster[WRRef],0)),"")</f>
        <v>Ja'Lynn Polk</v>
      </c>
      <c r="R118" s="59" t="str">
        <f>IFERROR(INDEX(TableWRMaster[TM],MATCH(TableWRCalcPts[[#This Row],[WRRef]],TableWRMaster[WRRef],0)),"")</f>
        <v>NE</v>
      </c>
      <c r="S118" s="59">
        <f>IFERROR(INDEX(TableWRMaster[BYE],MATCH(TableWRCalcPts[[#This Row],[WRRef]],TableWRMaster[WRRef],0)),"")</f>
        <v>14</v>
      </c>
      <c r="T118" s="60">
        <f>IFERROR(INDEX(TableWRMaster[Custom],MATCH(TableWRCalcPts[[#This Row],[WRRef]],TableWRMaster[WRRef],0)),"")</f>
        <v>92.520147055073906</v>
      </c>
      <c r="AI118" s="59" t="s">
        <v>208</v>
      </c>
      <c r="AJ118" s="59">
        <f>IFERROR(RANK(TableWRTECalcPts[[#This Row],[Custom]],TableWRTECalcPts[Custom])+COUNTIF($AP$3:AP118,AP118)-1,"")</f>
        <v>166</v>
      </c>
      <c r="AK118" s="105">
        <v>16</v>
      </c>
      <c r="AL118" s="105" t="str">
        <f>IFERROR(INDEX(TableWRMaster[Player],MATCH(TableWRTECalcPts[[#This Row],[POSRef]],TableWRMaster[WRRef],0)),"")</f>
        <v>Deonte Harty</v>
      </c>
      <c r="AM118" s="105" t="str">
        <f>IFERROR(_xlfn.CONCAT(TableWRTECalcPts[[#This Row],[POS]],INDEX(TableWRRanks[RK],MATCH(TableWRTECalcPts[[#This Row],[PLAYER]],TableWRRanks[Player],0))),"")</f>
        <v>WR119</v>
      </c>
      <c r="AN118" s="105" t="str">
        <f>IFERROR(INDEX(TableWRMaster[TM],MATCH(TableWRTECalcPts[[#This Row],[POSRef]],TableWRMaster[WRRef],0)),"")</f>
        <v>BAL</v>
      </c>
      <c r="AO118" s="105">
        <f>IFERROR(INDEX(TableWRMaster[BYE],MATCH(TableWRTECalcPts[[#This Row],[POSRef]],TableWRMaster[WRRef],0)),"")</f>
        <v>14</v>
      </c>
      <c r="AP118" s="103">
        <f>IFERROR(INDEX(TableWRMaster[Custom],MATCH(TableWRTECalcPts[[#This Row],[POSRef]],TableWRMaster[WRRef],0)),"")</f>
        <v>33.714169441945884</v>
      </c>
    </row>
    <row r="119" spans="8:42" x14ac:dyDescent="0.25">
      <c r="H119" s="59" t="str">
        <f>IFERROR(RANK(TableRBCalcPts[[#This Row],[Custom]],TableRBCalcPts[Custom])+COUNTIF($M$3:M119,M119)-1,"")</f>
        <v/>
      </c>
      <c r="I119" s="59">
        <v>117</v>
      </c>
      <c r="J119" s="59" t="str">
        <f>IFERROR(INDEX(TableRBMaster[Player],MATCH(TableRBCalcPts[[#This Row],[RBRef]],TableRBMaster[RBRef],0)),"")</f>
        <v/>
      </c>
      <c r="K119" s="59" t="str">
        <f>IFERROR(INDEX(TableRBMaster[TM],MATCH(TableRBCalcPts[[#This Row],[RBRef]],TableRBMaster[RBRef],0)),"")</f>
        <v/>
      </c>
      <c r="L119" s="59" t="str">
        <f>IFERROR(INDEX(TableRBMaster[BYE],MATCH(TableRBCalcPts[[#This Row],[RBRef]],TableRBMaster[RBRef],0)),"")</f>
        <v/>
      </c>
      <c r="M119" s="60" t="str">
        <f>IFERROR(INDEX(TableRBMaster[Custom],MATCH(TableRBCalcPts[[#This Row],[RBRef]],TableRBMaster[RBRef],0)),"")</f>
        <v/>
      </c>
      <c r="O119" s="59">
        <f>IFERROR(RANK(TableWRCalcPts[[#This Row],[Custom]],TableWRCalcPts[Custom])+COUNTIF($T$3:T119,T119)-1,"")</f>
        <v>100</v>
      </c>
      <c r="P119" s="59">
        <v>117</v>
      </c>
      <c r="Q119" s="59" t="str">
        <f>IFERROR(INDEX(TableWRMaster[Player],MATCH(TableWRCalcPts[[#This Row],[WRRef]],TableWRMaster[WRRef],0)),"")</f>
        <v>Tyquan Thornton</v>
      </c>
      <c r="R119" s="59" t="str">
        <f>IFERROR(INDEX(TableWRMaster[TM],MATCH(TableWRCalcPts[[#This Row],[WRRef]],TableWRMaster[WRRef],0)),"")</f>
        <v>NE</v>
      </c>
      <c r="S119" s="59">
        <f>IFERROR(INDEX(TableWRMaster[BYE],MATCH(TableWRCalcPts[[#This Row],[WRRef]],TableWRMaster[WRRef],0)),"")</f>
        <v>14</v>
      </c>
      <c r="T119" s="60">
        <f>IFERROR(INDEX(TableWRMaster[Custom],MATCH(TableWRCalcPts[[#This Row],[WRRef]],TableWRMaster[WRRef],0)),"")</f>
        <v>63.087701683529595</v>
      </c>
      <c r="AI119" s="59" t="s">
        <v>208</v>
      </c>
      <c r="AJ119" s="59">
        <f>IFERROR(RANK(TableWRTECalcPts[[#This Row],[Custom]],TableWRTECalcPts[Custom])+COUNTIF($AP$3:AP119,AP119)-1,"")</f>
        <v>65</v>
      </c>
      <c r="AK119" s="105">
        <v>17</v>
      </c>
      <c r="AL119" s="105" t="str">
        <f>IFERROR(INDEX(TableWRMaster[Player],MATCH(TableWRTECalcPts[[#This Row],[POSRef]],TableWRMaster[WRRef],0)),"")</f>
        <v>Keon Coleman</v>
      </c>
      <c r="AM119" s="105" t="str">
        <f>IFERROR(_xlfn.CONCAT(TableWRTECalcPts[[#This Row],[POS]],INDEX(TableWRRanks[RK],MATCH(TableWRTECalcPts[[#This Row],[PLAYER]],TableWRRanks[Player],0))),"")</f>
        <v>WR56</v>
      </c>
      <c r="AN119" s="105" t="str">
        <f>IFERROR(INDEX(TableWRMaster[TM],MATCH(TableWRTECalcPts[[#This Row],[POSRef]],TableWRMaster[WRRef],0)),"")</f>
        <v>BUF</v>
      </c>
      <c r="AO119" s="105">
        <f>IFERROR(INDEX(TableWRMaster[BYE],MATCH(TableWRTECalcPts[[#This Row],[POSRef]],TableWRMaster[WRRef],0)),"")</f>
        <v>12</v>
      </c>
      <c r="AP119" s="103">
        <f>IFERROR(INDEX(TableWRMaster[Custom],MATCH(TableWRTECalcPts[[#This Row],[POSRef]],TableWRMaster[WRRef],0)),"")</f>
        <v>147.77140943565098</v>
      </c>
    </row>
    <row r="120" spans="8:42" x14ac:dyDescent="0.25">
      <c r="H120" s="59" t="str">
        <f>IFERROR(RANK(TableRBCalcPts[[#This Row],[Custom]],TableRBCalcPts[Custom])+COUNTIF($M$3:M120,M120)-1,"")</f>
        <v/>
      </c>
      <c r="I120" s="59">
        <v>118</v>
      </c>
      <c r="J120" s="59" t="str">
        <f>IFERROR(INDEX(TableRBMaster[Player],MATCH(TableRBCalcPts[[#This Row],[RBRef]],TableRBMaster[RBRef],0)),"")</f>
        <v/>
      </c>
      <c r="K120" s="59" t="str">
        <f>IFERROR(INDEX(TableRBMaster[TM],MATCH(TableRBCalcPts[[#This Row],[RBRef]],TableRBMaster[RBRef],0)),"")</f>
        <v/>
      </c>
      <c r="L120" s="59" t="str">
        <f>IFERROR(INDEX(TableRBMaster[BYE],MATCH(TableRBCalcPts[[#This Row],[RBRef]],TableRBMaster[RBRef],0)),"")</f>
        <v/>
      </c>
      <c r="M120" s="60" t="str">
        <f>IFERROR(INDEX(TableRBMaster[Custom],MATCH(TableRBCalcPts[[#This Row],[RBRef]],TableRBMaster[RBRef],0)),"")</f>
        <v/>
      </c>
      <c r="O120" s="59">
        <f>IFERROR(RANK(TableWRCalcPts[[#This Row],[Custom]],TableWRCalcPts[Custom])+COUNTIF($T$3:T120,T120)-1,"")</f>
        <v>145</v>
      </c>
      <c r="P120" s="59">
        <v>118</v>
      </c>
      <c r="Q120" s="59" t="str">
        <f>IFERROR(INDEX(TableWRMaster[Player],MATCH(TableWRCalcPts[[#This Row],[WRRef]],TableWRMaster[WRRef],0)),"")</f>
        <v>Javon Baker</v>
      </c>
      <c r="R120" s="59" t="str">
        <f>IFERROR(INDEX(TableWRMaster[TM],MATCH(TableWRCalcPts[[#This Row],[WRRef]],TableWRMaster[WRRef],0)),"")</f>
        <v>NE</v>
      </c>
      <c r="S120" s="59">
        <f>IFERROR(INDEX(TableWRMaster[BYE],MATCH(TableWRCalcPts[[#This Row],[WRRef]],TableWRMaster[WRRef],0)),"")</f>
        <v>14</v>
      </c>
      <c r="T120" s="60">
        <f>IFERROR(INDEX(TableWRMaster[Custom],MATCH(TableWRCalcPts[[#This Row],[WRRef]],TableWRMaster[WRRef],0)),"")</f>
        <v>16.660263898414083</v>
      </c>
      <c r="AI120" s="59" t="s">
        <v>208</v>
      </c>
      <c r="AJ120" s="59">
        <f>IFERROR(RANK(TableWRTECalcPts[[#This Row],[Custom]],TableWRTECalcPts[Custom])+COUNTIF($AP$3:AP120,AP120)-1,"")</f>
        <v>62</v>
      </c>
      <c r="AK120" s="105">
        <v>18</v>
      </c>
      <c r="AL120" s="105" t="str">
        <f>IFERROR(INDEX(TableWRMaster[Player],MATCH(TableWRTECalcPts[[#This Row],[POSRef]],TableWRMaster[WRRef],0)),"")</f>
        <v>Curtis Samuel</v>
      </c>
      <c r="AM120" s="105" t="str">
        <f>IFERROR(_xlfn.CONCAT(TableWRTECalcPts[[#This Row],[POS]],INDEX(TableWRRanks[RK],MATCH(TableWRTECalcPts[[#This Row],[PLAYER]],TableWRRanks[Player],0))),"")</f>
        <v>WR53</v>
      </c>
      <c r="AN120" s="105" t="str">
        <f>IFERROR(INDEX(TableWRMaster[TM],MATCH(TableWRTECalcPts[[#This Row],[POSRef]],TableWRMaster[WRRef],0)),"")</f>
        <v>BUF</v>
      </c>
      <c r="AO120" s="105">
        <f>IFERROR(INDEX(TableWRMaster[BYE],MATCH(TableWRTECalcPts[[#This Row],[POSRef]],TableWRMaster[WRRef],0)),"")</f>
        <v>12</v>
      </c>
      <c r="AP120" s="103">
        <f>IFERROR(INDEX(TableWRMaster[Custom],MATCH(TableWRTECalcPts[[#This Row],[POSRef]],TableWRMaster[WRRef],0)),"")</f>
        <v>152.29973704531247</v>
      </c>
    </row>
    <row r="121" spans="8:42" x14ac:dyDescent="0.25">
      <c r="H121" s="59" t="str">
        <f>IFERROR(RANK(TableRBCalcPts[[#This Row],[Custom]],TableRBCalcPts[Custom])+COUNTIF($M$3:M121,M121)-1,"")</f>
        <v/>
      </c>
      <c r="I121" s="59">
        <v>119</v>
      </c>
      <c r="J121" s="59" t="str">
        <f>IFERROR(INDEX(TableRBMaster[Player],MATCH(TableRBCalcPts[[#This Row],[RBRef]],TableRBMaster[RBRef],0)),"")</f>
        <v/>
      </c>
      <c r="K121" s="59" t="str">
        <f>IFERROR(INDEX(TableRBMaster[TM],MATCH(TableRBCalcPts[[#This Row],[RBRef]],TableRBMaster[RBRef],0)),"")</f>
        <v/>
      </c>
      <c r="L121" s="59" t="str">
        <f>IFERROR(INDEX(TableRBMaster[BYE],MATCH(TableRBCalcPts[[#This Row],[RBRef]],TableRBMaster[RBRef],0)),"")</f>
        <v/>
      </c>
      <c r="M121" s="60" t="str">
        <f>IFERROR(INDEX(TableRBMaster[Custom],MATCH(TableRBCalcPts[[#This Row],[RBRef]],TableRBMaster[RBRef],0)),"")</f>
        <v/>
      </c>
      <c r="O121" s="59">
        <f>IFERROR(RANK(TableWRCalcPts[[#This Row],[Custom]],TableWRCalcPts[Custom])+COUNTIF($T$3:T121,T121)-1,"")</f>
        <v>85</v>
      </c>
      <c r="P121" s="59">
        <v>119</v>
      </c>
      <c r="Q121" s="59" t="str">
        <f>IFERROR(INDEX(TableWRMaster[Player],MATCH(TableWRCalcPts[[#This Row],[WRRef]],TableWRMaster[WRRef],0)),"")</f>
        <v>K.J. Osborn</v>
      </c>
      <c r="R121" s="59" t="str">
        <f>IFERROR(INDEX(TableWRMaster[TM],MATCH(TableWRCalcPts[[#This Row],[WRRef]],TableWRMaster[WRRef],0)),"")</f>
        <v>NE</v>
      </c>
      <c r="S121" s="59">
        <f>IFERROR(INDEX(TableWRMaster[BYE],MATCH(TableWRCalcPts[[#This Row],[WRRef]],TableWRMaster[WRRef],0)),"")</f>
        <v>14</v>
      </c>
      <c r="T121" s="60">
        <f>IFERROR(INDEX(TableWRMaster[Custom],MATCH(TableWRCalcPts[[#This Row],[WRRef]],TableWRMaster[WRRef],0)),"")</f>
        <v>93.985026112107334</v>
      </c>
      <c r="AI121" s="59" t="s">
        <v>208</v>
      </c>
      <c r="AJ121" s="59">
        <f>IFERROR(RANK(TableWRTECalcPts[[#This Row],[Custom]],TableWRTECalcPts[Custom])+COUNTIF($AP$3:AP121,AP121)-1,"")</f>
        <v>37</v>
      </c>
      <c r="AK121" s="105">
        <v>19</v>
      </c>
      <c r="AL121" s="105" t="str">
        <f>IFERROR(INDEX(TableWRMaster[Player],MATCH(TableWRTECalcPts[[#This Row],[POSRef]],TableWRMaster[WRRef],0)),"")</f>
        <v>Khalil Shakir</v>
      </c>
      <c r="AM121" s="105" t="str">
        <f>IFERROR(_xlfn.CONCAT(TableWRTECalcPts[[#This Row],[POS]],INDEX(TableWRRanks[RK],MATCH(TableWRTECalcPts[[#This Row],[PLAYER]],TableWRRanks[Player],0))),"")</f>
        <v>WR33</v>
      </c>
      <c r="AN121" s="105" t="str">
        <f>IFERROR(INDEX(TableWRMaster[TM],MATCH(TableWRTECalcPts[[#This Row],[POSRef]],TableWRMaster[WRRef],0)),"")</f>
        <v>BUF</v>
      </c>
      <c r="AO121" s="105">
        <f>IFERROR(INDEX(TableWRMaster[BYE],MATCH(TableWRTECalcPts[[#This Row],[POSRef]],TableWRMaster[WRRef],0)),"")</f>
        <v>12</v>
      </c>
      <c r="AP121" s="103">
        <f>IFERROR(INDEX(TableWRMaster[Custom],MATCH(TableWRTECalcPts[[#This Row],[POSRef]],TableWRMaster[WRRef],0)),"")</f>
        <v>177.32419603379708</v>
      </c>
    </row>
    <row r="122" spans="8:42" x14ac:dyDescent="0.25">
      <c r="H122" s="59" t="str">
        <f>IFERROR(RANK(TableRBCalcPts[[#This Row],[Custom]],TableRBCalcPts[Custom])+COUNTIF($M$3:M122,M122)-1,"")</f>
        <v/>
      </c>
      <c r="I122" s="59">
        <v>120</v>
      </c>
      <c r="J122" s="59" t="str">
        <f>IFERROR(INDEX(TableRBMaster[Player],MATCH(TableRBCalcPts[[#This Row],[RBRef]],TableRBMaster[RBRef],0)),"")</f>
        <v/>
      </c>
      <c r="K122" s="59" t="str">
        <f>IFERROR(INDEX(TableRBMaster[TM],MATCH(TableRBCalcPts[[#This Row],[RBRef]],TableRBMaster[RBRef],0)),"")</f>
        <v/>
      </c>
      <c r="L122" s="59" t="str">
        <f>IFERROR(INDEX(TableRBMaster[BYE],MATCH(TableRBCalcPts[[#This Row],[RBRef]],TableRBMaster[RBRef],0)),"")</f>
        <v/>
      </c>
      <c r="M122" s="60" t="str">
        <f>IFERROR(INDEX(TableRBMaster[Custom],MATCH(TableRBCalcPts[[#This Row],[RBRef]],TableRBMaster[RBRef],0)),"")</f>
        <v/>
      </c>
      <c r="O122" s="59">
        <f>IFERROR(RANK(TableWRCalcPts[[#This Row],[Custom]],TableWRCalcPts[Custom])+COUNTIF($T$3:T122,T122)-1,"")</f>
        <v>24</v>
      </c>
      <c r="P122" s="59">
        <v>120</v>
      </c>
      <c r="Q122" s="59" t="str">
        <f>IFERROR(INDEX(TableWRMaster[Player],MATCH(TableWRCalcPts[[#This Row],[WRRef]],TableWRMaster[WRRef],0)),"")</f>
        <v>Chris Olave</v>
      </c>
      <c r="R122" s="59" t="str">
        <f>IFERROR(INDEX(TableWRMaster[TM],MATCH(TableWRCalcPts[[#This Row],[WRRef]],TableWRMaster[WRRef],0)),"")</f>
        <v>NO</v>
      </c>
      <c r="S122" s="59">
        <f>IFERROR(INDEX(TableWRMaster[BYE],MATCH(TableWRCalcPts[[#This Row],[WRRef]],TableWRMaster[WRRef],0)),"")</f>
        <v>12</v>
      </c>
      <c r="T122" s="60">
        <f>IFERROR(INDEX(TableWRMaster[Custom],MATCH(TableWRCalcPts[[#This Row],[WRRef]],TableWRMaster[WRRef],0)),"")</f>
        <v>191.5147230908091</v>
      </c>
      <c r="AI122" s="59" t="s">
        <v>208</v>
      </c>
      <c r="AJ122" s="59">
        <f>IFERROR(RANK(TableWRTECalcPts[[#This Row],[Custom]],TableWRTECalcPts[Custom])+COUNTIF($AP$3:AP122,AP122)-1,"")</f>
        <v>161</v>
      </c>
      <c r="AK122" s="105">
        <v>20</v>
      </c>
      <c r="AL122" s="105" t="str">
        <f>IFERROR(INDEX(TableWRMaster[Player],MATCH(TableWRTECalcPts[[#This Row],[POSRef]],TableWRMaster[WRRef],0)),"")</f>
        <v>Mack Hollins</v>
      </c>
      <c r="AM122" s="105" t="str">
        <f>IFERROR(_xlfn.CONCAT(TableWRTECalcPts[[#This Row],[POS]],INDEX(TableWRRanks[RK],MATCH(TableWRTECalcPts[[#This Row],[PLAYER]],TableWRRanks[Player],0))),"")</f>
        <v>WR115</v>
      </c>
      <c r="AN122" s="105" t="str">
        <f>IFERROR(INDEX(TableWRMaster[TM],MATCH(TableWRTECalcPts[[#This Row],[POSRef]],TableWRMaster[WRRef],0)),"")</f>
        <v>BUF</v>
      </c>
      <c r="AO122" s="105">
        <f>IFERROR(INDEX(TableWRMaster[BYE],MATCH(TableWRTECalcPts[[#This Row],[POSRef]],TableWRMaster[WRRef],0)),"")</f>
        <v>12</v>
      </c>
      <c r="AP122" s="103">
        <f>IFERROR(INDEX(TableWRMaster[Custom],MATCH(TableWRTECalcPts[[#This Row],[POSRef]],TableWRMaster[WRRef],0)),"")</f>
        <v>38.947801670303662</v>
      </c>
    </row>
    <row r="123" spans="8:42" x14ac:dyDescent="0.25">
      <c r="H123" s="59" t="str">
        <f>IFERROR(RANK(TableRBCalcPts[[#This Row],[Custom]],TableRBCalcPts[Custom])+COUNTIF($M$3:M123,M123)-1,"")</f>
        <v/>
      </c>
      <c r="I123" s="59">
        <v>121</v>
      </c>
      <c r="J123" s="59" t="str">
        <f>IFERROR(INDEX(TableRBMaster[Player],MATCH(TableRBCalcPts[[#This Row],[RBRef]],TableRBMaster[RBRef],0)),"")</f>
        <v/>
      </c>
      <c r="K123" s="59" t="str">
        <f>IFERROR(INDEX(TableRBMaster[TM],MATCH(TableRBCalcPts[[#This Row],[RBRef]],TableRBMaster[RBRef],0)),"")</f>
        <v/>
      </c>
      <c r="L123" s="59" t="str">
        <f>IFERROR(INDEX(TableRBMaster[BYE],MATCH(TableRBCalcPts[[#This Row],[RBRef]],TableRBMaster[RBRef],0)),"")</f>
        <v/>
      </c>
      <c r="M123" s="60" t="str">
        <f>IFERROR(INDEX(TableRBMaster[Custom],MATCH(TableRBCalcPts[[#This Row],[RBRef]],TableRBMaster[RBRef],0)),"")</f>
        <v/>
      </c>
      <c r="O123" s="59">
        <f>IFERROR(RANK(TableWRCalcPts[[#This Row],[Custom]],TableWRCalcPts[Custom])+COUNTIF($T$3:T123,T123)-1,"")</f>
        <v>58</v>
      </c>
      <c r="P123" s="59">
        <v>121</v>
      </c>
      <c r="Q123" s="59" t="str">
        <f>IFERROR(INDEX(TableWRMaster[Player],MATCH(TableWRCalcPts[[#This Row],[WRRef]],TableWRMaster[WRRef],0)),"")</f>
        <v>Rashid Shaheed</v>
      </c>
      <c r="R123" s="59" t="str">
        <f>IFERROR(INDEX(TableWRMaster[TM],MATCH(TableWRCalcPts[[#This Row],[WRRef]],TableWRMaster[WRRef],0)),"")</f>
        <v>NO</v>
      </c>
      <c r="S123" s="59">
        <f>IFERROR(INDEX(TableWRMaster[BYE],MATCH(TableWRCalcPts[[#This Row],[WRRef]],TableWRMaster[WRRef],0)),"")</f>
        <v>12</v>
      </c>
      <c r="T123" s="60">
        <f>IFERROR(INDEX(TableWRMaster[Custom],MATCH(TableWRCalcPts[[#This Row],[WRRef]],TableWRMaster[WRRef],0)),"")</f>
        <v>146.61073300360175</v>
      </c>
      <c r="AI123" s="59" t="s">
        <v>208</v>
      </c>
      <c r="AJ123" s="59">
        <f>IFERROR(RANK(TableWRTECalcPts[[#This Row],[Custom]],TableWRTECalcPts[Custom])+COUNTIF($AP$3:AP123,AP123)-1,"")</f>
        <v>225</v>
      </c>
      <c r="AK123" s="105">
        <v>21</v>
      </c>
      <c r="AL123" s="105" t="str">
        <f>IFERROR(INDEX(TableWRMaster[Player],MATCH(TableWRTECalcPts[[#This Row],[POSRef]],TableWRMaster[WRRef],0)),"")</f>
        <v>Marquez Valdes-Scantling</v>
      </c>
      <c r="AM123" s="105" t="str">
        <f>IFERROR(_xlfn.CONCAT(TableWRTECalcPts[[#This Row],[POS]],INDEX(TableWRRanks[RK],MATCH(TableWRTECalcPts[[#This Row],[PLAYER]],TableWRRanks[Player],0))),"")</f>
        <v>WR158</v>
      </c>
      <c r="AN123" s="105" t="str">
        <f>IFERROR(INDEX(TableWRMaster[TM],MATCH(TableWRTECalcPts[[#This Row],[POSRef]],TableWRMaster[WRRef],0)),"")</f>
        <v>BUF</v>
      </c>
      <c r="AO123" s="105">
        <f>IFERROR(INDEX(TableWRMaster[BYE],MATCH(TableWRTECalcPts[[#This Row],[POSRef]],TableWRMaster[WRRef],0)),"")</f>
        <v>12</v>
      </c>
      <c r="AP123" s="103">
        <f>IFERROR(INDEX(TableWRMaster[Custom],MATCH(TableWRTECalcPts[[#This Row],[POSRef]],TableWRMaster[WRRef],0)),"")</f>
        <v>11.451657861503998</v>
      </c>
    </row>
    <row r="124" spans="8:42" x14ac:dyDescent="0.25">
      <c r="H124" s="59" t="str">
        <f>IFERROR(RANK(TableRBCalcPts[[#This Row],[Custom]],TableRBCalcPts[Custom])+COUNTIF($M$3:M124,M124)-1,"")</f>
        <v/>
      </c>
      <c r="I124" s="59">
        <v>122</v>
      </c>
      <c r="J124" s="59" t="str">
        <f>IFERROR(INDEX(TableRBMaster[Player],MATCH(TableRBCalcPts[[#This Row],[RBRef]],TableRBMaster[RBRef],0)),"")</f>
        <v/>
      </c>
      <c r="K124" s="59" t="str">
        <f>IFERROR(INDEX(TableRBMaster[TM],MATCH(TableRBCalcPts[[#This Row],[RBRef]],TableRBMaster[RBRef],0)),"")</f>
        <v/>
      </c>
      <c r="L124" s="59" t="str">
        <f>IFERROR(INDEX(TableRBMaster[BYE],MATCH(TableRBCalcPts[[#This Row],[RBRef]],TableRBMaster[RBRef],0)),"")</f>
        <v/>
      </c>
      <c r="M124" s="60" t="str">
        <f>IFERROR(INDEX(TableRBMaster[Custom],MATCH(TableRBCalcPts[[#This Row],[RBRef]],TableRBMaster[RBRef],0)),"")</f>
        <v/>
      </c>
      <c r="O124" s="59">
        <f>IFERROR(RANK(TableWRCalcPts[[#This Row],[Custom]],TableWRCalcPts[Custom])+COUNTIF($T$3:T124,T124)-1,"")</f>
        <v>99</v>
      </c>
      <c r="P124" s="59">
        <v>122</v>
      </c>
      <c r="Q124" s="59" t="str">
        <f>IFERROR(INDEX(TableWRMaster[Player],MATCH(TableWRCalcPts[[#This Row],[WRRef]],TableWRMaster[WRRef],0)),"")</f>
        <v>Cedrick Wilson</v>
      </c>
      <c r="R124" s="59" t="str">
        <f>IFERROR(INDEX(TableWRMaster[TM],MATCH(TableWRCalcPts[[#This Row],[WRRef]],TableWRMaster[WRRef],0)),"")</f>
        <v>NO</v>
      </c>
      <c r="S124" s="59">
        <f>IFERROR(INDEX(TableWRMaster[BYE],MATCH(TableWRCalcPts[[#This Row],[WRRef]],TableWRMaster[WRRef],0)),"")</f>
        <v>12</v>
      </c>
      <c r="T124" s="60">
        <f>IFERROR(INDEX(TableWRMaster[Custom],MATCH(TableWRCalcPts[[#This Row],[WRRef]],TableWRMaster[WRRef],0)),"")</f>
        <v>63.135295687497305</v>
      </c>
      <c r="AI124" s="59" t="s">
        <v>208</v>
      </c>
      <c r="AJ124" s="59">
        <f>IFERROR(RANK(TableWRTECalcPts[[#This Row],[Custom]],TableWRTECalcPts[Custom])+COUNTIF($AP$3:AP124,AP124)-1,"")</f>
        <v>42</v>
      </c>
      <c r="AK124" s="105">
        <v>22</v>
      </c>
      <c r="AL124" s="105" t="str">
        <f>IFERROR(INDEX(TableWRMaster[Player],MATCH(TableWRTECalcPts[[#This Row],[POSRef]],TableWRMaster[WRRef],0)),"")</f>
        <v>Diontae Johnson</v>
      </c>
      <c r="AM124" s="105" t="str">
        <f>IFERROR(_xlfn.CONCAT(TableWRTECalcPts[[#This Row],[POS]],INDEX(TableWRRanks[RK],MATCH(TableWRTECalcPts[[#This Row],[PLAYER]],TableWRRanks[Player],0))),"")</f>
        <v>WR38</v>
      </c>
      <c r="AN124" s="105" t="str">
        <f>IFERROR(INDEX(TableWRMaster[TM],MATCH(TableWRTECalcPts[[#This Row],[POSRef]],TableWRMaster[WRRef],0)),"")</f>
        <v>CAR</v>
      </c>
      <c r="AO124" s="105">
        <f>IFERROR(INDEX(TableWRMaster[BYE],MATCH(TableWRTECalcPts[[#This Row],[POSRef]],TableWRMaster[WRRef],0)),"")</f>
        <v>11</v>
      </c>
      <c r="AP124" s="103">
        <f>IFERROR(INDEX(TableWRMaster[Custom],MATCH(TableWRTECalcPts[[#This Row],[POSRef]],TableWRMaster[WRRef],0)),"")</f>
        <v>171.49062820982402</v>
      </c>
    </row>
    <row r="125" spans="8:42" x14ac:dyDescent="0.25">
      <c r="H125" s="59" t="str">
        <f>IFERROR(RANK(TableRBCalcPts[[#This Row],[Custom]],TableRBCalcPts[Custom])+COUNTIF($M$3:M125,M125)-1,"")</f>
        <v/>
      </c>
      <c r="I125" s="59">
        <v>123</v>
      </c>
      <c r="J125" s="59" t="str">
        <f>IFERROR(INDEX(TableRBMaster[Player],MATCH(TableRBCalcPts[[#This Row],[RBRef]],TableRBMaster[RBRef],0)),"")</f>
        <v/>
      </c>
      <c r="K125" s="59" t="str">
        <f>IFERROR(INDEX(TableRBMaster[TM],MATCH(TableRBCalcPts[[#This Row],[RBRef]],TableRBMaster[RBRef],0)),"")</f>
        <v/>
      </c>
      <c r="L125" s="59" t="str">
        <f>IFERROR(INDEX(TableRBMaster[BYE],MATCH(TableRBCalcPts[[#This Row],[RBRef]],TableRBMaster[RBRef],0)),"")</f>
        <v/>
      </c>
      <c r="M125" s="60" t="str">
        <f>IFERROR(INDEX(TableRBMaster[Custom],MATCH(TableRBCalcPts[[#This Row],[RBRef]],TableRBMaster[RBRef],0)),"")</f>
        <v/>
      </c>
      <c r="O125" s="59">
        <f>IFERROR(RANK(TableWRCalcPts[[#This Row],[Custom]],TableWRCalcPts[Custom])+COUNTIF($T$3:T125,T125)-1,"")</f>
        <v>111</v>
      </c>
      <c r="P125" s="59">
        <v>123</v>
      </c>
      <c r="Q125" s="59" t="str">
        <f>IFERROR(INDEX(TableWRMaster[Player],MATCH(TableWRCalcPts[[#This Row],[WRRef]],TableWRMaster[WRRef],0)),"")</f>
        <v>A.T. Perry</v>
      </c>
      <c r="R125" s="59" t="str">
        <f>IFERROR(INDEX(TableWRMaster[TM],MATCH(TableWRCalcPts[[#This Row],[WRRef]],TableWRMaster[WRRef],0)),"")</f>
        <v>NO</v>
      </c>
      <c r="S125" s="59">
        <f>IFERROR(INDEX(TableWRMaster[BYE],MATCH(TableWRCalcPts[[#This Row],[WRRef]],TableWRMaster[WRRef],0)),"")</f>
        <v>12</v>
      </c>
      <c r="T125" s="60">
        <f>IFERROR(INDEX(TableWRMaster[Custom],MATCH(TableWRCalcPts[[#This Row],[WRRef]],TableWRMaster[WRRef],0)),"")</f>
        <v>45.789766470240522</v>
      </c>
      <c r="AI125" s="59" t="s">
        <v>208</v>
      </c>
      <c r="AJ125" s="59">
        <f>IFERROR(RANK(TableWRTECalcPts[[#This Row],[Custom]],TableWRTECalcPts[Custom])+COUNTIF($AP$3:AP125,AP125)-1,"")</f>
        <v>77</v>
      </c>
      <c r="AK125" s="105">
        <v>23</v>
      </c>
      <c r="AL125" s="105" t="str">
        <f>IFERROR(INDEX(TableWRMaster[Player],MATCH(TableWRTECalcPts[[#This Row],[POSRef]],TableWRMaster[WRRef],0)),"")</f>
        <v>Xavier Legette</v>
      </c>
      <c r="AM125" s="105" t="str">
        <f>IFERROR(_xlfn.CONCAT(TableWRTECalcPts[[#This Row],[POS]],INDEX(TableWRRanks[RK],MATCH(TableWRTECalcPts[[#This Row],[PLAYER]],TableWRRanks[Player],0))),"")</f>
        <v>WR65</v>
      </c>
      <c r="AN125" s="105" t="str">
        <f>IFERROR(INDEX(TableWRMaster[TM],MATCH(TableWRTECalcPts[[#This Row],[POSRef]],TableWRMaster[WRRef],0)),"")</f>
        <v>CAR</v>
      </c>
      <c r="AO125" s="105">
        <f>IFERROR(INDEX(TableWRMaster[BYE],MATCH(TableWRTECalcPts[[#This Row],[POSRef]],TableWRMaster[WRRef],0)),"")</f>
        <v>11</v>
      </c>
      <c r="AP125" s="103">
        <f>IFERROR(INDEX(TableWRMaster[Custom],MATCH(TableWRTECalcPts[[#This Row],[POSRef]],TableWRMaster[WRRef],0)),"")</f>
        <v>126.21441605736145</v>
      </c>
    </row>
    <row r="126" spans="8:42" x14ac:dyDescent="0.25">
      <c r="H126" s="59" t="str">
        <f>IFERROR(RANK(TableRBCalcPts[[#This Row],[Custom]],TableRBCalcPts[Custom])+COUNTIF($M$3:M126,M126)-1,"")</f>
        <v/>
      </c>
      <c r="I126" s="59">
        <v>124</v>
      </c>
      <c r="J126" s="59" t="str">
        <f>IFERROR(INDEX(TableRBMaster[Player],MATCH(TableRBCalcPts[[#This Row],[RBRef]],TableRBMaster[RBRef],0)),"")</f>
        <v/>
      </c>
      <c r="K126" s="59" t="str">
        <f>IFERROR(INDEX(TableRBMaster[TM],MATCH(TableRBCalcPts[[#This Row],[RBRef]],TableRBMaster[RBRef],0)),"")</f>
        <v/>
      </c>
      <c r="L126" s="59" t="str">
        <f>IFERROR(INDEX(TableRBMaster[BYE],MATCH(TableRBCalcPts[[#This Row],[RBRef]],TableRBMaster[RBRef],0)),"")</f>
        <v/>
      </c>
      <c r="M126" s="60" t="str">
        <f>IFERROR(INDEX(TableRBMaster[Custom],MATCH(TableRBCalcPts[[#This Row],[RBRef]],TableRBMaster[RBRef],0)),"")</f>
        <v/>
      </c>
      <c r="O126" s="59">
        <f>IFERROR(RANK(TableWRCalcPts[[#This Row],[Custom]],TableWRCalcPts[Custom])+COUNTIF($T$3:T126,T126)-1,"")</f>
        <v>141</v>
      </c>
      <c r="P126" s="59">
        <v>124</v>
      </c>
      <c r="Q126" s="59" t="str">
        <f>IFERROR(INDEX(TableWRMaster[Player],MATCH(TableWRCalcPts[[#This Row],[WRRef]],TableWRMaster[WRRef],0)),"")</f>
        <v>Bub Means</v>
      </c>
      <c r="R126" s="59" t="str">
        <f>IFERROR(INDEX(TableWRMaster[TM],MATCH(TableWRCalcPts[[#This Row],[WRRef]],TableWRMaster[WRRef],0)),"")</f>
        <v>NO</v>
      </c>
      <c r="S126" s="59">
        <f>IFERROR(INDEX(TableWRMaster[BYE],MATCH(TableWRCalcPts[[#This Row],[WRRef]],TableWRMaster[WRRef],0)),"")</f>
        <v>12</v>
      </c>
      <c r="T126" s="60">
        <f>IFERROR(INDEX(TableWRMaster[Custom],MATCH(TableWRCalcPts[[#This Row],[WRRef]],TableWRMaster[WRRef],0)),"")</f>
        <v>19.239112264455407</v>
      </c>
      <c r="AI126" s="59" t="s">
        <v>208</v>
      </c>
      <c r="AJ126" s="59">
        <f>IFERROR(RANK(TableWRTECalcPts[[#This Row],[Custom]],TableWRTECalcPts[Custom])+COUNTIF($AP$3:AP126,AP126)-1,"")</f>
        <v>72</v>
      </c>
      <c r="AK126" s="105">
        <v>24</v>
      </c>
      <c r="AL126" s="105" t="str">
        <f>IFERROR(INDEX(TableWRMaster[Player],MATCH(TableWRTECalcPts[[#This Row],[POSRef]],TableWRMaster[WRRef],0)),"")</f>
        <v>Adam Thielen</v>
      </c>
      <c r="AM126" s="105" t="str">
        <f>IFERROR(_xlfn.CONCAT(TableWRTECalcPts[[#This Row],[POS]],INDEX(TableWRRanks[RK],MATCH(TableWRTECalcPts[[#This Row],[PLAYER]],TableWRRanks[Player],0))),"")</f>
        <v>WR61</v>
      </c>
      <c r="AN126" s="105" t="str">
        <f>IFERROR(INDEX(TableWRMaster[TM],MATCH(TableWRTECalcPts[[#This Row],[POSRef]],TableWRMaster[WRRef],0)),"")</f>
        <v>CAR</v>
      </c>
      <c r="AO126" s="105">
        <f>IFERROR(INDEX(TableWRMaster[BYE],MATCH(TableWRTECalcPts[[#This Row],[POSRef]],TableWRMaster[WRRef],0)),"")</f>
        <v>11</v>
      </c>
      <c r="AP126" s="103">
        <f>IFERROR(INDEX(TableWRMaster[Custom],MATCH(TableWRTECalcPts[[#This Row],[POSRef]],TableWRMaster[WRRef],0)),"")</f>
        <v>136.73499170173079</v>
      </c>
    </row>
    <row r="127" spans="8:42" x14ac:dyDescent="0.25">
      <c r="H127" s="59" t="str">
        <f>IFERROR(RANK(TableRBCalcPts[[#This Row],[Custom]],TableRBCalcPts[Custom])+COUNTIF($M$3:M127,M127)-1,"")</f>
        <v/>
      </c>
      <c r="I127" s="59">
        <v>125</v>
      </c>
      <c r="J127" s="59" t="str">
        <f>IFERROR(INDEX(TableRBMaster[Player],MATCH(TableRBCalcPts[[#This Row],[RBRef]],TableRBMaster[RBRef],0)),"")</f>
        <v/>
      </c>
      <c r="K127" s="59" t="str">
        <f>IFERROR(INDEX(TableRBMaster[TM],MATCH(TableRBCalcPts[[#This Row],[RBRef]],TableRBMaster[RBRef],0)),"")</f>
        <v/>
      </c>
      <c r="L127" s="59" t="str">
        <f>IFERROR(INDEX(TableRBMaster[BYE],MATCH(TableRBCalcPts[[#This Row],[RBRef]],TableRBMaster[RBRef],0)),"")</f>
        <v/>
      </c>
      <c r="M127" s="60" t="str">
        <f>IFERROR(INDEX(TableRBMaster[Custom],MATCH(TableRBCalcPts[[#This Row],[RBRef]],TableRBMaster[RBRef],0)),"")</f>
        <v/>
      </c>
      <c r="O127" s="59">
        <f>IFERROR(RANK(TableWRCalcPts[[#This Row],[Custom]],TableWRCalcPts[Custom])+COUNTIF($T$3:T127,T127)-1,"")</f>
        <v>174</v>
      </c>
      <c r="P127" s="59">
        <v>125</v>
      </c>
      <c r="Q127" s="59" t="str">
        <f>IFERROR(INDEX(TableWRMaster[Player],MATCH(TableWRCalcPts[[#This Row],[WRRef]],TableWRMaster[WRRef],0)),"")</f>
        <v>Stanley Morgan</v>
      </c>
      <c r="R127" s="59" t="str">
        <f>IFERROR(INDEX(TableWRMaster[TM],MATCH(TableWRCalcPts[[#This Row],[WRRef]],TableWRMaster[WRRef],0)),"")</f>
        <v>NO</v>
      </c>
      <c r="S127" s="59">
        <f>IFERROR(INDEX(TableWRMaster[BYE],MATCH(TableWRCalcPts[[#This Row],[WRRef]],TableWRMaster[WRRef],0)),"")</f>
        <v>12</v>
      </c>
      <c r="T127" s="60">
        <f>IFERROR(INDEX(TableWRMaster[Custom],MATCH(TableWRCalcPts[[#This Row],[WRRef]],TableWRMaster[WRRef],0)),"")</f>
        <v>6.7321870722144546</v>
      </c>
      <c r="AI127" s="59" t="s">
        <v>208</v>
      </c>
      <c r="AJ127" s="59">
        <f>IFERROR(RANK(TableWRTECalcPts[[#This Row],[Custom]],TableWRTECalcPts[Custom])+COUNTIF($AP$3:AP127,AP127)-1,"")</f>
        <v>137</v>
      </c>
      <c r="AK127" s="105">
        <v>25</v>
      </c>
      <c r="AL127" s="105" t="str">
        <f>IFERROR(INDEX(TableWRMaster[Player],MATCH(TableWRTECalcPts[[#This Row],[POSRef]],TableWRMaster[WRRef],0)),"")</f>
        <v>Jonathan Mingo</v>
      </c>
      <c r="AM127" s="105" t="str">
        <f>IFERROR(_xlfn.CONCAT(TableWRTECalcPts[[#This Row],[POS]],INDEX(TableWRRanks[RK],MATCH(TableWRTECalcPts[[#This Row],[PLAYER]],TableWRRanks[Player],0))),"")</f>
        <v>WR102</v>
      </c>
      <c r="AN127" s="105" t="str">
        <f>IFERROR(INDEX(TableWRMaster[TM],MATCH(TableWRTECalcPts[[#This Row],[POSRef]],TableWRMaster[WRRef],0)),"")</f>
        <v>CAR</v>
      </c>
      <c r="AO127" s="105">
        <f>IFERROR(INDEX(TableWRMaster[BYE],MATCH(TableWRTECalcPts[[#This Row],[POSRef]],TableWRMaster[WRRef],0)),"")</f>
        <v>11</v>
      </c>
      <c r="AP127" s="103">
        <f>IFERROR(INDEX(TableWRMaster[Custom],MATCH(TableWRTECalcPts[[#This Row],[POSRef]],TableWRMaster[WRRef],0)),"")</f>
        <v>58.748444769088849</v>
      </c>
    </row>
    <row r="128" spans="8:42" x14ac:dyDescent="0.25">
      <c r="H128" s="59" t="str">
        <f>IFERROR(RANK(TableRBCalcPts[[#This Row],[Custom]],TableRBCalcPts[Custom])+COUNTIF($M$3:M128,M128)-1,"")</f>
        <v/>
      </c>
      <c r="I128" s="59">
        <v>126</v>
      </c>
      <c r="J128" s="59" t="str">
        <f>IFERROR(INDEX(TableRBMaster[Player],MATCH(TableRBCalcPts[[#This Row],[RBRef]],TableRBMaster[RBRef],0)),"")</f>
        <v/>
      </c>
      <c r="K128" s="59" t="str">
        <f>IFERROR(INDEX(TableRBMaster[TM],MATCH(TableRBCalcPts[[#This Row],[RBRef]],TableRBMaster[RBRef],0)),"")</f>
        <v/>
      </c>
      <c r="L128" s="59" t="str">
        <f>IFERROR(INDEX(TableRBMaster[BYE],MATCH(TableRBCalcPts[[#This Row],[RBRef]],TableRBMaster[RBRef],0)),"")</f>
        <v/>
      </c>
      <c r="M128" s="60" t="str">
        <f>IFERROR(INDEX(TableRBMaster[Custom],MATCH(TableRBCalcPts[[#This Row],[RBRef]],TableRBMaster[RBRef],0)),"")</f>
        <v/>
      </c>
      <c r="O128" s="59">
        <f>IFERROR(RANK(TableWRCalcPts[[#This Row],[Custom]],TableWRCalcPts[Custom])+COUNTIF($T$3:T128,T128)-1,"")</f>
        <v>26</v>
      </c>
      <c r="P128" s="59">
        <v>126</v>
      </c>
      <c r="Q128" s="59" t="str">
        <f>IFERROR(INDEX(TableWRMaster[Player],MATCH(TableWRCalcPts[[#This Row],[WRRef]],TableWRMaster[WRRef],0)),"")</f>
        <v>Malik Nabers</v>
      </c>
      <c r="R128" s="59" t="str">
        <f>IFERROR(INDEX(TableWRMaster[TM],MATCH(TableWRCalcPts[[#This Row],[WRRef]],TableWRMaster[WRRef],0)),"")</f>
        <v>NYG</v>
      </c>
      <c r="S128" s="59">
        <f>IFERROR(INDEX(TableWRMaster[BYE],MATCH(TableWRCalcPts[[#This Row],[WRRef]],TableWRMaster[WRRef],0)),"")</f>
        <v>11</v>
      </c>
      <c r="T128" s="60">
        <f>IFERROR(INDEX(TableWRMaster[Custom],MATCH(TableWRCalcPts[[#This Row],[WRRef]],TableWRMaster[WRRef],0)),"")</f>
        <v>188.23503874057269</v>
      </c>
      <c r="AI128" s="59" t="s">
        <v>208</v>
      </c>
      <c r="AJ128" s="59">
        <f>IFERROR(RANK(TableWRTECalcPts[[#This Row],[Custom]],TableWRTECalcPts[Custom])+COUNTIF($AP$3:AP128,AP128)-1,"")</f>
        <v>187</v>
      </c>
      <c r="AK128" s="105">
        <v>26</v>
      </c>
      <c r="AL128" s="105" t="str">
        <f>IFERROR(INDEX(TableWRMaster[Player],MATCH(TableWRTECalcPts[[#This Row],[POSRef]],TableWRMaster[WRRef],0)),"")</f>
        <v>David Moore</v>
      </c>
      <c r="AM128" s="105" t="str">
        <f>IFERROR(_xlfn.CONCAT(TableWRTECalcPts[[#This Row],[POS]],INDEX(TableWRRanks[RK],MATCH(TableWRTECalcPts[[#This Row],[PLAYER]],TableWRRanks[Player],0))),"")</f>
        <v>WR133</v>
      </c>
      <c r="AN128" s="105" t="str">
        <f>IFERROR(INDEX(TableWRMaster[TM],MATCH(TableWRTECalcPts[[#This Row],[POSRef]],TableWRMaster[WRRef],0)),"")</f>
        <v>CAR</v>
      </c>
      <c r="AO128" s="105">
        <f>IFERROR(INDEX(TableWRMaster[BYE],MATCH(TableWRTECalcPts[[#This Row],[POSRef]],TableWRMaster[WRRef],0)),"")</f>
        <v>11</v>
      </c>
      <c r="AP128" s="103">
        <f>IFERROR(INDEX(TableWRMaster[Custom],MATCH(TableWRTECalcPts[[#This Row],[POSRef]],TableWRMaster[WRRef],0)),"")</f>
        <v>22.838399236688442</v>
      </c>
    </row>
    <row r="129" spans="8:42" x14ac:dyDescent="0.25">
      <c r="H129" s="59" t="str">
        <f>IFERROR(RANK(TableRBCalcPts[[#This Row],[Custom]],TableRBCalcPts[Custom])+COUNTIF($M$3:M129,M129)-1,"")</f>
        <v/>
      </c>
      <c r="I129" s="59">
        <v>127</v>
      </c>
      <c r="J129" s="59" t="str">
        <f>IFERROR(INDEX(TableRBMaster[Player],MATCH(TableRBCalcPts[[#This Row],[RBRef]],TableRBMaster[RBRef],0)),"")</f>
        <v/>
      </c>
      <c r="K129" s="59" t="str">
        <f>IFERROR(INDEX(TableRBMaster[TM],MATCH(TableRBCalcPts[[#This Row],[RBRef]],TableRBMaster[RBRef],0)),"")</f>
        <v/>
      </c>
      <c r="L129" s="59" t="str">
        <f>IFERROR(INDEX(TableRBMaster[BYE],MATCH(TableRBCalcPts[[#This Row],[RBRef]],TableRBMaster[RBRef],0)),"")</f>
        <v/>
      </c>
      <c r="M129" s="60" t="str">
        <f>IFERROR(INDEX(TableRBMaster[Custom],MATCH(TableRBCalcPts[[#This Row],[RBRef]],TableRBMaster[RBRef],0)),"")</f>
        <v/>
      </c>
      <c r="O129" s="59">
        <f>IFERROR(RANK(TableWRCalcPts[[#This Row],[Custom]],TableWRCalcPts[Custom])+COUNTIF($T$3:T129,T129)-1,"")</f>
        <v>66</v>
      </c>
      <c r="P129" s="59">
        <v>127</v>
      </c>
      <c r="Q129" s="59" t="str">
        <f>IFERROR(INDEX(TableWRMaster[Player],MATCH(TableWRCalcPts[[#This Row],[WRRef]],TableWRMaster[WRRef],0)),"")</f>
        <v>Wan'Dale Robinson</v>
      </c>
      <c r="R129" s="59" t="str">
        <f>IFERROR(INDEX(TableWRMaster[TM],MATCH(TableWRCalcPts[[#This Row],[WRRef]],TableWRMaster[WRRef],0)),"")</f>
        <v>NYG</v>
      </c>
      <c r="S129" s="59">
        <f>IFERROR(INDEX(TableWRMaster[BYE],MATCH(TableWRCalcPts[[#This Row],[WRRef]],TableWRMaster[WRRef],0)),"")</f>
        <v>11</v>
      </c>
      <c r="T129" s="60">
        <f>IFERROR(INDEX(TableWRMaster[Custom],MATCH(TableWRCalcPts[[#This Row],[WRRef]],TableWRMaster[WRRef],0)),"")</f>
        <v>125.38100715896201</v>
      </c>
      <c r="AI129" s="59" t="s">
        <v>208</v>
      </c>
      <c r="AJ129" s="59">
        <f>IFERROR(RANK(TableWRTECalcPts[[#This Row],[Custom]],TableWRTECalcPts[Custom])+COUNTIF($AP$3:AP129,AP129)-1,"")</f>
        <v>23</v>
      </c>
      <c r="AK129" s="105">
        <v>27</v>
      </c>
      <c r="AL129" s="105" t="str">
        <f>IFERROR(INDEX(TableWRMaster[Player],MATCH(TableWRTECalcPts[[#This Row],[POSRef]],TableWRMaster[WRRef],0)),"")</f>
        <v>DJ Moore</v>
      </c>
      <c r="AM129" s="105" t="str">
        <f>IFERROR(_xlfn.CONCAT(TableWRTECalcPts[[#This Row],[POS]],INDEX(TableWRRanks[RK],MATCH(TableWRTECalcPts[[#This Row],[PLAYER]],TableWRRanks[Player],0))),"")</f>
        <v>WR22</v>
      </c>
      <c r="AN129" s="105" t="str">
        <f>IFERROR(INDEX(TableWRMaster[TM],MATCH(TableWRTECalcPts[[#This Row],[POSRef]],TableWRMaster[WRRef],0)),"")</f>
        <v>CHI</v>
      </c>
      <c r="AO129" s="105">
        <f>IFERROR(INDEX(TableWRMaster[BYE],MATCH(TableWRTECalcPts[[#This Row],[POSRef]],TableWRMaster[WRRef],0)),"")</f>
        <v>7</v>
      </c>
      <c r="AP129" s="103">
        <f>IFERROR(INDEX(TableWRMaster[Custom],MATCH(TableWRTECalcPts[[#This Row],[POSRef]],TableWRMaster[WRRef],0)),"")</f>
        <v>192.10939741928462</v>
      </c>
    </row>
    <row r="130" spans="8:42" x14ac:dyDescent="0.25">
      <c r="H130" s="59" t="str">
        <f>IFERROR(RANK(TableRBCalcPts[[#This Row],[Custom]],TableRBCalcPts[Custom])+COUNTIF($M$3:M130,M130)-1,"")</f>
        <v/>
      </c>
      <c r="I130" s="59">
        <v>128</v>
      </c>
      <c r="J130" s="59" t="str">
        <f>IFERROR(INDEX(TableRBMaster[Player],MATCH(TableRBCalcPts[[#This Row],[RBRef]],TableRBMaster[RBRef],0)),"")</f>
        <v/>
      </c>
      <c r="K130" s="59" t="str">
        <f>IFERROR(INDEX(TableRBMaster[TM],MATCH(TableRBCalcPts[[#This Row],[RBRef]],TableRBMaster[RBRef],0)),"")</f>
        <v/>
      </c>
      <c r="L130" s="59" t="str">
        <f>IFERROR(INDEX(TableRBMaster[BYE],MATCH(TableRBCalcPts[[#This Row],[RBRef]],TableRBMaster[RBRef],0)),"")</f>
        <v/>
      </c>
      <c r="M130" s="60" t="str">
        <f>IFERROR(INDEX(TableRBMaster[Custom],MATCH(TableRBCalcPts[[#This Row],[RBRef]],TableRBMaster[RBRef],0)),"")</f>
        <v/>
      </c>
      <c r="O130" s="59">
        <f>IFERROR(RANK(TableWRCalcPts[[#This Row],[Custom]],TableWRCalcPts[Custom])+COUNTIF($T$3:T130,T130)-1,"")</f>
        <v>83</v>
      </c>
      <c r="P130" s="59">
        <v>128</v>
      </c>
      <c r="Q130" s="59" t="str">
        <f>IFERROR(INDEX(TableWRMaster[Player],MATCH(TableWRCalcPts[[#This Row],[WRRef]],TableWRMaster[WRRef],0)),"")</f>
        <v>Darius Slayton</v>
      </c>
      <c r="R130" s="59" t="str">
        <f>IFERROR(INDEX(TableWRMaster[TM],MATCH(TableWRCalcPts[[#This Row],[WRRef]],TableWRMaster[WRRef],0)),"")</f>
        <v>NYG</v>
      </c>
      <c r="S130" s="59">
        <f>IFERROR(INDEX(TableWRMaster[BYE],MATCH(TableWRCalcPts[[#This Row],[WRRef]],TableWRMaster[WRRef],0)),"")</f>
        <v>11</v>
      </c>
      <c r="T130" s="60">
        <f>IFERROR(INDEX(TableWRMaster[Custom],MATCH(TableWRCalcPts[[#This Row],[WRRef]],TableWRMaster[WRRef],0)),"")</f>
        <v>99.733947802944002</v>
      </c>
      <c r="AI130" s="59" t="s">
        <v>208</v>
      </c>
      <c r="AJ130" s="59">
        <f>IFERROR(RANK(TableWRTECalcPts[[#This Row],[Custom]],TableWRTECalcPts[Custom])+COUNTIF($AP$3:AP130,AP130)-1,"")</f>
        <v>60</v>
      </c>
      <c r="AK130" s="105">
        <v>28</v>
      </c>
      <c r="AL130" s="105" t="str">
        <f>IFERROR(INDEX(TableWRMaster[Player],MATCH(TableWRTECalcPts[[#This Row],[POSRef]],TableWRMaster[WRRef],0)),"")</f>
        <v>Keenan Allen</v>
      </c>
      <c r="AM130" s="105" t="str">
        <f>IFERROR(_xlfn.CONCAT(TableWRTECalcPts[[#This Row],[POS]],INDEX(TableWRRanks[RK],MATCH(TableWRTECalcPts[[#This Row],[PLAYER]],TableWRRanks[Player],0))),"")</f>
        <v>WR51</v>
      </c>
      <c r="AN130" s="105" t="str">
        <f>IFERROR(INDEX(TableWRMaster[TM],MATCH(TableWRTECalcPts[[#This Row],[POSRef]],TableWRMaster[WRRef],0)),"")</f>
        <v>CHI</v>
      </c>
      <c r="AO130" s="105">
        <f>IFERROR(INDEX(TableWRMaster[BYE],MATCH(TableWRTECalcPts[[#This Row],[POSRef]],TableWRMaster[WRRef],0)),"")</f>
        <v>7</v>
      </c>
      <c r="AP130" s="103">
        <f>IFERROR(INDEX(TableWRMaster[Custom],MATCH(TableWRTECalcPts[[#This Row],[POSRef]],TableWRMaster[WRRef],0)),"")</f>
        <v>156.9230989893536</v>
      </c>
    </row>
    <row r="131" spans="8:42" x14ac:dyDescent="0.25">
      <c r="H131" s="59" t="str">
        <f>IFERROR(RANK(TableRBCalcPts[[#This Row],[Custom]],TableRBCalcPts[Custom])+COUNTIF($M$3:M131,M131)-1,"")</f>
        <v/>
      </c>
      <c r="I131" s="59">
        <v>129</v>
      </c>
      <c r="J131" s="59" t="str">
        <f>IFERROR(INDEX(TableRBMaster[Player],MATCH(TableRBCalcPts[[#This Row],[RBRef]],TableRBMaster[RBRef],0)),"")</f>
        <v/>
      </c>
      <c r="K131" s="59" t="str">
        <f>IFERROR(INDEX(TableRBMaster[TM],MATCH(TableRBCalcPts[[#This Row],[RBRef]],TableRBMaster[RBRef],0)),"")</f>
        <v/>
      </c>
      <c r="L131" s="59" t="str">
        <f>IFERROR(INDEX(TableRBMaster[BYE],MATCH(TableRBCalcPts[[#This Row],[RBRef]],TableRBMaster[RBRef],0)),"")</f>
        <v/>
      </c>
      <c r="M131" s="60" t="str">
        <f>IFERROR(INDEX(TableRBMaster[Custom],MATCH(TableRBCalcPts[[#This Row],[RBRef]],TableRBMaster[RBRef],0)),"")</f>
        <v/>
      </c>
      <c r="O131" s="59">
        <f>IFERROR(RANK(TableWRCalcPts[[#This Row],[Custom]],TableWRCalcPts[Custom])+COUNTIF($T$3:T131,T131)-1,"")</f>
        <v>90</v>
      </c>
      <c r="P131" s="59">
        <v>129</v>
      </c>
      <c r="Q131" s="59" t="str">
        <f>IFERROR(INDEX(TableWRMaster[Player],MATCH(TableWRCalcPts[[#This Row],[WRRef]],TableWRMaster[WRRef],0)),"")</f>
        <v>Jalin Hyatt</v>
      </c>
      <c r="R131" s="59" t="str">
        <f>IFERROR(INDEX(TableWRMaster[TM],MATCH(TableWRCalcPts[[#This Row],[WRRef]],TableWRMaster[WRRef],0)),"")</f>
        <v>NYG</v>
      </c>
      <c r="S131" s="59">
        <f>IFERROR(INDEX(TableWRMaster[BYE],MATCH(TableWRCalcPts[[#This Row],[WRRef]],TableWRMaster[WRRef],0)),"")</f>
        <v>11</v>
      </c>
      <c r="T131" s="60">
        <f>IFERROR(INDEX(TableWRMaster[Custom],MATCH(TableWRCalcPts[[#This Row],[WRRef]],TableWRMaster[WRRef],0)),"")</f>
        <v>78.840212767144308</v>
      </c>
      <c r="AI131" s="59" t="s">
        <v>208</v>
      </c>
      <c r="AJ131" s="59">
        <f>IFERROR(RANK(TableWRTECalcPts[[#This Row],[Custom]],TableWRTECalcPts[Custom])+COUNTIF($AP$3:AP131,AP131)-1,"")</f>
        <v>64</v>
      </c>
      <c r="AK131" s="105">
        <v>29</v>
      </c>
      <c r="AL131" s="105" t="str">
        <f>IFERROR(INDEX(TableWRMaster[Player],MATCH(TableWRTECalcPts[[#This Row],[POSRef]],TableWRMaster[WRRef],0)),"")</f>
        <v>Rome Odunze</v>
      </c>
      <c r="AM131" s="105" t="str">
        <f>IFERROR(_xlfn.CONCAT(TableWRTECalcPts[[#This Row],[POS]],INDEX(TableWRRanks[RK],MATCH(TableWRTECalcPts[[#This Row],[PLAYER]],TableWRRanks[Player],0))),"")</f>
        <v>WR55</v>
      </c>
      <c r="AN131" s="105" t="str">
        <f>IFERROR(INDEX(TableWRMaster[TM],MATCH(TableWRTECalcPts[[#This Row],[POSRef]],TableWRMaster[WRRef],0)),"")</f>
        <v>CHI</v>
      </c>
      <c r="AO131" s="105">
        <f>IFERROR(INDEX(TableWRMaster[BYE],MATCH(TableWRTECalcPts[[#This Row],[POSRef]],TableWRMaster[WRRef],0)),"")</f>
        <v>7</v>
      </c>
      <c r="AP131" s="103">
        <f>IFERROR(INDEX(TableWRMaster[Custom],MATCH(TableWRTECalcPts[[#This Row],[POSRef]],TableWRMaster[WRRef],0)),"")</f>
        <v>151.03909567844491</v>
      </c>
    </row>
    <row r="132" spans="8:42" x14ac:dyDescent="0.25">
      <c r="H132" s="59" t="str">
        <f>IFERROR(RANK(TableRBCalcPts[[#This Row],[Custom]],TableRBCalcPts[Custom])+COUNTIF($M$3:M132,M132)-1,"")</f>
        <v/>
      </c>
      <c r="I132" s="59">
        <v>130</v>
      </c>
      <c r="J132" s="59" t="str">
        <f>IFERROR(INDEX(TableRBMaster[Player],MATCH(TableRBCalcPts[[#This Row],[RBRef]],TableRBMaster[RBRef],0)),"")</f>
        <v/>
      </c>
      <c r="K132" s="59" t="str">
        <f>IFERROR(INDEX(TableRBMaster[TM],MATCH(TableRBCalcPts[[#This Row],[RBRef]],TableRBMaster[RBRef],0)),"")</f>
        <v/>
      </c>
      <c r="L132" s="59" t="str">
        <f>IFERROR(INDEX(TableRBMaster[BYE],MATCH(TableRBCalcPts[[#This Row],[RBRef]],TableRBMaster[RBRef],0)),"")</f>
        <v/>
      </c>
      <c r="M132" s="60" t="str">
        <f>IFERROR(INDEX(TableRBMaster[Custom],MATCH(TableRBCalcPts[[#This Row],[RBRef]],TableRBMaster[RBRef],0)),"")</f>
        <v/>
      </c>
      <c r="O132" s="59">
        <f>IFERROR(RANK(TableWRCalcPts[[#This Row],[Custom]],TableWRCalcPts[Custom])+COUNTIF($T$3:T132,T132)-1,"")</f>
        <v>162</v>
      </c>
      <c r="P132" s="59">
        <v>130</v>
      </c>
      <c r="Q132" s="59" t="str">
        <f>IFERROR(INDEX(TableWRMaster[Player],MATCH(TableWRCalcPts[[#This Row],[WRRef]],TableWRMaster[WRRef],0)),"")</f>
        <v>Gunner Olszewski</v>
      </c>
      <c r="R132" s="59" t="str">
        <f>IFERROR(INDEX(TableWRMaster[TM],MATCH(TableWRCalcPts[[#This Row],[WRRef]],TableWRMaster[WRRef],0)),"")</f>
        <v>NYG</v>
      </c>
      <c r="S132" s="59">
        <f>IFERROR(INDEX(TableWRMaster[BYE],MATCH(TableWRCalcPts[[#This Row],[WRRef]],TableWRMaster[WRRef],0)),"")</f>
        <v>11</v>
      </c>
      <c r="T132" s="60">
        <f>IFERROR(INDEX(TableWRMaster[Custom],MATCH(TableWRCalcPts[[#This Row],[WRRef]],TableWRMaster[WRRef],0)),"")</f>
        <v>11.028768729912445</v>
      </c>
      <c r="AI132" s="59" t="s">
        <v>208</v>
      </c>
      <c r="AJ132" s="59">
        <f>IFERROR(RANK(TableWRTECalcPts[[#This Row],[Custom]],TableWRTECalcPts[Custom])+COUNTIF($AP$3:AP132,AP132)-1,"")</f>
        <v>194</v>
      </c>
      <c r="AK132" s="105">
        <v>30</v>
      </c>
      <c r="AL132" s="105" t="str">
        <f>IFERROR(INDEX(TableWRMaster[Player],MATCH(TableWRTECalcPts[[#This Row],[POSRef]],TableWRMaster[WRRef],0)),"")</f>
        <v>Tyler Scott</v>
      </c>
      <c r="AM132" s="105" t="str">
        <f>IFERROR(_xlfn.CONCAT(TableWRTECalcPts[[#This Row],[POS]],INDEX(TableWRRanks[RK],MATCH(TableWRTECalcPts[[#This Row],[PLAYER]],TableWRRanks[Player],0))),"")</f>
        <v>WR138</v>
      </c>
      <c r="AN132" s="105" t="str">
        <f>IFERROR(INDEX(TableWRMaster[TM],MATCH(TableWRTECalcPts[[#This Row],[POSRef]],TableWRMaster[WRRef],0)),"")</f>
        <v>CHI</v>
      </c>
      <c r="AO132" s="105">
        <f>IFERROR(INDEX(TableWRMaster[BYE],MATCH(TableWRTECalcPts[[#This Row],[POSRef]],TableWRMaster[WRRef],0)),"")</f>
        <v>7</v>
      </c>
      <c r="AP132" s="103">
        <f>IFERROR(INDEX(TableWRMaster[Custom],MATCH(TableWRTECalcPts[[#This Row],[POSRef]],TableWRMaster[WRRef],0)),"")</f>
        <v>21.409501478856473</v>
      </c>
    </row>
    <row r="133" spans="8:42" x14ac:dyDescent="0.25">
      <c r="H133" s="59" t="str">
        <f>IFERROR(RANK(TableRBCalcPts[[#This Row],[Custom]],TableRBCalcPts[Custom])+COUNTIF($M$3:M133,M133)-1,"")</f>
        <v/>
      </c>
      <c r="I133" s="59">
        <v>131</v>
      </c>
      <c r="J133" s="59" t="str">
        <f>IFERROR(INDEX(TableRBMaster[Player],MATCH(TableRBCalcPts[[#This Row],[RBRef]],TableRBMaster[RBRef],0)),"")</f>
        <v/>
      </c>
      <c r="K133" s="59" t="str">
        <f>IFERROR(INDEX(TableRBMaster[TM],MATCH(TableRBCalcPts[[#This Row],[RBRef]],TableRBMaster[RBRef],0)),"")</f>
        <v/>
      </c>
      <c r="L133" s="59" t="str">
        <f>IFERROR(INDEX(TableRBMaster[BYE],MATCH(TableRBCalcPts[[#This Row],[RBRef]],TableRBMaster[RBRef],0)),"")</f>
        <v/>
      </c>
      <c r="M133" s="60" t="str">
        <f>IFERROR(INDEX(TableRBMaster[Custom],MATCH(TableRBCalcPts[[#This Row],[RBRef]],TableRBMaster[RBRef],0)),"")</f>
        <v/>
      </c>
      <c r="O133" s="59">
        <f>IFERROR(RANK(TableWRCalcPts[[#This Row],[Custom]],TableWRCalcPts[Custom])+COUNTIF($T$3:T133,T133)-1,"")</f>
        <v>23</v>
      </c>
      <c r="P133" s="59">
        <v>131</v>
      </c>
      <c r="Q133" s="59" t="str">
        <f>IFERROR(INDEX(TableWRMaster[Player],MATCH(TableWRCalcPts[[#This Row],[WRRef]],TableWRMaster[WRRef],0)),"")</f>
        <v>Garrett Wilson</v>
      </c>
      <c r="R133" s="59" t="str">
        <f>IFERROR(INDEX(TableWRMaster[TM],MATCH(TableWRCalcPts[[#This Row],[WRRef]],TableWRMaster[WRRef],0)),"")</f>
        <v>NYJ</v>
      </c>
      <c r="S133" s="59">
        <f>IFERROR(INDEX(TableWRMaster[BYE],MATCH(TableWRCalcPts[[#This Row],[WRRef]],TableWRMaster[WRRef],0)),"")</f>
        <v>12</v>
      </c>
      <c r="T133" s="60">
        <f>IFERROR(INDEX(TableWRMaster[Custom],MATCH(TableWRCalcPts[[#This Row],[WRRef]],TableWRMaster[WRRef],0)),"")</f>
        <v>191.61840654680199</v>
      </c>
      <c r="AI133" s="59" t="s">
        <v>208</v>
      </c>
      <c r="AJ133" s="59">
        <f>IFERROR(RANK(TableWRTECalcPts[[#This Row],[Custom]],TableWRTECalcPts[Custom])+COUNTIF($AP$3:AP133,AP133)-1,"")</f>
        <v>218</v>
      </c>
      <c r="AK133" s="105">
        <v>31</v>
      </c>
      <c r="AL133" s="105" t="str">
        <f>IFERROR(INDEX(TableWRMaster[Player],MATCH(TableWRTECalcPts[[#This Row],[POSRef]],TableWRMaster[WRRef],0)),"")</f>
        <v>Velus Jones</v>
      </c>
      <c r="AM133" s="105" t="str">
        <f>IFERROR(_xlfn.CONCAT(TableWRTECalcPts[[#This Row],[POS]],INDEX(TableWRRanks[RK],MATCH(TableWRTECalcPts[[#This Row],[PLAYER]],TableWRRanks[Player],0))),"")</f>
        <v>WR154</v>
      </c>
      <c r="AN133" s="105" t="str">
        <f>IFERROR(INDEX(TableWRMaster[TM],MATCH(TableWRTECalcPts[[#This Row],[POSRef]],TableWRMaster[WRRef],0)),"")</f>
        <v>CHI</v>
      </c>
      <c r="AO133" s="105">
        <f>IFERROR(INDEX(TableWRMaster[BYE],MATCH(TableWRTECalcPts[[#This Row],[POSRef]],TableWRMaster[WRRef],0)),"")</f>
        <v>7</v>
      </c>
      <c r="AP133" s="103">
        <f>IFERROR(INDEX(TableWRMaster[Custom],MATCH(TableWRTECalcPts[[#This Row],[POSRef]],TableWRMaster[WRRef],0)),"")</f>
        <v>14.476907333664046</v>
      </c>
    </row>
    <row r="134" spans="8:42" x14ac:dyDescent="0.25">
      <c r="H134" s="59" t="str">
        <f>IFERROR(RANK(TableRBCalcPts[[#This Row],[Custom]],TableRBCalcPts[Custom])+COUNTIF($M$3:M134,M134)-1,"")</f>
        <v/>
      </c>
      <c r="I134" s="59">
        <v>132</v>
      </c>
      <c r="J134" s="59" t="str">
        <f>IFERROR(INDEX(TableRBMaster[Player],MATCH(TableRBCalcPts[[#This Row],[RBRef]],TableRBMaster[RBRef],0)),"")</f>
        <v/>
      </c>
      <c r="K134" s="59" t="str">
        <f>IFERROR(INDEX(TableRBMaster[TM],MATCH(TableRBCalcPts[[#This Row],[RBRef]],TableRBMaster[RBRef],0)),"")</f>
        <v/>
      </c>
      <c r="L134" s="59" t="str">
        <f>IFERROR(INDEX(TableRBMaster[BYE],MATCH(TableRBCalcPts[[#This Row],[RBRef]],TableRBMaster[RBRef],0)),"")</f>
        <v/>
      </c>
      <c r="M134" s="60" t="str">
        <f>IFERROR(INDEX(TableRBMaster[Custom],MATCH(TableRBCalcPts[[#This Row],[RBRef]],TableRBMaster[RBRef],0)),"")</f>
        <v/>
      </c>
      <c r="O134" s="59">
        <f>IFERROR(RANK(TableWRCalcPts[[#This Row],[Custom]],TableWRCalcPts[Custom])+COUNTIF($T$3:T134,T134)-1,"")</f>
        <v>50</v>
      </c>
      <c r="P134" s="59">
        <v>132</v>
      </c>
      <c r="Q134" s="59" t="str">
        <f>IFERROR(INDEX(TableWRMaster[Player],MATCH(TableWRCalcPts[[#This Row],[WRRef]],TableWRMaster[WRRef],0)),"")</f>
        <v>Mike Williams</v>
      </c>
      <c r="R134" s="59" t="str">
        <f>IFERROR(INDEX(TableWRMaster[TM],MATCH(TableWRCalcPts[[#This Row],[WRRef]],TableWRMaster[WRRef],0)),"")</f>
        <v>NYJ</v>
      </c>
      <c r="S134" s="59">
        <f>IFERROR(INDEX(TableWRMaster[BYE],MATCH(TableWRCalcPts[[#This Row],[WRRef]],TableWRMaster[WRRef],0)),"")</f>
        <v>12</v>
      </c>
      <c r="T134" s="60">
        <f>IFERROR(INDEX(TableWRMaster[Custom],MATCH(TableWRCalcPts[[#This Row],[WRRef]],TableWRMaster[WRRef],0)),"")</f>
        <v>158.6684307713081</v>
      </c>
      <c r="AI134" s="59" t="s">
        <v>208</v>
      </c>
      <c r="AJ134" s="59">
        <f>IFERROR(RANK(TableWRTECalcPts[[#This Row],[Custom]],TableWRTECalcPts[Custom])+COUNTIF($AP$3:AP134,AP134)-1,"")</f>
        <v>4</v>
      </c>
      <c r="AK134" s="105">
        <v>32</v>
      </c>
      <c r="AL134" s="105" t="str">
        <f>IFERROR(INDEX(TableWRMaster[Player],MATCH(TableWRTECalcPts[[#This Row],[POSRef]],TableWRMaster[WRRef],0)),"")</f>
        <v>Ja'Marr Chase</v>
      </c>
      <c r="AM134" s="105" t="str">
        <f>IFERROR(_xlfn.CONCAT(TableWRTECalcPts[[#This Row],[POS]],INDEX(TableWRRanks[RK],MATCH(TableWRTECalcPts[[#This Row],[PLAYER]],TableWRRanks[Player],0))),"")</f>
        <v>WR4</v>
      </c>
      <c r="AN134" s="105" t="str">
        <f>IFERROR(INDEX(TableWRMaster[TM],MATCH(TableWRTECalcPts[[#This Row],[POSRef]],TableWRMaster[WRRef],0)),"")</f>
        <v>CIN</v>
      </c>
      <c r="AO134" s="105">
        <f>IFERROR(INDEX(TableWRMaster[BYE],MATCH(TableWRTECalcPts[[#This Row],[POSRef]],TableWRMaster[WRRef],0)),"")</f>
        <v>12</v>
      </c>
      <c r="AP134" s="103">
        <f>IFERROR(INDEX(TableWRMaster[Custom],MATCH(TableWRTECalcPts[[#This Row],[POSRef]],TableWRMaster[WRRef],0)),"")</f>
        <v>242.69240708914157</v>
      </c>
    </row>
    <row r="135" spans="8:42" x14ac:dyDescent="0.25">
      <c r="H135" s="59" t="str">
        <f>IFERROR(RANK(TableRBCalcPts[[#This Row],[Custom]],TableRBCalcPts[Custom])+COUNTIF($M$3:M135,M135)-1,"")</f>
        <v/>
      </c>
      <c r="I135" s="59">
        <v>133</v>
      </c>
      <c r="J135" s="59" t="str">
        <f>IFERROR(INDEX(TableRBMaster[Player],MATCH(TableRBCalcPts[[#This Row],[RBRef]],TableRBMaster[RBRef],0)),"")</f>
        <v/>
      </c>
      <c r="K135" s="59" t="str">
        <f>IFERROR(INDEX(TableRBMaster[TM],MATCH(TableRBCalcPts[[#This Row],[RBRef]],TableRBMaster[RBRef],0)),"")</f>
        <v/>
      </c>
      <c r="L135" s="59" t="str">
        <f>IFERROR(INDEX(TableRBMaster[BYE],MATCH(TableRBCalcPts[[#This Row],[RBRef]],TableRBMaster[RBRef],0)),"")</f>
        <v/>
      </c>
      <c r="M135" s="60" t="str">
        <f>IFERROR(INDEX(TableRBMaster[Custom],MATCH(TableRBCalcPts[[#This Row],[RBRef]],TableRBMaster[RBRef],0)),"")</f>
        <v/>
      </c>
      <c r="O135" s="59">
        <f>IFERROR(RANK(TableWRCalcPts[[#This Row],[Custom]],TableWRCalcPts[Custom])+COUNTIF($T$3:T135,T135)-1,"")</f>
        <v>77</v>
      </c>
      <c r="P135" s="59">
        <v>133</v>
      </c>
      <c r="Q135" s="59" t="str">
        <f>IFERROR(INDEX(TableWRMaster[Player],MATCH(TableWRCalcPts[[#This Row],[WRRef]],TableWRMaster[WRRef],0)),"")</f>
        <v>Malachi Corley</v>
      </c>
      <c r="R135" s="59" t="str">
        <f>IFERROR(INDEX(TableWRMaster[TM],MATCH(TableWRCalcPts[[#This Row],[WRRef]],TableWRMaster[WRRef],0)),"")</f>
        <v>NYJ</v>
      </c>
      <c r="S135" s="59">
        <f>IFERROR(INDEX(TableWRMaster[BYE],MATCH(TableWRCalcPts[[#This Row],[WRRef]],TableWRMaster[WRRef],0)),"")</f>
        <v>12</v>
      </c>
      <c r="T135" s="60">
        <f>IFERROR(INDEX(TableWRMaster[Custom],MATCH(TableWRCalcPts[[#This Row],[WRRef]],TableWRMaster[WRRef],0)),"")</f>
        <v>103.06146196052893</v>
      </c>
      <c r="AI135" s="59" t="s">
        <v>208</v>
      </c>
      <c r="AJ135" s="59">
        <f>IFERROR(RANK(TableWRTECalcPts[[#This Row],[Custom]],TableWRTECalcPts[Custom])+COUNTIF($AP$3:AP135,AP135)-1,"")</f>
        <v>15</v>
      </c>
      <c r="AK135" s="105">
        <v>33</v>
      </c>
      <c r="AL135" s="105" t="str">
        <f>IFERROR(INDEX(TableWRMaster[Player],MATCH(TableWRTECalcPts[[#This Row],[POSRef]],TableWRMaster[WRRef],0)),"")</f>
        <v>Tee Higgins</v>
      </c>
      <c r="AM135" s="105" t="str">
        <f>IFERROR(_xlfn.CONCAT(TableWRTECalcPts[[#This Row],[POS]],INDEX(TableWRRanks[RK],MATCH(TableWRTECalcPts[[#This Row],[PLAYER]],TableWRRanks[Player],0))),"")</f>
        <v>WR15</v>
      </c>
      <c r="AN135" s="105" t="str">
        <f>IFERROR(INDEX(TableWRMaster[TM],MATCH(TableWRTECalcPts[[#This Row],[POSRef]],TableWRMaster[WRRef],0)),"")</f>
        <v>CIN</v>
      </c>
      <c r="AO135" s="105">
        <f>IFERROR(INDEX(TableWRMaster[BYE],MATCH(TableWRTECalcPts[[#This Row],[POSRef]],TableWRMaster[WRRef],0)),"")</f>
        <v>12</v>
      </c>
      <c r="AP135" s="103">
        <f>IFERROR(INDEX(TableWRMaster[Custom],MATCH(TableWRTECalcPts[[#This Row],[POSRef]],TableWRMaster[WRRef],0)),"")</f>
        <v>204.30798894549793</v>
      </c>
    </row>
    <row r="136" spans="8:42" x14ac:dyDescent="0.25">
      <c r="H136" s="59" t="str">
        <f>IFERROR(RANK(TableRBCalcPts[[#This Row],[Custom]],TableRBCalcPts[Custom])+COUNTIF($M$3:M136,M136)-1,"")</f>
        <v/>
      </c>
      <c r="I136" s="59">
        <v>134</v>
      </c>
      <c r="J136" s="59" t="str">
        <f>IFERROR(INDEX(TableRBMaster[Player],MATCH(TableRBCalcPts[[#This Row],[RBRef]],TableRBMaster[RBRef],0)),"")</f>
        <v/>
      </c>
      <c r="K136" s="59" t="str">
        <f>IFERROR(INDEX(TableRBMaster[TM],MATCH(TableRBCalcPts[[#This Row],[RBRef]],TableRBMaster[RBRef],0)),"")</f>
        <v/>
      </c>
      <c r="L136" s="59" t="str">
        <f>IFERROR(INDEX(TableRBMaster[BYE],MATCH(TableRBCalcPts[[#This Row],[RBRef]],TableRBMaster[RBRef],0)),"")</f>
        <v/>
      </c>
      <c r="M136" s="60" t="str">
        <f>IFERROR(INDEX(TableRBMaster[Custom],MATCH(TableRBCalcPts[[#This Row],[RBRef]],TableRBMaster[RBRef],0)),"")</f>
        <v/>
      </c>
      <c r="O136" s="59">
        <f>IFERROR(RANK(TableWRCalcPts[[#This Row],[Custom]],TableWRCalcPts[Custom])+COUNTIF($T$3:T136,T136)-1,"")</f>
        <v>114</v>
      </c>
      <c r="P136" s="59">
        <v>134</v>
      </c>
      <c r="Q136" s="59" t="str">
        <f>IFERROR(INDEX(TableWRMaster[Player],MATCH(TableWRCalcPts[[#This Row],[WRRef]],TableWRMaster[WRRef],0)),"")</f>
        <v>Allen Lazard</v>
      </c>
      <c r="R136" s="59" t="str">
        <f>IFERROR(INDEX(TableWRMaster[TM],MATCH(TableWRCalcPts[[#This Row],[WRRef]],TableWRMaster[WRRef],0)),"")</f>
        <v>NYJ</v>
      </c>
      <c r="S136" s="59">
        <f>IFERROR(INDEX(TableWRMaster[BYE],MATCH(TableWRCalcPts[[#This Row],[WRRef]],TableWRMaster[WRRef],0)),"")</f>
        <v>12</v>
      </c>
      <c r="T136" s="60">
        <f>IFERROR(INDEX(TableWRMaster[Custom],MATCH(TableWRCalcPts[[#This Row],[WRRef]],TableWRMaster[WRRef],0)),"")</f>
        <v>42.460357713573167</v>
      </c>
      <c r="AI136" s="59" t="s">
        <v>208</v>
      </c>
      <c r="AJ136" s="59">
        <f>IFERROR(RANK(TableWRTECalcPts[[#This Row],[Custom]],TableWRTECalcPts[Custom])+COUNTIF($AP$3:AP136,AP136)-1,"")</f>
        <v>97</v>
      </c>
      <c r="AK136" s="105">
        <v>34</v>
      </c>
      <c r="AL136" s="105" t="str">
        <f>IFERROR(INDEX(TableWRMaster[Player],MATCH(TableWRTECalcPts[[#This Row],[POSRef]],TableWRMaster[WRRef],0)),"")</f>
        <v>Jermaine Burton</v>
      </c>
      <c r="AM136" s="105" t="str">
        <f>IFERROR(_xlfn.CONCAT(TableWRTECalcPts[[#This Row],[POS]],INDEX(TableWRRanks[RK],MATCH(TableWRTECalcPts[[#This Row],[PLAYER]],TableWRRanks[Player],0))),"")</f>
        <v>WR82</v>
      </c>
      <c r="AN136" s="105" t="str">
        <f>IFERROR(INDEX(TableWRMaster[TM],MATCH(TableWRTECalcPts[[#This Row],[POSRef]],TableWRMaster[WRRef],0)),"")</f>
        <v>CIN</v>
      </c>
      <c r="AO136" s="105">
        <f>IFERROR(INDEX(TableWRMaster[BYE],MATCH(TableWRTECalcPts[[#This Row],[POSRef]],TableWRMaster[WRRef],0)),"")</f>
        <v>12</v>
      </c>
      <c r="AP136" s="103">
        <f>IFERROR(INDEX(TableWRMaster[Custom],MATCH(TableWRTECalcPts[[#This Row],[POSRef]],TableWRMaster[WRRef],0)),"")</f>
        <v>100.29711087656065</v>
      </c>
    </row>
    <row r="137" spans="8:42" x14ac:dyDescent="0.25">
      <c r="H137" s="59" t="str">
        <f>IFERROR(RANK(TableRBCalcPts[[#This Row],[Custom]],TableRBCalcPts[Custom])+COUNTIF($M$3:M137,M137)-1,"")</f>
        <v/>
      </c>
      <c r="I137" s="59">
        <v>135</v>
      </c>
      <c r="J137" s="59" t="str">
        <f>IFERROR(INDEX(TableRBMaster[Player],MATCH(TableRBCalcPts[[#This Row],[RBRef]],TableRBMaster[RBRef],0)),"")</f>
        <v/>
      </c>
      <c r="K137" s="59" t="str">
        <f>IFERROR(INDEX(TableRBMaster[TM],MATCH(TableRBCalcPts[[#This Row],[RBRef]],TableRBMaster[RBRef],0)),"")</f>
        <v/>
      </c>
      <c r="L137" s="59" t="str">
        <f>IFERROR(INDEX(TableRBMaster[BYE],MATCH(TableRBCalcPts[[#This Row],[RBRef]],TableRBMaster[RBRef],0)),"")</f>
        <v/>
      </c>
      <c r="M137" s="60" t="str">
        <f>IFERROR(INDEX(TableRBMaster[Custom],MATCH(TableRBCalcPts[[#This Row],[RBRef]],TableRBMaster[RBRef],0)),"")</f>
        <v/>
      </c>
      <c r="O137" s="59">
        <f>IFERROR(RANK(TableWRCalcPts[[#This Row],[Custom]],TableWRCalcPts[Custom])+COUNTIF($T$3:T137,T137)-1,"")</f>
        <v>143</v>
      </c>
      <c r="P137" s="59">
        <v>135</v>
      </c>
      <c r="Q137" s="59" t="str">
        <f>IFERROR(INDEX(TableWRMaster[Player],MATCH(TableWRCalcPts[[#This Row],[WRRef]],TableWRMaster[WRRef],0)),"")</f>
        <v>Jason Brownlee</v>
      </c>
      <c r="R137" s="59" t="str">
        <f>IFERROR(INDEX(TableWRMaster[TM],MATCH(TableWRCalcPts[[#This Row],[WRRef]],TableWRMaster[WRRef],0)),"")</f>
        <v>NYJ</v>
      </c>
      <c r="S137" s="59">
        <f>IFERROR(INDEX(TableWRMaster[BYE],MATCH(TableWRCalcPts[[#This Row],[WRRef]],TableWRMaster[WRRef],0)),"")</f>
        <v>12</v>
      </c>
      <c r="T137" s="60">
        <f>IFERROR(INDEX(TableWRMaster[Custom],MATCH(TableWRCalcPts[[#This Row],[WRRef]],TableWRMaster[WRRef],0)),"")</f>
        <v>17.408112710446087</v>
      </c>
      <c r="AI137" s="59" t="s">
        <v>208</v>
      </c>
      <c r="AJ137" s="59">
        <f>IFERROR(RANK(TableWRTECalcPts[[#This Row],[Custom]],TableWRTECalcPts[Custom])+COUNTIF($AP$3:AP137,AP137)-1,"")</f>
        <v>96</v>
      </c>
      <c r="AK137" s="105">
        <v>35</v>
      </c>
      <c r="AL137" s="105" t="str">
        <f>IFERROR(INDEX(TableWRMaster[Player],MATCH(TableWRTECalcPts[[#This Row],[POSRef]],TableWRMaster[WRRef],0)),"")</f>
        <v>Andrei Iosivas</v>
      </c>
      <c r="AM137" s="105" t="str">
        <f>IFERROR(_xlfn.CONCAT(TableWRTECalcPts[[#This Row],[POS]],INDEX(TableWRRanks[RK],MATCH(TableWRTECalcPts[[#This Row],[PLAYER]],TableWRRanks[Player],0))),"")</f>
        <v>WR81</v>
      </c>
      <c r="AN137" s="105" t="str">
        <f>IFERROR(INDEX(TableWRMaster[TM],MATCH(TableWRTECalcPts[[#This Row],[POSRef]],TableWRMaster[WRRef],0)),"")</f>
        <v>CIN</v>
      </c>
      <c r="AO137" s="105">
        <f>IFERROR(INDEX(TableWRMaster[BYE],MATCH(TableWRTECalcPts[[#This Row],[POSRef]],TableWRMaster[WRRef],0)),"")</f>
        <v>12</v>
      </c>
      <c r="AP137" s="103">
        <f>IFERROR(INDEX(TableWRMaster[Custom],MATCH(TableWRTECalcPts[[#This Row],[POSRef]],TableWRMaster[WRRef],0)),"")</f>
        <v>100.65472719338064</v>
      </c>
    </row>
    <row r="138" spans="8:42" x14ac:dyDescent="0.25">
      <c r="H138" s="59" t="str">
        <f>IFERROR(RANK(TableRBCalcPts[[#This Row],[Custom]],TableRBCalcPts[Custom])+COUNTIF($M$3:M138,M138)-1,"")</f>
        <v/>
      </c>
      <c r="I138" s="59">
        <v>136</v>
      </c>
      <c r="J138" s="59" t="str">
        <f>IFERROR(INDEX(TableRBMaster[Player],MATCH(TableRBCalcPts[[#This Row],[RBRef]],TableRBMaster[RBRef],0)),"")</f>
        <v/>
      </c>
      <c r="K138" s="59" t="str">
        <f>IFERROR(INDEX(TableRBMaster[TM],MATCH(TableRBCalcPts[[#This Row],[RBRef]],TableRBMaster[RBRef],0)),"")</f>
        <v/>
      </c>
      <c r="L138" s="59" t="str">
        <f>IFERROR(INDEX(TableRBMaster[BYE],MATCH(TableRBCalcPts[[#This Row],[RBRef]],TableRBMaster[RBRef],0)),"")</f>
        <v/>
      </c>
      <c r="M138" s="60" t="str">
        <f>IFERROR(INDEX(TableRBMaster[Custom],MATCH(TableRBCalcPts[[#This Row],[RBRef]],TableRBMaster[RBRef],0)),"")</f>
        <v/>
      </c>
      <c r="O138" s="59">
        <f>IFERROR(RANK(TableWRCalcPts[[#This Row],[Custom]],TableWRCalcPts[Custom])+COUNTIF($T$3:T138,T138)-1,"")</f>
        <v>128</v>
      </c>
      <c r="P138" s="59">
        <v>136</v>
      </c>
      <c r="Q138" s="59" t="str">
        <f>IFERROR(INDEX(TableWRMaster[Player],MATCH(TableWRCalcPts[[#This Row],[WRRef]],TableWRMaster[WRRef],0)),"")</f>
        <v>Xavier Gipson</v>
      </c>
      <c r="R138" s="59" t="str">
        <f>IFERROR(INDEX(TableWRMaster[TM],MATCH(TableWRCalcPts[[#This Row],[WRRef]],TableWRMaster[WRRef],0)),"")</f>
        <v>NYJ</v>
      </c>
      <c r="S138" s="59">
        <f>IFERROR(INDEX(TableWRMaster[BYE],MATCH(TableWRCalcPts[[#This Row],[WRRef]],TableWRMaster[WRRef],0)),"")</f>
        <v>12</v>
      </c>
      <c r="T138" s="60">
        <f>IFERROR(INDEX(TableWRMaster[Custom],MATCH(TableWRCalcPts[[#This Row],[WRRef]],TableWRMaster[WRRef],0)),"")</f>
        <v>27.628995709029127</v>
      </c>
      <c r="AI138" s="59" t="s">
        <v>208</v>
      </c>
      <c r="AJ138" s="59">
        <f>IFERROR(RANK(TableWRTECalcPts[[#This Row],[Custom]],TableWRTECalcPts[Custom])+COUNTIF($AP$3:AP138,AP138)-1,"")</f>
        <v>241</v>
      </c>
      <c r="AK138" s="105">
        <v>36</v>
      </c>
      <c r="AL138" s="105" t="str">
        <f>IFERROR(INDEX(TableWRMaster[Player],MATCH(TableWRTECalcPts[[#This Row],[POSRef]],TableWRMaster[WRRef],0)),"")</f>
        <v>Charlie Jones</v>
      </c>
      <c r="AM138" s="105" t="str">
        <f>IFERROR(_xlfn.CONCAT(TableWRTECalcPts[[#This Row],[POS]],INDEX(TableWRRanks[RK],MATCH(TableWRTECalcPts[[#This Row],[PLAYER]],TableWRRanks[Player],0))),"")</f>
        <v>WR169</v>
      </c>
      <c r="AN138" s="105" t="str">
        <f>IFERROR(INDEX(TableWRMaster[TM],MATCH(TableWRTECalcPts[[#This Row],[POSRef]],TableWRMaster[WRRef],0)),"")</f>
        <v>CIN</v>
      </c>
      <c r="AO138" s="105">
        <f>IFERROR(INDEX(TableWRMaster[BYE],MATCH(TableWRTECalcPts[[#This Row],[POSRef]],TableWRMaster[WRRef],0)),"")</f>
        <v>12</v>
      </c>
      <c r="AP138" s="103">
        <f>IFERROR(INDEX(TableWRMaster[Custom],MATCH(TableWRTECalcPts[[#This Row],[POSRef]],TableWRMaster[WRRef],0)),"")</f>
        <v>8.4220852091870988</v>
      </c>
    </row>
    <row r="139" spans="8:42" x14ac:dyDescent="0.25">
      <c r="H139" s="59" t="str">
        <f>IFERROR(RANK(TableRBCalcPts[[#This Row],[Custom]],TableRBCalcPts[Custom])+COUNTIF($M$3:M139,M139)-1,"")</f>
        <v/>
      </c>
      <c r="I139" s="59">
        <v>137</v>
      </c>
      <c r="J139" s="59" t="str">
        <f>IFERROR(INDEX(TableRBMaster[Player],MATCH(TableRBCalcPts[[#This Row],[RBRef]],TableRBMaster[RBRef],0)),"")</f>
        <v/>
      </c>
      <c r="K139" s="59" t="str">
        <f>IFERROR(INDEX(TableRBMaster[TM],MATCH(TableRBCalcPts[[#This Row],[RBRef]],TableRBMaster[RBRef],0)),"")</f>
        <v/>
      </c>
      <c r="L139" s="59" t="str">
        <f>IFERROR(INDEX(TableRBMaster[BYE],MATCH(TableRBCalcPts[[#This Row],[RBRef]],TableRBMaster[RBRef],0)),"")</f>
        <v/>
      </c>
      <c r="M139" s="60" t="str">
        <f>IFERROR(INDEX(TableRBMaster[Custom],MATCH(TableRBCalcPts[[#This Row],[RBRef]],TableRBMaster[RBRef],0)),"")</f>
        <v/>
      </c>
      <c r="O139" s="59">
        <f>IFERROR(RANK(TableWRCalcPts[[#This Row],[Custom]],TableWRCalcPts[Custom])+COUNTIF($T$3:T139,T139)-1,"")</f>
        <v>7</v>
      </c>
      <c r="P139" s="59">
        <v>137</v>
      </c>
      <c r="Q139" s="59" t="str">
        <f>IFERROR(INDEX(TableWRMaster[Player],MATCH(TableWRCalcPts[[#This Row],[WRRef]],TableWRMaster[WRRef],0)),"")</f>
        <v>A.J. Brown</v>
      </c>
      <c r="R139" s="59" t="str">
        <f>IFERROR(INDEX(TableWRMaster[TM],MATCH(TableWRCalcPts[[#This Row],[WRRef]],TableWRMaster[WRRef],0)),"")</f>
        <v>PHI</v>
      </c>
      <c r="S139" s="59">
        <f>IFERROR(INDEX(TableWRMaster[BYE],MATCH(TableWRCalcPts[[#This Row],[WRRef]],TableWRMaster[WRRef],0)),"")</f>
        <v>5</v>
      </c>
      <c r="T139" s="60">
        <f>IFERROR(INDEX(TableWRMaster[Custom],MATCH(TableWRCalcPts[[#This Row],[WRRef]],TableWRMaster[WRRef],0)),"")</f>
        <v>222.93815465263103</v>
      </c>
      <c r="AI139" s="59" t="s">
        <v>208</v>
      </c>
      <c r="AJ139" s="59">
        <f>IFERROR(RANK(TableWRTECalcPts[[#This Row],[Custom]],TableWRTECalcPts[Custom])+COUNTIF($AP$3:AP139,AP139)-1,"")</f>
        <v>30</v>
      </c>
      <c r="AK139" s="105">
        <v>37</v>
      </c>
      <c r="AL139" s="105" t="str">
        <f>IFERROR(INDEX(TableWRMaster[Player],MATCH(TableWRTECalcPts[[#This Row],[POSRef]],TableWRMaster[WRRef],0)),"")</f>
        <v>Amari Cooper</v>
      </c>
      <c r="AM139" s="105" t="str">
        <f>IFERROR(_xlfn.CONCAT(TableWRTECalcPts[[#This Row],[POS]],INDEX(TableWRRanks[RK],MATCH(TableWRTECalcPts[[#This Row],[PLAYER]],TableWRRanks[Player],0))),"")</f>
        <v>WR29</v>
      </c>
      <c r="AN139" s="105" t="str">
        <f>IFERROR(INDEX(TableWRMaster[TM],MATCH(TableWRTECalcPts[[#This Row],[POSRef]],TableWRMaster[WRRef],0)),"")</f>
        <v>CLE</v>
      </c>
      <c r="AO139" s="105">
        <f>IFERROR(INDEX(TableWRMaster[BYE],MATCH(TableWRTECalcPts[[#This Row],[POSRef]],TableWRMaster[WRRef],0)),"")</f>
        <v>10</v>
      </c>
      <c r="AP139" s="103">
        <f>IFERROR(INDEX(TableWRMaster[Custom],MATCH(TableWRTECalcPts[[#This Row],[POSRef]],TableWRMaster[WRRef],0)),"")</f>
        <v>183.56746715999992</v>
      </c>
    </row>
    <row r="140" spans="8:42" x14ac:dyDescent="0.25">
      <c r="H140" s="59" t="str">
        <f>IFERROR(RANK(TableRBCalcPts[[#This Row],[Custom]],TableRBCalcPts[Custom])+COUNTIF($M$3:M140,M140)-1,"")</f>
        <v/>
      </c>
      <c r="I140" s="59">
        <v>138</v>
      </c>
      <c r="J140" s="59" t="str">
        <f>IFERROR(INDEX(TableRBMaster[Player],MATCH(TableRBCalcPts[[#This Row],[RBRef]],TableRBMaster[RBRef],0)),"")</f>
        <v/>
      </c>
      <c r="K140" s="59" t="str">
        <f>IFERROR(INDEX(TableRBMaster[TM],MATCH(TableRBCalcPts[[#This Row],[RBRef]],TableRBMaster[RBRef],0)),"")</f>
        <v/>
      </c>
      <c r="L140" s="59" t="str">
        <f>IFERROR(INDEX(TableRBMaster[BYE],MATCH(TableRBCalcPts[[#This Row],[RBRef]],TableRBMaster[RBRef],0)),"")</f>
        <v/>
      </c>
      <c r="M140" s="60" t="str">
        <f>IFERROR(INDEX(TableRBMaster[Custom],MATCH(TableRBCalcPts[[#This Row],[RBRef]],TableRBMaster[RBRef],0)),"")</f>
        <v/>
      </c>
      <c r="O140" s="59">
        <f>IFERROR(RANK(TableWRCalcPts[[#This Row],[Custom]],TableWRCalcPts[Custom])+COUNTIF($T$3:T140,T140)-1,"")</f>
        <v>16</v>
      </c>
      <c r="P140" s="59">
        <v>138</v>
      </c>
      <c r="Q140" s="59" t="str">
        <f>IFERROR(INDEX(TableWRMaster[Player],MATCH(TableWRCalcPts[[#This Row],[WRRef]],TableWRMaster[WRRef],0)),"")</f>
        <v>DeVonta Smith</v>
      </c>
      <c r="R140" s="59" t="str">
        <f>IFERROR(INDEX(TableWRMaster[TM],MATCH(TableWRCalcPts[[#This Row],[WRRef]],TableWRMaster[WRRef],0)),"")</f>
        <v>PHI</v>
      </c>
      <c r="S140" s="59">
        <f>IFERROR(INDEX(TableWRMaster[BYE],MATCH(TableWRCalcPts[[#This Row],[WRRef]],TableWRMaster[WRRef],0)),"")</f>
        <v>5</v>
      </c>
      <c r="T140" s="60">
        <f>IFERROR(INDEX(TableWRMaster[Custom],MATCH(TableWRCalcPts[[#This Row],[WRRef]],TableWRMaster[WRRef],0)),"")</f>
        <v>200.62046472114179</v>
      </c>
      <c r="AI140" s="59" t="s">
        <v>208</v>
      </c>
      <c r="AJ140" s="59">
        <f>IFERROR(RANK(TableWRTECalcPts[[#This Row],[Custom]],TableWRTECalcPts[Custom])+COUNTIF($AP$3:AP140,AP140)-1,"")</f>
        <v>81</v>
      </c>
      <c r="AK140" s="105">
        <v>38</v>
      </c>
      <c r="AL140" s="105" t="str">
        <f>IFERROR(INDEX(TableWRMaster[Player],MATCH(TableWRTECalcPts[[#This Row],[POSRef]],TableWRMaster[WRRef],0)),"")</f>
        <v>Jerry Jeudy</v>
      </c>
      <c r="AM140" s="105" t="str">
        <f>IFERROR(_xlfn.CONCAT(TableWRTECalcPts[[#This Row],[POS]],INDEX(TableWRRanks[RK],MATCH(TableWRTECalcPts[[#This Row],[PLAYER]],TableWRRanks[Player],0))),"")</f>
        <v>WR68</v>
      </c>
      <c r="AN140" s="105" t="str">
        <f>IFERROR(INDEX(TableWRMaster[TM],MATCH(TableWRTECalcPts[[#This Row],[POSRef]],TableWRMaster[WRRef],0)),"")</f>
        <v>CLE</v>
      </c>
      <c r="AO140" s="105">
        <f>IFERROR(INDEX(TableWRMaster[BYE],MATCH(TableWRTECalcPts[[#This Row],[POSRef]],TableWRMaster[WRRef],0)),"")</f>
        <v>10</v>
      </c>
      <c r="AP140" s="103">
        <f>IFERROR(INDEX(TableWRMaster[Custom],MATCH(TableWRTECalcPts[[#This Row],[POSRef]],TableWRMaster[WRRef],0)),"")</f>
        <v>119.45643086477995</v>
      </c>
    </row>
    <row r="141" spans="8:42" x14ac:dyDescent="0.25">
      <c r="H141" s="59" t="str">
        <f>IFERROR(RANK(TableRBCalcPts[[#This Row],[Custom]],TableRBCalcPts[Custom])+COUNTIF($M$3:M141,M141)-1,"")</f>
        <v/>
      </c>
      <c r="I141" s="59">
        <v>139</v>
      </c>
      <c r="J141" s="59" t="str">
        <f>IFERROR(INDEX(TableRBMaster[Player],MATCH(TableRBCalcPts[[#This Row],[RBRef]],TableRBMaster[RBRef],0)),"")</f>
        <v/>
      </c>
      <c r="K141" s="59" t="str">
        <f>IFERROR(INDEX(TableRBMaster[TM],MATCH(TableRBCalcPts[[#This Row],[RBRef]],TableRBMaster[RBRef],0)),"")</f>
        <v/>
      </c>
      <c r="L141" s="59" t="str">
        <f>IFERROR(INDEX(TableRBMaster[BYE],MATCH(TableRBCalcPts[[#This Row],[RBRef]],TableRBMaster[RBRef],0)),"")</f>
        <v/>
      </c>
      <c r="M141" s="60" t="str">
        <f>IFERROR(INDEX(TableRBMaster[Custom],MATCH(TableRBCalcPts[[#This Row],[RBRef]],TableRBMaster[RBRef],0)),"")</f>
        <v/>
      </c>
      <c r="O141" s="59">
        <f>IFERROR(RANK(TableWRCalcPts[[#This Row],[Custom]],TableWRCalcPts[Custom])+COUNTIF($T$3:T141,T141)-1,"")</f>
        <v>108</v>
      </c>
      <c r="P141" s="59">
        <v>139</v>
      </c>
      <c r="Q141" s="59" t="str">
        <f>IFERROR(INDEX(TableWRMaster[Player],MATCH(TableWRCalcPts[[#This Row],[WRRef]],TableWRMaster[WRRef],0)),"")</f>
        <v>Jahan Dotson</v>
      </c>
      <c r="R141" s="59" t="str">
        <f>IFERROR(INDEX(TableWRMaster[TM],MATCH(TableWRCalcPts[[#This Row],[WRRef]],TableWRMaster[WRRef],0)),"")</f>
        <v>PHI</v>
      </c>
      <c r="S141" s="59">
        <f>IFERROR(INDEX(TableWRMaster[BYE],MATCH(TableWRCalcPts[[#This Row],[WRRef]],TableWRMaster[WRRef],0)),"")</f>
        <v>5</v>
      </c>
      <c r="T141" s="60">
        <f>IFERROR(INDEX(TableWRMaster[Custom],MATCH(TableWRCalcPts[[#This Row],[WRRef]],TableWRMaster[WRRef],0)),"")</f>
        <v>48.684252861175672</v>
      </c>
      <c r="AI141" s="59" t="s">
        <v>208</v>
      </c>
      <c r="AJ141" s="59">
        <f>IFERROR(RANK(TableWRTECalcPts[[#This Row],[Custom]],TableWRTECalcPts[Custom])+COUNTIF($AP$3:AP141,AP141)-1,"")</f>
        <v>92</v>
      </c>
      <c r="AK141" s="105">
        <v>39</v>
      </c>
      <c r="AL141" s="105" t="str">
        <f>IFERROR(INDEX(TableWRMaster[Player],MATCH(TableWRTECalcPts[[#This Row],[POSRef]],TableWRMaster[WRRef],0)),"")</f>
        <v>Elijah Moore</v>
      </c>
      <c r="AM141" s="105" t="str">
        <f>IFERROR(_xlfn.CONCAT(TableWRTECalcPts[[#This Row],[POS]],INDEX(TableWRRanks[RK],MATCH(TableWRTECalcPts[[#This Row],[PLAYER]],TableWRRanks[Player],0))),"")</f>
        <v>WR78</v>
      </c>
      <c r="AN141" s="105" t="str">
        <f>IFERROR(INDEX(TableWRMaster[TM],MATCH(TableWRTECalcPts[[#This Row],[POSRef]],TableWRMaster[WRRef],0)),"")</f>
        <v>CLE</v>
      </c>
      <c r="AO141" s="105">
        <f>IFERROR(INDEX(TableWRMaster[BYE],MATCH(TableWRTECalcPts[[#This Row],[POSRef]],TableWRMaster[WRRef],0)),"")</f>
        <v>10</v>
      </c>
      <c r="AP141" s="103">
        <f>IFERROR(INDEX(TableWRMaster[Custom],MATCH(TableWRTECalcPts[[#This Row],[POSRef]],TableWRMaster[WRRef],0)),"")</f>
        <v>102.86910659024997</v>
      </c>
    </row>
    <row r="142" spans="8:42" x14ac:dyDescent="0.25">
      <c r="H142" s="59" t="str">
        <f>IFERROR(RANK(TableRBCalcPts[[#This Row],[Custom]],TableRBCalcPts[Custom])+COUNTIF($M$3:M142,M142)-1,"")</f>
        <v/>
      </c>
      <c r="I142" s="59">
        <v>140</v>
      </c>
      <c r="J142" s="59" t="str">
        <f>IFERROR(INDEX(TableRBMaster[Player],MATCH(TableRBCalcPts[[#This Row],[RBRef]],TableRBMaster[RBRef],0)),"")</f>
        <v/>
      </c>
      <c r="K142" s="59" t="str">
        <f>IFERROR(INDEX(TableRBMaster[TM],MATCH(TableRBCalcPts[[#This Row],[RBRef]],TableRBMaster[RBRef],0)),"")</f>
        <v/>
      </c>
      <c r="L142" s="59" t="str">
        <f>IFERROR(INDEX(TableRBMaster[BYE],MATCH(TableRBCalcPts[[#This Row],[RBRef]],TableRBMaster[RBRef],0)),"")</f>
        <v/>
      </c>
      <c r="M142" s="60" t="str">
        <f>IFERROR(INDEX(TableRBMaster[Custom],MATCH(TableRBCalcPts[[#This Row],[RBRef]],TableRBMaster[RBRef],0)),"")</f>
        <v/>
      </c>
      <c r="O142" s="59">
        <f>IFERROR(RANK(TableWRCalcPts[[#This Row],[Custom]],TableWRCalcPts[Custom])+COUNTIF($T$3:T142,T142)-1,"")</f>
        <v>129</v>
      </c>
      <c r="P142" s="59">
        <v>140</v>
      </c>
      <c r="Q142" s="59" t="str">
        <f>IFERROR(INDEX(TableWRMaster[Player],MATCH(TableWRCalcPts[[#This Row],[WRRef]],TableWRMaster[WRRef],0)),"")</f>
        <v>Johnny Wilson</v>
      </c>
      <c r="R142" s="59" t="str">
        <f>IFERROR(INDEX(TableWRMaster[TM],MATCH(TableWRCalcPts[[#This Row],[WRRef]],TableWRMaster[WRRef],0)),"")</f>
        <v>PHI</v>
      </c>
      <c r="S142" s="59">
        <f>IFERROR(INDEX(TableWRMaster[BYE],MATCH(TableWRCalcPts[[#This Row],[WRRef]],TableWRMaster[WRRef],0)),"")</f>
        <v>5</v>
      </c>
      <c r="T142" s="60">
        <f>IFERROR(INDEX(TableWRMaster[Custom],MATCH(TableWRCalcPts[[#This Row],[WRRef]],TableWRMaster[WRRef],0)),"")</f>
        <v>25.767407778456288</v>
      </c>
      <c r="AI142" s="59" t="s">
        <v>208</v>
      </c>
      <c r="AJ142" s="59">
        <f>IFERROR(RANK(TableWRTECalcPts[[#This Row],[Custom]],TableWRTECalcPts[Custom])+COUNTIF($AP$3:AP142,AP142)-1,"")</f>
        <v>156</v>
      </c>
      <c r="AK142" s="105">
        <v>40</v>
      </c>
      <c r="AL142" s="105" t="str">
        <f>IFERROR(INDEX(TableWRMaster[Player],MATCH(TableWRTECalcPts[[#This Row],[POSRef]],TableWRMaster[WRRef],0)),"")</f>
        <v>Cedric Tillman</v>
      </c>
      <c r="AM142" s="105" t="str">
        <f>IFERROR(_xlfn.CONCAT(TableWRTECalcPts[[#This Row],[POS]],INDEX(TableWRRanks[RK],MATCH(TableWRTECalcPts[[#This Row],[PLAYER]],TableWRRanks[Player],0))),"")</f>
        <v>WR113</v>
      </c>
      <c r="AN142" s="105" t="str">
        <f>IFERROR(INDEX(TableWRMaster[TM],MATCH(TableWRTECalcPts[[#This Row],[POSRef]],TableWRMaster[WRRef],0)),"")</f>
        <v>CLE</v>
      </c>
      <c r="AO142" s="105">
        <f>IFERROR(INDEX(TableWRMaster[BYE],MATCH(TableWRTECalcPts[[#This Row],[POSRef]],TableWRMaster[WRRef],0)),"")</f>
        <v>10</v>
      </c>
      <c r="AP142" s="103">
        <f>IFERROR(INDEX(TableWRMaster[Custom],MATCH(TableWRTECalcPts[[#This Row],[POSRef]],TableWRMaster[WRRef],0)),"")</f>
        <v>42.801082616668182</v>
      </c>
    </row>
    <row r="143" spans="8:42" x14ac:dyDescent="0.25">
      <c r="H143" s="59" t="str">
        <f>IFERROR(RANK(TableRBCalcPts[[#This Row],[Custom]],TableRBCalcPts[Custom])+COUNTIF($M$3:M143,M143)-1,"")</f>
        <v/>
      </c>
      <c r="I143" s="59">
        <v>141</v>
      </c>
      <c r="J143" s="59" t="str">
        <f>IFERROR(INDEX(TableRBMaster[Player],MATCH(TableRBCalcPts[[#This Row],[RBRef]],TableRBMaster[RBRef],0)),"")</f>
        <v/>
      </c>
      <c r="K143" s="59" t="str">
        <f>IFERROR(INDEX(TableRBMaster[TM],MATCH(TableRBCalcPts[[#This Row],[RBRef]],TableRBMaster[RBRef],0)),"")</f>
        <v/>
      </c>
      <c r="L143" s="59" t="str">
        <f>IFERROR(INDEX(TableRBMaster[BYE],MATCH(TableRBCalcPts[[#This Row],[RBRef]],TableRBMaster[RBRef],0)),"")</f>
        <v/>
      </c>
      <c r="M143" s="60" t="str">
        <f>IFERROR(INDEX(TableRBMaster[Custom],MATCH(TableRBCalcPts[[#This Row],[RBRef]],TableRBMaster[RBRef],0)),"")</f>
        <v/>
      </c>
      <c r="O143" s="59">
        <f>IFERROR(RANK(TableWRCalcPts[[#This Row],[Custom]],TableWRCalcPts[Custom])+COUNTIF($T$3:T143,T143)-1,"")</f>
        <v>163</v>
      </c>
      <c r="P143" s="59">
        <v>141</v>
      </c>
      <c r="Q143" s="59" t="str">
        <f>IFERROR(INDEX(TableWRMaster[Player],MATCH(TableWRCalcPts[[#This Row],[WRRef]],TableWRMaster[WRRef],0)),"")</f>
        <v>Britain Covey</v>
      </c>
      <c r="R143" s="59" t="str">
        <f>IFERROR(INDEX(TableWRMaster[TM],MATCH(TableWRCalcPts[[#This Row],[WRRef]],TableWRMaster[WRRef],0)),"")</f>
        <v>PHI</v>
      </c>
      <c r="S143" s="59">
        <f>IFERROR(INDEX(TableWRMaster[BYE],MATCH(TableWRCalcPts[[#This Row],[WRRef]],TableWRMaster[WRRef],0)),"")</f>
        <v>5</v>
      </c>
      <c r="T143" s="60">
        <f>IFERROR(INDEX(TableWRMaster[Custom],MATCH(TableWRCalcPts[[#This Row],[WRRef]],TableWRMaster[WRRef],0)),"")</f>
        <v>10.576269518762009</v>
      </c>
      <c r="AI143" s="59" t="s">
        <v>208</v>
      </c>
      <c r="AJ143" s="59">
        <f>IFERROR(RANK(TableWRTECalcPts[[#This Row],[Custom]],TableWRTECalcPts[Custom])+COUNTIF($AP$3:AP143,AP143)-1,"")</f>
        <v>226</v>
      </c>
      <c r="AK143" s="105">
        <v>41</v>
      </c>
      <c r="AL143" s="105" t="str">
        <f>IFERROR(INDEX(TableWRMaster[Player],MATCH(TableWRTECalcPts[[#This Row],[POSRef]],TableWRMaster[WRRef],0)),"")</f>
        <v>Jamari Thrash</v>
      </c>
      <c r="AM143" s="105" t="str">
        <f>IFERROR(_xlfn.CONCAT(TableWRTECalcPts[[#This Row],[POS]],INDEX(TableWRRanks[RK],MATCH(TableWRTECalcPts[[#This Row],[PLAYER]],TableWRRanks[Player],0))),"")</f>
        <v>WR159</v>
      </c>
      <c r="AN143" s="105" t="str">
        <f>IFERROR(INDEX(TableWRMaster[TM],MATCH(TableWRTECalcPts[[#This Row],[POSRef]],TableWRMaster[WRRef],0)),"")</f>
        <v>CLE</v>
      </c>
      <c r="AO143" s="105">
        <f>IFERROR(INDEX(TableWRMaster[BYE],MATCH(TableWRTECalcPts[[#This Row],[POSRef]],TableWRMaster[WRRef],0)),"")</f>
        <v>10</v>
      </c>
      <c r="AP143" s="103">
        <f>IFERROR(INDEX(TableWRMaster[Custom],MATCH(TableWRTECalcPts[[#This Row],[POSRef]],TableWRMaster[WRRef],0)),"")</f>
        <v>11.41575617028</v>
      </c>
    </row>
    <row r="144" spans="8:42" x14ac:dyDescent="0.25">
      <c r="H144" s="59" t="str">
        <f>IFERROR(RANK(TableRBCalcPts[[#This Row],[Custom]],TableRBCalcPts[Custom])+COUNTIF($M$3:M144,M144)-1,"")</f>
        <v/>
      </c>
      <c r="I144" s="59">
        <v>142</v>
      </c>
      <c r="J144" s="59" t="str">
        <f>IFERROR(INDEX(TableRBMaster[Player],MATCH(TableRBCalcPts[[#This Row],[RBRef]],TableRBMaster[RBRef],0)),"")</f>
        <v/>
      </c>
      <c r="K144" s="59" t="str">
        <f>IFERROR(INDEX(TableRBMaster[TM],MATCH(TableRBCalcPts[[#This Row],[RBRef]],TableRBMaster[RBRef],0)),"")</f>
        <v/>
      </c>
      <c r="L144" s="59" t="str">
        <f>IFERROR(INDEX(TableRBMaster[BYE],MATCH(TableRBCalcPts[[#This Row],[RBRef]],TableRBMaster[RBRef],0)),"")</f>
        <v/>
      </c>
      <c r="M144" s="60" t="str">
        <f>IFERROR(INDEX(TableRBMaster[Custom],MATCH(TableRBCalcPts[[#This Row],[RBRef]],TableRBMaster[RBRef],0)),"")</f>
        <v/>
      </c>
      <c r="O144" s="59">
        <f>IFERROR(RANK(TableWRCalcPts[[#This Row],[Custom]],TableWRCalcPts[Custom])+COUNTIF($T$3:T144,T144)-1,"")</f>
        <v>25</v>
      </c>
      <c r="P144" s="59">
        <v>142</v>
      </c>
      <c r="Q144" s="59" t="str">
        <f>IFERROR(INDEX(TableWRMaster[Player],MATCH(TableWRCalcPts[[#This Row],[WRRef]],TableWRMaster[WRRef],0)),"")</f>
        <v>George Pickens</v>
      </c>
      <c r="R144" s="59" t="str">
        <f>IFERROR(INDEX(TableWRMaster[TM],MATCH(TableWRCalcPts[[#This Row],[WRRef]],TableWRMaster[WRRef],0)),"")</f>
        <v>PIT</v>
      </c>
      <c r="S144" s="59">
        <f>IFERROR(INDEX(TableWRMaster[BYE],MATCH(TableWRCalcPts[[#This Row],[WRRef]],TableWRMaster[WRRef],0)),"")</f>
        <v>9</v>
      </c>
      <c r="T144" s="60">
        <f>IFERROR(INDEX(TableWRMaster[Custom],MATCH(TableWRCalcPts[[#This Row],[WRRef]],TableWRMaster[WRRef],0)),"")</f>
        <v>189.09560213560073</v>
      </c>
      <c r="AI144" s="59" t="s">
        <v>208</v>
      </c>
      <c r="AJ144" s="59">
        <f>IFERROR(RANK(TableWRTECalcPts[[#This Row],[Custom]],TableWRTECalcPts[Custom])+COUNTIF($AP$3:AP144,AP144)-1,"")</f>
        <v>256</v>
      </c>
      <c r="AK144" s="105">
        <v>42</v>
      </c>
      <c r="AL144" s="105" t="str">
        <f>IFERROR(INDEX(TableWRMaster[Player],MATCH(TableWRTECalcPts[[#This Row],[POSRef]],TableWRMaster[WRRef],0)),"")</f>
        <v>David Bell</v>
      </c>
      <c r="AM144" s="105" t="str">
        <f>IFERROR(_xlfn.CONCAT(TableWRTECalcPts[[#This Row],[POS]],INDEX(TableWRRanks[RK],MATCH(TableWRTECalcPts[[#This Row],[PLAYER]],TableWRRanks[Player],0))),"")</f>
        <v>WR175</v>
      </c>
      <c r="AN144" s="105" t="str">
        <f>IFERROR(INDEX(TableWRMaster[TM],MATCH(TableWRTECalcPts[[#This Row],[POSRef]],TableWRMaster[WRRef],0)),"")</f>
        <v>CLE</v>
      </c>
      <c r="AO144" s="105">
        <f>IFERROR(INDEX(TableWRMaster[BYE],MATCH(TableWRTECalcPts[[#This Row],[POSRef]],TableWRMaster[WRRef],0)),"")</f>
        <v>10</v>
      </c>
      <c r="AP144" s="103">
        <f>IFERROR(INDEX(TableWRMaster[Custom],MATCH(TableWRTECalcPts[[#This Row],[POSRef]],TableWRMaster[WRRef],0)),"")</f>
        <v>6.426609524515027</v>
      </c>
    </row>
    <row r="145" spans="8:42" x14ac:dyDescent="0.25">
      <c r="H145" s="59" t="str">
        <f>IFERROR(RANK(TableRBCalcPts[[#This Row],[Custom]],TableRBCalcPts[Custom])+COUNTIF($M$3:M145,M145)-1,"")</f>
        <v/>
      </c>
      <c r="I145" s="59">
        <v>143</v>
      </c>
      <c r="J145" s="59" t="str">
        <f>IFERROR(INDEX(TableRBMaster[Player],MATCH(TableRBCalcPts[[#This Row],[RBRef]],TableRBMaster[RBRef],0)),"")</f>
        <v/>
      </c>
      <c r="K145" s="59" t="str">
        <f>IFERROR(INDEX(TableRBMaster[TM],MATCH(TableRBCalcPts[[#This Row],[RBRef]],TableRBMaster[RBRef],0)),"")</f>
        <v/>
      </c>
      <c r="L145" s="59" t="str">
        <f>IFERROR(INDEX(TableRBMaster[BYE],MATCH(TableRBCalcPts[[#This Row],[RBRef]],TableRBMaster[RBRef],0)),"")</f>
        <v/>
      </c>
      <c r="M145" s="60" t="str">
        <f>IFERROR(INDEX(TableRBMaster[Custom],MATCH(TableRBCalcPts[[#This Row],[RBRef]],TableRBMaster[RBRef],0)),"")</f>
        <v/>
      </c>
      <c r="O145" s="59">
        <f>IFERROR(RANK(TableWRCalcPts[[#This Row],[Custom]],TableWRCalcPts[Custom])+COUNTIF($T$3:T145,T145)-1,"")</f>
        <v>79</v>
      </c>
      <c r="P145" s="59">
        <v>143</v>
      </c>
      <c r="Q145" s="59" t="str">
        <f>IFERROR(INDEX(TableWRMaster[Player],MATCH(TableWRCalcPts[[#This Row],[WRRef]],TableWRMaster[WRRef],0)),"")</f>
        <v>Roman Wilson</v>
      </c>
      <c r="R145" s="59" t="str">
        <f>IFERROR(INDEX(TableWRMaster[TM],MATCH(TableWRCalcPts[[#This Row],[WRRef]],TableWRMaster[WRRef],0)),"")</f>
        <v>PIT</v>
      </c>
      <c r="S145" s="59">
        <f>IFERROR(INDEX(TableWRMaster[BYE],MATCH(TableWRCalcPts[[#This Row],[WRRef]],TableWRMaster[WRRef],0)),"")</f>
        <v>9</v>
      </c>
      <c r="T145" s="60">
        <f>IFERROR(INDEX(TableWRMaster[Custom],MATCH(TableWRCalcPts[[#This Row],[WRRef]],TableWRMaster[WRRef],0)),"")</f>
        <v>100.98603118800001</v>
      </c>
      <c r="AI145" s="59" t="s">
        <v>208</v>
      </c>
      <c r="AJ145" s="59">
        <f>IFERROR(RANK(TableWRTECalcPts[[#This Row],[Custom]],TableWRTECalcPts[Custom])+COUNTIF($AP$3:AP145,AP145)-1,"")</f>
        <v>1</v>
      </c>
      <c r="AK145" s="105">
        <v>43</v>
      </c>
      <c r="AL145" s="105" t="str">
        <f>IFERROR(INDEX(TableWRMaster[Player],MATCH(TableWRTECalcPts[[#This Row],[POSRef]],TableWRMaster[WRRef],0)),"")</f>
        <v>CeeDee Lamb</v>
      </c>
      <c r="AM145" s="105" t="str">
        <f>IFERROR(_xlfn.CONCAT(TableWRTECalcPts[[#This Row],[POS]],INDEX(TableWRRanks[RK],MATCH(TableWRTECalcPts[[#This Row],[PLAYER]],TableWRRanks[Player],0))),"")</f>
        <v>WR1</v>
      </c>
      <c r="AN145" s="105" t="str">
        <f>IFERROR(INDEX(TableWRMaster[TM],MATCH(TableWRTECalcPts[[#This Row],[POSRef]],TableWRMaster[WRRef],0)),"")</f>
        <v>DAL</v>
      </c>
      <c r="AO145" s="105">
        <f>IFERROR(INDEX(TableWRMaster[BYE],MATCH(TableWRTECalcPts[[#This Row],[POSRef]],TableWRMaster[WRRef],0)),"")</f>
        <v>7</v>
      </c>
      <c r="AP145" s="103">
        <f>IFERROR(INDEX(TableWRMaster[Custom],MATCH(TableWRTECalcPts[[#This Row],[POSRef]],TableWRMaster[WRRef],0)),"")</f>
        <v>271.55717234290148</v>
      </c>
    </row>
    <row r="146" spans="8:42" x14ac:dyDescent="0.25">
      <c r="H146" s="59" t="str">
        <f>IFERROR(RANK(TableRBCalcPts[[#This Row],[Custom]],TableRBCalcPts[Custom])+COUNTIF($M$3:M146,M146)-1,"")</f>
        <v/>
      </c>
      <c r="I146" s="59">
        <v>144</v>
      </c>
      <c r="J146" s="59" t="str">
        <f>IFERROR(INDEX(TableRBMaster[Player],MATCH(TableRBCalcPts[[#This Row],[RBRef]],TableRBMaster[RBRef],0)),"")</f>
        <v/>
      </c>
      <c r="K146" s="59" t="str">
        <f>IFERROR(INDEX(TableRBMaster[TM],MATCH(TableRBCalcPts[[#This Row],[RBRef]],TableRBMaster[RBRef],0)),"")</f>
        <v/>
      </c>
      <c r="L146" s="59" t="str">
        <f>IFERROR(INDEX(TableRBMaster[BYE],MATCH(TableRBCalcPts[[#This Row],[RBRef]],TableRBMaster[RBRef],0)),"")</f>
        <v/>
      </c>
      <c r="M146" s="60" t="str">
        <f>IFERROR(INDEX(TableRBMaster[Custom],MATCH(TableRBCalcPts[[#This Row],[RBRef]],TableRBMaster[RBRef],0)),"")</f>
        <v/>
      </c>
      <c r="O146" s="59">
        <f>IFERROR(RANK(TableWRCalcPts[[#This Row],[Custom]],TableWRCalcPts[Custom])+COUNTIF($T$3:T146,T146)-1,"")</f>
        <v>80</v>
      </c>
      <c r="P146" s="59">
        <v>144</v>
      </c>
      <c r="Q146" s="59" t="str">
        <f>IFERROR(INDEX(TableWRMaster[Player],MATCH(TableWRCalcPts[[#This Row],[WRRef]],TableWRMaster[WRRef],0)),"")</f>
        <v>Van Jefferson</v>
      </c>
      <c r="R146" s="59" t="str">
        <f>IFERROR(INDEX(TableWRMaster[TM],MATCH(TableWRCalcPts[[#This Row],[WRRef]],TableWRMaster[WRRef],0)),"")</f>
        <v>PIT</v>
      </c>
      <c r="S146" s="59">
        <f>IFERROR(INDEX(TableWRMaster[BYE],MATCH(TableWRCalcPts[[#This Row],[WRRef]],TableWRMaster[WRRef],0)),"")</f>
        <v>9</v>
      </c>
      <c r="T146" s="60">
        <f>IFERROR(INDEX(TableWRMaster[Custom],MATCH(TableWRCalcPts[[#This Row],[WRRef]],TableWRMaster[WRRef],0)),"")</f>
        <v>100.70653692455998</v>
      </c>
      <c r="AI146" s="59" t="s">
        <v>208</v>
      </c>
      <c r="AJ146" s="59">
        <f>IFERROR(RANK(TableWRTECalcPts[[#This Row],[Custom]],TableWRTECalcPts[Custom])+COUNTIF($AP$3:AP146,AP146)-1,"")</f>
        <v>69</v>
      </c>
      <c r="AK146" s="105">
        <v>44</v>
      </c>
      <c r="AL146" s="105" t="str">
        <f>IFERROR(INDEX(TableWRMaster[Player],MATCH(TableWRTECalcPts[[#This Row],[POSRef]],TableWRMaster[WRRef],0)),"")</f>
        <v>Brandin Cooks</v>
      </c>
      <c r="AM146" s="105" t="str">
        <f>IFERROR(_xlfn.CONCAT(TableWRTECalcPts[[#This Row],[POS]],INDEX(TableWRRanks[RK],MATCH(TableWRTECalcPts[[#This Row],[PLAYER]],TableWRRanks[Player],0))),"")</f>
        <v>WR60</v>
      </c>
      <c r="AN146" s="105" t="str">
        <f>IFERROR(INDEX(TableWRMaster[TM],MATCH(TableWRTECalcPts[[#This Row],[POSRef]],TableWRMaster[WRRef],0)),"")</f>
        <v>DAL</v>
      </c>
      <c r="AO146" s="105">
        <f>IFERROR(INDEX(TableWRMaster[BYE],MATCH(TableWRTECalcPts[[#This Row],[POSRef]],TableWRMaster[WRRef],0)),"")</f>
        <v>7</v>
      </c>
      <c r="AP146" s="103">
        <f>IFERROR(INDEX(TableWRMaster[Custom],MATCH(TableWRTECalcPts[[#This Row],[POSRef]],TableWRMaster[WRRef],0)),"")</f>
        <v>143.24353207428095</v>
      </c>
    </row>
    <row r="147" spans="8:42" x14ac:dyDescent="0.25">
      <c r="H147" s="59" t="str">
        <f>IFERROR(RANK(TableRBCalcPts[[#This Row],[Custom]],TableRBCalcPts[Custom])+COUNTIF($M$3:M147,M147)-1,"")</f>
        <v/>
      </c>
      <c r="I147" s="59">
        <v>145</v>
      </c>
      <c r="J147" s="59" t="str">
        <f>IFERROR(INDEX(TableRBMaster[Player],MATCH(TableRBCalcPts[[#This Row],[RBRef]],TableRBMaster[RBRef],0)),"")</f>
        <v/>
      </c>
      <c r="K147" s="59" t="str">
        <f>IFERROR(INDEX(TableRBMaster[TM],MATCH(TableRBCalcPts[[#This Row],[RBRef]],TableRBMaster[RBRef],0)),"")</f>
        <v/>
      </c>
      <c r="L147" s="59" t="str">
        <f>IFERROR(INDEX(TableRBMaster[BYE],MATCH(TableRBCalcPts[[#This Row],[RBRef]],TableRBMaster[RBRef],0)),"")</f>
        <v/>
      </c>
      <c r="M147" s="60" t="str">
        <f>IFERROR(INDEX(TableRBMaster[Custom],MATCH(TableRBCalcPts[[#This Row],[RBRef]],TableRBMaster[RBRef],0)),"")</f>
        <v/>
      </c>
      <c r="O147" s="59">
        <f>IFERROR(RANK(TableWRCalcPts[[#This Row],[Custom]],TableWRCalcPts[Custom])+COUNTIF($T$3:T147,T147)-1,"")</f>
        <v>103</v>
      </c>
      <c r="P147" s="59">
        <v>145</v>
      </c>
      <c r="Q147" s="59" t="str">
        <f>IFERROR(INDEX(TableWRMaster[Player],MATCH(TableWRCalcPts[[#This Row],[WRRef]],TableWRMaster[WRRef],0)),"")</f>
        <v>Calvin Austin</v>
      </c>
      <c r="R147" s="59" t="str">
        <f>IFERROR(INDEX(TableWRMaster[TM],MATCH(TableWRCalcPts[[#This Row],[WRRef]],TableWRMaster[WRRef],0)),"")</f>
        <v>PIT</v>
      </c>
      <c r="S147" s="59">
        <f>IFERROR(INDEX(TableWRMaster[BYE],MATCH(TableWRCalcPts[[#This Row],[WRRef]],TableWRMaster[WRRef],0)),"")</f>
        <v>9</v>
      </c>
      <c r="T147" s="60">
        <f>IFERROR(INDEX(TableWRMaster[Custom],MATCH(TableWRCalcPts[[#This Row],[WRRef]],TableWRMaster[WRRef],0)),"")</f>
        <v>58.376500767336978</v>
      </c>
      <c r="AI147" s="59" t="s">
        <v>208</v>
      </c>
      <c r="AJ147" s="59">
        <f>IFERROR(RANK(TableWRTECalcPts[[#This Row],[Custom]],TableWRTECalcPts[Custom])+COUNTIF($AP$3:AP147,AP147)-1,"")</f>
        <v>80</v>
      </c>
      <c r="AK147" s="105">
        <v>45</v>
      </c>
      <c r="AL147" s="105" t="str">
        <f>IFERROR(INDEX(TableWRMaster[Player],MATCH(TableWRTECalcPts[[#This Row],[POSRef]],TableWRMaster[WRRef],0)),"")</f>
        <v>Jalen Tolbert</v>
      </c>
      <c r="AM147" s="105" t="str">
        <f>IFERROR(_xlfn.CONCAT(TableWRTECalcPts[[#This Row],[POS]],INDEX(TableWRRanks[RK],MATCH(TableWRTECalcPts[[#This Row],[PLAYER]],TableWRRanks[Player],0))),"")</f>
        <v>WR67</v>
      </c>
      <c r="AN147" s="105" t="str">
        <f>IFERROR(INDEX(TableWRMaster[TM],MATCH(TableWRTECalcPts[[#This Row],[POSRef]],TableWRMaster[WRRef],0)),"")</f>
        <v>DAL</v>
      </c>
      <c r="AO147" s="105">
        <f>IFERROR(INDEX(TableWRMaster[BYE],MATCH(TableWRTECalcPts[[#This Row],[POSRef]],TableWRMaster[WRRef],0)),"")</f>
        <v>7</v>
      </c>
      <c r="AP147" s="103">
        <f>IFERROR(INDEX(TableWRMaster[Custom],MATCH(TableWRTECalcPts[[#This Row],[POSRef]],TableWRMaster[WRRef],0)),"")</f>
        <v>123.19600289357085</v>
      </c>
    </row>
    <row r="148" spans="8:42" x14ac:dyDescent="0.25">
      <c r="H148" s="59" t="str">
        <f>IFERROR(RANK(TableRBCalcPts[[#This Row],[Custom]],TableRBCalcPts[Custom])+COUNTIF($M$3:M148,M148)-1,"")</f>
        <v/>
      </c>
      <c r="I148" s="59">
        <v>146</v>
      </c>
      <c r="J148" s="59" t="str">
        <f>IFERROR(INDEX(TableRBMaster[Player],MATCH(TableRBCalcPts[[#This Row],[RBRef]],TableRBMaster[RBRef],0)),"")</f>
        <v/>
      </c>
      <c r="K148" s="59" t="str">
        <f>IFERROR(INDEX(TableRBMaster[TM],MATCH(TableRBCalcPts[[#This Row],[RBRef]],TableRBMaster[RBRef],0)),"")</f>
        <v/>
      </c>
      <c r="L148" s="59" t="str">
        <f>IFERROR(INDEX(TableRBMaster[BYE],MATCH(TableRBCalcPts[[#This Row],[RBRef]],TableRBMaster[RBRef],0)),"")</f>
        <v/>
      </c>
      <c r="M148" s="60" t="str">
        <f>IFERROR(INDEX(TableRBMaster[Custom],MATCH(TableRBCalcPts[[#This Row],[RBRef]],TableRBMaster[RBRef],0)),"")</f>
        <v/>
      </c>
      <c r="O148" s="59">
        <f>IFERROR(RANK(TableWRCalcPts[[#This Row],[Custom]],TableWRCalcPts[Custom])+COUNTIF($T$3:T148,T148)-1,"")</f>
        <v>168</v>
      </c>
      <c r="P148" s="59">
        <v>146</v>
      </c>
      <c r="Q148" s="59" t="str">
        <f>IFERROR(INDEX(TableWRMaster[Player],MATCH(TableWRCalcPts[[#This Row],[WRRef]],TableWRMaster[WRRef],0)),"")</f>
        <v>Dez Fitzpatrick</v>
      </c>
      <c r="R148" s="59" t="str">
        <f>IFERROR(INDEX(TableWRMaster[TM],MATCH(TableWRCalcPts[[#This Row],[WRRef]],TableWRMaster[WRRef],0)),"")</f>
        <v>PIT</v>
      </c>
      <c r="S148" s="59">
        <f>IFERROR(INDEX(TableWRMaster[BYE],MATCH(TableWRCalcPts[[#This Row],[WRRef]],TableWRMaster[WRRef],0)),"")</f>
        <v>9</v>
      </c>
      <c r="T148" s="60">
        <f>IFERROR(INDEX(TableWRMaster[Custom],MATCH(TableWRCalcPts[[#This Row],[WRRef]],TableWRMaster[WRRef],0)),"")</f>
        <v>8.4999207711599993</v>
      </c>
      <c r="AI148" s="59" t="s">
        <v>208</v>
      </c>
      <c r="AJ148" s="59">
        <f>IFERROR(RANK(TableWRTECalcPts[[#This Row],[Custom]],TableWRTECalcPts[Custom])+COUNTIF($AP$3:AP148,AP148)-1,"")</f>
        <v>192</v>
      </c>
      <c r="AK148" s="105">
        <v>46</v>
      </c>
      <c r="AL148" s="105" t="str">
        <f>IFERROR(INDEX(TableWRMaster[Player],MATCH(TableWRTECalcPts[[#This Row],[POSRef]],TableWRMaster[WRRef],0)),"")</f>
        <v>KaVontae Turpin</v>
      </c>
      <c r="AM148" s="105" t="str">
        <f>IFERROR(_xlfn.CONCAT(TableWRTECalcPts[[#This Row],[POS]],INDEX(TableWRRanks[RK],MATCH(TableWRTECalcPts[[#This Row],[PLAYER]],TableWRRanks[Player],0))),"")</f>
        <v>WR137</v>
      </c>
      <c r="AN148" s="105" t="str">
        <f>IFERROR(INDEX(TableWRMaster[TM],MATCH(TableWRTECalcPts[[#This Row],[POSRef]],TableWRMaster[WRRef],0)),"")</f>
        <v>DAL</v>
      </c>
      <c r="AO148" s="105">
        <f>IFERROR(INDEX(TableWRMaster[BYE],MATCH(TableWRTECalcPts[[#This Row],[POSRef]],TableWRMaster[WRRef],0)),"")</f>
        <v>7</v>
      </c>
      <c r="AP148" s="103">
        <f>IFERROR(INDEX(TableWRMaster[Custom],MATCH(TableWRTECalcPts[[#This Row],[POSRef]],TableWRMaster[WRRef],0)),"")</f>
        <v>21.958836132368511</v>
      </c>
    </row>
    <row r="149" spans="8:42" x14ac:dyDescent="0.25">
      <c r="H149" s="59" t="str">
        <f>IFERROR(RANK(TableRBCalcPts[[#This Row],[Custom]],TableRBCalcPts[Custom])+COUNTIF($M$3:M149,M149)-1,"")</f>
        <v/>
      </c>
      <c r="I149" s="59">
        <v>147</v>
      </c>
      <c r="J149" s="59" t="str">
        <f>IFERROR(INDEX(TableRBMaster[Player],MATCH(TableRBCalcPts[[#This Row],[RBRef]],TableRBMaster[RBRef],0)),"")</f>
        <v/>
      </c>
      <c r="K149" s="59" t="str">
        <f>IFERROR(INDEX(TableRBMaster[TM],MATCH(TableRBCalcPts[[#This Row],[RBRef]],TableRBMaster[RBRef],0)),"")</f>
        <v/>
      </c>
      <c r="L149" s="59" t="str">
        <f>IFERROR(INDEX(TableRBMaster[BYE],MATCH(TableRBCalcPts[[#This Row],[RBRef]],TableRBMaster[RBRef],0)),"")</f>
        <v/>
      </c>
      <c r="M149" s="60" t="str">
        <f>IFERROR(INDEX(TableRBMaster[Custom],MATCH(TableRBCalcPts[[#This Row],[RBRef]],TableRBMaster[RBRef],0)),"")</f>
        <v/>
      </c>
      <c r="O149" s="59">
        <f>IFERROR(RANK(TableWRCalcPts[[#This Row],[Custom]],TableWRCalcPts[Custom])+COUNTIF($T$3:T149,T149)-1,"")</f>
        <v>18</v>
      </c>
      <c r="P149" s="59">
        <v>147</v>
      </c>
      <c r="Q149" s="59" t="str">
        <f>IFERROR(INDEX(TableWRMaster[Player],MATCH(TableWRCalcPts[[#This Row],[WRRef]],TableWRMaster[WRRef],0)),"")</f>
        <v>DK Metcalf</v>
      </c>
      <c r="R149" s="59" t="str">
        <f>IFERROR(INDEX(TableWRMaster[TM],MATCH(TableWRCalcPts[[#This Row],[WRRef]],TableWRMaster[WRRef],0)),"")</f>
        <v>SEA</v>
      </c>
      <c r="S149" s="59">
        <f>IFERROR(INDEX(TableWRMaster[BYE],MATCH(TableWRCalcPts[[#This Row],[WRRef]],TableWRMaster[WRRef],0)),"")</f>
        <v>10</v>
      </c>
      <c r="T149" s="60">
        <f>IFERROR(INDEX(TableWRMaster[Custom],MATCH(TableWRCalcPts[[#This Row],[WRRef]],TableWRMaster[WRRef],0)),"")</f>
        <v>196.75593147513993</v>
      </c>
      <c r="AI149" s="59" t="s">
        <v>208</v>
      </c>
      <c r="AJ149" s="59">
        <f>IFERROR(RANK(TableWRTECalcPts[[#This Row],[Custom]],TableWRTECalcPts[Custom])+COUNTIF($AP$3:AP149,AP149)-1,"")</f>
        <v>210</v>
      </c>
      <c r="AK149" s="105">
        <v>47</v>
      </c>
      <c r="AL149" s="105" t="str">
        <f>IFERROR(INDEX(TableWRMaster[Player],MATCH(TableWRTECalcPts[[#This Row],[POSRef]],TableWRMaster[WRRef],0)),"")</f>
        <v>Ryan Flournoy</v>
      </c>
      <c r="AM149" s="105" t="str">
        <f>IFERROR(_xlfn.CONCAT(TableWRTECalcPts[[#This Row],[POS]],INDEX(TableWRRanks[RK],MATCH(TableWRTECalcPts[[#This Row],[PLAYER]],TableWRRanks[Player],0))),"")</f>
        <v>WR147</v>
      </c>
      <c r="AN149" s="105" t="str">
        <f>IFERROR(INDEX(TableWRMaster[TM],MATCH(TableWRTECalcPts[[#This Row],[POSRef]],TableWRMaster[WRRef],0)),"")</f>
        <v>DAL</v>
      </c>
      <c r="AO149" s="105">
        <f>IFERROR(INDEX(TableWRMaster[BYE],MATCH(TableWRTECalcPts[[#This Row],[POSRef]],TableWRMaster[WRRef],0)),"")</f>
        <v>7</v>
      </c>
      <c r="AP149" s="103">
        <f>IFERROR(INDEX(TableWRMaster[Custom],MATCH(TableWRTECalcPts[[#This Row],[POSRef]],TableWRMaster[WRRef],0)),"")</f>
        <v>15.366760287490072</v>
      </c>
    </row>
    <row r="150" spans="8:42" x14ac:dyDescent="0.25">
      <c r="H150" s="59" t="str">
        <f>IFERROR(RANK(TableRBCalcPts[[#This Row],[Custom]],TableRBCalcPts[Custom])+COUNTIF($M$3:M150,M150)-1,"")</f>
        <v/>
      </c>
      <c r="I150" s="59">
        <v>148</v>
      </c>
      <c r="J150" s="59" t="str">
        <f>IFERROR(INDEX(TableRBMaster[Player],MATCH(TableRBCalcPts[[#This Row],[RBRef]],TableRBMaster[RBRef],0)),"")</f>
        <v/>
      </c>
      <c r="K150" s="59" t="str">
        <f>IFERROR(INDEX(TableRBMaster[TM],MATCH(TableRBCalcPts[[#This Row],[RBRef]],TableRBMaster[RBRef],0)),"")</f>
        <v/>
      </c>
      <c r="L150" s="59" t="str">
        <f>IFERROR(INDEX(TableRBMaster[BYE],MATCH(TableRBCalcPts[[#This Row],[RBRef]],TableRBMaster[RBRef],0)),"")</f>
        <v/>
      </c>
      <c r="M150" s="60" t="str">
        <f>IFERROR(INDEX(TableRBMaster[Custom],MATCH(TableRBCalcPts[[#This Row],[RBRef]],TableRBMaster[RBRef],0)),"")</f>
        <v/>
      </c>
      <c r="O150" s="59">
        <f>IFERROR(RANK(TableWRCalcPts[[#This Row],[Custom]],TableWRCalcPts[Custom])+COUNTIF($T$3:T150,T150)-1,"")</f>
        <v>47</v>
      </c>
      <c r="P150" s="59">
        <v>148</v>
      </c>
      <c r="Q150" s="59" t="str">
        <f>IFERROR(INDEX(TableWRMaster[Player],MATCH(TableWRCalcPts[[#This Row],[WRRef]],TableWRMaster[WRRef],0)),"")</f>
        <v>Tyler Lockett</v>
      </c>
      <c r="R150" s="59" t="str">
        <f>IFERROR(INDEX(TableWRMaster[TM],MATCH(TableWRCalcPts[[#This Row],[WRRef]],TableWRMaster[WRRef],0)),"")</f>
        <v>SEA</v>
      </c>
      <c r="S150" s="59">
        <f>IFERROR(INDEX(TableWRMaster[BYE],MATCH(TableWRCalcPts[[#This Row],[WRRef]],TableWRMaster[WRRef],0)),"")</f>
        <v>10</v>
      </c>
      <c r="T150" s="60">
        <f>IFERROR(INDEX(TableWRMaster[Custom],MATCH(TableWRCalcPts[[#This Row],[WRRef]],TableWRMaster[WRRef],0)),"")</f>
        <v>162.31493454865003</v>
      </c>
      <c r="AI150" s="59" t="s">
        <v>208</v>
      </c>
      <c r="AJ150" s="59">
        <f>IFERROR(RANK(TableWRTECalcPts[[#This Row],[Custom]],TableWRTECalcPts[Custom])+COUNTIF($AP$3:AP150,AP150)-1,"")</f>
        <v>211</v>
      </c>
      <c r="AK150" s="105">
        <v>48</v>
      </c>
      <c r="AL150" s="105" t="str">
        <f>IFERROR(INDEX(TableWRMaster[Player],MATCH(TableWRTECalcPts[[#This Row],[POSRef]],TableWRMaster[WRRef],0)),"")</f>
        <v>Jalen Brooks</v>
      </c>
      <c r="AM150" s="105" t="str">
        <f>IFERROR(_xlfn.CONCAT(TableWRTECalcPts[[#This Row],[POS]],INDEX(TableWRRanks[RK],MATCH(TableWRTECalcPts[[#This Row],[PLAYER]],TableWRRanks[Player],0))),"")</f>
        <v>WR148</v>
      </c>
      <c r="AN150" s="105" t="str">
        <f>IFERROR(INDEX(TableWRMaster[TM],MATCH(TableWRTECalcPts[[#This Row],[POSRef]],TableWRMaster[WRRef],0)),"")</f>
        <v>DAL</v>
      </c>
      <c r="AO150" s="105">
        <f>IFERROR(INDEX(TableWRMaster[BYE],MATCH(TableWRTECalcPts[[#This Row],[POSRef]],TableWRMaster[WRRef],0)),"")</f>
        <v>7</v>
      </c>
      <c r="AP150" s="103">
        <f>IFERROR(INDEX(TableWRMaster[Custom],MATCH(TableWRTECalcPts[[#This Row],[POSRef]],TableWRMaster[WRRef],0)),"")</f>
        <v>15.178797800477579</v>
      </c>
    </row>
    <row r="151" spans="8:42" x14ac:dyDescent="0.25">
      <c r="H151" s="59" t="str">
        <f>IFERROR(RANK(TableRBCalcPts[[#This Row],[Custom]],TableRBCalcPts[Custom])+COUNTIF($M$3:M151,M151)-1,"")</f>
        <v/>
      </c>
      <c r="I151" s="59">
        <v>149</v>
      </c>
      <c r="J151" s="59" t="str">
        <f>IFERROR(INDEX(TableRBMaster[Player],MATCH(TableRBCalcPts[[#This Row],[RBRef]],TableRBMaster[RBRef],0)),"")</f>
        <v/>
      </c>
      <c r="K151" s="59" t="str">
        <f>IFERROR(INDEX(TableRBMaster[TM],MATCH(TableRBCalcPts[[#This Row],[RBRef]],TableRBMaster[RBRef],0)),"")</f>
        <v/>
      </c>
      <c r="L151" s="59" t="str">
        <f>IFERROR(INDEX(TableRBMaster[BYE],MATCH(TableRBCalcPts[[#This Row],[RBRef]],TableRBMaster[RBRef],0)),"")</f>
        <v/>
      </c>
      <c r="M151" s="60" t="str">
        <f>IFERROR(INDEX(TableRBMaster[Custom],MATCH(TableRBCalcPts[[#This Row],[RBRef]],TableRBMaster[RBRef],0)),"")</f>
        <v/>
      </c>
      <c r="O151" s="59">
        <f>IFERROR(RANK(TableWRCalcPts[[#This Row],[Custom]],TableWRCalcPts[Custom])+COUNTIF($T$3:T151,T151)-1,"")</f>
        <v>44</v>
      </c>
      <c r="P151" s="59">
        <v>149</v>
      </c>
      <c r="Q151" s="59" t="str">
        <f>IFERROR(INDEX(TableWRMaster[Player],MATCH(TableWRCalcPts[[#This Row],[WRRef]],TableWRMaster[WRRef],0)),"")</f>
        <v>Jaxon Smith-Njigba</v>
      </c>
      <c r="R151" s="59" t="str">
        <f>IFERROR(INDEX(TableWRMaster[TM],MATCH(TableWRCalcPts[[#This Row],[WRRef]],TableWRMaster[WRRef],0)),"")</f>
        <v>SEA</v>
      </c>
      <c r="S151" s="59">
        <f>IFERROR(INDEX(TableWRMaster[BYE],MATCH(TableWRCalcPts[[#This Row],[WRRef]],TableWRMaster[WRRef],0)),"")</f>
        <v>10</v>
      </c>
      <c r="T151" s="60">
        <f>IFERROR(INDEX(TableWRMaster[Custom],MATCH(TableWRCalcPts[[#This Row],[WRRef]],TableWRMaster[WRRef],0)),"")</f>
        <v>163.8453388368572</v>
      </c>
      <c r="AI151" s="59" t="s">
        <v>208</v>
      </c>
      <c r="AJ151" s="59">
        <f>IFERROR(RANK(TableWRTECalcPts[[#This Row],[Custom]],TableWRTECalcPts[Custom])+COUNTIF($AP$3:AP151,AP151)-1,"")</f>
        <v>47</v>
      </c>
      <c r="AK151" s="105">
        <v>49</v>
      </c>
      <c r="AL151" s="105" t="str">
        <f>IFERROR(INDEX(TableWRMaster[Player],MATCH(TableWRTECalcPts[[#This Row],[POSRef]],TableWRMaster[WRRef],0)),"")</f>
        <v>Courtland Sutton</v>
      </c>
      <c r="AM151" s="105" t="str">
        <f>IFERROR(_xlfn.CONCAT(TableWRTECalcPts[[#This Row],[POS]],INDEX(TableWRRanks[RK],MATCH(TableWRTECalcPts[[#This Row],[PLAYER]],TableWRRanks[Player],0))),"")</f>
        <v>WR42</v>
      </c>
      <c r="AN151" s="105" t="str">
        <f>IFERROR(INDEX(TableWRMaster[TM],MATCH(TableWRTECalcPts[[#This Row],[POSRef]],TableWRMaster[WRRef],0)),"")</f>
        <v>DEN</v>
      </c>
      <c r="AO151" s="105">
        <f>IFERROR(INDEX(TableWRMaster[BYE],MATCH(TableWRTECalcPts[[#This Row],[POSRef]],TableWRMaster[WRRef],0)),"")</f>
        <v>14</v>
      </c>
      <c r="AP151" s="103">
        <f>IFERROR(INDEX(TableWRMaster[Custom],MATCH(TableWRTECalcPts[[#This Row],[POSRef]],TableWRMaster[WRRef],0)),"")</f>
        <v>165.59548838461149</v>
      </c>
    </row>
    <row r="152" spans="8:42" x14ac:dyDescent="0.25">
      <c r="H152" s="59" t="str">
        <f>IFERROR(RANK(TableRBCalcPts[[#This Row],[Custom]],TableRBCalcPts[Custom])+COUNTIF($M$3:M152,M152)-1,"")</f>
        <v/>
      </c>
      <c r="I152" s="59">
        <v>150</v>
      </c>
      <c r="J152" s="59" t="str">
        <f>IFERROR(INDEX(TableRBMaster[Player],MATCH(TableRBCalcPts[[#This Row],[RBRef]],TableRBMaster[RBRef],0)),"")</f>
        <v/>
      </c>
      <c r="K152" s="59" t="str">
        <f>IFERROR(INDEX(TableRBMaster[TM],MATCH(TableRBCalcPts[[#This Row],[RBRef]],TableRBMaster[RBRef],0)),"")</f>
        <v/>
      </c>
      <c r="L152" s="59" t="str">
        <f>IFERROR(INDEX(TableRBMaster[BYE],MATCH(TableRBCalcPts[[#This Row],[RBRef]],TableRBMaster[RBRef],0)),"")</f>
        <v/>
      </c>
      <c r="M152" s="60" t="str">
        <f>IFERROR(INDEX(TableRBMaster[Custom],MATCH(TableRBCalcPts[[#This Row],[RBRef]],TableRBMaster[RBRef],0)),"")</f>
        <v/>
      </c>
      <c r="O152" s="59">
        <f>IFERROR(RANK(TableWRCalcPts[[#This Row],[Custom]],TableWRCalcPts[Custom])+COUNTIF($T$3:T152,T152)-1,"")</f>
        <v>118</v>
      </c>
      <c r="P152" s="59">
        <v>150</v>
      </c>
      <c r="Q152" s="59" t="str">
        <f>IFERROR(INDEX(TableWRMaster[Player],MATCH(TableWRCalcPts[[#This Row],[WRRef]],TableWRMaster[WRRef],0)),"")</f>
        <v>Jake Bobo</v>
      </c>
      <c r="R152" s="59" t="str">
        <f>IFERROR(INDEX(TableWRMaster[TM],MATCH(TableWRCalcPts[[#This Row],[WRRef]],TableWRMaster[WRRef],0)),"")</f>
        <v>SEA</v>
      </c>
      <c r="S152" s="59">
        <f>IFERROR(INDEX(TableWRMaster[BYE],MATCH(TableWRCalcPts[[#This Row],[WRRef]],TableWRMaster[WRRef],0)),"")</f>
        <v>10</v>
      </c>
      <c r="T152" s="60">
        <f>IFERROR(INDEX(TableWRMaster[Custom],MATCH(TableWRCalcPts[[#This Row],[WRRef]],TableWRMaster[WRRef],0)),"")</f>
        <v>34.341331834367637</v>
      </c>
      <c r="AI152" s="59" t="s">
        <v>208</v>
      </c>
      <c r="AJ152" s="59">
        <f>IFERROR(RANK(TableWRTECalcPts[[#This Row],[Custom]],TableWRTECalcPts[Custom])+COUNTIF($AP$3:AP152,AP152)-1,"")</f>
        <v>84</v>
      </c>
      <c r="AK152" s="105">
        <v>50</v>
      </c>
      <c r="AL152" s="105" t="str">
        <f>IFERROR(INDEX(TableWRMaster[Player],MATCH(TableWRTECalcPts[[#This Row],[POSRef]],TableWRMaster[WRRef],0)),"")</f>
        <v>Josh Reynolds</v>
      </c>
      <c r="AM152" s="105" t="str">
        <f>IFERROR(_xlfn.CONCAT(TableWRTECalcPts[[#This Row],[POS]],INDEX(TableWRRanks[RK],MATCH(TableWRTECalcPts[[#This Row],[PLAYER]],TableWRRanks[Player],0))),"")</f>
        <v>WR71</v>
      </c>
      <c r="AN152" s="105" t="str">
        <f>IFERROR(INDEX(TableWRMaster[TM],MATCH(TableWRTECalcPts[[#This Row],[POSRef]],TableWRMaster[WRRef],0)),"")</f>
        <v>DEN</v>
      </c>
      <c r="AO152" s="105">
        <f>IFERROR(INDEX(TableWRMaster[BYE],MATCH(TableWRTECalcPts[[#This Row],[POSRef]],TableWRMaster[WRRef],0)),"")</f>
        <v>14</v>
      </c>
      <c r="AP152" s="103">
        <f>IFERROR(INDEX(TableWRMaster[Custom],MATCH(TableWRTECalcPts[[#This Row],[POSRef]],TableWRMaster[WRRef],0)),"")</f>
        <v>115.87277082752136</v>
      </c>
    </row>
    <row r="153" spans="8:42" x14ac:dyDescent="0.25">
      <c r="H153" s="59" t="str">
        <f>IFERROR(RANK(TableRBCalcPts[[#This Row],[Custom]],TableRBCalcPts[Custom])+COUNTIF($M$3:M153,M153)-1,"")</f>
        <v/>
      </c>
      <c r="I153" s="59">
        <v>151</v>
      </c>
      <c r="J153" s="59" t="str">
        <f>IFERROR(INDEX(TableRBMaster[Player],MATCH(TableRBCalcPts[[#This Row],[RBRef]],TableRBMaster[RBRef],0)),"")</f>
        <v/>
      </c>
      <c r="K153" s="59" t="str">
        <f>IFERROR(INDEX(TableRBMaster[TM],MATCH(TableRBCalcPts[[#This Row],[RBRef]],TableRBMaster[RBRef],0)),"")</f>
        <v/>
      </c>
      <c r="L153" s="59" t="str">
        <f>IFERROR(INDEX(TableRBMaster[BYE],MATCH(TableRBCalcPts[[#This Row],[RBRef]],TableRBMaster[RBRef],0)),"")</f>
        <v/>
      </c>
      <c r="M153" s="60" t="str">
        <f>IFERROR(INDEX(TableRBMaster[Custom],MATCH(TableRBCalcPts[[#This Row],[RBRef]],TableRBMaster[RBRef],0)),"")</f>
        <v/>
      </c>
      <c r="O153" s="59">
        <f>IFERROR(RANK(TableWRCalcPts[[#This Row],[Custom]],TableWRCalcPts[Custom])+COUNTIF($T$3:T153,T153)-1,"")</f>
        <v>153</v>
      </c>
      <c r="P153" s="59">
        <v>151</v>
      </c>
      <c r="Q153" s="59" t="str">
        <f>IFERROR(INDEX(TableWRMaster[Player],MATCH(TableWRCalcPts[[#This Row],[WRRef]],TableWRMaster[WRRef],0)),"")</f>
        <v>Laviska Shenault</v>
      </c>
      <c r="R153" s="59" t="str">
        <f>IFERROR(INDEX(TableWRMaster[TM],MATCH(TableWRCalcPts[[#This Row],[WRRef]],TableWRMaster[WRRef],0)),"")</f>
        <v>SEA</v>
      </c>
      <c r="S153" s="59">
        <f>IFERROR(INDEX(TableWRMaster[BYE],MATCH(TableWRCalcPts[[#This Row],[WRRef]],TableWRMaster[WRRef],0)),"")</f>
        <v>10</v>
      </c>
      <c r="T153" s="60">
        <f>IFERROR(INDEX(TableWRMaster[Custom],MATCH(TableWRCalcPts[[#This Row],[WRRef]],TableWRMaster[WRRef],0)),"")</f>
        <v>14.629293969015656</v>
      </c>
      <c r="AI153" s="59" t="s">
        <v>208</v>
      </c>
      <c r="AJ153" s="59">
        <f>IFERROR(RANK(TableWRTECalcPts[[#This Row],[Custom]],TableWRTECalcPts[Custom])+COUNTIF($AP$3:AP153,AP153)-1,"")</f>
        <v>86</v>
      </c>
      <c r="AK153" s="105">
        <v>51</v>
      </c>
      <c r="AL153" s="105" t="str">
        <f>IFERROR(INDEX(TableWRMaster[Player],MATCH(TableWRTECalcPts[[#This Row],[POSRef]],TableWRMaster[WRRef],0)),"")</f>
        <v>Marvin Mims</v>
      </c>
      <c r="AM153" s="105" t="str">
        <f>IFERROR(_xlfn.CONCAT(TableWRTECalcPts[[#This Row],[POS]],INDEX(TableWRRanks[RK],MATCH(TableWRTECalcPts[[#This Row],[PLAYER]],TableWRRanks[Player],0))),"")</f>
        <v>WR73</v>
      </c>
      <c r="AN153" s="105" t="str">
        <f>IFERROR(INDEX(TableWRMaster[TM],MATCH(TableWRTECalcPts[[#This Row],[POSRef]],TableWRMaster[WRRef],0)),"")</f>
        <v>DEN</v>
      </c>
      <c r="AO153" s="105">
        <f>IFERROR(INDEX(TableWRMaster[BYE],MATCH(TableWRTECalcPts[[#This Row],[POSRef]],TableWRMaster[WRRef],0)),"")</f>
        <v>14</v>
      </c>
      <c r="AP153" s="103">
        <f>IFERROR(INDEX(TableWRMaster[Custom],MATCH(TableWRTECalcPts[[#This Row],[POSRef]],TableWRMaster[WRRef],0)),"")</f>
        <v>113.95181857055516</v>
      </c>
    </row>
    <row r="154" spans="8:42" x14ac:dyDescent="0.25">
      <c r="H154" s="59" t="str">
        <f>IFERROR(RANK(TableRBCalcPts[[#This Row],[Custom]],TableRBCalcPts[Custom])+COUNTIF($M$3:M154,M154)-1,"")</f>
        <v/>
      </c>
      <c r="I154" s="59">
        <v>152</v>
      </c>
      <c r="J154" s="59" t="str">
        <f>IFERROR(INDEX(TableRBMaster[Player],MATCH(TableRBCalcPts[[#This Row],[RBRef]],TableRBMaster[RBRef],0)),"")</f>
        <v/>
      </c>
      <c r="K154" s="59" t="str">
        <f>IFERROR(INDEX(TableRBMaster[TM],MATCH(TableRBCalcPts[[#This Row],[RBRef]],TableRBMaster[RBRef],0)),"")</f>
        <v/>
      </c>
      <c r="L154" s="59" t="str">
        <f>IFERROR(INDEX(TableRBMaster[BYE],MATCH(TableRBCalcPts[[#This Row],[RBRef]],TableRBMaster[RBRef],0)),"")</f>
        <v/>
      </c>
      <c r="M154" s="60" t="str">
        <f>IFERROR(INDEX(TableRBMaster[Custom],MATCH(TableRBCalcPts[[#This Row],[RBRef]],TableRBMaster[RBRef],0)),"")</f>
        <v/>
      </c>
      <c r="O154" s="59">
        <f>IFERROR(RANK(TableWRCalcPts[[#This Row],[Custom]],TableWRCalcPts[Custom])+COUNTIF($T$3:T154,T154)-1,"")</f>
        <v>14</v>
      </c>
      <c r="P154" s="59">
        <v>152</v>
      </c>
      <c r="Q154" s="59" t="str">
        <f>IFERROR(INDEX(TableWRMaster[Player],MATCH(TableWRCalcPts[[#This Row],[WRRef]],TableWRMaster[WRRef],0)),"")</f>
        <v>Brandon Aiyuk</v>
      </c>
      <c r="R154" s="59" t="str">
        <f>IFERROR(INDEX(TableWRMaster[TM],MATCH(TableWRCalcPts[[#This Row],[WRRef]],TableWRMaster[WRRef],0)),"")</f>
        <v>SF</v>
      </c>
      <c r="S154" s="59">
        <f>IFERROR(INDEX(TableWRMaster[BYE],MATCH(TableWRCalcPts[[#This Row],[WRRef]],TableWRMaster[WRRef],0)),"")</f>
        <v>9</v>
      </c>
      <c r="T154" s="60">
        <f>IFERROR(INDEX(TableWRMaster[Custom],MATCH(TableWRCalcPts[[#This Row],[WRRef]],TableWRMaster[WRRef],0)),"")</f>
        <v>204.932700677376</v>
      </c>
      <c r="AI154" s="59" t="s">
        <v>208</v>
      </c>
      <c r="AJ154" s="59">
        <f>IFERROR(RANK(TableWRTECalcPts[[#This Row],[Custom]],TableWRTECalcPts[Custom])+COUNTIF($AP$3:AP154,AP154)-1,"")</f>
        <v>119</v>
      </c>
      <c r="AK154" s="105">
        <v>52</v>
      </c>
      <c r="AL154" s="105" t="str">
        <f>IFERROR(INDEX(TableWRMaster[Player],MATCH(TableWRTECalcPts[[#This Row],[POSRef]],TableWRMaster[WRRef],0)),"")</f>
        <v>Troy Franklin</v>
      </c>
      <c r="AM154" s="105" t="str">
        <f>IFERROR(_xlfn.CONCAT(TableWRTECalcPts[[#This Row],[POS]],INDEX(TableWRRanks[RK],MATCH(TableWRTECalcPts[[#This Row],[PLAYER]],TableWRRanks[Player],0))),"")</f>
        <v>WR91</v>
      </c>
      <c r="AN154" s="105" t="str">
        <f>IFERROR(INDEX(TableWRMaster[TM],MATCH(TableWRTECalcPts[[#This Row],[POSRef]],TableWRMaster[WRRef],0)),"")</f>
        <v>DEN</v>
      </c>
      <c r="AO154" s="105">
        <f>IFERROR(INDEX(TableWRMaster[BYE],MATCH(TableWRTECalcPts[[#This Row],[POSRef]],TableWRMaster[WRRef],0)),"")</f>
        <v>14</v>
      </c>
      <c r="AP154" s="103">
        <f>IFERROR(INDEX(TableWRMaster[Custom],MATCH(TableWRTECalcPts[[#This Row],[POSRef]],TableWRMaster[WRRef],0)),"")</f>
        <v>77.840978498808838</v>
      </c>
    </row>
    <row r="155" spans="8:42" x14ac:dyDescent="0.25">
      <c r="H155" s="59" t="str">
        <f>IFERROR(RANK(TableRBCalcPts[[#This Row],[Custom]],TableRBCalcPts[Custom])+COUNTIF($M$3:M155,M155)-1,"")</f>
        <v/>
      </c>
      <c r="I155" s="59">
        <v>153</v>
      </c>
      <c r="J155" s="59" t="str">
        <f>IFERROR(INDEX(TableRBMaster[Player],MATCH(TableRBCalcPts[[#This Row],[RBRef]],TableRBMaster[RBRef],0)),"")</f>
        <v/>
      </c>
      <c r="K155" s="59" t="str">
        <f>IFERROR(INDEX(TableRBMaster[TM],MATCH(TableRBCalcPts[[#This Row],[RBRef]],TableRBMaster[RBRef],0)),"")</f>
        <v/>
      </c>
      <c r="L155" s="59" t="str">
        <f>IFERROR(INDEX(TableRBMaster[BYE],MATCH(TableRBCalcPts[[#This Row],[RBRef]],TableRBMaster[RBRef],0)),"")</f>
        <v/>
      </c>
      <c r="M155" s="60" t="str">
        <f>IFERROR(INDEX(TableRBMaster[Custom],MATCH(TableRBCalcPts[[#This Row],[RBRef]],TableRBMaster[RBRef],0)),"")</f>
        <v/>
      </c>
      <c r="O155" s="59">
        <f>IFERROR(RANK(TableWRCalcPts[[#This Row],[Custom]],TableWRCalcPts[Custom])+COUNTIF($T$3:T155,T155)-1,"")</f>
        <v>10</v>
      </c>
      <c r="P155" s="59">
        <v>153</v>
      </c>
      <c r="Q155" s="59" t="str">
        <f>IFERROR(INDEX(TableWRMaster[Player],MATCH(TableWRCalcPts[[#This Row],[WRRef]],TableWRMaster[WRRef],0)),"")</f>
        <v>Deebo Samuel</v>
      </c>
      <c r="R155" s="59" t="str">
        <f>IFERROR(INDEX(TableWRMaster[TM],MATCH(TableWRCalcPts[[#This Row],[WRRef]],TableWRMaster[WRRef],0)),"")</f>
        <v>SF</v>
      </c>
      <c r="S155" s="59">
        <f>IFERROR(INDEX(TableWRMaster[BYE],MATCH(TableWRCalcPts[[#This Row],[WRRef]],TableWRMaster[WRRef],0)),"")</f>
        <v>9</v>
      </c>
      <c r="T155" s="60">
        <f>IFERROR(INDEX(TableWRMaster[Custom],MATCH(TableWRCalcPts[[#This Row],[WRRef]],TableWRMaster[WRRef],0)),"")</f>
        <v>209.42708203956002</v>
      </c>
      <c r="AI155" s="59" t="s">
        <v>208</v>
      </c>
      <c r="AJ155" s="59">
        <f>IFERROR(RANK(TableWRTECalcPts[[#This Row],[Custom]],TableWRTECalcPts[Custom])+COUNTIF($AP$3:AP155,AP155)-1,"")</f>
        <v>170</v>
      </c>
      <c r="AK155" s="105">
        <v>53</v>
      </c>
      <c r="AL155" s="105" t="str">
        <f>IFERROR(INDEX(TableWRMaster[Player],MATCH(TableWRTECalcPts[[#This Row],[POSRef]],TableWRMaster[WRRef],0)),"")</f>
        <v>Devaughn Vele</v>
      </c>
      <c r="AM155" s="105" t="str">
        <f>IFERROR(_xlfn.CONCAT(TableWRTECalcPts[[#This Row],[POS]],INDEX(TableWRRanks[RK],MATCH(TableWRTECalcPts[[#This Row],[PLAYER]],TableWRRanks[Player],0))),"")</f>
        <v>WR122</v>
      </c>
      <c r="AN155" s="105" t="str">
        <f>IFERROR(INDEX(TableWRMaster[TM],MATCH(TableWRTECalcPts[[#This Row],[POSRef]],TableWRMaster[WRRef],0)),"")</f>
        <v>DEN</v>
      </c>
      <c r="AO155" s="105">
        <f>IFERROR(INDEX(TableWRMaster[BYE],MATCH(TableWRTECalcPts[[#This Row],[POSRef]],TableWRMaster[WRRef],0)),"")</f>
        <v>14</v>
      </c>
      <c r="AP155" s="103">
        <f>IFERROR(INDEX(TableWRMaster[Custom],MATCH(TableWRTECalcPts[[#This Row],[POSRef]],TableWRMaster[WRRef],0)),"")</f>
        <v>30.025220415601204</v>
      </c>
    </row>
    <row r="156" spans="8:42" x14ac:dyDescent="0.25">
      <c r="H156" s="59" t="str">
        <f>IFERROR(RANK(TableRBCalcPts[[#This Row],[Custom]],TableRBCalcPts[Custom])+COUNTIF($M$3:M156,M156)-1,"")</f>
        <v/>
      </c>
      <c r="I156" s="59">
        <v>154</v>
      </c>
      <c r="J156" s="59" t="str">
        <f>IFERROR(INDEX(TableRBMaster[Player],MATCH(TableRBCalcPts[[#This Row],[RBRef]],TableRBMaster[RBRef],0)),"")</f>
        <v/>
      </c>
      <c r="K156" s="59" t="str">
        <f>IFERROR(INDEX(TableRBMaster[TM],MATCH(TableRBCalcPts[[#This Row],[RBRef]],TableRBMaster[RBRef],0)),"")</f>
        <v/>
      </c>
      <c r="L156" s="59" t="str">
        <f>IFERROR(INDEX(TableRBMaster[BYE],MATCH(TableRBCalcPts[[#This Row],[RBRef]],TableRBMaster[RBRef],0)),"")</f>
        <v/>
      </c>
      <c r="M156" s="60" t="str">
        <f>IFERROR(INDEX(TableRBMaster[Custom],MATCH(TableRBCalcPts[[#This Row],[RBRef]],TableRBMaster[RBRef],0)),"")</f>
        <v/>
      </c>
      <c r="O156" s="59">
        <f>IFERROR(RANK(TableWRCalcPts[[#This Row],[Custom]],TableWRCalcPts[Custom])+COUNTIF($T$3:T156,T156)-1,"")</f>
        <v>98</v>
      </c>
      <c r="P156" s="59">
        <v>154</v>
      </c>
      <c r="Q156" s="59" t="str">
        <f>IFERROR(INDEX(TableWRMaster[Player],MATCH(TableWRCalcPts[[#This Row],[WRRef]],TableWRMaster[WRRef],0)),"")</f>
        <v>Ricky Pearsall</v>
      </c>
      <c r="R156" s="59" t="str">
        <f>IFERROR(INDEX(TableWRMaster[TM],MATCH(TableWRCalcPts[[#This Row],[WRRef]],TableWRMaster[WRRef],0)),"")</f>
        <v>SF</v>
      </c>
      <c r="S156" s="59">
        <f>IFERROR(INDEX(TableWRMaster[BYE],MATCH(TableWRCalcPts[[#This Row],[WRRef]],TableWRMaster[WRRef],0)),"")</f>
        <v>9</v>
      </c>
      <c r="T156" s="60">
        <f>IFERROR(INDEX(TableWRMaster[Custom],MATCH(TableWRCalcPts[[#This Row],[WRRef]],TableWRMaster[WRRef],0)),"")</f>
        <v>64.515491200216616</v>
      </c>
      <c r="AI156" s="59" t="s">
        <v>208</v>
      </c>
      <c r="AJ156" s="59">
        <f>IFERROR(RANK(TableWRTECalcPts[[#This Row],[Custom]],TableWRTECalcPts[Custom])+COUNTIF($AP$3:AP156,AP156)-1,"")</f>
        <v>48</v>
      </c>
      <c r="AK156" s="105">
        <v>54</v>
      </c>
      <c r="AL156" s="105" t="str">
        <f>IFERROR(INDEX(TableWRMaster[Player],MATCH(TableWRTECalcPts[[#This Row],[POSRef]],TableWRMaster[WRRef],0)),"")</f>
        <v>Jameson Williams</v>
      </c>
      <c r="AM156" s="105" t="str">
        <f>IFERROR(_xlfn.CONCAT(TableWRTECalcPts[[#This Row],[POS]],INDEX(TableWRRanks[RK],MATCH(TableWRTECalcPts[[#This Row],[PLAYER]],TableWRRanks[Player],0))),"")</f>
        <v>WR43</v>
      </c>
      <c r="AN156" s="105" t="str">
        <f>IFERROR(INDEX(TableWRMaster[TM],MATCH(TableWRTECalcPts[[#This Row],[POSRef]],TableWRMaster[WRRef],0)),"")</f>
        <v>DET</v>
      </c>
      <c r="AO156" s="105">
        <f>IFERROR(INDEX(TableWRMaster[BYE],MATCH(TableWRTECalcPts[[#This Row],[POSRef]],TableWRMaster[WRRef],0)),"")</f>
        <v>5</v>
      </c>
      <c r="AP156" s="103">
        <f>IFERROR(INDEX(TableWRMaster[Custom],MATCH(TableWRTECalcPts[[#This Row],[POSRef]],TableWRMaster[WRRef],0)),"")</f>
        <v>164.89881363257362</v>
      </c>
    </row>
    <row r="157" spans="8:42" x14ac:dyDescent="0.25">
      <c r="H157" s="59" t="str">
        <f>IFERROR(RANK(TableRBCalcPts[[#This Row],[Custom]],TableRBCalcPts[Custom])+COUNTIF($M$3:M157,M157)-1,"")</f>
        <v/>
      </c>
      <c r="I157" s="59">
        <v>155</v>
      </c>
      <c r="J157" s="59" t="str">
        <f>IFERROR(INDEX(TableRBMaster[Player],MATCH(TableRBCalcPts[[#This Row],[RBRef]],TableRBMaster[RBRef],0)),"")</f>
        <v/>
      </c>
      <c r="K157" s="59" t="str">
        <f>IFERROR(INDEX(TableRBMaster[TM],MATCH(TableRBCalcPts[[#This Row],[RBRef]],TableRBMaster[RBRef],0)),"")</f>
        <v/>
      </c>
      <c r="L157" s="59" t="str">
        <f>IFERROR(INDEX(TableRBMaster[BYE],MATCH(TableRBCalcPts[[#This Row],[RBRef]],TableRBMaster[RBRef],0)),"")</f>
        <v/>
      </c>
      <c r="M157" s="60" t="str">
        <f>IFERROR(INDEX(TableRBMaster[Custom],MATCH(TableRBCalcPts[[#This Row],[RBRef]],TableRBMaster[RBRef],0)),"")</f>
        <v/>
      </c>
      <c r="O157" s="59">
        <f>IFERROR(RANK(TableWRCalcPts[[#This Row],[Custom]],TableWRCalcPts[Custom])+COUNTIF($T$3:T157,T157)-1,"")</f>
        <v>101</v>
      </c>
      <c r="P157" s="59">
        <v>155</v>
      </c>
      <c r="Q157" s="59" t="str">
        <f>IFERROR(INDEX(TableWRMaster[Player],MATCH(TableWRCalcPts[[#This Row],[WRRef]],TableWRMaster[WRRef],0)),"")</f>
        <v>Jauan Jennings</v>
      </c>
      <c r="R157" s="59" t="str">
        <f>IFERROR(INDEX(TableWRMaster[TM],MATCH(TableWRCalcPts[[#This Row],[WRRef]],TableWRMaster[WRRef],0)),"")</f>
        <v>SF</v>
      </c>
      <c r="S157" s="59">
        <f>IFERROR(INDEX(TableWRMaster[BYE],MATCH(TableWRCalcPts[[#This Row],[WRRef]],TableWRMaster[WRRef],0)),"")</f>
        <v>9</v>
      </c>
      <c r="T157" s="60">
        <f>IFERROR(INDEX(TableWRMaster[Custom],MATCH(TableWRCalcPts[[#This Row],[WRRef]],TableWRMaster[WRRef],0)),"")</f>
        <v>60.696683892896807</v>
      </c>
      <c r="AI157" s="59" t="s">
        <v>208</v>
      </c>
      <c r="AJ157" s="59">
        <f>IFERROR(RANK(TableWRTECalcPts[[#This Row],[Custom]],TableWRTECalcPts[Custom])+COUNTIF($AP$3:AP157,AP157)-1,"")</f>
        <v>3</v>
      </c>
      <c r="AK157" s="105">
        <v>55</v>
      </c>
      <c r="AL157" s="105" t="str">
        <f>IFERROR(INDEX(TableWRMaster[Player],MATCH(TableWRTECalcPts[[#This Row],[POSRef]],TableWRMaster[WRRef],0)),"")</f>
        <v>Amon-Ra St. Brown</v>
      </c>
      <c r="AM157" s="105" t="str">
        <f>IFERROR(_xlfn.CONCAT(TableWRTECalcPts[[#This Row],[POS]],INDEX(TableWRRanks[RK],MATCH(TableWRTECalcPts[[#This Row],[PLAYER]],TableWRRanks[Player],0))),"")</f>
        <v>WR3</v>
      </c>
      <c r="AN157" s="105" t="str">
        <f>IFERROR(INDEX(TableWRMaster[TM],MATCH(TableWRTECalcPts[[#This Row],[POSRef]],TableWRMaster[WRRef],0)),"")</f>
        <v>DET</v>
      </c>
      <c r="AO157" s="105">
        <f>IFERROR(INDEX(TableWRMaster[BYE],MATCH(TableWRTECalcPts[[#This Row],[POSRef]],TableWRMaster[WRRef],0)),"")</f>
        <v>5</v>
      </c>
      <c r="AP157" s="103">
        <f>IFERROR(INDEX(TableWRMaster[Custom],MATCH(TableWRTECalcPts[[#This Row],[POSRef]],TableWRMaster[WRRef],0)),"")</f>
        <v>251.21556304873667</v>
      </c>
    </row>
    <row r="158" spans="8:42" x14ac:dyDescent="0.25">
      <c r="H158" s="59" t="str">
        <f>IFERROR(RANK(TableRBCalcPts[[#This Row],[Custom]],TableRBCalcPts[Custom])+COUNTIF($M$3:M158,M158)-1,"")</f>
        <v/>
      </c>
      <c r="I158" s="59">
        <v>156</v>
      </c>
      <c r="J158" s="59" t="str">
        <f>IFERROR(INDEX(TableRBMaster[Player],MATCH(TableRBCalcPts[[#This Row],[RBRef]],TableRBMaster[RBRef],0)),"")</f>
        <v/>
      </c>
      <c r="K158" s="59" t="str">
        <f>IFERROR(INDEX(TableRBMaster[TM],MATCH(TableRBCalcPts[[#This Row],[RBRef]],TableRBMaster[RBRef],0)),"")</f>
        <v/>
      </c>
      <c r="L158" s="59" t="str">
        <f>IFERROR(INDEX(TableRBMaster[BYE],MATCH(TableRBCalcPts[[#This Row],[RBRef]],TableRBMaster[RBRef],0)),"")</f>
        <v/>
      </c>
      <c r="M158" s="60" t="str">
        <f>IFERROR(INDEX(TableRBMaster[Custom],MATCH(TableRBCalcPts[[#This Row],[RBRef]],TableRBMaster[RBRef],0)),"")</f>
        <v/>
      </c>
      <c r="O158" s="59">
        <f>IFERROR(RANK(TableWRCalcPts[[#This Row],[Custom]],TableWRCalcPts[Custom])+COUNTIF($T$3:T158,T158)-1,"")</f>
        <v>161</v>
      </c>
      <c r="P158" s="59">
        <v>156</v>
      </c>
      <c r="Q158" s="59" t="str">
        <f>IFERROR(INDEX(TableWRMaster[Player],MATCH(TableWRCalcPts[[#This Row],[WRRef]],TableWRMaster[WRRef],0)),"")</f>
        <v>Ronnie Bell</v>
      </c>
      <c r="R158" s="59" t="str">
        <f>IFERROR(INDEX(TableWRMaster[TM],MATCH(TableWRCalcPts[[#This Row],[WRRef]],TableWRMaster[WRRef],0)),"")</f>
        <v>SF</v>
      </c>
      <c r="S158" s="59">
        <f>IFERROR(INDEX(TableWRMaster[BYE],MATCH(TableWRCalcPts[[#This Row],[WRRef]],TableWRMaster[WRRef],0)),"")</f>
        <v>9</v>
      </c>
      <c r="T158" s="60">
        <f>IFERROR(INDEX(TableWRMaster[Custom],MATCH(TableWRCalcPts[[#This Row],[WRRef]],TableWRMaster[WRRef],0)),"")</f>
        <v>11.050598875505298</v>
      </c>
      <c r="AI158" s="59" t="s">
        <v>208</v>
      </c>
      <c r="AJ158" s="59">
        <f>IFERROR(RANK(TableWRTECalcPts[[#This Row],[Custom]],TableWRTECalcPts[Custom])+COUNTIF($AP$3:AP158,AP158)-1,"")</f>
        <v>172</v>
      </c>
      <c r="AK158" s="105">
        <v>56</v>
      </c>
      <c r="AL158" s="105" t="str">
        <f>IFERROR(INDEX(TableWRMaster[Player],MATCH(TableWRTECalcPts[[#This Row],[POSRef]],TableWRMaster[WRRef],0)),"")</f>
        <v>Tim Patrick</v>
      </c>
      <c r="AM158" s="105" t="str">
        <f>IFERROR(_xlfn.CONCAT(TableWRTECalcPts[[#This Row],[POS]],INDEX(TableWRRanks[RK],MATCH(TableWRTECalcPts[[#This Row],[PLAYER]],TableWRRanks[Player],0))),"")</f>
        <v>WR124</v>
      </c>
      <c r="AN158" s="105" t="str">
        <f>IFERROR(INDEX(TableWRMaster[TM],MATCH(TableWRTECalcPts[[#This Row],[POSRef]],TableWRMaster[WRRef],0)),"")</f>
        <v>DET</v>
      </c>
      <c r="AO158" s="105">
        <f>IFERROR(INDEX(TableWRMaster[BYE],MATCH(TableWRTECalcPts[[#This Row],[POSRef]],TableWRMaster[WRRef],0)),"")</f>
        <v>5</v>
      </c>
      <c r="AP158" s="103">
        <f>IFERROR(INDEX(TableWRMaster[Custom],MATCH(TableWRTECalcPts[[#This Row],[POSRef]],TableWRMaster[WRRef],0)),"")</f>
        <v>29.408646755318752</v>
      </c>
    </row>
    <row r="159" spans="8:42" x14ac:dyDescent="0.25">
      <c r="H159" s="59" t="str">
        <f>IFERROR(RANK(TableRBCalcPts[[#This Row],[Custom]],TableRBCalcPts[Custom])+COUNTIF($M$3:M159,M159)-1,"")</f>
        <v/>
      </c>
      <c r="I159" s="59">
        <v>157</v>
      </c>
      <c r="J159" s="59" t="str">
        <f>IFERROR(INDEX(TableRBMaster[Player],MATCH(TableRBCalcPts[[#This Row],[RBRef]],TableRBMaster[RBRef],0)),"")</f>
        <v/>
      </c>
      <c r="K159" s="59" t="str">
        <f>IFERROR(INDEX(TableRBMaster[TM],MATCH(TableRBCalcPts[[#This Row],[RBRef]],TableRBMaster[RBRef],0)),"")</f>
        <v/>
      </c>
      <c r="L159" s="59" t="str">
        <f>IFERROR(INDEX(TableRBMaster[BYE],MATCH(TableRBCalcPts[[#This Row],[RBRef]],TableRBMaster[RBRef],0)),"")</f>
        <v/>
      </c>
      <c r="M159" s="60" t="str">
        <f>IFERROR(INDEX(TableRBMaster[Custom],MATCH(TableRBCalcPts[[#This Row],[RBRef]],TableRBMaster[RBRef],0)),"")</f>
        <v/>
      </c>
      <c r="O159" s="59">
        <f>IFERROR(RANK(TableWRCalcPts[[#This Row],[Custom]],TableWRCalcPts[Custom])+COUNTIF($T$3:T159,T159)-1,"")</f>
        <v>166</v>
      </c>
      <c r="P159" s="59">
        <v>157</v>
      </c>
      <c r="Q159" s="59" t="str">
        <f>IFERROR(INDEX(TableWRMaster[Player],MATCH(TableWRCalcPts[[#This Row],[WRRef]],TableWRMaster[WRRef],0)),"")</f>
        <v>Danny Gray</v>
      </c>
      <c r="R159" s="59" t="str">
        <f>IFERROR(INDEX(TableWRMaster[TM],MATCH(TableWRCalcPts[[#This Row],[WRRef]],TableWRMaster[WRRef],0)),"")</f>
        <v>SF</v>
      </c>
      <c r="S159" s="59">
        <f>IFERROR(INDEX(TableWRMaster[BYE],MATCH(TableWRCalcPts[[#This Row],[WRRef]],TableWRMaster[WRRef],0)),"")</f>
        <v>9</v>
      </c>
      <c r="T159" s="60">
        <f>IFERROR(INDEX(TableWRMaster[Custom],MATCH(TableWRCalcPts[[#This Row],[WRRef]],TableWRMaster[WRRef],0)),"")</f>
        <v>8.5978939176899996</v>
      </c>
      <c r="AI159" s="59" t="s">
        <v>208</v>
      </c>
      <c r="AJ159" s="59">
        <f>IFERROR(RANK(TableWRTECalcPts[[#This Row],[Custom]],TableWRTECalcPts[Custom])+COUNTIF($AP$3:AP159,AP159)-1,"")</f>
        <v>121</v>
      </c>
      <c r="AK159" s="105">
        <v>57</v>
      </c>
      <c r="AL159" s="105" t="str">
        <f>IFERROR(INDEX(TableWRMaster[Player],MATCH(TableWRTECalcPts[[#This Row],[POSRef]],TableWRMaster[WRRef],0)),"")</f>
        <v>Kalif Raymond</v>
      </c>
      <c r="AM159" s="105" t="str">
        <f>IFERROR(_xlfn.CONCAT(TableWRTECalcPts[[#This Row],[POS]],INDEX(TableWRRanks[RK],MATCH(TableWRTECalcPts[[#This Row],[PLAYER]],TableWRRanks[Player],0))),"")</f>
        <v>WR92</v>
      </c>
      <c r="AN159" s="105" t="str">
        <f>IFERROR(INDEX(TableWRMaster[TM],MATCH(TableWRTECalcPts[[#This Row],[POSRef]],TableWRMaster[WRRef],0)),"")</f>
        <v>DET</v>
      </c>
      <c r="AO159" s="105">
        <f>IFERROR(INDEX(TableWRMaster[BYE],MATCH(TableWRTECalcPts[[#This Row],[POSRef]],TableWRMaster[WRRef],0)),"")</f>
        <v>5</v>
      </c>
      <c r="AP159" s="103">
        <f>IFERROR(INDEX(TableWRMaster[Custom],MATCH(TableWRTECalcPts[[#This Row],[POSRef]],TableWRMaster[WRRef],0)),"")</f>
        <v>75.815283346782593</v>
      </c>
    </row>
    <row r="160" spans="8:42" x14ac:dyDescent="0.25">
      <c r="H160" s="59" t="str">
        <f>IFERROR(RANK(TableRBCalcPts[[#This Row],[Custom]],TableRBCalcPts[Custom])+COUNTIF($M$3:M160,M160)-1,"")</f>
        <v/>
      </c>
      <c r="I160" s="59">
        <v>158</v>
      </c>
      <c r="J160" s="59" t="str">
        <f>IFERROR(INDEX(TableRBMaster[Player],MATCH(TableRBCalcPts[[#This Row],[RBRef]],TableRBMaster[RBRef],0)),"")</f>
        <v/>
      </c>
      <c r="K160" s="59" t="str">
        <f>IFERROR(INDEX(TableRBMaster[TM],MATCH(TableRBCalcPts[[#This Row],[RBRef]],TableRBMaster[RBRef],0)),"")</f>
        <v/>
      </c>
      <c r="L160" s="59" t="str">
        <f>IFERROR(INDEX(TableRBMaster[BYE],MATCH(TableRBCalcPts[[#This Row],[RBRef]],TableRBMaster[RBRef],0)),"")</f>
        <v/>
      </c>
      <c r="M160" s="60" t="str">
        <f>IFERROR(INDEX(TableRBMaster[Custom],MATCH(TableRBCalcPts[[#This Row],[RBRef]],TableRBMaster[RBRef],0)),"")</f>
        <v/>
      </c>
      <c r="O160" s="59">
        <f>IFERROR(RANK(TableWRCalcPts[[#This Row],[Custom]],TableWRCalcPts[Custom])+COUNTIF($T$3:T160,T160)-1,"")</f>
        <v>9</v>
      </c>
      <c r="P160" s="59">
        <v>158</v>
      </c>
      <c r="Q160" s="59" t="str">
        <f>IFERROR(INDEX(TableWRMaster[Player],MATCH(TableWRCalcPts[[#This Row],[WRRef]],TableWRMaster[WRRef],0)),"")</f>
        <v>Mike Evans</v>
      </c>
      <c r="R160" s="59" t="str">
        <f>IFERROR(INDEX(TableWRMaster[TM],MATCH(TableWRCalcPts[[#This Row],[WRRef]],TableWRMaster[WRRef],0)),"")</f>
        <v>TB</v>
      </c>
      <c r="S160" s="59">
        <f>IFERROR(INDEX(TableWRMaster[BYE],MATCH(TableWRCalcPts[[#This Row],[WRRef]],TableWRMaster[WRRef],0)),"")</f>
        <v>11</v>
      </c>
      <c r="T160" s="60">
        <f>IFERROR(INDEX(TableWRMaster[Custom],MATCH(TableWRCalcPts[[#This Row],[WRRef]],TableWRMaster[WRRef],0)),"")</f>
        <v>209.61363892007614</v>
      </c>
      <c r="AI160" s="59" t="s">
        <v>208</v>
      </c>
      <c r="AJ160" s="59">
        <f>IFERROR(RANK(TableWRTECalcPts[[#This Row],[Custom]],TableWRTECalcPts[Custom])+COUNTIF($AP$3:AP160,AP160)-1,"")</f>
        <v>213</v>
      </c>
      <c r="AK160" s="105">
        <v>58</v>
      </c>
      <c r="AL160" s="105" t="str">
        <f>IFERROR(INDEX(TableWRMaster[Player],MATCH(TableWRTECalcPts[[#This Row],[POSRef]],TableWRMaster[WRRef],0)),"")</f>
        <v>Antoine Green</v>
      </c>
      <c r="AM160" s="105" t="str">
        <f>IFERROR(_xlfn.CONCAT(TableWRTECalcPts[[#This Row],[POS]],INDEX(TableWRRanks[RK],MATCH(TableWRTECalcPts[[#This Row],[PLAYER]],TableWRRanks[Player],0))),"")</f>
        <v>WR150</v>
      </c>
      <c r="AN160" s="105" t="str">
        <f>IFERROR(INDEX(TableWRMaster[TM],MATCH(TableWRTECalcPts[[#This Row],[POSRef]],TableWRMaster[WRRef],0)),"")</f>
        <v>DET</v>
      </c>
      <c r="AO160" s="105">
        <f>IFERROR(INDEX(TableWRMaster[BYE],MATCH(TableWRTECalcPts[[#This Row],[POSRef]],TableWRMaster[WRRef],0)),"")</f>
        <v>5</v>
      </c>
      <c r="AP160" s="103">
        <f>IFERROR(INDEX(TableWRMaster[Custom],MATCH(TableWRTECalcPts[[#This Row],[POSRef]],TableWRMaster[WRRef],0)),"")</f>
        <v>14.861922318973217</v>
      </c>
    </row>
    <row r="161" spans="8:42" x14ac:dyDescent="0.25">
      <c r="H161" s="59" t="str">
        <f>IFERROR(RANK(TableRBCalcPts[[#This Row],[Custom]],TableRBCalcPts[Custom])+COUNTIF($M$3:M161,M161)-1,"")</f>
        <v/>
      </c>
      <c r="I161" s="59">
        <v>159</v>
      </c>
      <c r="J161" s="59" t="str">
        <f>IFERROR(INDEX(TableRBMaster[Player],MATCH(TableRBCalcPts[[#This Row],[RBRef]],TableRBMaster[RBRef],0)),"")</f>
        <v/>
      </c>
      <c r="K161" s="59" t="str">
        <f>IFERROR(INDEX(TableRBMaster[TM],MATCH(TableRBCalcPts[[#This Row],[RBRef]],TableRBMaster[RBRef],0)),"")</f>
        <v/>
      </c>
      <c r="L161" s="59" t="str">
        <f>IFERROR(INDEX(TableRBMaster[BYE],MATCH(TableRBCalcPts[[#This Row],[RBRef]],TableRBMaster[RBRef],0)),"")</f>
        <v/>
      </c>
      <c r="M161" s="60" t="str">
        <f>IFERROR(INDEX(TableRBMaster[Custom],MATCH(TableRBCalcPts[[#This Row],[RBRef]],TableRBMaster[RBRef],0)),"")</f>
        <v/>
      </c>
      <c r="O161" s="59">
        <f>IFERROR(RANK(TableWRCalcPts[[#This Row],[Custom]],TableWRCalcPts[Custom])+COUNTIF($T$3:T161,T161)-1,"")</f>
        <v>41</v>
      </c>
      <c r="P161" s="59">
        <v>159</v>
      </c>
      <c r="Q161" s="59" t="str">
        <f>IFERROR(INDEX(TableWRMaster[Player],MATCH(TableWRCalcPts[[#This Row],[WRRef]],TableWRMaster[WRRef],0)),"")</f>
        <v>Chris Godwin</v>
      </c>
      <c r="R161" s="59" t="str">
        <f>IFERROR(INDEX(TableWRMaster[TM],MATCH(TableWRCalcPts[[#This Row],[WRRef]],TableWRMaster[WRRef],0)),"")</f>
        <v>TB</v>
      </c>
      <c r="S161" s="59">
        <f>IFERROR(INDEX(TableWRMaster[BYE],MATCH(TableWRCalcPts[[#This Row],[WRRef]],TableWRMaster[WRRef],0)),"")</f>
        <v>11</v>
      </c>
      <c r="T161" s="60">
        <f>IFERROR(INDEX(TableWRMaster[Custom],MATCH(TableWRCalcPts[[#This Row],[WRRef]],TableWRMaster[WRRef],0)),"")</f>
        <v>167.29208694718784</v>
      </c>
      <c r="AI161" s="59" t="s">
        <v>208</v>
      </c>
      <c r="AJ161" s="59">
        <f>IFERROR(RANK(TableWRTECalcPts[[#This Row],[Custom]],TableWRTECalcPts[Custom])+COUNTIF($AP$3:AP161,AP161)-1,"")</f>
        <v>61</v>
      </c>
      <c r="AK161" s="105">
        <v>59</v>
      </c>
      <c r="AL161" s="105" t="str">
        <f>IFERROR(INDEX(TableWRMaster[Player],MATCH(TableWRTECalcPts[[#This Row],[POSRef]],TableWRMaster[WRRef],0)),"")</f>
        <v>Christian Watson</v>
      </c>
      <c r="AM161" s="105" t="str">
        <f>IFERROR(_xlfn.CONCAT(TableWRTECalcPts[[#This Row],[POS]],INDEX(TableWRRanks[RK],MATCH(TableWRTECalcPts[[#This Row],[PLAYER]],TableWRRanks[Player],0))),"")</f>
        <v>WR52</v>
      </c>
      <c r="AN161" s="105" t="str">
        <f>IFERROR(INDEX(TableWRMaster[TM],MATCH(TableWRTECalcPts[[#This Row],[POSRef]],TableWRMaster[WRRef],0)),"")</f>
        <v>GB</v>
      </c>
      <c r="AO161" s="105">
        <f>IFERROR(INDEX(TableWRMaster[BYE],MATCH(TableWRTECalcPts[[#This Row],[POSRef]],TableWRMaster[WRRef],0)),"")</f>
        <v>10</v>
      </c>
      <c r="AP161" s="103">
        <f>IFERROR(INDEX(TableWRMaster[Custom],MATCH(TableWRTECalcPts[[#This Row],[POSRef]],TableWRMaster[WRRef],0)),"")</f>
        <v>155.86557059484923</v>
      </c>
    </row>
    <row r="162" spans="8:42" x14ac:dyDescent="0.25">
      <c r="H162" s="59" t="str">
        <f>IFERROR(RANK(TableRBCalcPts[[#This Row],[Custom]],TableRBCalcPts[Custom])+COUNTIF($M$3:M162,M162)-1,"")</f>
        <v/>
      </c>
      <c r="I162" s="59">
        <v>160</v>
      </c>
      <c r="J162" s="59" t="str">
        <f>IFERROR(INDEX(TableRBMaster[Player],MATCH(TableRBCalcPts[[#This Row],[RBRef]],TableRBMaster[RBRef],0)),"")</f>
        <v/>
      </c>
      <c r="K162" s="59" t="str">
        <f>IFERROR(INDEX(TableRBMaster[TM],MATCH(TableRBCalcPts[[#This Row],[RBRef]],TableRBMaster[RBRef],0)),"")</f>
        <v/>
      </c>
      <c r="L162" s="59" t="str">
        <f>IFERROR(INDEX(TableRBMaster[BYE],MATCH(TableRBCalcPts[[#This Row],[RBRef]],TableRBMaster[RBRef],0)),"")</f>
        <v/>
      </c>
      <c r="M162" s="60" t="str">
        <f>IFERROR(INDEX(TableRBMaster[Custom],MATCH(TableRBCalcPts[[#This Row],[RBRef]],TableRBMaster[RBRef],0)),"")</f>
        <v/>
      </c>
      <c r="O162" s="59">
        <f>IFERROR(RANK(TableWRCalcPts[[#This Row],[Custom]],TableWRCalcPts[Custom])+COUNTIF($T$3:T162,T162)-1,"")</f>
        <v>109</v>
      </c>
      <c r="P162" s="59">
        <v>160</v>
      </c>
      <c r="Q162" s="59" t="str">
        <f>IFERROR(INDEX(TableWRMaster[Player],MATCH(TableWRCalcPts[[#This Row],[WRRef]],TableWRMaster[WRRef],0)),"")</f>
        <v>Trey Palmer</v>
      </c>
      <c r="R162" s="59" t="str">
        <f>IFERROR(INDEX(TableWRMaster[TM],MATCH(TableWRCalcPts[[#This Row],[WRRef]],TableWRMaster[WRRef],0)),"")</f>
        <v>TB</v>
      </c>
      <c r="S162" s="59">
        <f>IFERROR(INDEX(TableWRMaster[BYE],MATCH(TableWRCalcPts[[#This Row],[WRRef]],TableWRMaster[WRRef],0)),"")</f>
        <v>11</v>
      </c>
      <c r="T162" s="60">
        <f>IFERROR(INDEX(TableWRMaster[Custom],MATCH(TableWRCalcPts[[#This Row],[WRRef]],TableWRMaster[WRRef],0)),"")</f>
        <v>48.394842908874082</v>
      </c>
      <c r="AI162" s="59" t="s">
        <v>208</v>
      </c>
      <c r="AJ162" s="59">
        <f>IFERROR(RANK(TableWRTECalcPts[[#This Row],[Custom]],TableWRTECalcPts[Custom])+COUNTIF($AP$3:AP162,AP162)-1,"")</f>
        <v>57</v>
      </c>
      <c r="AK162" s="105">
        <v>60</v>
      </c>
      <c r="AL162" s="105" t="str">
        <f>IFERROR(INDEX(TableWRMaster[Player],MATCH(TableWRTECalcPts[[#This Row],[POSRef]],TableWRMaster[WRRef],0)),"")</f>
        <v>Romeo Doubs</v>
      </c>
      <c r="AM162" s="105" t="str">
        <f>IFERROR(_xlfn.CONCAT(TableWRTECalcPts[[#This Row],[POS]],INDEX(TableWRRanks[RK],MATCH(TableWRTECalcPts[[#This Row],[PLAYER]],TableWRRanks[Player],0))),"")</f>
        <v>WR49</v>
      </c>
      <c r="AN162" s="105" t="str">
        <f>IFERROR(INDEX(TableWRMaster[TM],MATCH(TableWRTECalcPts[[#This Row],[POSRef]],TableWRMaster[WRRef],0)),"")</f>
        <v>GB</v>
      </c>
      <c r="AO162" s="105">
        <f>IFERROR(INDEX(TableWRMaster[BYE],MATCH(TableWRTECalcPts[[#This Row],[POSRef]],TableWRMaster[WRRef],0)),"")</f>
        <v>10</v>
      </c>
      <c r="AP162" s="103">
        <f>IFERROR(INDEX(TableWRMaster[Custom],MATCH(TableWRTECalcPts[[#This Row],[POSRef]],TableWRMaster[WRRef],0)),"")</f>
        <v>159.42435883867063</v>
      </c>
    </row>
    <row r="163" spans="8:42" x14ac:dyDescent="0.25">
      <c r="H163" s="59" t="str">
        <f>IFERROR(RANK(TableRBCalcPts[[#This Row],[Custom]],TableRBCalcPts[Custom])+COUNTIF($M$3:M163,M163)-1,"")</f>
        <v/>
      </c>
      <c r="I163" s="59">
        <v>161</v>
      </c>
      <c r="J163" s="59" t="str">
        <f>IFERROR(INDEX(TableRBMaster[Player],MATCH(TableRBCalcPts[[#This Row],[RBRef]],TableRBMaster[RBRef],0)),"")</f>
        <v/>
      </c>
      <c r="K163" s="59" t="str">
        <f>IFERROR(INDEX(TableRBMaster[TM],MATCH(TableRBCalcPts[[#This Row],[RBRef]],TableRBMaster[RBRef],0)),"")</f>
        <v/>
      </c>
      <c r="L163" s="59" t="str">
        <f>IFERROR(INDEX(TableRBMaster[BYE],MATCH(TableRBCalcPts[[#This Row],[RBRef]],TableRBMaster[RBRef],0)),"")</f>
        <v/>
      </c>
      <c r="M163" s="60" t="str">
        <f>IFERROR(INDEX(TableRBMaster[Custom],MATCH(TableRBCalcPts[[#This Row],[RBRef]],TableRBMaster[RBRef],0)),"")</f>
        <v/>
      </c>
      <c r="O163" s="59">
        <f>IFERROR(RANK(TableWRCalcPts[[#This Row],[Custom]],TableWRCalcPts[Custom])+COUNTIF($T$3:T163,T163)-1,"")</f>
        <v>75</v>
      </c>
      <c r="P163" s="59">
        <v>161</v>
      </c>
      <c r="Q163" s="59" t="str">
        <f>IFERROR(INDEX(TableWRMaster[Player],MATCH(TableWRCalcPts[[#This Row],[WRRef]],TableWRMaster[WRRef],0)),"")</f>
        <v>Jalen McMillan</v>
      </c>
      <c r="R163" s="59" t="str">
        <f>IFERROR(INDEX(TableWRMaster[TM],MATCH(TableWRCalcPts[[#This Row],[WRRef]],TableWRMaster[WRRef],0)),"")</f>
        <v>TB</v>
      </c>
      <c r="S163" s="59">
        <f>IFERROR(INDEX(TableWRMaster[BYE],MATCH(TableWRCalcPts[[#This Row],[WRRef]],TableWRMaster[WRRef],0)),"")</f>
        <v>11</v>
      </c>
      <c r="T163" s="60">
        <f>IFERROR(INDEX(TableWRMaster[Custom],MATCH(TableWRCalcPts[[#This Row],[WRRef]],TableWRMaster[WRRef],0)),"")</f>
        <v>109.11603627591739</v>
      </c>
      <c r="AI163" s="59" t="s">
        <v>208</v>
      </c>
      <c r="AJ163" s="59">
        <f>IFERROR(RANK(TableWRTECalcPts[[#This Row],[Custom]],TableWRTECalcPts[Custom])+COUNTIF($AP$3:AP163,AP163)-1,"")</f>
        <v>68</v>
      </c>
      <c r="AK163" s="105">
        <v>61</v>
      </c>
      <c r="AL163" s="105" t="str">
        <f>IFERROR(INDEX(TableWRMaster[Player],MATCH(TableWRTECalcPts[[#This Row],[POSRef]],TableWRMaster[WRRef],0)),"")</f>
        <v>Jayden Reed</v>
      </c>
      <c r="AM163" s="105" t="str">
        <f>IFERROR(_xlfn.CONCAT(TableWRTECalcPts[[#This Row],[POS]],INDEX(TableWRRanks[RK],MATCH(TableWRTECalcPts[[#This Row],[PLAYER]],TableWRRanks[Player],0))),"")</f>
        <v>WR59</v>
      </c>
      <c r="AN163" s="105" t="str">
        <f>IFERROR(INDEX(TableWRMaster[TM],MATCH(TableWRTECalcPts[[#This Row],[POSRef]],TableWRMaster[WRRef],0)),"")</f>
        <v>GB</v>
      </c>
      <c r="AO163" s="105">
        <f>IFERROR(INDEX(TableWRMaster[BYE],MATCH(TableWRTECalcPts[[#This Row],[POSRef]],TableWRMaster[WRRef],0)),"")</f>
        <v>10</v>
      </c>
      <c r="AP163" s="103">
        <f>IFERROR(INDEX(TableWRMaster[Custom],MATCH(TableWRTECalcPts[[#This Row],[POSRef]],TableWRMaster[WRRef],0)),"")</f>
        <v>145.49022396972001</v>
      </c>
    </row>
    <row r="164" spans="8:42" x14ac:dyDescent="0.25">
      <c r="H164" s="59" t="str">
        <f>IFERROR(RANK(TableRBCalcPts[[#This Row],[Custom]],TableRBCalcPts[Custom])+COUNTIF($M$3:M164,M164)-1,"")</f>
        <v/>
      </c>
      <c r="I164" s="59">
        <v>162</v>
      </c>
      <c r="J164" s="59" t="str">
        <f>IFERROR(INDEX(TableRBMaster[Player],MATCH(TableRBCalcPts[[#This Row],[RBRef]],TableRBMaster[RBRef],0)),"")</f>
        <v/>
      </c>
      <c r="K164" s="59" t="str">
        <f>IFERROR(INDEX(TableRBMaster[TM],MATCH(TableRBCalcPts[[#This Row],[RBRef]],TableRBMaster[RBRef],0)),"")</f>
        <v/>
      </c>
      <c r="L164" s="59" t="str">
        <f>IFERROR(INDEX(TableRBMaster[BYE],MATCH(TableRBCalcPts[[#This Row],[RBRef]],TableRBMaster[RBRef],0)),"")</f>
        <v/>
      </c>
      <c r="M164" s="60" t="str">
        <f>IFERROR(INDEX(TableRBMaster[Custom],MATCH(TableRBCalcPts[[#This Row],[RBRef]],TableRBMaster[RBRef],0)),"")</f>
        <v/>
      </c>
      <c r="O164" s="59">
        <f>IFERROR(RANK(TableWRCalcPts[[#This Row],[Custom]],TableWRCalcPts[Custom])+COUNTIF($T$3:T164,T164)-1,"")</f>
        <v>165</v>
      </c>
      <c r="P164" s="59">
        <v>162</v>
      </c>
      <c r="Q164" s="59" t="str">
        <f>IFERROR(INDEX(TableWRMaster[Player],MATCH(TableWRCalcPts[[#This Row],[WRRef]],TableWRMaster[WRRef],0)),"")</f>
        <v>Kameron Johnson</v>
      </c>
      <c r="R164" s="59" t="str">
        <f>IFERROR(INDEX(TableWRMaster[TM],MATCH(TableWRCalcPts[[#This Row],[WRRef]],TableWRMaster[WRRef],0)),"")</f>
        <v>TB</v>
      </c>
      <c r="S164" s="59">
        <f>IFERROR(INDEX(TableWRMaster[BYE],MATCH(TableWRCalcPts[[#This Row],[WRRef]],TableWRMaster[WRRef],0)),"")</f>
        <v>11</v>
      </c>
      <c r="T164" s="60">
        <f>IFERROR(INDEX(TableWRMaster[Custom],MATCH(TableWRCalcPts[[#This Row],[WRRef]],TableWRMaster[WRRef],0)),"")</f>
        <v>9.0625465750914227</v>
      </c>
      <c r="AI164" s="59" t="s">
        <v>208</v>
      </c>
      <c r="AJ164" s="59">
        <f>IFERROR(RANK(TableWRTECalcPts[[#This Row],[Custom]],TableWRTECalcPts[Custom])+COUNTIF($AP$3:AP164,AP164)-1,"")</f>
        <v>83</v>
      </c>
      <c r="AK164" s="105">
        <v>62</v>
      </c>
      <c r="AL164" s="105" t="str">
        <f>IFERROR(INDEX(TableWRMaster[Player],MATCH(TableWRTECalcPts[[#This Row],[POSRef]],TableWRMaster[WRRef],0)),"")</f>
        <v>Dontayvion Wicks</v>
      </c>
      <c r="AM164" s="105" t="str">
        <f>IFERROR(_xlfn.CONCAT(TableWRTECalcPts[[#This Row],[POS]],INDEX(TableWRRanks[RK],MATCH(TableWRTECalcPts[[#This Row],[PLAYER]],TableWRRanks[Player],0))),"")</f>
        <v>WR70</v>
      </c>
      <c r="AN164" s="105" t="str">
        <f>IFERROR(INDEX(TableWRMaster[TM],MATCH(TableWRTECalcPts[[#This Row],[POSRef]],TableWRMaster[WRRef],0)),"")</f>
        <v>GB</v>
      </c>
      <c r="AO164" s="105">
        <f>IFERROR(INDEX(TableWRMaster[BYE],MATCH(TableWRTECalcPts[[#This Row],[POSRef]],TableWRMaster[WRRef],0)),"")</f>
        <v>10</v>
      </c>
      <c r="AP164" s="103">
        <f>IFERROR(INDEX(TableWRMaster[Custom],MATCH(TableWRTECalcPts[[#This Row],[POSRef]],TableWRMaster[WRRef],0)),"")</f>
        <v>116.82642108095868</v>
      </c>
    </row>
    <row r="165" spans="8:42" x14ac:dyDescent="0.25">
      <c r="H165" s="59" t="str">
        <f>IFERROR(RANK(TableRBCalcPts[[#This Row],[Custom]],TableRBCalcPts[Custom])+COUNTIF($M$3:M165,M165)-1,"")</f>
        <v/>
      </c>
      <c r="I165" s="59">
        <v>163</v>
      </c>
      <c r="J165" s="59" t="str">
        <f>IFERROR(INDEX(TableRBMaster[Player],MATCH(TableRBCalcPts[[#This Row],[RBRef]],TableRBMaster[RBRef],0)),"")</f>
        <v/>
      </c>
      <c r="K165" s="59" t="str">
        <f>IFERROR(INDEX(TableRBMaster[TM],MATCH(TableRBCalcPts[[#This Row],[RBRef]],TableRBMaster[RBRef],0)),"")</f>
        <v/>
      </c>
      <c r="L165" s="59" t="str">
        <f>IFERROR(INDEX(TableRBMaster[BYE],MATCH(TableRBCalcPts[[#This Row],[RBRef]],TableRBMaster[RBRef],0)),"")</f>
        <v/>
      </c>
      <c r="M165" s="60" t="str">
        <f>IFERROR(INDEX(TableRBMaster[Custom],MATCH(TableRBCalcPts[[#This Row],[RBRef]],TableRBMaster[RBRef],0)),"")</f>
        <v/>
      </c>
      <c r="O165" s="59">
        <f>IFERROR(RANK(TableWRCalcPts[[#This Row],[Custom]],TableWRCalcPts[Custom])+COUNTIF($T$3:T165,T165)-1,"")</f>
        <v>39</v>
      </c>
      <c r="P165" s="59">
        <v>163</v>
      </c>
      <c r="Q165" s="59" t="str">
        <f>IFERROR(INDEX(TableWRMaster[Player],MATCH(TableWRCalcPts[[#This Row],[WRRef]],TableWRMaster[WRRef],0)),"")</f>
        <v>DeAndre Hopkins</v>
      </c>
      <c r="R165" s="59" t="str">
        <f>IFERROR(INDEX(TableWRMaster[TM],MATCH(TableWRCalcPts[[#This Row],[WRRef]],TableWRMaster[WRRef],0)),"")</f>
        <v>TEN</v>
      </c>
      <c r="S165" s="59">
        <f>IFERROR(INDEX(TableWRMaster[BYE],MATCH(TableWRCalcPts[[#This Row],[WRRef]],TableWRMaster[WRRef],0)),"")</f>
        <v>5</v>
      </c>
      <c r="T165" s="60">
        <f>IFERROR(INDEX(TableWRMaster[Custom],MATCH(TableWRCalcPts[[#This Row],[WRRef]],TableWRMaster[WRRef],0)),"")</f>
        <v>170.19671371216654</v>
      </c>
      <c r="AI165" s="59" t="s">
        <v>208</v>
      </c>
      <c r="AJ165" s="59">
        <f>IFERROR(RANK(TableWRTECalcPts[[#This Row],[Custom]],TableWRTECalcPts[Custom])+COUNTIF($AP$3:AP165,AP165)-1,"")</f>
        <v>209</v>
      </c>
      <c r="AK165" s="105">
        <v>63</v>
      </c>
      <c r="AL165" s="105" t="str">
        <f>IFERROR(INDEX(TableWRMaster[Player],MATCH(TableWRTECalcPts[[#This Row],[POSRef]],TableWRMaster[WRRef],0)),"")</f>
        <v>Bo Melton</v>
      </c>
      <c r="AM165" s="105" t="str">
        <f>IFERROR(_xlfn.CONCAT(TableWRTECalcPts[[#This Row],[POS]],INDEX(TableWRRanks[RK],MATCH(TableWRTECalcPts[[#This Row],[PLAYER]],TableWRRanks[Player],0))),"")</f>
        <v>WR146</v>
      </c>
      <c r="AN165" s="105" t="str">
        <f>IFERROR(INDEX(TableWRMaster[TM],MATCH(TableWRTECalcPts[[#This Row],[POSRef]],TableWRMaster[WRRef],0)),"")</f>
        <v>GB</v>
      </c>
      <c r="AO165" s="105">
        <f>IFERROR(INDEX(TableWRMaster[BYE],MATCH(TableWRTECalcPts[[#This Row],[POSRef]],TableWRMaster[WRRef],0)),"")</f>
        <v>10</v>
      </c>
      <c r="AP165" s="103">
        <f>IFERROR(INDEX(TableWRMaster[Custom],MATCH(TableWRTECalcPts[[#This Row],[POSRef]],TableWRMaster[WRRef],0)),"")</f>
        <v>15.792781181632</v>
      </c>
    </row>
    <row r="166" spans="8:42" x14ac:dyDescent="0.25">
      <c r="H166" s="59" t="str">
        <f>IFERROR(RANK(TableRBCalcPts[[#This Row],[Custom]],TableRBCalcPts[Custom])+COUNTIF($M$3:M166,M166)-1,"")</f>
        <v/>
      </c>
      <c r="I166" s="59">
        <v>164</v>
      </c>
      <c r="J166" s="59" t="str">
        <f>IFERROR(INDEX(TableRBMaster[Player],MATCH(TableRBCalcPts[[#This Row],[RBRef]],TableRBMaster[RBRef],0)),"")</f>
        <v/>
      </c>
      <c r="K166" s="59" t="str">
        <f>IFERROR(INDEX(TableRBMaster[TM],MATCH(TableRBCalcPts[[#This Row],[RBRef]],TableRBMaster[RBRef],0)),"")</f>
        <v/>
      </c>
      <c r="L166" s="59" t="str">
        <f>IFERROR(INDEX(TableRBMaster[BYE],MATCH(TableRBCalcPts[[#This Row],[RBRef]],TableRBMaster[RBRef],0)),"")</f>
        <v/>
      </c>
      <c r="M166" s="60" t="str">
        <f>IFERROR(INDEX(TableRBMaster[Custom],MATCH(TableRBCalcPts[[#This Row],[RBRef]],TableRBMaster[RBRef],0)),"")</f>
        <v/>
      </c>
      <c r="O166" s="59">
        <f>IFERROR(RANK(TableWRCalcPts[[#This Row],[Custom]],TableWRCalcPts[Custom])+COUNTIF($T$3:T166,T166)-1,"")</f>
        <v>30</v>
      </c>
      <c r="P166" s="59">
        <v>164</v>
      </c>
      <c r="Q166" s="59" t="str">
        <f>IFERROR(INDEX(TableWRMaster[Player],MATCH(TableWRCalcPts[[#This Row],[WRRef]],TableWRMaster[WRRef],0)),"")</f>
        <v>Calvin Ridley</v>
      </c>
      <c r="R166" s="59" t="str">
        <f>IFERROR(INDEX(TableWRMaster[TM],MATCH(TableWRCalcPts[[#This Row],[WRRef]],TableWRMaster[WRRef],0)),"")</f>
        <v>TEN</v>
      </c>
      <c r="S166" s="59">
        <f>IFERROR(INDEX(TableWRMaster[BYE],MATCH(TableWRCalcPts[[#This Row],[WRRef]],TableWRMaster[WRRef],0)),"")</f>
        <v>5</v>
      </c>
      <c r="T166" s="60">
        <f>IFERROR(INDEX(TableWRMaster[Custom],MATCH(TableWRCalcPts[[#This Row],[WRRef]],TableWRMaster[WRRef],0)),"")</f>
        <v>182.91329454254475</v>
      </c>
      <c r="AI166" s="59" t="s">
        <v>208</v>
      </c>
      <c r="AJ166" s="59">
        <f>IFERROR(RANK(TableWRTECalcPts[[#This Row],[Custom]],TableWRTECalcPts[Custom])+COUNTIF($AP$3:AP166,AP166)-1,"")</f>
        <v>29</v>
      </c>
      <c r="AK166" s="105">
        <v>64</v>
      </c>
      <c r="AL166" s="105" t="str">
        <f>IFERROR(INDEX(TableWRMaster[Player],MATCH(TableWRTECalcPts[[#This Row],[POSRef]],TableWRMaster[WRRef],0)),"")</f>
        <v>Stefon Diggs</v>
      </c>
      <c r="AM166" s="105" t="str">
        <f>IFERROR(_xlfn.CONCAT(TableWRTECalcPts[[#This Row],[POS]],INDEX(TableWRRanks[RK],MATCH(TableWRTECalcPts[[#This Row],[PLAYER]],TableWRRanks[Player],0))),"")</f>
        <v>WR28</v>
      </c>
      <c r="AN166" s="105" t="str">
        <f>IFERROR(INDEX(TableWRMaster[TM],MATCH(TableWRTECalcPts[[#This Row],[POSRef]],TableWRMaster[WRRef],0)),"")</f>
        <v>HOU</v>
      </c>
      <c r="AO166" s="105">
        <f>IFERROR(INDEX(TableWRMaster[BYE],MATCH(TableWRTECalcPts[[#This Row],[POSRef]],TableWRMaster[WRRef],0)),"")</f>
        <v>14</v>
      </c>
      <c r="AP166" s="103">
        <f>IFERROR(INDEX(TableWRMaster[Custom],MATCH(TableWRTECalcPts[[#This Row],[POSRef]],TableWRMaster[WRRef],0)),"")</f>
        <v>185.17442688786917</v>
      </c>
    </row>
    <row r="167" spans="8:42" x14ac:dyDescent="0.25">
      <c r="H167" s="59" t="str">
        <f>IFERROR(RANK(TableRBCalcPts[[#This Row],[Custom]],TableRBCalcPts[Custom])+COUNTIF($M$3:M167,M167)-1,"")</f>
        <v/>
      </c>
      <c r="I167" s="59">
        <v>165</v>
      </c>
      <c r="J167" s="59" t="str">
        <f>IFERROR(INDEX(TableRBMaster[Player],MATCH(TableRBCalcPts[[#This Row],[RBRef]],TableRBMaster[RBRef],0)),"")</f>
        <v/>
      </c>
      <c r="K167" s="59" t="str">
        <f>IFERROR(INDEX(TableRBMaster[TM],MATCH(TableRBCalcPts[[#This Row],[RBRef]],TableRBMaster[RBRef],0)),"")</f>
        <v/>
      </c>
      <c r="L167" s="59" t="str">
        <f>IFERROR(INDEX(TableRBMaster[BYE],MATCH(TableRBCalcPts[[#This Row],[RBRef]],TableRBMaster[RBRef],0)),"")</f>
        <v/>
      </c>
      <c r="M167" s="60" t="str">
        <f>IFERROR(INDEX(TableRBMaster[Custom],MATCH(TableRBCalcPts[[#This Row],[RBRef]],TableRBMaster[RBRef],0)),"")</f>
        <v/>
      </c>
      <c r="O167" s="59">
        <f>IFERROR(RANK(TableWRCalcPts[[#This Row],[Custom]],TableWRCalcPts[Custom])+COUNTIF($T$3:T167,T167)-1,"")</f>
        <v>89</v>
      </c>
      <c r="P167" s="59">
        <v>165</v>
      </c>
      <c r="Q167" s="59" t="str">
        <f>IFERROR(INDEX(TableWRMaster[Player],MATCH(TableWRCalcPts[[#This Row],[WRRef]],TableWRMaster[WRRef],0)),"")</f>
        <v>Tyler Boyd</v>
      </c>
      <c r="R167" s="59" t="str">
        <f>IFERROR(INDEX(TableWRMaster[TM],MATCH(TableWRCalcPts[[#This Row],[WRRef]],TableWRMaster[WRRef],0)),"")</f>
        <v>TEN</v>
      </c>
      <c r="S167" s="59">
        <f>IFERROR(INDEX(TableWRMaster[BYE],MATCH(TableWRCalcPts[[#This Row],[WRRef]],TableWRMaster[WRRef],0)),"")</f>
        <v>5</v>
      </c>
      <c r="T167" s="60">
        <f>IFERROR(INDEX(TableWRMaster[Custom],MATCH(TableWRCalcPts[[#This Row],[WRRef]],TableWRMaster[WRRef],0)),"")</f>
        <v>81.555692015345855</v>
      </c>
      <c r="AI167" s="59" t="s">
        <v>208</v>
      </c>
      <c r="AJ167" s="59">
        <f>IFERROR(RANK(TableWRTECalcPts[[#This Row],[Custom]],TableWRTECalcPts[Custom])+COUNTIF($AP$3:AP167,AP167)-1,"")</f>
        <v>11</v>
      </c>
      <c r="AK167" s="105">
        <v>65</v>
      </c>
      <c r="AL167" s="105" t="str">
        <f>IFERROR(INDEX(TableWRMaster[Player],MATCH(TableWRTECalcPts[[#This Row],[POSRef]],TableWRMaster[WRRef],0)),"")</f>
        <v>Nico Collins</v>
      </c>
      <c r="AM167" s="105" t="str">
        <f>IFERROR(_xlfn.CONCAT(TableWRTECalcPts[[#This Row],[POS]],INDEX(TableWRRanks[RK],MATCH(TableWRTECalcPts[[#This Row],[PLAYER]],TableWRRanks[Player],0))),"")</f>
        <v>WR11</v>
      </c>
      <c r="AN167" s="105" t="str">
        <f>IFERROR(INDEX(TableWRMaster[TM],MATCH(TableWRTECalcPts[[#This Row],[POSRef]],TableWRMaster[WRRef],0)),"")</f>
        <v>HOU</v>
      </c>
      <c r="AO167" s="105">
        <f>IFERROR(INDEX(TableWRMaster[BYE],MATCH(TableWRTECalcPts[[#This Row],[POSRef]],TableWRMaster[WRRef],0)),"")</f>
        <v>14</v>
      </c>
      <c r="AP167" s="103">
        <f>IFERROR(INDEX(TableWRMaster[Custom],MATCH(TableWRTECalcPts[[#This Row],[POSRef]],TableWRMaster[WRRef],0)),"")</f>
        <v>206.51868818380797</v>
      </c>
    </row>
    <row r="168" spans="8:42" x14ac:dyDescent="0.25">
      <c r="H168" s="59" t="str">
        <f>IFERROR(RANK(TableRBCalcPts[[#This Row],[Custom]],TableRBCalcPts[Custom])+COUNTIF($M$3:M168,M168)-1,"")</f>
        <v/>
      </c>
      <c r="I168" s="59">
        <v>166</v>
      </c>
      <c r="J168" s="59" t="str">
        <f>IFERROR(INDEX(TableRBMaster[Player],MATCH(TableRBCalcPts[[#This Row],[RBRef]],TableRBMaster[RBRef],0)),"")</f>
        <v/>
      </c>
      <c r="K168" s="59" t="str">
        <f>IFERROR(INDEX(TableRBMaster[TM],MATCH(TableRBCalcPts[[#This Row],[RBRef]],TableRBMaster[RBRef],0)),"")</f>
        <v/>
      </c>
      <c r="L168" s="59" t="str">
        <f>IFERROR(INDEX(TableRBMaster[BYE],MATCH(TableRBCalcPts[[#This Row],[RBRef]],TableRBMaster[RBRef],0)),"")</f>
        <v/>
      </c>
      <c r="M168" s="60" t="str">
        <f>IFERROR(INDEX(TableRBMaster[Custom],MATCH(TableRBCalcPts[[#This Row],[RBRef]],TableRBMaster[RBRef],0)),"")</f>
        <v/>
      </c>
      <c r="O168" s="59">
        <f>IFERROR(RANK(TableWRCalcPts[[#This Row],[Custom]],TableWRCalcPts[Custom])+COUNTIF($T$3:T168,T168)-1,"")</f>
        <v>125</v>
      </c>
      <c r="P168" s="59">
        <v>166</v>
      </c>
      <c r="Q168" s="59" t="str">
        <f>IFERROR(INDEX(TableWRMaster[Player],MATCH(TableWRCalcPts[[#This Row],[WRRef]],TableWRMaster[WRRef],0)),"")</f>
        <v>Treylon Burks</v>
      </c>
      <c r="R168" s="59" t="str">
        <f>IFERROR(INDEX(TableWRMaster[TM],MATCH(TableWRCalcPts[[#This Row],[WRRef]],TableWRMaster[WRRef],0)),"")</f>
        <v>TEN</v>
      </c>
      <c r="S168" s="59">
        <f>IFERROR(INDEX(TableWRMaster[BYE],MATCH(TableWRCalcPts[[#This Row],[WRRef]],TableWRMaster[WRRef],0)),"")</f>
        <v>5</v>
      </c>
      <c r="T168" s="60">
        <f>IFERROR(INDEX(TableWRMaster[Custom],MATCH(TableWRCalcPts[[#This Row],[WRRef]],TableWRMaster[WRRef],0)),"")</f>
        <v>28.738155331311248</v>
      </c>
      <c r="AI168" s="59" t="s">
        <v>208</v>
      </c>
      <c r="AJ168" s="59">
        <f>IFERROR(RANK(TableWRTECalcPts[[#This Row],[Custom]],TableWRTECalcPts[Custom])+COUNTIF($AP$3:AP168,AP168)-1,"")</f>
        <v>34</v>
      </c>
      <c r="AK168" s="105">
        <v>66</v>
      </c>
      <c r="AL168" s="105" t="str">
        <f>IFERROR(INDEX(TableWRMaster[Player],MATCH(TableWRTECalcPts[[#This Row],[POSRef]],TableWRMaster[WRRef],0)),"")</f>
        <v>Tank Dell</v>
      </c>
      <c r="AM168" s="105" t="str">
        <f>IFERROR(_xlfn.CONCAT(TableWRTECalcPts[[#This Row],[POS]],INDEX(TableWRRanks[RK],MATCH(TableWRTECalcPts[[#This Row],[PLAYER]],TableWRRanks[Player],0))),"")</f>
        <v>WR31</v>
      </c>
      <c r="AN168" s="105" t="str">
        <f>IFERROR(INDEX(TableWRMaster[TM],MATCH(TableWRTECalcPts[[#This Row],[POSRef]],TableWRMaster[WRRef],0)),"")</f>
        <v>HOU</v>
      </c>
      <c r="AO168" s="105">
        <f>IFERROR(INDEX(TableWRMaster[BYE],MATCH(TableWRTECalcPts[[#This Row],[POSRef]],TableWRMaster[WRRef],0)),"")</f>
        <v>14</v>
      </c>
      <c r="AP168" s="103">
        <f>IFERROR(INDEX(TableWRMaster[Custom],MATCH(TableWRTECalcPts[[#This Row],[POSRef]],TableWRMaster[WRRef],0)),"")</f>
        <v>181.86577234960347</v>
      </c>
    </row>
    <row r="169" spans="8:42" x14ac:dyDescent="0.25">
      <c r="H169" s="59" t="str">
        <f>IFERROR(RANK(TableRBCalcPts[[#This Row],[Custom]],TableRBCalcPts[Custom])+COUNTIF($M$3:M169,M169)-1,"")</f>
        <v/>
      </c>
      <c r="I169" s="59">
        <v>167</v>
      </c>
      <c r="J169" s="59" t="str">
        <f>IFERROR(INDEX(TableRBMaster[Player],MATCH(TableRBCalcPts[[#This Row],[RBRef]],TableRBMaster[RBRef],0)),"")</f>
        <v/>
      </c>
      <c r="K169" s="59" t="str">
        <f>IFERROR(INDEX(TableRBMaster[TM],MATCH(TableRBCalcPts[[#This Row],[RBRef]],TableRBMaster[RBRef],0)),"")</f>
        <v/>
      </c>
      <c r="L169" s="59" t="str">
        <f>IFERROR(INDEX(TableRBMaster[BYE],MATCH(TableRBCalcPts[[#This Row],[RBRef]],TableRBMaster[RBRef],0)),"")</f>
        <v/>
      </c>
      <c r="M169" s="60" t="str">
        <f>IFERROR(INDEX(TableRBMaster[Custom],MATCH(TableRBCalcPts[[#This Row],[RBRef]],TableRBMaster[RBRef],0)),"")</f>
        <v/>
      </c>
      <c r="O169" s="59">
        <f>IFERROR(RANK(TableWRCalcPts[[#This Row],[Custom]],TableWRCalcPts[Custom])+COUNTIF($T$3:T169,T169)-1,"")</f>
        <v>142</v>
      </c>
      <c r="P169" s="59">
        <v>167</v>
      </c>
      <c r="Q169" s="59" t="str">
        <f>IFERROR(INDEX(TableWRMaster[Player],MATCH(TableWRCalcPts[[#This Row],[WRRef]],TableWRMaster[WRRef],0)),"")</f>
        <v>Nick Westbrook-Ikhine</v>
      </c>
      <c r="R169" s="59" t="str">
        <f>IFERROR(INDEX(TableWRMaster[TM],MATCH(TableWRCalcPts[[#This Row],[WRRef]],TableWRMaster[WRRef],0)),"")</f>
        <v>TEN</v>
      </c>
      <c r="S169" s="59">
        <f>IFERROR(INDEX(TableWRMaster[BYE],MATCH(TableWRCalcPts[[#This Row],[WRRef]],TableWRMaster[WRRef],0)),"")</f>
        <v>5</v>
      </c>
      <c r="T169" s="60">
        <f>IFERROR(INDEX(TableWRMaster[Custom],MATCH(TableWRCalcPts[[#This Row],[WRRef]],TableWRMaster[WRRef],0)),"")</f>
        <v>18.661396136836288</v>
      </c>
      <c r="AI169" s="59" t="s">
        <v>208</v>
      </c>
      <c r="AJ169" s="59">
        <f>IFERROR(RANK(TableWRTECalcPts[[#This Row],[Custom]],TableWRTECalcPts[Custom])+COUNTIF($AP$3:AP169,AP169)-1,"")</f>
        <v>171</v>
      </c>
      <c r="AK169" s="105">
        <v>67</v>
      </c>
      <c r="AL169" s="105" t="str">
        <f>IFERROR(INDEX(TableWRMaster[Player],MATCH(TableWRTECalcPts[[#This Row],[POSRef]],TableWRMaster[WRRef],0)),"")</f>
        <v>Robert Woods</v>
      </c>
      <c r="AM169" s="105" t="str">
        <f>IFERROR(_xlfn.CONCAT(TableWRTECalcPts[[#This Row],[POS]],INDEX(TableWRRanks[RK],MATCH(TableWRTECalcPts[[#This Row],[PLAYER]],TableWRRanks[Player],0))),"")</f>
        <v>WR123</v>
      </c>
      <c r="AN169" s="105" t="str">
        <f>IFERROR(INDEX(TableWRMaster[TM],MATCH(TableWRTECalcPts[[#This Row],[POSRef]],TableWRMaster[WRRef],0)),"")</f>
        <v>HOU</v>
      </c>
      <c r="AO169" s="105">
        <f>IFERROR(INDEX(TableWRMaster[BYE],MATCH(TableWRTECalcPts[[#This Row],[POSRef]],TableWRMaster[WRRef],0)),"")</f>
        <v>14</v>
      </c>
      <c r="AP169" s="103">
        <f>IFERROR(INDEX(TableWRMaster[Custom],MATCH(TableWRTECalcPts[[#This Row],[POSRef]],TableWRMaster[WRRef],0)),"")</f>
        <v>29.421431565209236</v>
      </c>
    </row>
    <row r="170" spans="8:42" x14ac:dyDescent="0.25">
      <c r="H170" s="59" t="str">
        <f>IFERROR(RANK(TableRBCalcPts[[#This Row],[Custom]],TableRBCalcPts[Custom])+COUNTIF($M$3:M170,M170)-1,"")</f>
        <v/>
      </c>
      <c r="I170" s="59">
        <v>168</v>
      </c>
      <c r="J170" s="59" t="str">
        <f>IFERROR(INDEX(TableRBMaster[Player],MATCH(TableRBCalcPts[[#This Row],[RBRef]],TableRBMaster[RBRef],0)),"")</f>
        <v/>
      </c>
      <c r="K170" s="59" t="str">
        <f>IFERROR(INDEX(TableRBMaster[TM],MATCH(TableRBCalcPts[[#This Row],[RBRef]],TableRBMaster[RBRef],0)),"")</f>
        <v/>
      </c>
      <c r="L170" s="59" t="str">
        <f>IFERROR(INDEX(TableRBMaster[BYE],MATCH(TableRBCalcPts[[#This Row],[RBRef]],TableRBMaster[RBRef],0)),"")</f>
        <v/>
      </c>
      <c r="M170" s="60" t="str">
        <f>IFERROR(INDEX(TableRBMaster[Custom],MATCH(TableRBCalcPts[[#This Row],[RBRef]],TableRBMaster[RBRef],0)),"")</f>
        <v/>
      </c>
      <c r="O170" s="59">
        <f>IFERROR(RANK(TableWRCalcPts[[#This Row],[Custom]],TableWRCalcPts[Custom])+COUNTIF($T$3:T170,T170)-1,"")</f>
        <v>171</v>
      </c>
      <c r="P170" s="59">
        <v>168</v>
      </c>
      <c r="Q170" s="59" t="str">
        <f>IFERROR(INDEX(TableWRMaster[Player],MATCH(TableWRCalcPts[[#This Row],[WRRef]],TableWRMaster[WRRef],0)),"")</f>
        <v>Kyle Philips</v>
      </c>
      <c r="R170" s="59" t="str">
        <f>IFERROR(INDEX(TableWRMaster[TM],MATCH(TableWRCalcPts[[#This Row],[WRRef]],TableWRMaster[WRRef],0)),"")</f>
        <v>TEN</v>
      </c>
      <c r="S170" s="59">
        <f>IFERROR(INDEX(TableWRMaster[BYE],MATCH(TableWRCalcPts[[#This Row],[WRRef]],TableWRMaster[WRRef],0)),"")</f>
        <v>5</v>
      </c>
      <c r="T170" s="60">
        <f>IFERROR(INDEX(TableWRMaster[Custom],MATCH(TableWRCalcPts[[#This Row],[WRRef]],TableWRMaster[WRRef],0)),"")</f>
        <v>7.6127953092598748</v>
      </c>
      <c r="AI170" s="59" t="s">
        <v>208</v>
      </c>
      <c r="AJ170" s="59">
        <f>IFERROR(RANK(TableWRTECalcPts[[#This Row],[Custom]],TableWRTECalcPts[Custom])+COUNTIF($AP$3:AP170,AP170)-1,"")</f>
        <v>219</v>
      </c>
      <c r="AK170" s="105">
        <v>68</v>
      </c>
      <c r="AL170" s="105" t="str">
        <f>IFERROR(INDEX(TableWRMaster[Player],MATCH(TableWRTECalcPts[[#This Row],[POSRef]],TableWRMaster[WRRef],0)),"")</f>
        <v>Xavier Hutchinson</v>
      </c>
      <c r="AM170" s="105" t="str">
        <f>IFERROR(_xlfn.CONCAT(TableWRTECalcPts[[#This Row],[POS]],INDEX(TableWRRanks[RK],MATCH(TableWRTECalcPts[[#This Row],[PLAYER]],TableWRRanks[Player],0))),"")</f>
        <v>WR155</v>
      </c>
      <c r="AN170" s="105" t="str">
        <f>IFERROR(INDEX(TableWRMaster[TM],MATCH(TableWRTECalcPts[[#This Row],[POSRef]],TableWRMaster[WRRef],0)),"")</f>
        <v>HOU</v>
      </c>
      <c r="AO170" s="105">
        <f>IFERROR(INDEX(TableWRMaster[BYE],MATCH(TableWRTECalcPts[[#This Row],[POSRef]],TableWRMaster[WRRef],0)),"")</f>
        <v>14</v>
      </c>
      <c r="AP170" s="103">
        <f>IFERROR(INDEX(TableWRMaster[Custom],MATCH(TableWRTECalcPts[[#This Row],[POSRef]],TableWRMaster[WRRef],0)),"")</f>
        <v>14.406193515022382</v>
      </c>
    </row>
    <row r="171" spans="8:42" x14ac:dyDescent="0.25">
      <c r="H171" s="59" t="str">
        <f>IFERROR(RANK(TableRBCalcPts[[#This Row],[Custom]],TableRBCalcPts[Custom])+COUNTIF($M$3:M171,M171)-1,"")</f>
        <v/>
      </c>
      <c r="I171" s="59">
        <v>169</v>
      </c>
      <c r="J171" s="59" t="str">
        <f>IFERROR(INDEX(TableRBMaster[Player],MATCH(TableRBCalcPts[[#This Row],[RBRef]],TableRBMaster[RBRef],0)),"")</f>
        <v/>
      </c>
      <c r="K171" s="59" t="str">
        <f>IFERROR(INDEX(TableRBMaster[TM],MATCH(TableRBCalcPts[[#This Row],[RBRef]],TableRBMaster[RBRef],0)),"")</f>
        <v/>
      </c>
      <c r="L171" s="59" t="str">
        <f>IFERROR(INDEX(TableRBMaster[BYE],MATCH(TableRBCalcPts[[#This Row],[RBRef]],TableRBMaster[RBRef],0)),"")</f>
        <v/>
      </c>
      <c r="M171" s="60" t="str">
        <f>IFERROR(INDEX(TableRBMaster[Custom],MATCH(TableRBCalcPts[[#This Row],[RBRef]],TableRBMaster[RBRef],0)),"")</f>
        <v/>
      </c>
      <c r="O171" s="59">
        <f>IFERROR(RANK(TableWRCalcPts[[#This Row],[Custom]],TableWRCalcPts[Custom])+COUNTIF($T$3:T171,T171)-1,"")</f>
        <v>173</v>
      </c>
      <c r="P171" s="59">
        <v>169</v>
      </c>
      <c r="Q171" s="59" t="str">
        <f>IFERROR(INDEX(TableWRMaster[Player],MATCH(TableWRCalcPts[[#This Row],[WRRef]],TableWRMaster[WRRef],0)),"")</f>
        <v>Jha'Quan Jackson</v>
      </c>
      <c r="R171" s="59" t="str">
        <f>IFERROR(INDEX(TableWRMaster[TM],MATCH(TableWRCalcPts[[#This Row],[WRRef]],TableWRMaster[WRRef],0)),"")</f>
        <v>TEN</v>
      </c>
      <c r="S171" s="59">
        <f>IFERROR(INDEX(TableWRMaster[BYE],MATCH(TableWRCalcPts[[#This Row],[WRRef]],TableWRMaster[WRRef],0)),"")</f>
        <v>5</v>
      </c>
      <c r="T171" s="60">
        <f>IFERROR(INDEX(TableWRMaster[Custom],MATCH(TableWRCalcPts[[#This Row],[WRRef]],TableWRMaster[WRRef],0)),"")</f>
        <v>6.8794944646427991</v>
      </c>
      <c r="AI171" s="59" t="s">
        <v>208</v>
      </c>
      <c r="AJ171" s="59">
        <f>IFERROR(RANK(TableWRTECalcPts[[#This Row],[Custom]],TableWRTECalcPts[Custom])+COUNTIF($AP$3:AP171,AP171)-1,"")</f>
        <v>169</v>
      </c>
      <c r="AK171" s="105">
        <v>69</v>
      </c>
      <c r="AL171" s="105" t="str">
        <f>IFERROR(INDEX(TableWRMaster[Player],MATCH(TableWRTECalcPts[[#This Row],[POSRef]],TableWRMaster[WRRef],0)),"")</f>
        <v>John Metchie</v>
      </c>
      <c r="AM171" s="105" t="str">
        <f>IFERROR(_xlfn.CONCAT(TableWRTECalcPts[[#This Row],[POS]],INDEX(TableWRRanks[RK],MATCH(TableWRTECalcPts[[#This Row],[PLAYER]],TableWRRanks[Player],0))),"")</f>
        <v>WR121</v>
      </c>
      <c r="AN171" s="105" t="str">
        <f>IFERROR(INDEX(TableWRMaster[TM],MATCH(TableWRTECalcPts[[#This Row],[POSRef]],TableWRMaster[WRRef],0)),"")</f>
        <v>HOU</v>
      </c>
      <c r="AO171" s="105">
        <f>IFERROR(INDEX(TableWRMaster[BYE],MATCH(TableWRTECalcPts[[#This Row],[POSRef]],TableWRMaster[WRRef],0)),"")</f>
        <v>14</v>
      </c>
      <c r="AP171" s="103">
        <f>IFERROR(INDEX(TableWRMaster[Custom],MATCH(TableWRTECalcPts[[#This Row],[POSRef]],TableWRMaster[WRRef],0)),"")</f>
        <v>31.120723425792004</v>
      </c>
    </row>
    <row r="172" spans="8:42" x14ac:dyDescent="0.25">
      <c r="H172" s="59" t="str">
        <f>IFERROR(RANK(TableRBCalcPts[[#This Row],[Custom]],TableRBCalcPts[Custom])+COUNTIF($M$3:M172,M172)-1,"")</f>
        <v/>
      </c>
      <c r="I172" s="59">
        <v>170</v>
      </c>
      <c r="J172" s="59" t="str">
        <f>IFERROR(INDEX(TableRBMaster[Player],MATCH(TableRBCalcPts[[#This Row],[RBRef]],TableRBMaster[RBRef],0)),"")</f>
        <v/>
      </c>
      <c r="K172" s="59" t="str">
        <f>IFERROR(INDEX(TableRBMaster[TM],MATCH(TableRBCalcPts[[#This Row],[RBRef]],TableRBMaster[RBRef],0)),"")</f>
        <v/>
      </c>
      <c r="L172" s="59" t="str">
        <f>IFERROR(INDEX(TableRBMaster[BYE],MATCH(TableRBCalcPts[[#This Row],[RBRef]],TableRBMaster[RBRef],0)),"")</f>
        <v/>
      </c>
      <c r="M172" s="60" t="str">
        <f>IFERROR(INDEX(TableRBMaster[Custom],MATCH(TableRBCalcPts[[#This Row],[RBRef]],TableRBMaster[RBRef],0)),"")</f>
        <v/>
      </c>
      <c r="O172" s="59">
        <f>IFERROR(RANK(TableWRCalcPts[[#This Row],[Custom]],TableWRCalcPts[Custom])+COUNTIF($T$3:T172,T172)-1,"")</f>
        <v>19</v>
      </c>
      <c r="P172" s="59">
        <v>170</v>
      </c>
      <c r="Q172" s="59" t="str">
        <f>IFERROR(INDEX(TableWRMaster[Player],MATCH(TableWRCalcPts[[#This Row],[WRRef]],TableWRMaster[WRRef],0)),"")</f>
        <v>Terry McLaurin</v>
      </c>
      <c r="R172" s="59" t="str">
        <f>IFERROR(INDEX(TableWRMaster[TM],MATCH(TableWRCalcPts[[#This Row],[WRRef]],TableWRMaster[WRRef],0)),"")</f>
        <v>WSH</v>
      </c>
      <c r="S172" s="59">
        <f>IFERROR(INDEX(TableWRMaster[BYE],MATCH(TableWRCalcPts[[#This Row],[WRRef]],TableWRMaster[WRRef],0)),"")</f>
        <v>14</v>
      </c>
      <c r="T172" s="60">
        <f>IFERROR(INDEX(TableWRMaster[Custom],MATCH(TableWRCalcPts[[#This Row],[WRRef]],TableWRMaster[WRRef],0)),"")</f>
        <v>196.63586376487206</v>
      </c>
      <c r="AI172" s="59" t="s">
        <v>208</v>
      </c>
      <c r="AJ172" s="59">
        <f>IFERROR(RANK(TableWRTECalcPts[[#This Row],[Custom]],TableWRTECalcPts[Custom])+COUNTIF($AP$3:AP172,AP172)-1,"")</f>
        <v>40</v>
      </c>
      <c r="AK172" s="105">
        <v>70</v>
      </c>
      <c r="AL172" s="105" t="str">
        <f>IFERROR(INDEX(TableWRMaster[Player],MATCH(TableWRTECalcPts[[#This Row],[POSRef]],TableWRMaster[WRRef],0)),"")</f>
        <v>Michael Pittman</v>
      </c>
      <c r="AM172" s="105" t="str">
        <f>IFERROR(_xlfn.CONCAT(TableWRTECalcPts[[#This Row],[POS]],INDEX(TableWRRanks[RK],MATCH(TableWRTECalcPts[[#This Row],[PLAYER]],TableWRRanks[Player],0))),"")</f>
        <v>WR36</v>
      </c>
      <c r="AN172" s="105" t="str">
        <f>IFERROR(INDEX(TableWRMaster[TM],MATCH(TableWRTECalcPts[[#This Row],[POSRef]],TableWRMaster[WRRef],0)),"")</f>
        <v>IND</v>
      </c>
      <c r="AO172" s="105">
        <f>IFERROR(INDEX(TableWRMaster[BYE],MATCH(TableWRTECalcPts[[#This Row],[POSRef]],TableWRMaster[WRRef],0)),"")</f>
        <v>14</v>
      </c>
      <c r="AP172" s="103">
        <f>IFERROR(INDEX(TableWRMaster[Custom],MATCH(TableWRTECalcPts[[#This Row],[POSRef]],TableWRMaster[WRRef],0)),"")</f>
        <v>173.37018571044479</v>
      </c>
    </row>
    <row r="173" spans="8:42" x14ac:dyDescent="0.25">
      <c r="H173" s="59" t="str">
        <f>IFERROR(RANK(TableRBCalcPts[[#This Row],[Custom]],TableRBCalcPts[Custom])+COUNTIF($M$3:M173,M173)-1,"")</f>
        <v/>
      </c>
      <c r="I173" s="59">
        <v>171</v>
      </c>
      <c r="J173" s="59" t="str">
        <f>IFERROR(INDEX(TableRBMaster[Player],MATCH(TableRBCalcPts[[#This Row],[RBRef]],TableRBMaster[RBRef],0)),"")</f>
        <v/>
      </c>
      <c r="K173" s="59" t="str">
        <f>IFERROR(INDEX(TableRBMaster[TM],MATCH(TableRBCalcPts[[#This Row],[RBRef]],TableRBMaster[RBRef],0)),"")</f>
        <v/>
      </c>
      <c r="L173" s="59" t="str">
        <f>IFERROR(INDEX(TableRBMaster[BYE],MATCH(TableRBCalcPts[[#This Row],[RBRef]],TableRBMaster[RBRef],0)),"")</f>
        <v/>
      </c>
      <c r="M173" s="60" t="str">
        <f>IFERROR(INDEX(TableRBMaster[Custom],MATCH(TableRBCalcPts[[#This Row],[RBRef]],TableRBMaster[RBRef],0)),"")</f>
        <v/>
      </c>
      <c r="O173" s="59">
        <f>IFERROR(RANK(TableWRCalcPts[[#This Row],[Custom]],TableWRCalcPts[Custom])+COUNTIF($T$3:T173,T173)-1,"")</f>
        <v>94</v>
      </c>
      <c r="P173" s="59">
        <v>171</v>
      </c>
      <c r="Q173" s="59" t="str">
        <f>IFERROR(INDEX(TableWRMaster[Player],MATCH(TableWRCalcPts[[#This Row],[WRRef]],TableWRMaster[WRRef],0)),"")</f>
        <v>Luke McCaffrey</v>
      </c>
      <c r="R173" s="59" t="str">
        <f>IFERROR(INDEX(TableWRMaster[TM],MATCH(TableWRCalcPts[[#This Row],[WRRef]],TableWRMaster[WRRef],0)),"")</f>
        <v>WSH</v>
      </c>
      <c r="S173" s="59">
        <f>IFERROR(INDEX(TableWRMaster[BYE],MATCH(TableWRCalcPts[[#This Row],[WRRef]],TableWRMaster[WRRef],0)),"")</f>
        <v>14</v>
      </c>
      <c r="T173" s="60">
        <f>IFERROR(INDEX(TableWRMaster[Custom],MATCH(TableWRCalcPts[[#This Row],[WRRef]],TableWRMaster[WRRef],0)),"")</f>
        <v>71.775430096650027</v>
      </c>
      <c r="AI173" s="59" t="s">
        <v>208</v>
      </c>
      <c r="AJ173" s="59">
        <f>IFERROR(RANK(TableWRTECalcPts[[#This Row],[Custom]],TableWRTECalcPts[Custom])+COUNTIF($AP$3:AP173,AP173)-1,"")</f>
        <v>63</v>
      </c>
      <c r="AK173" s="105">
        <v>71</v>
      </c>
      <c r="AL173" s="105" t="str">
        <f>IFERROR(INDEX(TableWRMaster[Player],MATCH(TableWRTECalcPts[[#This Row],[POSRef]],TableWRMaster[WRRef],0)),"")</f>
        <v>Adonai Mitchell</v>
      </c>
      <c r="AM173" s="105" t="str">
        <f>IFERROR(_xlfn.CONCAT(TableWRTECalcPts[[#This Row],[POS]],INDEX(TableWRRanks[RK],MATCH(TableWRTECalcPts[[#This Row],[PLAYER]],TableWRRanks[Player],0))),"")</f>
        <v>WR54</v>
      </c>
      <c r="AN173" s="105" t="str">
        <f>IFERROR(INDEX(TableWRMaster[TM],MATCH(TableWRTECalcPts[[#This Row],[POSRef]],TableWRMaster[WRRef],0)),"")</f>
        <v>IND</v>
      </c>
      <c r="AO173" s="105">
        <f>IFERROR(INDEX(TableWRMaster[BYE],MATCH(TableWRTECalcPts[[#This Row],[POSRef]],TableWRMaster[WRRef],0)),"")</f>
        <v>14</v>
      </c>
      <c r="AP173" s="103">
        <f>IFERROR(INDEX(TableWRMaster[Custom],MATCH(TableWRTECalcPts[[#This Row],[POSRef]],TableWRMaster[WRRef],0)),"")</f>
        <v>151.99119359423997</v>
      </c>
    </row>
    <row r="174" spans="8:42" x14ac:dyDescent="0.25">
      <c r="H174" s="59" t="str">
        <f>IFERROR(RANK(TableRBCalcPts[[#This Row],[Custom]],TableRBCalcPts[Custom])+COUNTIF($M$3:M174,M174)-1,"")</f>
        <v/>
      </c>
      <c r="I174" s="59">
        <v>172</v>
      </c>
      <c r="J174" s="59" t="str">
        <f>IFERROR(INDEX(TableRBMaster[Player],MATCH(TableRBCalcPts[[#This Row],[RBRef]],TableRBMaster[RBRef],0)),"")</f>
        <v/>
      </c>
      <c r="K174" s="59" t="str">
        <f>IFERROR(INDEX(TableRBMaster[TM],MATCH(TableRBCalcPts[[#This Row],[RBRef]],TableRBMaster[RBRef],0)),"")</f>
        <v/>
      </c>
      <c r="L174" s="59" t="str">
        <f>IFERROR(INDEX(TableRBMaster[BYE],MATCH(TableRBCalcPts[[#This Row],[RBRef]],TableRBMaster[RBRef],0)),"")</f>
        <v/>
      </c>
      <c r="M174" s="60" t="str">
        <f>IFERROR(INDEX(TableRBMaster[Custom],MATCH(TableRBCalcPts[[#This Row],[RBRef]],TableRBMaster[RBRef],0)),"")</f>
        <v/>
      </c>
      <c r="O174" s="59">
        <f>IFERROR(RANK(TableWRCalcPts[[#This Row],[Custom]],TableWRCalcPts[Custom])+COUNTIF($T$3:T174,T174)-1,"")</f>
        <v>156</v>
      </c>
      <c r="P174" s="59">
        <v>172</v>
      </c>
      <c r="Q174" s="59" t="str">
        <f>IFERROR(INDEX(TableWRMaster[Player],MATCH(TableWRCalcPts[[#This Row],[WRRef]],TableWRMaster[WRRef],0)),"")</f>
        <v>Jamison Crowder</v>
      </c>
      <c r="R174" s="59" t="str">
        <f>IFERROR(INDEX(TableWRMaster[TM],MATCH(TableWRCalcPts[[#This Row],[WRRef]],TableWRMaster[WRRef],0)),"")</f>
        <v>WSH</v>
      </c>
      <c r="S174" s="59">
        <f>IFERROR(INDEX(TableWRMaster[BYE],MATCH(TableWRCalcPts[[#This Row],[WRRef]],TableWRMaster[WRRef],0)),"")</f>
        <v>14</v>
      </c>
      <c r="T174" s="60">
        <f>IFERROR(INDEX(TableWRMaster[Custom],MATCH(TableWRCalcPts[[#This Row],[WRRef]],TableWRMaster[WRRef],0)),"")</f>
        <v>13.927226789448</v>
      </c>
      <c r="AI174" s="59" t="s">
        <v>208</v>
      </c>
      <c r="AJ174" s="59">
        <f>IFERROR(RANK(TableWRTECalcPts[[#This Row],[Custom]],TableWRTECalcPts[Custom])+COUNTIF($AP$3:AP174,AP174)-1,"")</f>
        <v>82</v>
      </c>
      <c r="AK174" s="105">
        <v>72</v>
      </c>
      <c r="AL174" s="105" t="str">
        <f>IFERROR(INDEX(TableWRMaster[Player],MATCH(TableWRTECalcPts[[#This Row],[POSRef]],TableWRMaster[WRRef],0)),"")</f>
        <v>Josh Downs</v>
      </c>
      <c r="AM174" s="105" t="str">
        <f>IFERROR(_xlfn.CONCAT(TableWRTECalcPts[[#This Row],[POS]],INDEX(TableWRRanks[RK],MATCH(TableWRTECalcPts[[#This Row],[PLAYER]],TableWRRanks[Player],0))),"")</f>
        <v>WR69</v>
      </c>
      <c r="AN174" s="105" t="str">
        <f>IFERROR(INDEX(TableWRMaster[TM],MATCH(TableWRTECalcPts[[#This Row],[POSRef]],TableWRMaster[WRRef],0)),"")</f>
        <v>IND</v>
      </c>
      <c r="AO174" s="105">
        <f>IFERROR(INDEX(TableWRMaster[BYE],MATCH(TableWRTECalcPts[[#This Row],[POSRef]],TableWRMaster[WRRef],0)),"")</f>
        <v>14</v>
      </c>
      <c r="AP174" s="103">
        <f>IFERROR(INDEX(TableWRMaster[Custom],MATCH(TableWRTECalcPts[[#This Row],[POSRef]],TableWRMaster[WRRef],0)),"")</f>
        <v>118.20034773366744</v>
      </c>
    </row>
    <row r="175" spans="8:42" x14ac:dyDescent="0.25">
      <c r="H175" s="59" t="str">
        <f>IFERROR(RANK(TableRBCalcPts[[#This Row],[Custom]],TableRBCalcPts[Custom])+COUNTIF($M$3:M175,M175)-1,"")</f>
        <v/>
      </c>
      <c r="I175" s="59">
        <v>173</v>
      </c>
      <c r="J175" s="59" t="str">
        <f>IFERROR(INDEX(TableRBMaster[Player],MATCH(TableRBCalcPts[[#This Row],[RBRef]],TableRBMaster[RBRef],0)),"")</f>
        <v/>
      </c>
      <c r="K175" s="59" t="str">
        <f>IFERROR(INDEX(TableRBMaster[TM],MATCH(TableRBCalcPts[[#This Row],[RBRef]],TableRBMaster[RBRef],0)),"")</f>
        <v/>
      </c>
      <c r="L175" s="59" t="str">
        <f>IFERROR(INDEX(TableRBMaster[BYE],MATCH(TableRBCalcPts[[#This Row],[RBRef]],TableRBMaster[RBRef],0)),"")</f>
        <v/>
      </c>
      <c r="M175" s="60" t="str">
        <f>IFERROR(INDEX(TableRBMaster[Custom],MATCH(TableRBCalcPts[[#This Row],[RBRef]],TableRBMaster[RBRef],0)),"")</f>
        <v/>
      </c>
      <c r="O175" s="59">
        <f>IFERROR(RANK(TableWRCalcPts[[#This Row],[Custom]],TableWRCalcPts[Custom])+COUNTIF($T$3:T175,T175)-1,"")</f>
        <v>107</v>
      </c>
      <c r="P175" s="59">
        <v>173</v>
      </c>
      <c r="Q175" s="59" t="str">
        <f>IFERROR(INDEX(TableWRMaster[Player],MATCH(TableWRCalcPts[[#This Row],[WRRef]],TableWRMaster[WRRef],0)),"")</f>
        <v>Olamide Zaccheaus</v>
      </c>
      <c r="R175" s="59" t="str">
        <f>IFERROR(INDEX(TableWRMaster[TM],MATCH(TableWRCalcPts[[#This Row],[WRRef]],TableWRMaster[WRRef],0)),"")</f>
        <v>WSH</v>
      </c>
      <c r="S175" s="59">
        <f>IFERROR(INDEX(TableWRMaster[BYE],MATCH(TableWRCalcPts[[#This Row],[WRRef]],TableWRMaster[WRRef],0)),"")</f>
        <v>14</v>
      </c>
      <c r="T175" s="60">
        <f>IFERROR(INDEX(TableWRMaster[Custom],MATCH(TableWRCalcPts[[#This Row],[WRRef]],TableWRMaster[WRRef],0)),"")</f>
        <v>49.709316936787211</v>
      </c>
      <c r="AI175" s="59" t="s">
        <v>208</v>
      </c>
      <c r="AJ175" s="59">
        <f>IFERROR(RANK(TableWRTECalcPts[[#This Row],[Custom]],TableWRTECalcPts[Custom])+COUNTIF($AP$3:AP175,AP175)-1,"")</f>
        <v>176</v>
      </c>
      <c r="AK175" s="105">
        <v>73</v>
      </c>
      <c r="AL175" s="105" t="str">
        <f>IFERROR(INDEX(TableWRMaster[Player],MATCH(TableWRTECalcPts[[#This Row],[POSRef]],TableWRMaster[WRRef],0)),"")</f>
        <v>Anthony Gould</v>
      </c>
      <c r="AM175" s="105" t="str">
        <f>IFERROR(_xlfn.CONCAT(TableWRTECalcPts[[#This Row],[POS]],INDEX(TableWRRanks[RK],MATCH(TableWRTECalcPts[[#This Row],[PLAYER]],TableWRRanks[Player],0))),"")</f>
        <v>WR127</v>
      </c>
      <c r="AN175" s="105" t="str">
        <f>IFERROR(INDEX(TableWRMaster[TM],MATCH(TableWRTECalcPts[[#This Row],[POSRef]],TableWRMaster[WRRef],0)),"")</f>
        <v>IND</v>
      </c>
      <c r="AO175" s="105">
        <f>IFERROR(INDEX(TableWRMaster[BYE],MATCH(TableWRTECalcPts[[#This Row],[POSRef]],TableWRMaster[WRRef],0)),"")</f>
        <v>14</v>
      </c>
      <c r="AP175" s="103">
        <f>IFERROR(INDEX(TableWRMaster[Custom],MATCH(TableWRTECalcPts[[#This Row],[POSRef]],TableWRMaster[WRRef],0)),"")</f>
        <v>28.099560916257602</v>
      </c>
    </row>
    <row r="176" spans="8:42" x14ac:dyDescent="0.25">
      <c r="H176" s="59" t="str">
        <f>IFERROR(RANK(TableRBCalcPts[[#This Row],[Custom]],TableRBCalcPts[Custom])+COUNTIF($M$3:M176,M176)-1,"")</f>
        <v/>
      </c>
      <c r="I176" s="59">
        <v>174</v>
      </c>
      <c r="J176" s="59" t="str">
        <f>IFERROR(INDEX(TableRBMaster[Player],MATCH(TableRBCalcPts[[#This Row],[RBRef]],TableRBMaster[RBRef],0)),"")</f>
        <v/>
      </c>
      <c r="K176" s="59" t="str">
        <f>IFERROR(INDEX(TableRBMaster[TM],MATCH(TableRBCalcPts[[#This Row],[RBRef]],TableRBMaster[RBRef],0)),"")</f>
        <v/>
      </c>
      <c r="L176" s="59" t="str">
        <f>IFERROR(INDEX(TableRBMaster[BYE],MATCH(TableRBCalcPts[[#This Row],[RBRef]],TableRBMaster[RBRef],0)),"")</f>
        <v/>
      </c>
      <c r="M176" s="60" t="str">
        <f>IFERROR(INDEX(TableRBMaster[Custom],MATCH(TableRBCalcPts[[#This Row],[RBRef]],TableRBMaster[RBRef],0)),"")</f>
        <v/>
      </c>
      <c r="O176" s="59">
        <f>IFERROR(RANK(TableWRCalcPts[[#This Row],[Custom]],TableWRCalcPts[Custom])+COUNTIF($T$3:T176,T176)-1,"")</f>
        <v>84</v>
      </c>
      <c r="P176" s="59">
        <v>174</v>
      </c>
      <c r="Q176" s="59" t="str">
        <f>IFERROR(INDEX(TableWRMaster[Player],MATCH(TableWRCalcPts[[#This Row],[WRRef]],TableWRMaster[WRRef],0)),"")</f>
        <v>Dyami Brown</v>
      </c>
      <c r="R176" s="59" t="str">
        <f>IFERROR(INDEX(TableWRMaster[TM],MATCH(TableWRCalcPts[[#This Row],[WRRef]],TableWRMaster[WRRef],0)),"")</f>
        <v>WSH</v>
      </c>
      <c r="S176" s="59">
        <f>IFERROR(INDEX(TableWRMaster[BYE],MATCH(TableWRCalcPts[[#This Row],[WRRef]],TableWRMaster[WRRef],0)),"")</f>
        <v>14</v>
      </c>
      <c r="T176" s="60">
        <f>IFERROR(INDEX(TableWRMaster[Custom],MATCH(TableWRCalcPts[[#This Row],[WRRef]],TableWRMaster[WRRef],0)),"")</f>
        <v>99.25364432662559</v>
      </c>
      <c r="AI176" s="59" t="s">
        <v>208</v>
      </c>
      <c r="AJ176" s="59">
        <f>IFERROR(RANK(TableWRTECalcPts[[#This Row],[Custom]],TableWRTECalcPts[Custom])+COUNTIF($AP$3:AP176,AP176)-1,"")</f>
        <v>181</v>
      </c>
      <c r="AK176" s="105">
        <v>74</v>
      </c>
      <c r="AL176" s="105" t="str">
        <f>IFERROR(INDEX(TableWRMaster[Player],MATCH(TableWRTECalcPts[[#This Row],[POSRef]],TableWRMaster[WRRef],0)),"")</f>
        <v>Alec Pierce</v>
      </c>
      <c r="AM176" s="105" t="str">
        <f>IFERROR(_xlfn.CONCAT(TableWRTECalcPts[[#This Row],[POS]],INDEX(TableWRRanks[RK],MATCH(TableWRTECalcPts[[#This Row],[PLAYER]],TableWRRanks[Player],0))),"")</f>
        <v>WR130</v>
      </c>
      <c r="AN176" s="105" t="str">
        <f>IFERROR(INDEX(TableWRMaster[TM],MATCH(TableWRTECalcPts[[#This Row],[POSRef]],TableWRMaster[WRRef],0)),"")</f>
        <v>IND</v>
      </c>
      <c r="AO176" s="105">
        <f>IFERROR(INDEX(TableWRMaster[BYE],MATCH(TableWRTECalcPts[[#This Row],[POSRef]],TableWRMaster[WRRef],0)),"")</f>
        <v>14</v>
      </c>
      <c r="AP176" s="103">
        <f>IFERROR(INDEX(TableWRMaster[Custom],MATCH(TableWRTECalcPts[[#This Row],[POSRef]],TableWRMaster[WRRef],0)),"")</f>
        <v>25.049826099296304</v>
      </c>
    </row>
    <row r="177" spans="8:42" x14ac:dyDescent="0.25">
      <c r="H177" s="59" t="str">
        <f>IFERROR(RANK(TableRBCalcPts[[#This Row],[Custom]],TableRBCalcPts[Custom])+COUNTIF($M$3:M177,M177)-1,"")</f>
        <v/>
      </c>
      <c r="I177" s="59">
        <v>175</v>
      </c>
      <c r="J177" s="59" t="str">
        <f>IFERROR(INDEX(TableRBMaster[Player],MATCH(TableRBCalcPts[[#This Row],[RBRef]],TableRBMaster[RBRef],0)),"")</f>
        <v/>
      </c>
      <c r="K177" s="59" t="str">
        <f>IFERROR(INDEX(TableRBMaster[TM],MATCH(TableRBCalcPts[[#This Row],[RBRef]],TableRBMaster[RBRef],0)),"")</f>
        <v/>
      </c>
      <c r="L177" s="59" t="str">
        <f>IFERROR(INDEX(TableRBMaster[BYE],MATCH(TableRBCalcPts[[#This Row],[RBRef]],TableRBMaster[RBRef],0)),"")</f>
        <v/>
      </c>
      <c r="M177" s="60" t="str">
        <f>IFERROR(INDEX(TableRBMaster[Custom],MATCH(TableRBCalcPts[[#This Row],[RBRef]],TableRBMaster[RBRef],0)),"")</f>
        <v/>
      </c>
      <c r="O177" s="59">
        <f>IFERROR(RANK(TableWRCalcPts[[#This Row],[Custom]],TableWRCalcPts[Custom])+COUNTIF($T$3:T177,T177)-1,"")</f>
        <v>116</v>
      </c>
      <c r="P177" s="59">
        <v>175</v>
      </c>
      <c r="Q177" s="59" t="str">
        <f>IFERROR(INDEX(TableWRMaster[Player],MATCH(TableWRCalcPts[[#This Row],[WRRef]],TableWRMaster[WRRef],0)),"")</f>
        <v>Noah Brown</v>
      </c>
      <c r="R177" s="59" t="str">
        <f>IFERROR(INDEX(TableWRMaster[TM],MATCH(TableWRCalcPts[[#This Row],[WRRef]],TableWRMaster[WRRef],0)),"")</f>
        <v>WSH</v>
      </c>
      <c r="S177" s="59">
        <f>IFERROR(INDEX(TableWRMaster[BYE],MATCH(TableWRCalcPts[[#This Row],[WRRef]],TableWRMaster[WRRef],0)),"")</f>
        <v>14</v>
      </c>
      <c r="T177" s="60">
        <f>IFERROR(INDEX(TableWRMaster[Custom],MATCH(TableWRCalcPts[[#This Row],[WRRef]],TableWRMaster[WRRef],0)),"")</f>
        <v>38.679942155400006</v>
      </c>
      <c r="AI177" s="59" t="s">
        <v>208</v>
      </c>
      <c r="AJ177" s="59">
        <f>IFERROR(RANK(TableWRTECalcPts[[#This Row],[Custom]],TableWRTECalcPts[Custom])+COUNTIF($AP$3:AP177,AP177)-1,"")</f>
        <v>28</v>
      </c>
      <c r="AK177" s="105">
        <v>75</v>
      </c>
      <c r="AL177" s="105" t="str">
        <f>IFERROR(INDEX(TableWRMaster[Player],MATCH(TableWRTECalcPts[[#This Row],[POSRef]],TableWRMaster[WRRef],0)),"")</f>
        <v>Christian Kirk</v>
      </c>
      <c r="AM177" s="105" t="str">
        <f>IFERROR(_xlfn.CONCAT(TableWRTECalcPts[[#This Row],[POS]],INDEX(TableWRRanks[RK],MATCH(TableWRTECalcPts[[#This Row],[PLAYER]],TableWRRanks[Player],0))),"")</f>
        <v>WR27</v>
      </c>
      <c r="AN177" s="105" t="str">
        <f>IFERROR(INDEX(TableWRMaster[TM],MATCH(TableWRTECalcPts[[#This Row],[POSRef]],TableWRMaster[WRRef],0)),"")</f>
        <v>JAX</v>
      </c>
      <c r="AO177" s="105">
        <f>IFERROR(INDEX(TableWRMaster[BYE],MATCH(TableWRTECalcPts[[#This Row],[POSRef]],TableWRMaster[WRRef],0)),"")</f>
        <v>12</v>
      </c>
      <c r="AP177" s="103">
        <f>IFERROR(INDEX(TableWRMaster[Custom],MATCH(TableWRTECalcPts[[#This Row],[POSRef]],TableWRMaster[WRRef],0)),"")</f>
        <v>185.57758003995784</v>
      </c>
    </row>
    <row r="178" spans="8:42" x14ac:dyDescent="0.25">
      <c r="M178" s="60"/>
      <c r="O178" s="59" t="str">
        <f>IFERROR(RANK(TableWRCalcPts[[#This Row],[Custom]],TableWRCalcPts[Custom])+COUNTIF($T$3:T178,T178)-1,"")</f>
        <v/>
      </c>
      <c r="P178" s="59">
        <v>176</v>
      </c>
      <c r="Q178" s="59" t="str">
        <f>IFERROR(INDEX(TableWRMaster[Player],MATCH(TableWRCalcPts[[#This Row],[WRRef]],TableWRMaster[WRRef],0)),"")</f>
        <v/>
      </c>
      <c r="R178" s="59" t="str">
        <f>IFERROR(INDEX(TableWRMaster[TM],MATCH(TableWRCalcPts[[#This Row],[WRRef]],TableWRMaster[WRRef],0)),"")</f>
        <v/>
      </c>
      <c r="S178" s="59" t="str">
        <f>IFERROR(INDEX(TableWRMaster[BYE],MATCH(TableWRCalcPts[[#This Row],[WRRef]],TableWRMaster[WRRef],0)),"")</f>
        <v/>
      </c>
      <c r="T178" s="60" t="str">
        <f>IFERROR(INDEX(TableWRMaster[Custom],MATCH(TableWRCalcPts[[#This Row],[WRRef]],TableWRMaster[WRRef],0)),"")</f>
        <v/>
      </c>
      <c r="AI178" s="59" t="s">
        <v>208</v>
      </c>
      <c r="AJ178" s="59">
        <f>IFERROR(RANK(TableWRTECalcPts[[#This Row],[Custom]],TableWRTECalcPts[Custom])+COUNTIF($AP$3:AP178,AP178)-1,"")</f>
        <v>35</v>
      </c>
      <c r="AK178" s="105">
        <v>76</v>
      </c>
      <c r="AL178" s="105" t="str">
        <f>IFERROR(INDEX(TableWRMaster[Player],MATCH(TableWRTECalcPts[[#This Row],[POSRef]],TableWRMaster[WRRef],0)),"")</f>
        <v>Brian Thomas</v>
      </c>
      <c r="AM178" s="105" t="str">
        <f>IFERROR(_xlfn.CONCAT(TableWRTECalcPts[[#This Row],[POS]],INDEX(TableWRRanks[RK],MATCH(TableWRTECalcPts[[#This Row],[PLAYER]],TableWRRanks[Player],0))),"")</f>
        <v>WR32</v>
      </c>
      <c r="AN178" s="105" t="str">
        <f>IFERROR(INDEX(TableWRMaster[TM],MATCH(TableWRTECalcPts[[#This Row],[POSRef]],TableWRMaster[WRRef],0)),"")</f>
        <v>JAX</v>
      </c>
      <c r="AO178" s="105">
        <f>IFERROR(INDEX(TableWRMaster[BYE],MATCH(TableWRTECalcPts[[#This Row],[POSRef]],TableWRMaster[WRRef],0)),"")</f>
        <v>12</v>
      </c>
      <c r="AP178" s="103">
        <f>IFERROR(INDEX(TableWRMaster[Custom],MATCH(TableWRTECalcPts[[#This Row],[POSRef]],TableWRMaster[WRRef],0)),"")</f>
        <v>181.1515057352</v>
      </c>
    </row>
    <row r="179" spans="8:42" x14ac:dyDescent="0.25">
      <c r="M179" s="60"/>
      <c r="O179" s="59" t="str">
        <f>IFERROR(RANK(TableWRCalcPts[[#This Row],[Custom]],TableWRCalcPts[Custom])+COUNTIF($T$3:T179,T179)-1,"")</f>
        <v/>
      </c>
      <c r="P179" s="59">
        <v>177</v>
      </c>
      <c r="Q179" s="59" t="str">
        <f>IFERROR(INDEX(TableWRMaster[Player],MATCH(TableWRCalcPts[[#This Row],[WRRef]],TableWRMaster[WRRef],0)),"")</f>
        <v/>
      </c>
      <c r="R179" s="59" t="str">
        <f>IFERROR(INDEX(TableWRMaster[TM],MATCH(TableWRCalcPts[[#This Row],[WRRef]],TableWRMaster[WRRef],0)),"")</f>
        <v/>
      </c>
      <c r="S179" s="59" t="str">
        <f>IFERROR(INDEX(TableWRMaster[BYE],MATCH(TableWRCalcPts[[#This Row],[WRRef]],TableWRMaster[WRRef],0)),"")</f>
        <v/>
      </c>
      <c r="T179" s="60" t="str">
        <f>IFERROR(INDEX(TableWRMaster[Custom],MATCH(TableWRCalcPts[[#This Row],[WRRef]],TableWRMaster[WRRef],0)),"")</f>
        <v/>
      </c>
      <c r="AI179" s="59" t="s">
        <v>208</v>
      </c>
      <c r="AJ179" s="59">
        <f>IFERROR(RANK(TableWRTECalcPts[[#This Row],[Custom]],TableWRTECalcPts[Custom])+COUNTIF($AP$3:AP179,AP179)-1,"")</f>
        <v>73</v>
      </c>
      <c r="AK179" s="105">
        <v>77</v>
      </c>
      <c r="AL179" s="105" t="str">
        <f>IFERROR(INDEX(TableWRMaster[Player],MATCH(TableWRTECalcPts[[#This Row],[POSRef]],TableWRMaster[WRRef],0)),"")</f>
        <v>Gabe Davis</v>
      </c>
      <c r="AM179" s="105" t="str">
        <f>IFERROR(_xlfn.CONCAT(TableWRTECalcPts[[#This Row],[POS]],INDEX(TableWRRanks[RK],MATCH(TableWRTECalcPts[[#This Row],[PLAYER]],TableWRRanks[Player],0))),"")</f>
        <v>WR62</v>
      </c>
      <c r="AN179" s="105" t="str">
        <f>IFERROR(INDEX(TableWRMaster[TM],MATCH(TableWRTECalcPts[[#This Row],[POSRef]],TableWRMaster[WRRef],0)),"")</f>
        <v>JAX</v>
      </c>
      <c r="AO179" s="105">
        <f>IFERROR(INDEX(TableWRMaster[BYE],MATCH(TableWRTECalcPts[[#This Row],[POSRef]],TableWRMaster[WRRef],0)),"")</f>
        <v>12</v>
      </c>
      <c r="AP179" s="103">
        <f>IFERROR(INDEX(TableWRMaster[Custom],MATCH(TableWRTECalcPts[[#This Row],[POSRef]],TableWRMaster[WRRef],0)),"")</f>
        <v>132.40466047325438</v>
      </c>
    </row>
    <row r="180" spans="8:42" x14ac:dyDescent="0.25">
      <c r="M180" s="60"/>
      <c r="O180" s="59" t="str">
        <f>IFERROR(RANK(TableWRCalcPts[[#This Row],[Custom]],TableWRCalcPts[Custom])+COUNTIF($T$3:T180,T180)-1,"")</f>
        <v/>
      </c>
      <c r="P180" s="59">
        <v>178</v>
      </c>
      <c r="Q180" s="59" t="str">
        <f>IFERROR(INDEX(TableWRMaster[Player],MATCH(TableWRCalcPts[[#This Row],[WRRef]],TableWRMaster[WRRef],0)),"")</f>
        <v/>
      </c>
      <c r="R180" s="59" t="str">
        <f>IFERROR(INDEX(TableWRMaster[TM],MATCH(TableWRCalcPts[[#This Row],[WRRef]],TableWRMaster[WRRef],0)),"")</f>
        <v/>
      </c>
      <c r="S180" s="59" t="str">
        <f>IFERROR(INDEX(TableWRMaster[BYE],MATCH(TableWRCalcPts[[#This Row],[WRRef]],TableWRMaster[WRRef],0)),"")</f>
        <v/>
      </c>
      <c r="T180" s="60" t="str">
        <f>IFERROR(INDEX(TableWRMaster[Custom],MATCH(TableWRCalcPts[[#This Row],[WRRef]],TableWRMaster[WRRef],0)),"")</f>
        <v/>
      </c>
      <c r="AI180" s="59" t="s">
        <v>208</v>
      </c>
      <c r="AJ180" s="59">
        <f>IFERROR(RANK(TableWRTECalcPts[[#This Row],[Custom]],TableWRTECalcPts[Custom])+COUNTIF($AP$3:AP180,AP180)-1,"")</f>
        <v>191</v>
      </c>
      <c r="AK180" s="105">
        <v>78</v>
      </c>
      <c r="AL180" s="105" t="str">
        <f>IFERROR(INDEX(TableWRMaster[Player],MATCH(TableWRTECalcPts[[#This Row],[POSRef]],TableWRMaster[WRRef],0)),"")</f>
        <v>Parker Washington</v>
      </c>
      <c r="AM180" s="105" t="str">
        <f>IFERROR(_xlfn.CONCAT(TableWRTECalcPts[[#This Row],[POS]],INDEX(TableWRRanks[RK],MATCH(TableWRTECalcPts[[#This Row],[PLAYER]],TableWRRanks[Player],0))),"")</f>
        <v>WR136</v>
      </c>
      <c r="AN180" s="105" t="str">
        <f>IFERROR(INDEX(TableWRMaster[TM],MATCH(TableWRTECalcPts[[#This Row],[POSRef]],TableWRMaster[WRRef],0)),"")</f>
        <v>JAX</v>
      </c>
      <c r="AO180" s="105">
        <f>IFERROR(INDEX(TableWRMaster[BYE],MATCH(TableWRTECalcPts[[#This Row],[POSRef]],TableWRMaster[WRRef],0)),"")</f>
        <v>12</v>
      </c>
      <c r="AP180" s="103">
        <f>IFERROR(INDEX(TableWRMaster[Custom],MATCH(TableWRTECalcPts[[#This Row],[POSRef]],TableWRMaster[WRRef],0)),"")</f>
        <v>22.072144527232805</v>
      </c>
    </row>
    <row r="181" spans="8:42" x14ac:dyDescent="0.25">
      <c r="M181" s="60"/>
      <c r="O181" s="59" t="str">
        <f>IFERROR(RANK(TableWRCalcPts[[#This Row],[Custom]],TableWRCalcPts[Custom])+COUNTIF($T$3:T181,T181)-1,"")</f>
        <v/>
      </c>
      <c r="P181" s="59">
        <v>179</v>
      </c>
      <c r="Q181" s="59" t="str">
        <f>IFERROR(INDEX(TableWRMaster[Player],MATCH(TableWRCalcPts[[#This Row],[WRRef]],TableWRMaster[WRRef],0)),"")</f>
        <v/>
      </c>
      <c r="R181" s="59" t="str">
        <f>IFERROR(INDEX(TableWRMaster[TM],MATCH(TableWRCalcPts[[#This Row],[WRRef]],TableWRMaster[WRRef],0)),"")</f>
        <v/>
      </c>
      <c r="S181" s="59" t="str">
        <f>IFERROR(INDEX(TableWRMaster[BYE],MATCH(TableWRCalcPts[[#This Row],[WRRef]],TableWRMaster[WRRef],0)),"")</f>
        <v/>
      </c>
      <c r="T181" s="60" t="str">
        <f>IFERROR(INDEX(TableWRMaster[Custom],MATCH(TableWRCalcPts[[#This Row],[WRRef]],TableWRMaster[WRRef],0)),"")</f>
        <v/>
      </c>
      <c r="AI181" s="59" t="s">
        <v>208</v>
      </c>
      <c r="AJ181" s="59">
        <f>IFERROR(RANK(TableWRTECalcPts[[#This Row],[Custom]],TableWRTECalcPts[Custom])+COUNTIF($AP$3:AP181,AP181)-1,"")</f>
        <v>222</v>
      </c>
      <c r="AK181" s="105">
        <v>79</v>
      </c>
      <c r="AL181" s="105" t="str">
        <f>IFERROR(INDEX(TableWRMaster[Player],MATCH(TableWRTECalcPts[[#This Row],[POSRef]],TableWRMaster[WRRef],0)),"")</f>
        <v>Tim Jones</v>
      </c>
      <c r="AM181" s="105" t="str">
        <f>IFERROR(_xlfn.CONCAT(TableWRTECalcPts[[#This Row],[POS]],INDEX(TableWRRanks[RK],MATCH(TableWRTECalcPts[[#This Row],[PLAYER]],TableWRRanks[Player],0))),"")</f>
        <v>WR157</v>
      </c>
      <c r="AN181" s="105" t="str">
        <f>IFERROR(INDEX(TableWRMaster[TM],MATCH(TableWRTECalcPts[[#This Row],[POSRef]],TableWRMaster[WRRef],0)),"")</f>
        <v>JAX</v>
      </c>
      <c r="AO181" s="105">
        <f>IFERROR(INDEX(TableWRMaster[BYE],MATCH(TableWRTECalcPts[[#This Row],[POSRef]],TableWRMaster[WRRef],0)),"")</f>
        <v>12</v>
      </c>
      <c r="AP181" s="103">
        <f>IFERROR(INDEX(TableWRMaster[Custom],MATCH(TableWRTECalcPts[[#This Row],[POSRef]],TableWRMaster[WRRef],0)),"")</f>
        <v>13.451518795651641</v>
      </c>
    </row>
    <row r="182" spans="8:42" x14ac:dyDescent="0.25">
      <c r="M182" s="60"/>
      <c r="O182" s="59" t="str">
        <f>IFERROR(RANK(TableWRCalcPts[[#This Row],[Custom]],TableWRCalcPts[Custom])+COUNTIF($T$3:T182,T182)-1,"")</f>
        <v/>
      </c>
      <c r="P182" s="59">
        <v>180</v>
      </c>
      <c r="Q182" s="59" t="str">
        <f>IFERROR(INDEX(TableWRMaster[Player],MATCH(TableWRCalcPts[[#This Row],[WRRef]],TableWRMaster[WRRef],0)),"")</f>
        <v/>
      </c>
      <c r="R182" s="59" t="str">
        <f>IFERROR(INDEX(TableWRMaster[TM],MATCH(TableWRCalcPts[[#This Row],[WRRef]],TableWRMaster[WRRef],0)),"")</f>
        <v/>
      </c>
      <c r="S182" s="59" t="str">
        <f>IFERROR(INDEX(TableWRMaster[BYE],MATCH(TableWRCalcPts[[#This Row],[WRRef]],TableWRMaster[WRRef],0)),"")</f>
        <v/>
      </c>
      <c r="T182" s="60" t="str">
        <f>IFERROR(INDEX(TableWRMaster[Custom],MATCH(TableWRCalcPts[[#This Row],[WRRef]],TableWRMaster[WRRef],0)),"")</f>
        <v/>
      </c>
      <c r="AI182" s="59" t="s">
        <v>208</v>
      </c>
      <c r="AJ182" s="59">
        <f>IFERROR(RANK(TableWRTECalcPts[[#This Row],[Custom]],TableWRTECalcPts[Custom])+COUNTIF($AP$3:AP182,AP182)-1,"")</f>
        <v>251</v>
      </c>
      <c r="AK182" s="105">
        <v>80</v>
      </c>
      <c r="AL182" s="105" t="str">
        <f>IFERROR(INDEX(TableWRMaster[Player],MATCH(TableWRTECalcPts[[#This Row],[POSRef]],TableWRMaster[WRRef],0)),"")</f>
        <v>Devin Duvernay</v>
      </c>
      <c r="AM182" s="105" t="str">
        <f>IFERROR(_xlfn.CONCAT(TableWRTECalcPts[[#This Row],[POS]],INDEX(TableWRRanks[RK],MATCH(TableWRTECalcPts[[#This Row],[PLAYER]],TableWRRanks[Player],0))),"")</f>
        <v>WR172</v>
      </c>
      <c r="AN182" s="105" t="str">
        <f>IFERROR(INDEX(TableWRMaster[TM],MATCH(TableWRTECalcPts[[#This Row],[POSRef]],TableWRMaster[WRRef],0)),"")</f>
        <v>JAX</v>
      </c>
      <c r="AO182" s="105">
        <f>IFERROR(INDEX(TableWRMaster[BYE],MATCH(TableWRTECalcPts[[#This Row],[POSRef]],TableWRMaster[WRRef],0)),"")</f>
        <v>12</v>
      </c>
      <c r="AP182" s="103">
        <f>IFERROR(INDEX(TableWRMaster[Custom],MATCH(TableWRTECalcPts[[#This Row],[POSRef]],TableWRMaster[WRRef],0)),"")</f>
        <v>7.2324387178669536</v>
      </c>
    </row>
    <row r="183" spans="8:42" x14ac:dyDescent="0.25">
      <c r="M183" s="60"/>
      <c r="O183" s="59" t="str">
        <f>IFERROR(RANK(TableWRCalcPts[[#This Row],[Custom]],TableWRCalcPts[Custom])+COUNTIF($T$3:T183,T183)-1,"")</f>
        <v/>
      </c>
      <c r="P183" s="59">
        <v>181</v>
      </c>
      <c r="Q183" s="59" t="str">
        <f>IFERROR(INDEX(TableWRMaster[Player],MATCH(TableWRCalcPts[[#This Row],[WRRef]],TableWRMaster[WRRef],0)),"")</f>
        <v/>
      </c>
      <c r="R183" s="59" t="str">
        <f>IFERROR(INDEX(TableWRMaster[TM],MATCH(TableWRCalcPts[[#This Row],[WRRef]],TableWRMaster[WRRef],0)),"")</f>
        <v/>
      </c>
      <c r="S183" s="59" t="str">
        <f>IFERROR(INDEX(TableWRMaster[BYE],MATCH(TableWRCalcPts[[#This Row],[WRRef]],TableWRMaster[WRRef],0)),"")</f>
        <v/>
      </c>
      <c r="T183" s="60" t="str">
        <f>IFERROR(INDEX(TableWRMaster[Custom],MATCH(TableWRCalcPts[[#This Row],[WRRef]],TableWRMaster[WRRef],0)),"")</f>
        <v/>
      </c>
      <c r="AI183" s="59" t="s">
        <v>208</v>
      </c>
      <c r="AJ183" s="59">
        <f>IFERROR(RANK(TableWRTECalcPts[[#This Row],[Custom]],TableWRTECalcPts[Custom])+COUNTIF($AP$3:AP183,AP183)-1,"")</f>
        <v>45</v>
      </c>
      <c r="AK183" s="105">
        <v>81</v>
      </c>
      <c r="AL183" s="105" t="str">
        <f>IFERROR(INDEX(TableWRMaster[Player],MATCH(TableWRTECalcPts[[#This Row],[POSRef]],TableWRMaster[WRRef],0)),"")</f>
        <v>Marquise Brown</v>
      </c>
      <c r="AM183" s="105" t="str">
        <f>IFERROR(_xlfn.CONCAT(TableWRTECalcPts[[#This Row],[POS]],INDEX(TableWRRanks[RK],MATCH(TableWRTECalcPts[[#This Row],[PLAYER]],TableWRRanks[Player],0))),"")</f>
        <v>WR40</v>
      </c>
      <c r="AN183" s="105" t="str">
        <f>IFERROR(INDEX(TableWRMaster[TM],MATCH(TableWRTECalcPts[[#This Row],[POSRef]],TableWRMaster[WRRef],0)),"")</f>
        <v>KC</v>
      </c>
      <c r="AO183" s="105">
        <f>IFERROR(INDEX(TableWRMaster[BYE],MATCH(TableWRTECalcPts[[#This Row],[POSRef]],TableWRMaster[WRRef],0)),"")</f>
        <v>6</v>
      </c>
      <c r="AP183" s="103">
        <f>IFERROR(INDEX(TableWRMaster[Custom],MATCH(TableWRTECalcPts[[#This Row],[POSRef]],TableWRMaster[WRRef],0)),"")</f>
        <v>169.58278297902092</v>
      </c>
    </row>
    <row r="184" spans="8:42" x14ac:dyDescent="0.25">
      <c r="M184" s="60"/>
      <c r="O184" s="59" t="str">
        <f>IFERROR(RANK(TableWRCalcPts[[#This Row],[Custom]],TableWRCalcPts[Custom])+COUNTIF($T$3:T184,T184)-1,"")</f>
        <v/>
      </c>
      <c r="P184" s="59">
        <v>182</v>
      </c>
      <c r="Q184" s="59" t="str">
        <f>IFERROR(INDEX(TableWRMaster[Player],MATCH(TableWRCalcPts[[#This Row],[WRRef]],TableWRMaster[WRRef],0)),"")</f>
        <v/>
      </c>
      <c r="R184" s="59" t="str">
        <f>IFERROR(INDEX(TableWRMaster[TM],MATCH(TableWRCalcPts[[#This Row],[WRRef]],TableWRMaster[WRRef],0)),"")</f>
        <v/>
      </c>
      <c r="S184" s="59" t="str">
        <f>IFERROR(INDEX(TableWRMaster[BYE],MATCH(TableWRCalcPts[[#This Row],[WRRef]],TableWRMaster[WRRef],0)),"")</f>
        <v/>
      </c>
      <c r="T184" s="60" t="str">
        <f>IFERROR(INDEX(TableWRMaster[Custom],MATCH(TableWRCalcPts[[#This Row],[WRRef]],TableWRMaster[WRRef],0)),"")</f>
        <v/>
      </c>
      <c r="AI184" s="59" t="s">
        <v>208</v>
      </c>
      <c r="AJ184" s="59">
        <f>IFERROR(RANK(TableWRTECalcPts[[#This Row],[Custom]],TableWRTECalcPts[Custom])+COUNTIF($AP$3:AP184,AP184)-1,"")</f>
        <v>12</v>
      </c>
      <c r="AK184" s="105">
        <v>82</v>
      </c>
      <c r="AL184" s="105" t="str">
        <f>IFERROR(INDEX(TableWRMaster[Player],MATCH(TableWRTECalcPts[[#This Row],[POSRef]],TableWRMaster[WRRef],0)),"")</f>
        <v>Rashee Rice</v>
      </c>
      <c r="AM184" s="105" t="str">
        <f>IFERROR(_xlfn.CONCAT(TableWRTECalcPts[[#This Row],[POS]],INDEX(TableWRRanks[RK],MATCH(TableWRTECalcPts[[#This Row],[PLAYER]],TableWRRanks[Player],0))),"")</f>
        <v>WR12</v>
      </c>
      <c r="AN184" s="105" t="str">
        <f>IFERROR(INDEX(TableWRMaster[TM],MATCH(TableWRTECalcPts[[#This Row],[POSRef]],TableWRMaster[WRRef],0)),"")</f>
        <v>KC</v>
      </c>
      <c r="AO184" s="105">
        <f>IFERROR(INDEX(TableWRMaster[BYE],MATCH(TableWRTECalcPts[[#This Row],[POSRef]],TableWRMaster[WRRef],0)),"")</f>
        <v>6</v>
      </c>
      <c r="AP184" s="103">
        <f>IFERROR(INDEX(TableWRMaster[Custom],MATCH(TableWRTECalcPts[[#This Row],[POSRef]],TableWRMaster[WRRef],0)),"")</f>
        <v>205.3788457910936</v>
      </c>
    </row>
    <row r="185" spans="8:42" x14ac:dyDescent="0.25">
      <c r="M185" s="60"/>
      <c r="O185" s="59" t="str">
        <f>IFERROR(RANK(TableWRCalcPts[[#This Row],[Custom]],TableWRCalcPts[Custom])+COUNTIF($T$3:T185,T185)-1,"")</f>
        <v/>
      </c>
      <c r="P185" s="59">
        <v>183</v>
      </c>
      <c r="Q185" s="59" t="str">
        <f>IFERROR(INDEX(TableWRMaster[Player],MATCH(TableWRCalcPts[[#This Row],[WRRef]],TableWRMaster[WRRef],0)),"")</f>
        <v/>
      </c>
      <c r="R185" s="59" t="str">
        <f>IFERROR(INDEX(TableWRMaster[TM],MATCH(TableWRCalcPts[[#This Row],[WRRef]],TableWRMaster[WRRef],0)),"")</f>
        <v/>
      </c>
      <c r="S185" s="59" t="str">
        <f>IFERROR(INDEX(TableWRMaster[BYE],MATCH(TableWRCalcPts[[#This Row],[WRRef]],TableWRMaster[WRRef],0)),"")</f>
        <v/>
      </c>
      <c r="T185" s="60" t="str">
        <f>IFERROR(INDEX(TableWRMaster[Custom],MATCH(TableWRCalcPts[[#This Row],[WRRef]],TableWRMaster[WRRef],0)),"")</f>
        <v/>
      </c>
      <c r="AI185" s="59" t="s">
        <v>208</v>
      </c>
      <c r="AJ185" s="59">
        <f>IFERROR(RANK(TableWRTECalcPts[[#This Row],[Custom]],TableWRTECalcPts[Custom])+COUNTIF($AP$3:AP185,AP185)-1,"")</f>
        <v>51</v>
      </c>
      <c r="AK185" s="105">
        <v>83</v>
      </c>
      <c r="AL185" s="105" t="str">
        <f>IFERROR(INDEX(TableWRMaster[Player],MATCH(TableWRTECalcPts[[#This Row],[POSRef]],TableWRMaster[WRRef],0)),"")</f>
        <v>Xavier Worthy</v>
      </c>
      <c r="AM185" s="105" t="str">
        <f>IFERROR(_xlfn.CONCAT(TableWRTECalcPts[[#This Row],[POS]],INDEX(TableWRRanks[RK],MATCH(TableWRTECalcPts[[#This Row],[PLAYER]],TableWRRanks[Player],0))),"")</f>
        <v>WR45</v>
      </c>
      <c r="AN185" s="105" t="str">
        <f>IFERROR(INDEX(TableWRMaster[TM],MATCH(TableWRTECalcPts[[#This Row],[POSRef]],TableWRMaster[WRRef],0)),"")</f>
        <v>KC</v>
      </c>
      <c r="AO185" s="105">
        <f>IFERROR(INDEX(TableWRMaster[BYE],MATCH(TableWRTECalcPts[[#This Row],[POSRef]],TableWRMaster[WRRef],0)),"")</f>
        <v>6</v>
      </c>
      <c r="AP185" s="103">
        <f>IFERROR(INDEX(TableWRMaster[Custom],MATCH(TableWRTECalcPts[[#This Row],[POSRef]],TableWRMaster[WRRef],0)),"")</f>
        <v>163.43310093245475</v>
      </c>
    </row>
    <row r="186" spans="8:42" x14ac:dyDescent="0.25">
      <c r="M186" s="60"/>
      <c r="O186" s="59" t="str">
        <f>IFERROR(RANK(TableWRCalcPts[[#This Row],[Custom]],TableWRCalcPts[Custom])+COUNTIF($T$3:T186,T186)-1,"")</f>
        <v/>
      </c>
      <c r="P186" s="59">
        <v>184</v>
      </c>
      <c r="Q186" s="59" t="str">
        <f>IFERROR(INDEX(TableWRMaster[Player],MATCH(TableWRCalcPts[[#This Row],[WRRef]],TableWRMaster[WRRef],0)),"")</f>
        <v/>
      </c>
      <c r="R186" s="59" t="str">
        <f>IFERROR(INDEX(TableWRMaster[TM],MATCH(TableWRCalcPts[[#This Row],[WRRef]],TableWRMaster[WRRef],0)),"")</f>
        <v/>
      </c>
      <c r="S186" s="59" t="str">
        <f>IFERROR(INDEX(TableWRMaster[BYE],MATCH(TableWRCalcPts[[#This Row],[WRRef]],TableWRMaster[WRRef],0)),"")</f>
        <v/>
      </c>
      <c r="T186" s="60" t="str">
        <f>IFERROR(INDEX(TableWRMaster[Custom],MATCH(TableWRCalcPts[[#This Row],[WRRef]],TableWRMaster[WRRef],0)),"")</f>
        <v/>
      </c>
      <c r="AI186" s="59" t="s">
        <v>208</v>
      </c>
      <c r="AJ186" s="59">
        <f>IFERROR(RANK(TableWRTECalcPts[[#This Row],[Custom]],TableWRTECalcPts[Custom])+COUNTIF($AP$3:AP186,AP186)-1,"")</f>
        <v>168</v>
      </c>
      <c r="AK186" s="105">
        <v>84</v>
      </c>
      <c r="AL186" s="105" t="str">
        <f>IFERROR(INDEX(TableWRMaster[Player],MATCH(TableWRTECalcPts[[#This Row],[POSRef]],TableWRMaster[WRRef],0)),"")</f>
        <v>JuJu Smith-Schuster</v>
      </c>
      <c r="AM186" s="105" t="str">
        <f>IFERROR(_xlfn.CONCAT(TableWRTECalcPts[[#This Row],[POS]],INDEX(TableWRRanks[RK],MATCH(TableWRTECalcPts[[#This Row],[PLAYER]],TableWRRanks[Player],0))),"")</f>
        <v>WR120</v>
      </c>
      <c r="AN186" s="105" t="str">
        <f>IFERROR(INDEX(TableWRMaster[TM],MATCH(TableWRTECalcPts[[#This Row],[POSRef]],TableWRMaster[WRRef],0)),"")</f>
        <v>KC</v>
      </c>
      <c r="AO186" s="105">
        <f>IFERROR(INDEX(TableWRMaster[BYE],MATCH(TableWRTECalcPts[[#This Row],[POSRef]],TableWRMaster[WRRef],0)),"")</f>
        <v>6</v>
      </c>
      <c r="AP186" s="103">
        <f>IFERROR(INDEX(TableWRMaster[Custom],MATCH(TableWRTECalcPts[[#This Row],[POSRef]],TableWRMaster[WRRef],0)),"")</f>
        <v>32.587761034751999</v>
      </c>
    </row>
    <row r="187" spans="8:42" x14ac:dyDescent="0.25">
      <c r="M187" s="60"/>
      <c r="O187" s="59" t="str">
        <f>IFERROR(RANK(TableWRCalcPts[[#This Row],[Custom]],TableWRCalcPts[Custom])+COUNTIF($T$3:T187,T187)-1,"")</f>
        <v/>
      </c>
      <c r="P187" s="59">
        <v>185</v>
      </c>
      <c r="Q187" s="59" t="str">
        <f>IFERROR(INDEX(TableWRMaster[Player],MATCH(TableWRCalcPts[[#This Row],[WRRef]],TableWRMaster[WRRef],0)),"")</f>
        <v/>
      </c>
      <c r="R187" s="59" t="str">
        <f>IFERROR(INDEX(TableWRMaster[TM],MATCH(TableWRCalcPts[[#This Row],[WRRef]],TableWRMaster[WRRef],0)),"")</f>
        <v/>
      </c>
      <c r="S187" s="59" t="str">
        <f>IFERROR(INDEX(TableWRMaster[BYE],MATCH(TableWRCalcPts[[#This Row],[WRRef]],TableWRMaster[WRRef],0)),"")</f>
        <v/>
      </c>
      <c r="T187" s="60" t="str">
        <f>IFERROR(INDEX(TableWRMaster[Custom],MATCH(TableWRCalcPts[[#This Row],[WRRef]],TableWRMaster[WRRef],0)),"")</f>
        <v/>
      </c>
      <c r="AI187" s="59" t="s">
        <v>208</v>
      </c>
      <c r="AJ187" s="59">
        <f>IFERROR(RANK(TableWRTECalcPts[[#This Row],[Custom]],TableWRTECalcPts[Custom])+COUNTIF($AP$3:AP187,AP187)-1,"")</f>
        <v>182</v>
      </c>
      <c r="AK187" s="105">
        <v>85</v>
      </c>
      <c r="AL187" s="105" t="str">
        <f>IFERROR(INDEX(TableWRMaster[Player],MATCH(TableWRTECalcPts[[#This Row],[POSRef]],TableWRMaster[WRRef],0)),"")</f>
        <v>Justin Watson</v>
      </c>
      <c r="AM187" s="105" t="str">
        <f>IFERROR(_xlfn.CONCAT(TableWRTECalcPts[[#This Row],[POS]],INDEX(TableWRRanks[RK],MATCH(TableWRTECalcPts[[#This Row],[PLAYER]],TableWRRanks[Player],0))),"")</f>
        <v>WR131</v>
      </c>
      <c r="AN187" s="105" t="str">
        <f>IFERROR(INDEX(TableWRMaster[TM],MATCH(TableWRTECalcPts[[#This Row],[POSRef]],TableWRMaster[WRRef],0)),"")</f>
        <v>KC</v>
      </c>
      <c r="AO187" s="105">
        <f>IFERROR(INDEX(TableWRMaster[BYE],MATCH(TableWRTECalcPts[[#This Row],[POSRef]],TableWRMaster[WRRef],0)),"")</f>
        <v>6</v>
      </c>
      <c r="AP187" s="103">
        <f>IFERROR(INDEX(TableWRMaster[Custom],MATCH(TableWRTECalcPts[[#This Row],[POSRef]],TableWRMaster[WRRef],0)),"")</f>
        <v>24.945080751359992</v>
      </c>
    </row>
    <row r="188" spans="8:42" x14ac:dyDescent="0.25">
      <c r="M188" s="60"/>
      <c r="O188" s="59" t="str">
        <f>IFERROR(RANK(TableWRCalcPts[[#This Row],[Custom]],TableWRCalcPts[Custom])+COUNTIF($T$3:T188,T188)-1,"")</f>
        <v/>
      </c>
      <c r="P188" s="59">
        <v>186</v>
      </c>
      <c r="Q188" s="59" t="str">
        <f>IFERROR(INDEX(TableWRMaster[Player],MATCH(TableWRCalcPts[[#This Row],[WRRef]],TableWRMaster[WRRef],0)),"")</f>
        <v/>
      </c>
      <c r="R188" s="59" t="str">
        <f>IFERROR(INDEX(TableWRMaster[TM],MATCH(TableWRCalcPts[[#This Row],[WRRef]],TableWRMaster[WRRef],0)),"")</f>
        <v/>
      </c>
      <c r="S188" s="59" t="str">
        <f>IFERROR(INDEX(TableWRMaster[BYE],MATCH(TableWRCalcPts[[#This Row],[WRRef]],TableWRMaster[WRRef],0)),"")</f>
        <v/>
      </c>
      <c r="T188" s="60" t="str">
        <f>IFERROR(INDEX(TableWRMaster[Custom],MATCH(TableWRCalcPts[[#This Row],[WRRef]],TableWRMaster[WRRef],0)),"")</f>
        <v/>
      </c>
      <c r="AI188" s="59" t="s">
        <v>208</v>
      </c>
      <c r="AJ188" s="59">
        <f>IFERROR(RANK(TableWRTECalcPts[[#This Row],[Custom]],TableWRTECalcPts[Custom])+COUNTIF($AP$3:AP188,AP188)-1,"")</f>
        <v>198</v>
      </c>
      <c r="AK188" s="105">
        <v>86</v>
      </c>
      <c r="AL188" s="105" t="str">
        <f>IFERROR(INDEX(TableWRMaster[Player],MATCH(TableWRTECalcPts[[#This Row],[POSRef]],TableWRMaster[WRRef],0)),"")</f>
        <v>Skyy Moore</v>
      </c>
      <c r="AM188" s="105" t="str">
        <f>IFERROR(_xlfn.CONCAT(TableWRTECalcPts[[#This Row],[POS]],INDEX(TableWRRanks[RK],MATCH(TableWRTECalcPts[[#This Row],[PLAYER]],TableWRRanks[Player],0))),"")</f>
        <v>WR140</v>
      </c>
      <c r="AN188" s="105" t="str">
        <f>IFERROR(INDEX(TableWRMaster[TM],MATCH(TableWRTECalcPts[[#This Row],[POSRef]],TableWRMaster[WRRef],0)),"")</f>
        <v>KC</v>
      </c>
      <c r="AO188" s="105">
        <f>IFERROR(INDEX(TableWRMaster[BYE],MATCH(TableWRTECalcPts[[#This Row],[POSRef]],TableWRMaster[WRRef],0)),"")</f>
        <v>6</v>
      </c>
      <c r="AP188" s="103">
        <f>IFERROR(INDEX(TableWRMaster[Custom],MATCH(TableWRTECalcPts[[#This Row],[POSRef]],TableWRMaster[WRRef],0)),"")</f>
        <v>19.594242808998718</v>
      </c>
    </row>
    <row r="189" spans="8:42" x14ac:dyDescent="0.25">
      <c r="M189" s="60"/>
      <c r="O189" s="59" t="str">
        <f>IFERROR(RANK(TableWRCalcPts[[#This Row],[Custom]],TableWRCalcPts[Custom])+COUNTIF($T$3:T189,T189)-1,"")</f>
        <v/>
      </c>
      <c r="P189" s="59">
        <v>187</v>
      </c>
      <c r="Q189" s="59" t="str">
        <f>IFERROR(INDEX(TableWRMaster[Player],MATCH(TableWRCalcPts[[#This Row],[WRRef]],TableWRMaster[WRRef],0)),"")</f>
        <v/>
      </c>
      <c r="R189" s="59" t="str">
        <f>IFERROR(INDEX(TableWRMaster[TM],MATCH(TableWRCalcPts[[#This Row],[WRRef]],TableWRMaster[WRRef],0)),"")</f>
        <v/>
      </c>
      <c r="S189" s="59" t="str">
        <f>IFERROR(INDEX(TableWRMaster[BYE],MATCH(TableWRCalcPts[[#This Row],[WRRef]],TableWRMaster[WRRef],0)),"")</f>
        <v/>
      </c>
      <c r="T189" s="60" t="str">
        <f>IFERROR(INDEX(TableWRMaster[Custom],MATCH(TableWRCalcPts[[#This Row],[WRRef]],TableWRMaster[WRRef],0)),"")</f>
        <v/>
      </c>
      <c r="AI189" s="59" t="s">
        <v>208</v>
      </c>
      <c r="AJ189" s="59">
        <f>IFERROR(RANK(TableWRTECalcPts[[#This Row],[Custom]],TableWRTECalcPts[Custom])+COUNTIF($AP$3:AP189,AP189)-1,"")</f>
        <v>41</v>
      </c>
      <c r="AK189" s="105">
        <v>87</v>
      </c>
      <c r="AL189" s="105" t="str">
        <f>IFERROR(INDEX(TableWRMaster[Player],MATCH(TableWRTECalcPts[[#This Row],[POSRef]],TableWRMaster[WRRef],0)),"")</f>
        <v>Joshua Palmer</v>
      </c>
      <c r="AM189" s="105" t="str">
        <f>IFERROR(_xlfn.CONCAT(TableWRTECalcPts[[#This Row],[POS]],INDEX(TableWRRanks[RK],MATCH(TableWRTECalcPts[[#This Row],[PLAYER]],TableWRRanks[Player],0))),"")</f>
        <v>WR37</v>
      </c>
      <c r="AN189" s="105" t="str">
        <f>IFERROR(INDEX(TableWRMaster[TM],MATCH(TableWRTECalcPts[[#This Row],[POSRef]],TableWRMaster[WRRef],0)),"")</f>
        <v>LAC</v>
      </c>
      <c r="AO189" s="105">
        <f>IFERROR(INDEX(TableWRMaster[BYE],MATCH(TableWRTECalcPts[[#This Row],[POSRef]],TableWRMaster[WRRef],0)),"")</f>
        <v>5</v>
      </c>
      <c r="AP189" s="103">
        <f>IFERROR(INDEX(TableWRMaster[Custom],MATCH(TableWRTECalcPts[[#This Row],[POSRef]],TableWRMaster[WRRef],0)),"")</f>
        <v>172.74939155380375</v>
      </c>
    </row>
    <row r="190" spans="8:42" x14ac:dyDescent="0.25">
      <c r="M190" s="60"/>
      <c r="O190" s="59" t="str">
        <f>IFERROR(RANK(TableWRCalcPts[[#This Row],[Custom]],TableWRCalcPts[Custom])+COUNTIF($T$3:T190,T190)-1,"")</f>
        <v/>
      </c>
      <c r="P190" s="59">
        <v>188</v>
      </c>
      <c r="Q190" s="59" t="str">
        <f>IFERROR(INDEX(TableWRMaster[Player],MATCH(TableWRCalcPts[[#This Row],[WRRef]],TableWRMaster[WRRef],0)),"")</f>
        <v/>
      </c>
      <c r="R190" s="59" t="str">
        <f>IFERROR(INDEX(TableWRMaster[TM],MATCH(TableWRCalcPts[[#This Row],[WRRef]],TableWRMaster[WRRef],0)),"")</f>
        <v/>
      </c>
      <c r="S190" s="59" t="str">
        <f>IFERROR(INDEX(TableWRMaster[BYE],MATCH(TableWRCalcPts[[#This Row],[WRRef]],TableWRMaster[WRRef],0)),"")</f>
        <v/>
      </c>
      <c r="T190" s="60" t="str">
        <f>IFERROR(INDEX(TableWRMaster[Custom],MATCH(TableWRCalcPts[[#This Row],[WRRef]],TableWRMaster[WRRef],0)),"")</f>
        <v/>
      </c>
      <c r="AI190" s="59" t="s">
        <v>208</v>
      </c>
      <c r="AJ190" s="59">
        <f>IFERROR(RANK(TableWRTECalcPts[[#This Row],[Custom]],TableWRTECalcPts[Custom])+COUNTIF($AP$3:AP190,AP190)-1,"")</f>
        <v>52</v>
      </c>
      <c r="AK190" s="105">
        <v>88</v>
      </c>
      <c r="AL190" s="105" t="str">
        <f>IFERROR(INDEX(TableWRMaster[Player],MATCH(TableWRTECalcPts[[#This Row],[POSRef]],TableWRMaster[WRRef],0)),"")</f>
        <v>Ladd McConkey</v>
      </c>
      <c r="AM190" s="105" t="str">
        <f>IFERROR(_xlfn.CONCAT(TableWRTECalcPts[[#This Row],[POS]],INDEX(TableWRRanks[RK],MATCH(TableWRTECalcPts[[#This Row],[PLAYER]],TableWRRanks[Player],0))),"")</f>
        <v>WR46</v>
      </c>
      <c r="AN190" s="105" t="str">
        <f>IFERROR(INDEX(TableWRMaster[TM],MATCH(TableWRTECalcPts[[#This Row],[POSRef]],TableWRMaster[WRRef],0)),"")</f>
        <v>LAC</v>
      </c>
      <c r="AO190" s="105">
        <f>IFERROR(INDEX(TableWRMaster[BYE],MATCH(TableWRTECalcPts[[#This Row],[POSRef]],TableWRMaster[WRRef],0)),"")</f>
        <v>5</v>
      </c>
      <c r="AP190" s="103">
        <f>IFERROR(INDEX(TableWRMaster[Custom],MATCH(TableWRTECalcPts[[#This Row],[POSRef]],TableWRMaster[WRRef],0)),"")</f>
        <v>163.29882840022213</v>
      </c>
    </row>
    <row r="191" spans="8:42" x14ac:dyDescent="0.25">
      <c r="M191" s="60"/>
      <c r="O191" s="59" t="str">
        <f>IFERROR(RANK(TableWRCalcPts[[#This Row],[Custom]],TableWRCalcPts[Custom])+COUNTIF($T$3:T191,T191)-1,"")</f>
        <v/>
      </c>
      <c r="P191" s="59">
        <v>189</v>
      </c>
      <c r="Q191" s="59" t="str">
        <f>IFERROR(INDEX(TableWRMaster[Player],MATCH(TableWRCalcPts[[#This Row],[WRRef]],TableWRMaster[WRRef],0)),"")</f>
        <v/>
      </c>
      <c r="R191" s="59" t="str">
        <f>IFERROR(INDEX(TableWRMaster[TM],MATCH(TableWRCalcPts[[#This Row],[WRRef]],TableWRMaster[WRRef],0)),"")</f>
        <v/>
      </c>
      <c r="S191" s="59" t="str">
        <f>IFERROR(INDEX(TableWRMaster[BYE],MATCH(TableWRCalcPts[[#This Row],[WRRef]],TableWRMaster[WRRef],0)),"")</f>
        <v/>
      </c>
      <c r="T191" s="60" t="str">
        <f>IFERROR(INDEX(TableWRMaster[Custom],MATCH(TableWRCalcPts[[#This Row],[WRRef]],TableWRMaster[WRRef],0)),"")</f>
        <v/>
      </c>
      <c r="AI191" s="59" t="s">
        <v>208</v>
      </c>
      <c r="AJ191" s="59">
        <f>IFERROR(RANK(TableWRTECalcPts[[#This Row],[Custom]],TableWRTECalcPts[Custom])+COUNTIF($AP$3:AP191,AP191)-1,"")</f>
        <v>122</v>
      </c>
      <c r="AK191" s="105">
        <v>89</v>
      </c>
      <c r="AL191" s="105" t="str">
        <f>IFERROR(INDEX(TableWRMaster[Player],MATCH(TableWRTECalcPts[[#This Row],[POSRef]],TableWRMaster[WRRef],0)),"")</f>
        <v>DJ Chark</v>
      </c>
      <c r="AM191" s="105" t="str">
        <f>IFERROR(_xlfn.CONCAT(TableWRTECalcPts[[#This Row],[POS]],INDEX(TableWRRanks[RK],MATCH(TableWRTECalcPts[[#This Row],[PLAYER]],TableWRRanks[Player],0))),"")</f>
        <v>WR93</v>
      </c>
      <c r="AN191" s="105" t="str">
        <f>IFERROR(INDEX(TableWRMaster[TM],MATCH(TableWRTECalcPts[[#This Row],[POSRef]],TableWRMaster[WRRef],0)),"")</f>
        <v>LAC</v>
      </c>
      <c r="AO191" s="105">
        <f>IFERROR(INDEX(TableWRMaster[BYE],MATCH(TableWRTECalcPts[[#This Row],[POSRef]],TableWRMaster[WRRef],0)),"")</f>
        <v>5</v>
      </c>
      <c r="AP191" s="103">
        <f>IFERROR(INDEX(TableWRMaster[Custom],MATCH(TableWRTECalcPts[[#This Row],[POSRef]],TableWRMaster[WRRef],0)),"")</f>
        <v>74.74853649727298</v>
      </c>
    </row>
    <row r="192" spans="8:42" x14ac:dyDescent="0.25">
      <c r="M192" s="60"/>
      <c r="O192" s="59" t="str">
        <f>IFERROR(RANK(TableWRCalcPts[[#This Row],[Custom]],TableWRCalcPts[Custom])+COUNTIF($T$3:T192,T192)-1,"")</f>
        <v/>
      </c>
      <c r="P192" s="59">
        <v>190</v>
      </c>
      <c r="Q192" s="59" t="str">
        <f>IFERROR(INDEX(TableWRMaster[Player],MATCH(TableWRCalcPts[[#This Row],[WRRef]],TableWRMaster[WRRef],0)),"")</f>
        <v/>
      </c>
      <c r="R192" s="59" t="str">
        <f>IFERROR(INDEX(TableWRMaster[TM],MATCH(TableWRCalcPts[[#This Row],[WRRef]],TableWRMaster[WRRef],0)),"")</f>
        <v/>
      </c>
      <c r="S192" s="59" t="str">
        <f>IFERROR(INDEX(TableWRMaster[BYE],MATCH(TableWRCalcPts[[#This Row],[WRRef]],TableWRMaster[WRRef],0)),"")</f>
        <v/>
      </c>
      <c r="T192" s="60" t="str">
        <f>IFERROR(INDEX(TableWRMaster[Custom],MATCH(TableWRCalcPts[[#This Row],[WRRef]],TableWRMaster[WRRef],0)),"")</f>
        <v/>
      </c>
      <c r="AI192" s="59" t="s">
        <v>208</v>
      </c>
      <c r="AJ192" s="59">
        <f>IFERROR(RANK(TableWRTECalcPts[[#This Row],[Custom]],TableWRTECalcPts[Custom])+COUNTIF($AP$3:AP192,AP192)-1,"")</f>
        <v>127</v>
      </c>
      <c r="AK192" s="105">
        <v>90</v>
      </c>
      <c r="AL192" s="105" t="str">
        <f>IFERROR(INDEX(TableWRMaster[Player],MATCH(TableWRTECalcPts[[#This Row],[POSRef]],TableWRMaster[WRRef],0)),"")</f>
        <v>Brenden Rice</v>
      </c>
      <c r="AM192" s="105" t="str">
        <f>IFERROR(_xlfn.CONCAT(TableWRTECalcPts[[#This Row],[POS]],INDEX(TableWRRanks[RK],MATCH(TableWRTECalcPts[[#This Row],[PLAYER]],TableWRRanks[Player],0))),"")</f>
        <v>WR96</v>
      </c>
      <c r="AN192" s="105" t="str">
        <f>IFERROR(INDEX(TableWRMaster[TM],MATCH(TableWRTECalcPts[[#This Row],[POSRef]],TableWRMaster[WRRef],0)),"")</f>
        <v>LAC</v>
      </c>
      <c r="AO192" s="105">
        <f>IFERROR(INDEX(TableWRMaster[BYE],MATCH(TableWRTECalcPts[[#This Row],[POSRef]],TableWRMaster[WRRef],0)),"")</f>
        <v>5</v>
      </c>
      <c r="AP192" s="103">
        <f>IFERROR(INDEX(TableWRMaster[Custom],MATCH(TableWRTECalcPts[[#This Row],[POSRef]],TableWRMaster[WRRef],0)),"")</f>
        <v>65.713634104769312</v>
      </c>
    </row>
    <row r="193" spans="13:42" x14ac:dyDescent="0.25">
      <c r="M193" s="60"/>
      <c r="O193" s="59" t="str">
        <f>IFERROR(RANK(TableWRCalcPts[[#This Row],[Custom]],TableWRCalcPts[Custom])+COUNTIF($T$3:T193,T193)-1,"")</f>
        <v/>
      </c>
      <c r="P193" s="59">
        <v>191</v>
      </c>
      <c r="Q193" s="59" t="str">
        <f>IFERROR(INDEX(TableWRMaster[Player],MATCH(TableWRCalcPts[[#This Row],[WRRef]],TableWRMaster[WRRef],0)),"")</f>
        <v/>
      </c>
      <c r="R193" s="59" t="str">
        <f>IFERROR(INDEX(TableWRMaster[TM],MATCH(TableWRCalcPts[[#This Row],[WRRef]],TableWRMaster[WRRef],0)),"")</f>
        <v/>
      </c>
      <c r="S193" s="59" t="str">
        <f>IFERROR(INDEX(TableWRMaster[BYE],MATCH(TableWRCalcPts[[#This Row],[WRRef]],TableWRMaster[WRRef],0)),"")</f>
        <v/>
      </c>
      <c r="T193" s="60" t="str">
        <f>IFERROR(INDEX(TableWRMaster[Custom],MATCH(TableWRCalcPts[[#This Row],[WRRef]],TableWRMaster[WRRef],0)),"")</f>
        <v/>
      </c>
      <c r="AI193" s="59" t="s">
        <v>208</v>
      </c>
      <c r="AJ193" s="59">
        <f>IFERROR(RANK(TableWRTECalcPts[[#This Row],[Custom]],TableWRTECalcPts[Custom])+COUNTIF($AP$3:AP193,AP193)-1,"")</f>
        <v>143</v>
      </c>
      <c r="AK193" s="105">
        <v>91</v>
      </c>
      <c r="AL193" s="105" t="str">
        <f>IFERROR(INDEX(TableWRMaster[Player],MATCH(TableWRTECalcPts[[#This Row],[POSRef]],TableWRMaster[WRRef],0)),"")</f>
        <v>Quentin Johnston</v>
      </c>
      <c r="AM193" s="105" t="str">
        <f>IFERROR(_xlfn.CONCAT(TableWRTECalcPts[[#This Row],[POS]],INDEX(TableWRRanks[RK],MATCH(TableWRTECalcPts[[#This Row],[PLAYER]],TableWRRanks[Player],0))),"")</f>
        <v>WR106</v>
      </c>
      <c r="AN193" s="105" t="str">
        <f>IFERROR(INDEX(TableWRMaster[TM],MATCH(TableWRTECalcPts[[#This Row],[POSRef]],TableWRMaster[WRRef],0)),"")</f>
        <v>LAC</v>
      </c>
      <c r="AO193" s="105">
        <f>IFERROR(INDEX(TableWRMaster[BYE],MATCH(TableWRTECalcPts[[#This Row],[POSRef]],TableWRMaster[WRRef],0)),"")</f>
        <v>5</v>
      </c>
      <c r="AP193" s="103">
        <f>IFERROR(INDEX(TableWRMaster[Custom],MATCH(TableWRTECalcPts[[#This Row],[POSRef]],TableWRMaster[WRRef],0)),"")</f>
        <v>55.174368621131777</v>
      </c>
    </row>
    <row r="194" spans="13:42" x14ac:dyDescent="0.25">
      <c r="M194" s="60"/>
      <c r="O194" s="59" t="str">
        <f>IFERROR(RANK(TableWRCalcPts[[#This Row],[Custom]],TableWRCalcPts[Custom])+COUNTIF($T$3:T194,T194)-1,"")</f>
        <v/>
      </c>
      <c r="P194" s="59">
        <v>192</v>
      </c>
      <c r="Q194" s="59" t="str">
        <f>IFERROR(INDEX(TableWRMaster[Player],MATCH(TableWRCalcPts[[#This Row],[WRRef]],TableWRMaster[WRRef],0)),"")</f>
        <v/>
      </c>
      <c r="R194" s="59" t="str">
        <f>IFERROR(INDEX(TableWRMaster[TM],MATCH(TableWRCalcPts[[#This Row],[WRRef]],TableWRMaster[WRRef],0)),"")</f>
        <v/>
      </c>
      <c r="S194" s="59" t="str">
        <f>IFERROR(INDEX(TableWRMaster[BYE],MATCH(TableWRCalcPts[[#This Row],[WRRef]],TableWRMaster[WRRef],0)),"")</f>
        <v/>
      </c>
      <c r="T194" s="60" t="str">
        <f>IFERROR(INDEX(TableWRMaster[Custom],MATCH(TableWRCalcPts[[#This Row],[WRRef]],TableWRMaster[WRRef],0)),"")</f>
        <v/>
      </c>
      <c r="AI194" s="59" t="s">
        <v>208</v>
      </c>
      <c r="AJ194" s="59">
        <f>IFERROR(RANK(TableWRTECalcPts[[#This Row],[Custom]],TableWRTECalcPts[Custom])+COUNTIF($AP$3:AP194,AP194)-1,"")</f>
        <v>214</v>
      </c>
      <c r="AK194" s="105">
        <v>92</v>
      </c>
      <c r="AL194" s="105" t="str">
        <f>IFERROR(INDEX(TableWRMaster[Player],MATCH(TableWRTECalcPts[[#This Row],[POSRef]],TableWRMaster[WRRef],0)),"")</f>
        <v>Derius Davis</v>
      </c>
      <c r="AM194" s="105" t="str">
        <f>IFERROR(_xlfn.CONCAT(TableWRTECalcPts[[#This Row],[POS]],INDEX(TableWRRanks[RK],MATCH(TableWRTECalcPts[[#This Row],[PLAYER]],TableWRRanks[Player],0))),"")</f>
        <v>WR151</v>
      </c>
      <c r="AN194" s="105" t="str">
        <f>IFERROR(INDEX(TableWRMaster[TM],MATCH(TableWRTECalcPts[[#This Row],[POSRef]],TableWRMaster[WRRef],0)),"")</f>
        <v>LAC</v>
      </c>
      <c r="AO194" s="105">
        <f>IFERROR(INDEX(TableWRMaster[BYE],MATCH(TableWRTECalcPts[[#This Row],[POSRef]],TableWRMaster[WRRef],0)),"")</f>
        <v>5</v>
      </c>
      <c r="AP194" s="103">
        <f>IFERROR(INDEX(TableWRMaster[Custom],MATCH(TableWRTECalcPts[[#This Row],[POSRef]],TableWRMaster[WRRef],0)),"")</f>
        <v>14.815385969013441</v>
      </c>
    </row>
    <row r="195" spans="13:42" x14ac:dyDescent="0.25">
      <c r="M195" s="60"/>
      <c r="O195" s="59" t="str">
        <f>IFERROR(RANK(TableWRCalcPts[[#This Row],[Custom]],TableWRCalcPts[Custom])+COUNTIF($T$3:T195,T195)-1,"")</f>
        <v/>
      </c>
      <c r="P195" s="59">
        <v>193</v>
      </c>
      <c r="Q195" s="59" t="str">
        <f>IFERROR(INDEX(TableWRMaster[Player],MATCH(TableWRCalcPts[[#This Row],[WRRef]],TableWRMaster[WRRef],0)),"")</f>
        <v/>
      </c>
      <c r="R195" s="59" t="str">
        <f>IFERROR(INDEX(TableWRMaster[TM],MATCH(TableWRCalcPts[[#This Row],[WRRef]],TableWRMaster[WRRef],0)),"")</f>
        <v/>
      </c>
      <c r="S195" s="59" t="str">
        <f>IFERROR(INDEX(TableWRMaster[BYE],MATCH(TableWRCalcPts[[#This Row],[WRRef]],TableWRMaster[WRRef],0)),"")</f>
        <v/>
      </c>
      <c r="T195" s="60" t="str">
        <f>IFERROR(INDEX(TableWRMaster[Custom],MATCH(TableWRCalcPts[[#This Row],[WRRef]],TableWRMaster[WRRef],0)),"")</f>
        <v/>
      </c>
      <c r="AI195" s="59" t="s">
        <v>208</v>
      </c>
      <c r="AJ195" s="59">
        <f>IFERROR(RANK(TableWRTECalcPts[[#This Row],[Custom]],TableWRTECalcPts[Custom])+COUNTIF($AP$3:AP195,AP195)-1,"")</f>
        <v>8</v>
      </c>
      <c r="AK195" s="105">
        <v>93</v>
      </c>
      <c r="AL195" s="105" t="str">
        <f>IFERROR(INDEX(TableWRMaster[Player],MATCH(TableWRTECalcPts[[#This Row],[POSRef]],TableWRMaster[WRRef],0)),"")</f>
        <v>Cooper Kupp</v>
      </c>
      <c r="AM195" s="105" t="str">
        <f>IFERROR(_xlfn.CONCAT(TableWRTECalcPts[[#This Row],[POS]],INDEX(TableWRRanks[RK],MATCH(TableWRTECalcPts[[#This Row],[PLAYER]],TableWRRanks[Player],0))),"")</f>
        <v>WR8</v>
      </c>
      <c r="AN195" s="105" t="str">
        <f>IFERROR(INDEX(TableWRMaster[TM],MATCH(TableWRTECalcPts[[#This Row],[POSRef]],TableWRMaster[WRRef],0)),"")</f>
        <v>LAR</v>
      </c>
      <c r="AO195" s="105">
        <f>IFERROR(INDEX(TableWRMaster[BYE],MATCH(TableWRTECalcPts[[#This Row],[POSRef]],TableWRMaster[WRRef],0)),"")</f>
        <v>6</v>
      </c>
      <c r="AP195" s="103">
        <f>IFERROR(INDEX(TableWRMaster[Custom],MATCH(TableWRTECalcPts[[#This Row],[POSRef]],TableWRMaster[WRRef],0)),"")</f>
        <v>212.00270106103099</v>
      </c>
    </row>
    <row r="196" spans="13:42" x14ac:dyDescent="0.25">
      <c r="M196" s="60"/>
      <c r="O196" s="59" t="str">
        <f>IFERROR(RANK(TableWRCalcPts[[#This Row],[Custom]],TableWRCalcPts[Custom])+COUNTIF($T$3:T196,T196)-1,"")</f>
        <v/>
      </c>
      <c r="P196" s="59">
        <v>194</v>
      </c>
      <c r="Q196" s="59" t="str">
        <f>IFERROR(INDEX(TableWRMaster[Player],MATCH(TableWRCalcPts[[#This Row],[WRRef]],TableWRMaster[WRRef],0)),"")</f>
        <v/>
      </c>
      <c r="R196" s="59" t="str">
        <f>IFERROR(INDEX(TableWRMaster[TM],MATCH(TableWRCalcPts[[#This Row],[WRRef]],TableWRMaster[WRRef],0)),"")</f>
        <v/>
      </c>
      <c r="S196" s="59" t="str">
        <f>IFERROR(INDEX(TableWRMaster[BYE],MATCH(TableWRCalcPts[[#This Row],[WRRef]],TableWRMaster[WRRef],0)),"")</f>
        <v/>
      </c>
      <c r="T196" s="60" t="str">
        <f>IFERROR(INDEX(TableWRMaster[Custom],MATCH(TableWRCalcPts[[#This Row],[WRRef]],TableWRMaster[WRRef],0)),"")</f>
        <v/>
      </c>
      <c r="AI196" s="59" t="s">
        <v>208</v>
      </c>
      <c r="AJ196" s="59">
        <f>IFERROR(RANK(TableWRTECalcPts[[#This Row],[Custom]],TableWRTECalcPts[Custom])+COUNTIF($AP$3:AP196,AP196)-1,"")</f>
        <v>6</v>
      </c>
      <c r="AK196" s="105">
        <v>94</v>
      </c>
      <c r="AL196" s="105" t="str">
        <f>IFERROR(INDEX(TableWRMaster[Player],MATCH(TableWRTECalcPts[[#This Row],[POSRef]],TableWRMaster[WRRef],0)),"")</f>
        <v>Puka Nacua</v>
      </c>
      <c r="AM196" s="105" t="str">
        <f>IFERROR(_xlfn.CONCAT(TableWRTECalcPts[[#This Row],[POS]],INDEX(TableWRRanks[RK],MATCH(TableWRTECalcPts[[#This Row],[PLAYER]],TableWRRanks[Player],0))),"")</f>
        <v>WR6</v>
      </c>
      <c r="AN196" s="105" t="str">
        <f>IFERROR(INDEX(TableWRMaster[TM],MATCH(TableWRTECalcPts[[#This Row],[POSRef]],TableWRMaster[WRRef],0)),"")</f>
        <v>LAR</v>
      </c>
      <c r="AO196" s="105">
        <f>IFERROR(INDEX(TableWRMaster[BYE],MATCH(TableWRTECalcPts[[#This Row],[POSRef]],TableWRMaster[WRRef],0)),"")</f>
        <v>6</v>
      </c>
      <c r="AP196" s="103">
        <f>IFERROR(INDEX(TableWRMaster[Custom],MATCH(TableWRTECalcPts[[#This Row],[POSRef]],TableWRMaster[WRRef],0)),"")</f>
        <v>229.19735538856321</v>
      </c>
    </row>
    <row r="197" spans="13:42" x14ac:dyDescent="0.25">
      <c r="M197" s="60"/>
      <c r="O197" s="59" t="str">
        <f>IFERROR(RANK(TableWRCalcPts[[#This Row],[Custom]],TableWRCalcPts[Custom])+COUNTIF($T$3:T197,T197)-1,"")</f>
        <v/>
      </c>
      <c r="P197" s="59">
        <v>195</v>
      </c>
      <c r="Q197" s="59" t="str">
        <f>IFERROR(INDEX(TableWRMaster[Player],MATCH(TableWRCalcPts[[#This Row],[WRRef]],TableWRMaster[WRRef],0)),"")</f>
        <v/>
      </c>
      <c r="R197" s="59" t="str">
        <f>IFERROR(INDEX(TableWRMaster[TM],MATCH(TableWRCalcPts[[#This Row],[WRRef]],TableWRMaster[WRRef],0)),"")</f>
        <v/>
      </c>
      <c r="S197" s="59" t="str">
        <f>IFERROR(INDEX(TableWRMaster[BYE],MATCH(TableWRCalcPts[[#This Row],[WRRef]],TableWRMaster[WRRef],0)),"")</f>
        <v/>
      </c>
      <c r="T197" s="60" t="str">
        <f>IFERROR(INDEX(TableWRMaster[Custom],MATCH(TableWRCalcPts[[#This Row],[WRRef]],TableWRMaster[WRRef],0)),"")</f>
        <v/>
      </c>
      <c r="AI197" s="59" t="s">
        <v>208</v>
      </c>
      <c r="AJ197" s="59">
        <f>IFERROR(RANK(TableWRTECalcPts[[#This Row],[Custom]],TableWRTECalcPts[Custom])+COUNTIF($AP$3:AP197,AP197)-1,"")</f>
        <v>75</v>
      </c>
      <c r="AK197" s="105">
        <v>95</v>
      </c>
      <c r="AL197" s="105" t="str">
        <f>IFERROR(INDEX(TableWRMaster[Player],MATCH(TableWRTECalcPts[[#This Row],[POSRef]],TableWRMaster[WRRef],0)),"")</f>
        <v>Demarcus Robinson</v>
      </c>
      <c r="AM197" s="105" t="str">
        <f>IFERROR(_xlfn.CONCAT(TableWRTECalcPts[[#This Row],[POS]],INDEX(TableWRRanks[RK],MATCH(TableWRTECalcPts[[#This Row],[PLAYER]],TableWRRanks[Player],0))),"")</f>
        <v>WR63</v>
      </c>
      <c r="AN197" s="105" t="str">
        <f>IFERROR(INDEX(TableWRMaster[TM],MATCH(TableWRTECalcPts[[#This Row],[POSRef]],TableWRMaster[WRRef],0)),"")</f>
        <v>LAR</v>
      </c>
      <c r="AO197" s="105">
        <f>IFERROR(INDEX(TableWRMaster[BYE],MATCH(TableWRTECalcPts[[#This Row],[POSRef]],TableWRMaster[WRRef],0)),"")</f>
        <v>6</v>
      </c>
      <c r="AP197" s="103">
        <f>IFERROR(INDEX(TableWRMaster[Custom],MATCH(TableWRTECalcPts[[#This Row],[POSRef]],TableWRMaster[WRRef],0)),"")</f>
        <v>130.31560834928999</v>
      </c>
    </row>
    <row r="198" spans="13:42" x14ac:dyDescent="0.25">
      <c r="M198" s="60"/>
      <c r="O198" s="59" t="str">
        <f>IFERROR(RANK(TableWRCalcPts[[#This Row],[Custom]],TableWRCalcPts[Custom])+COUNTIF($T$3:T198,T198)-1,"")</f>
        <v/>
      </c>
      <c r="P198" s="59">
        <v>196</v>
      </c>
      <c r="Q198" s="59" t="str">
        <f>IFERROR(INDEX(TableWRMaster[Player],MATCH(TableWRCalcPts[[#This Row],[WRRef]],TableWRMaster[WRRef],0)),"")</f>
        <v/>
      </c>
      <c r="R198" s="59" t="str">
        <f>IFERROR(INDEX(TableWRMaster[TM],MATCH(TableWRCalcPts[[#This Row],[WRRef]],TableWRMaster[WRRef],0)),"")</f>
        <v/>
      </c>
      <c r="S198" s="59" t="str">
        <f>IFERROR(INDEX(TableWRMaster[BYE],MATCH(TableWRCalcPts[[#This Row],[WRRef]],TableWRMaster[WRRef],0)),"")</f>
        <v/>
      </c>
      <c r="T198" s="60" t="str">
        <f>IFERROR(INDEX(TableWRMaster[Custom],MATCH(TableWRCalcPts[[#This Row],[WRRef]],TableWRMaster[WRRef],0)),"")</f>
        <v/>
      </c>
      <c r="AI198" s="59" t="s">
        <v>208</v>
      </c>
      <c r="AJ198" s="59">
        <f>IFERROR(RANK(TableWRTECalcPts[[#This Row],[Custom]],TableWRTECalcPts[Custom])+COUNTIF($AP$3:AP198,AP198)-1,"")</f>
        <v>142</v>
      </c>
      <c r="AK198" s="105">
        <v>96</v>
      </c>
      <c r="AL198" s="105" t="str">
        <f>IFERROR(INDEX(TableWRMaster[Player],MATCH(TableWRTECalcPts[[#This Row],[POSRef]],TableWRMaster[WRRef],0)),"")</f>
        <v>Jordan Whittington</v>
      </c>
      <c r="AM198" s="105" t="str">
        <f>IFERROR(_xlfn.CONCAT(TableWRTECalcPts[[#This Row],[POS]],INDEX(TableWRRanks[RK],MATCH(TableWRTECalcPts[[#This Row],[PLAYER]],TableWRRanks[Player],0))),"")</f>
        <v>WR105</v>
      </c>
      <c r="AN198" s="105" t="str">
        <f>IFERROR(INDEX(TableWRMaster[TM],MATCH(TableWRTECalcPts[[#This Row],[POSRef]],TableWRMaster[WRRef],0)),"")</f>
        <v>LAR</v>
      </c>
      <c r="AO198" s="105">
        <f>IFERROR(INDEX(TableWRMaster[BYE],MATCH(TableWRTECalcPts[[#This Row],[POSRef]],TableWRMaster[WRRef],0)),"")</f>
        <v>6</v>
      </c>
      <c r="AP198" s="103">
        <f>IFERROR(INDEX(TableWRMaster[Custom],MATCH(TableWRTECalcPts[[#This Row],[POSRef]],TableWRMaster[WRRef],0)),"")</f>
        <v>55.873140032859624</v>
      </c>
    </row>
    <row r="199" spans="13:42" x14ac:dyDescent="0.25">
      <c r="M199" s="60"/>
      <c r="O199" s="59" t="str">
        <f>IFERROR(RANK(TableWRCalcPts[[#This Row],[Custom]],TableWRCalcPts[Custom])+COUNTIF($T$3:T199,T199)-1,"")</f>
        <v/>
      </c>
      <c r="P199" s="59">
        <v>197</v>
      </c>
      <c r="Q199" s="59" t="str">
        <f>IFERROR(INDEX(TableWRMaster[Player],MATCH(TableWRCalcPts[[#This Row],[WRRef]],TableWRMaster[WRRef],0)),"")</f>
        <v/>
      </c>
      <c r="R199" s="59" t="str">
        <f>IFERROR(INDEX(TableWRMaster[TM],MATCH(TableWRCalcPts[[#This Row],[WRRef]],TableWRMaster[WRRef],0)),"")</f>
        <v/>
      </c>
      <c r="S199" s="59" t="str">
        <f>IFERROR(INDEX(TableWRMaster[BYE],MATCH(TableWRCalcPts[[#This Row],[WRRef]],TableWRMaster[WRRef],0)),"")</f>
        <v/>
      </c>
      <c r="T199" s="60" t="str">
        <f>IFERROR(INDEX(TableWRMaster[Custom],MATCH(TableWRCalcPts[[#This Row],[WRRef]],TableWRMaster[WRRef],0)),"")</f>
        <v/>
      </c>
      <c r="AI199" s="59" t="s">
        <v>208</v>
      </c>
      <c r="AJ199" s="59">
        <f>IFERROR(RANK(TableWRTECalcPts[[#This Row],[Custom]],TableWRTECalcPts[Custom])+COUNTIF($AP$3:AP199,AP199)-1,"")</f>
        <v>195</v>
      </c>
      <c r="AK199" s="105">
        <v>97</v>
      </c>
      <c r="AL199" s="105" t="str">
        <f>IFERROR(INDEX(TableWRMaster[Player],MATCH(TableWRTECalcPts[[#This Row],[POSRef]],TableWRMaster[WRRef],0)),"")</f>
        <v>Tutu Atwell</v>
      </c>
      <c r="AM199" s="105" t="str">
        <f>IFERROR(_xlfn.CONCAT(TableWRTECalcPts[[#This Row],[POS]],INDEX(TableWRRanks[RK],MATCH(TableWRTECalcPts[[#This Row],[PLAYER]],TableWRRanks[Player],0))),"")</f>
        <v>WR139</v>
      </c>
      <c r="AN199" s="105" t="str">
        <f>IFERROR(INDEX(TableWRMaster[TM],MATCH(TableWRTECalcPts[[#This Row],[POSRef]],TableWRMaster[WRRef],0)),"")</f>
        <v>LAR</v>
      </c>
      <c r="AO199" s="105">
        <f>IFERROR(INDEX(TableWRMaster[BYE],MATCH(TableWRTECalcPts[[#This Row],[POSRef]],TableWRMaster[WRRef],0)),"")</f>
        <v>6</v>
      </c>
      <c r="AP199" s="103">
        <f>IFERROR(INDEX(TableWRMaster[Custom],MATCH(TableWRTECalcPts[[#This Row],[POSRef]],TableWRMaster[WRRef],0)),"")</f>
        <v>21.022461117950055</v>
      </c>
    </row>
    <row r="200" spans="13:42" x14ac:dyDescent="0.25">
      <c r="M200" s="60"/>
      <c r="O200" s="59" t="str">
        <f>IFERROR(RANK(TableWRCalcPts[[#This Row],[Custom]],TableWRCalcPts[Custom])+COUNTIF($T$3:T200,T200)-1,"")</f>
        <v/>
      </c>
      <c r="P200" s="59">
        <v>198</v>
      </c>
      <c r="Q200" s="59" t="str">
        <f>IFERROR(INDEX(TableWRMaster[Player],MATCH(TableWRCalcPts[[#This Row],[WRRef]],TableWRMaster[WRRef],0)),"")</f>
        <v/>
      </c>
      <c r="R200" s="59" t="str">
        <f>IFERROR(INDEX(TableWRMaster[TM],MATCH(TableWRCalcPts[[#This Row],[WRRef]],TableWRMaster[WRRef],0)),"")</f>
        <v/>
      </c>
      <c r="S200" s="59" t="str">
        <f>IFERROR(INDEX(TableWRMaster[BYE],MATCH(TableWRCalcPts[[#This Row],[WRRef]],TableWRMaster[WRRef],0)),"")</f>
        <v/>
      </c>
      <c r="T200" s="60" t="str">
        <f>IFERROR(INDEX(TableWRMaster[Custom],MATCH(TableWRCalcPts[[#This Row],[WRRef]],TableWRMaster[WRRef],0)),"")</f>
        <v/>
      </c>
      <c r="AI200" s="59" t="s">
        <v>208</v>
      </c>
      <c r="AJ200" s="59">
        <f>IFERROR(RANK(TableWRTECalcPts[[#This Row],[Custom]],TableWRTECalcPts[Custom])+COUNTIF($AP$3:AP200,AP200)-1,"")</f>
        <v>22</v>
      </c>
      <c r="AK200" s="105">
        <v>98</v>
      </c>
      <c r="AL200" s="105" t="str">
        <f>IFERROR(INDEX(TableWRMaster[Player],MATCH(TableWRTECalcPts[[#This Row],[POSRef]],TableWRMaster[WRRef],0)),"")</f>
        <v>Davante Adams</v>
      </c>
      <c r="AM200" s="105" t="str">
        <f>IFERROR(_xlfn.CONCAT(TableWRTECalcPts[[#This Row],[POS]],INDEX(TableWRRanks[RK],MATCH(TableWRTECalcPts[[#This Row],[PLAYER]],TableWRRanks[Player],0))),"")</f>
        <v>WR21</v>
      </c>
      <c r="AN200" s="105" t="str">
        <f>IFERROR(INDEX(TableWRMaster[TM],MATCH(TableWRTECalcPts[[#This Row],[POSRef]],TableWRMaster[WRRef],0)),"")</f>
        <v>LV</v>
      </c>
      <c r="AO200" s="105">
        <f>IFERROR(INDEX(TableWRMaster[BYE],MATCH(TableWRTECalcPts[[#This Row],[POSRef]],TableWRMaster[WRRef],0)),"")</f>
        <v>10</v>
      </c>
      <c r="AP200" s="103">
        <f>IFERROR(INDEX(TableWRMaster[Custom],MATCH(TableWRTECalcPts[[#This Row],[POSRef]],TableWRMaster[WRRef],0)),"")</f>
        <v>193.52615414390021</v>
      </c>
    </row>
    <row r="201" spans="13:42" x14ac:dyDescent="0.25">
      <c r="M201" s="60"/>
      <c r="O201" s="59" t="str">
        <f>IFERROR(RANK(TableWRCalcPts[[#This Row],[Custom]],TableWRCalcPts[Custom])+COUNTIF($T$3:T201,T201)-1,"")</f>
        <v/>
      </c>
      <c r="P201" s="59">
        <v>199</v>
      </c>
      <c r="Q201" s="59" t="str">
        <f>IFERROR(INDEX(TableWRMaster[Player],MATCH(TableWRCalcPts[[#This Row],[WRRef]],TableWRMaster[WRRef],0)),"")</f>
        <v/>
      </c>
      <c r="R201" s="59" t="str">
        <f>IFERROR(INDEX(TableWRMaster[TM],MATCH(TableWRCalcPts[[#This Row],[WRRef]],TableWRMaster[WRRef],0)),"")</f>
        <v/>
      </c>
      <c r="S201" s="59" t="str">
        <f>IFERROR(INDEX(TableWRMaster[BYE],MATCH(TableWRCalcPts[[#This Row],[WRRef]],TableWRMaster[WRRef],0)),"")</f>
        <v/>
      </c>
      <c r="T201" s="60" t="str">
        <f>IFERROR(INDEX(TableWRMaster[Custom],MATCH(TableWRCalcPts[[#This Row],[WRRef]],TableWRMaster[WRRef],0)),"")</f>
        <v/>
      </c>
      <c r="AI201" s="59" t="s">
        <v>208</v>
      </c>
      <c r="AJ201" s="59">
        <f>IFERROR(RANK(TableWRTECalcPts[[#This Row],[Custom]],TableWRTECalcPts[Custom])+COUNTIF($AP$3:AP201,AP201)-1,"")</f>
        <v>56</v>
      </c>
      <c r="AK201" s="105">
        <v>99</v>
      </c>
      <c r="AL201" s="105" t="str">
        <f>IFERROR(INDEX(TableWRMaster[Player],MATCH(TableWRTECalcPts[[#This Row],[POSRef]],TableWRMaster[WRRef],0)),"")</f>
        <v>Jakobi Meyers</v>
      </c>
      <c r="AM201" s="105" t="str">
        <f>IFERROR(_xlfn.CONCAT(TableWRTECalcPts[[#This Row],[POS]],INDEX(TableWRRanks[RK],MATCH(TableWRTECalcPts[[#This Row],[PLAYER]],TableWRRanks[Player],0))),"")</f>
        <v>WR48</v>
      </c>
      <c r="AN201" s="105" t="str">
        <f>IFERROR(INDEX(TableWRMaster[TM],MATCH(TableWRTECalcPts[[#This Row],[POSRef]],TableWRMaster[WRRef],0)),"")</f>
        <v>LV</v>
      </c>
      <c r="AO201" s="105">
        <f>IFERROR(INDEX(TableWRMaster[BYE],MATCH(TableWRTECalcPts[[#This Row],[POSRef]],TableWRMaster[WRRef],0)),"")</f>
        <v>10</v>
      </c>
      <c r="AP201" s="103">
        <f>IFERROR(INDEX(TableWRMaster[Custom],MATCH(TableWRTECalcPts[[#This Row],[POSRef]],TableWRMaster[WRRef],0)),"")</f>
        <v>159.5175566273596</v>
      </c>
    </row>
    <row r="202" spans="13:42" x14ac:dyDescent="0.25">
      <c r="M202" s="60"/>
      <c r="O202" s="59" t="str">
        <f>IFERROR(RANK(TableWRCalcPts[[#This Row],[Custom]],TableWRCalcPts[Custom])+COUNTIF($T$3:T202,T202)-1,"")</f>
        <v/>
      </c>
      <c r="P202" s="59">
        <v>200</v>
      </c>
      <c r="Q202" s="59" t="str">
        <f>IFERROR(INDEX(TableWRMaster[Player],MATCH(TableWRCalcPts[[#This Row],[WRRef]],TableWRMaster[WRRef],0)),"")</f>
        <v/>
      </c>
      <c r="R202" s="59" t="str">
        <f>IFERROR(INDEX(TableWRMaster[TM],MATCH(TableWRCalcPts[[#This Row],[WRRef]],TableWRMaster[WRRef],0)),"")</f>
        <v/>
      </c>
      <c r="S202" s="59" t="str">
        <f>IFERROR(INDEX(TableWRMaster[BYE],MATCH(TableWRCalcPts[[#This Row],[WRRef]],TableWRMaster[WRRef],0)),"")</f>
        <v/>
      </c>
      <c r="T202" s="60" t="str">
        <f>IFERROR(INDEX(TableWRMaster[Custom],MATCH(TableWRCalcPts[[#This Row],[WRRef]],TableWRMaster[WRRef],0)),"")</f>
        <v/>
      </c>
      <c r="AI202" s="59" t="s">
        <v>208</v>
      </c>
      <c r="AJ202" s="59">
        <f>IFERROR(RANK(TableWRTECalcPts[[#This Row],[Custom]],TableWRTECalcPts[Custom])+COUNTIF($AP$3:AP202,AP202)-1,"")</f>
        <v>189</v>
      </c>
      <c r="AK202" s="105">
        <v>100</v>
      </c>
      <c r="AL202" s="105" t="str">
        <f>IFERROR(INDEX(TableWRMaster[Player],MATCH(TableWRTECalcPts[[#This Row],[POSRef]],TableWRMaster[WRRef],0)),"")</f>
        <v>DJ Turner</v>
      </c>
      <c r="AM202" s="105" t="str">
        <f>IFERROR(_xlfn.CONCAT(TableWRTECalcPts[[#This Row],[POS]],INDEX(TableWRRanks[RK],MATCH(TableWRTECalcPts[[#This Row],[PLAYER]],TableWRRanks[Player],0))),"")</f>
        <v>WR135</v>
      </c>
      <c r="AN202" s="105" t="str">
        <f>IFERROR(INDEX(TableWRMaster[TM],MATCH(TableWRTECalcPts[[#This Row],[POSRef]],TableWRMaster[WRRef],0)),"")</f>
        <v>LV</v>
      </c>
      <c r="AO202" s="105">
        <f>IFERROR(INDEX(TableWRMaster[BYE],MATCH(TableWRTECalcPts[[#This Row],[POSRef]],TableWRMaster[WRRef],0)),"")</f>
        <v>10</v>
      </c>
      <c r="AP202" s="103">
        <f>IFERROR(INDEX(TableWRMaster[Custom],MATCH(TableWRTECalcPts[[#This Row],[POSRef]],TableWRMaster[WRRef],0)),"")</f>
        <v>22.294969913999999</v>
      </c>
    </row>
    <row r="203" spans="13:42" x14ac:dyDescent="0.25">
      <c r="M203" s="60"/>
      <c r="O203" s="59" t="str">
        <f>IFERROR(RANK(TableWRCalcPts[[#This Row],[Custom]],TableWRCalcPts[Custom])+COUNTIF($T$3:T203,T203)-1,"")</f>
        <v/>
      </c>
      <c r="P203" s="59">
        <v>201</v>
      </c>
      <c r="Q203" s="59" t="str">
        <f>IFERROR(INDEX(TableWRMaster[Player],MATCH(TableWRCalcPts[[#This Row],[WRRef]],TableWRMaster[WRRef],0)),"")</f>
        <v/>
      </c>
      <c r="R203" s="59" t="str">
        <f>IFERROR(INDEX(TableWRMaster[TM],MATCH(TableWRCalcPts[[#This Row],[WRRef]],TableWRMaster[WRRef],0)),"")</f>
        <v/>
      </c>
      <c r="S203" s="59" t="str">
        <f>IFERROR(INDEX(TableWRMaster[BYE],MATCH(TableWRCalcPts[[#This Row],[WRRef]],TableWRMaster[WRRef],0)),"")</f>
        <v/>
      </c>
      <c r="T203" s="60" t="str">
        <f>IFERROR(INDEX(TableWRMaster[Custom],MATCH(TableWRCalcPts[[#This Row],[WRRef]],TableWRMaster[WRRef],0)),"")</f>
        <v/>
      </c>
      <c r="AI203" s="59" t="s">
        <v>208</v>
      </c>
      <c r="AJ203" s="59">
        <f>IFERROR(RANK(TableWRTECalcPts[[#This Row],[Custom]],TableWRTECalcPts[Custom])+COUNTIF($AP$3:AP203,AP203)-1,"")</f>
        <v>151</v>
      </c>
      <c r="AK203" s="105">
        <v>101</v>
      </c>
      <c r="AL203" s="105" t="str">
        <f>IFERROR(INDEX(TableWRMaster[Player],MATCH(TableWRTECalcPts[[#This Row],[POSRef]],TableWRMaster[WRRef],0)),"")</f>
        <v>Tre Tucker</v>
      </c>
      <c r="AM203" s="105" t="str">
        <f>IFERROR(_xlfn.CONCAT(TableWRTECalcPts[[#This Row],[POS]],INDEX(TableWRRanks[RK],MATCH(TableWRTECalcPts[[#This Row],[PLAYER]],TableWRRanks[Player],0))),"")</f>
        <v>WR110</v>
      </c>
      <c r="AN203" s="105" t="str">
        <f>IFERROR(INDEX(TableWRMaster[TM],MATCH(TableWRTECalcPts[[#This Row],[POSRef]],TableWRMaster[WRRef],0)),"")</f>
        <v>LV</v>
      </c>
      <c r="AO203" s="105">
        <f>IFERROR(INDEX(TableWRMaster[BYE],MATCH(TableWRTECalcPts[[#This Row],[POSRef]],TableWRMaster[WRRef],0)),"")</f>
        <v>10</v>
      </c>
      <c r="AP203" s="103">
        <f>IFERROR(INDEX(TableWRMaster[Custom],MATCH(TableWRTECalcPts[[#This Row],[POSRef]],TableWRMaster[WRRef],0)),"")</f>
        <v>46.554964034031769</v>
      </c>
    </row>
    <row r="204" spans="13:42" x14ac:dyDescent="0.25">
      <c r="M204" s="60"/>
      <c r="O204" s="59" t="str">
        <f>IFERROR(RANK(TableWRCalcPts[[#This Row],[Custom]],TableWRCalcPts[Custom])+COUNTIF($T$3:T204,T204)-1,"")</f>
        <v/>
      </c>
      <c r="P204" s="59">
        <v>202</v>
      </c>
      <c r="Q204" s="59" t="str">
        <f>IFERROR(INDEX(TableWRMaster[Player],MATCH(TableWRCalcPts[[#This Row],[WRRef]],TableWRMaster[WRRef],0)),"")</f>
        <v/>
      </c>
      <c r="R204" s="59" t="str">
        <f>IFERROR(INDEX(TableWRMaster[TM],MATCH(TableWRCalcPts[[#This Row],[WRRef]],TableWRMaster[WRRef],0)),"")</f>
        <v/>
      </c>
      <c r="S204" s="59" t="str">
        <f>IFERROR(INDEX(TableWRMaster[BYE],MATCH(TableWRCalcPts[[#This Row],[WRRef]],TableWRMaster[WRRef],0)),"")</f>
        <v/>
      </c>
      <c r="T204" s="60" t="str">
        <f>IFERROR(INDEX(TableWRMaster[Custom],MATCH(TableWRCalcPts[[#This Row],[WRRef]],TableWRMaster[WRRef],0)),"")</f>
        <v/>
      </c>
      <c r="AI204" s="59" t="s">
        <v>208</v>
      </c>
      <c r="AJ204" s="59">
        <f>IFERROR(RANK(TableWRTECalcPts[[#This Row],[Custom]],TableWRTECalcPts[Custom])+COUNTIF($AP$3:AP204,AP204)-1,"")</f>
        <v>245</v>
      </c>
      <c r="AK204" s="105">
        <v>102</v>
      </c>
      <c r="AL204" s="105" t="str">
        <f>IFERROR(INDEX(TableWRMaster[Player],MATCH(TableWRTECalcPts[[#This Row],[POSRef]],TableWRMaster[WRRef],0)),"")</f>
        <v>Jalen Guyton</v>
      </c>
      <c r="AM204" s="105" t="str">
        <f>IFERROR(_xlfn.CONCAT(TableWRTECalcPts[[#This Row],[POS]],INDEX(TableWRRanks[RK],MATCH(TableWRTECalcPts[[#This Row],[PLAYER]],TableWRRanks[Player],0))),"")</f>
        <v>WR170</v>
      </c>
      <c r="AN204" s="105" t="str">
        <f>IFERROR(INDEX(TableWRMaster[TM],MATCH(TableWRTECalcPts[[#This Row],[POSRef]],TableWRMaster[WRRef],0)),"")</f>
        <v>LV</v>
      </c>
      <c r="AO204" s="105">
        <f>IFERROR(INDEX(TableWRMaster[BYE],MATCH(TableWRTECalcPts[[#This Row],[POSRef]],TableWRMaster[WRRef],0)),"")</f>
        <v>10</v>
      </c>
      <c r="AP204" s="103">
        <f>IFERROR(INDEX(TableWRMaster[Custom],MATCH(TableWRTECalcPts[[#This Row],[POSRef]],TableWRMaster[WRRef],0)),"")</f>
        <v>7.7891903186564804</v>
      </c>
    </row>
    <row r="205" spans="13:42" x14ac:dyDescent="0.25">
      <c r="M205" s="60"/>
      <c r="O205" s="59" t="str">
        <f>IFERROR(RANK(TableWRCalcPts[[#This Row],[Custom]],TableWRCalcPts[Custom])+COUNTIF($T$3:T205,T205)-1,"")</f>
        <v/>
      </c>
      <c r="P205" s="59">
        <v>203</v>
      </c>
      <c r="Q205" s="59" t="str">
        <f>IFERROR(INDEX(TableWRMaster[Player],MATCH(TableWRCalcPts[[#This Row],[WRRef]],TableWRMaster[WRRef],0)),"")</f>
        <v/>
      </c>
      <c r="R205" s="59" t="str">
        <f>IFERROR(INDEX(TableWRMaster[TM],MATCH(TableWRCalcPts[[#This Row],[WRRef]],TableWRMaster[WRRef],0)),"")</f>
        <v/>
      </c>
      <c r="S205" s="59" t="str">
        <f>IFERROR(INDEX(TableWRMaster[BYE],MATCH(TableWRCalcPts[[#This Row],[WRRef]],TableWRMaster[WRRef],0)),"")</f>
        <v/>
      </c>
      <c r="T205" s="60" t="str">
        <f>IFERROR(INDEX(TableWRMaster[Custom],MATCH(TableWRCalcPts[[#This Row],[WRRef]],TableWRMaster[WRRef],0)),"")</f>
        <v/>
      </c>
      <c r="AI205" s="59" t="s">
        <v>208</v>
      </c>
      <c r="AJ205" s="59">
        <f>IFERROR(RANK(TableWRTECalcPts[[#This Row],[Custom]],TableWRTECalcPts[Custom])+COUNTIF($AP$3:AP205,AP205)-1,"")</f>
        <v>2</v>
      </c>
      <c r="AK205" s="105">
        <v>103</v>
      </c>
      <c r="AL205" s="105" t="str">
        <f>IFERROR(INDEX(TableWRMaster[Player],MATCH(TableWRTECalcPts[[#This Row],[POSRef]],TableWRMaster[WRRef],0)),"")</f>
        <v>Tyreek Hill</v>
      </c>
      <c r="AM205" s="105" t="str">
        <f>IFERROR(_xlfn.CONCAT(TableWRTECalcPts[[#This Row],[POS]],INDEX(TableWRRanks[RK],MATCH(TableWRTECalcPts[[#This Row],[PLAYER]],TableWRRanks[Player],0))),"")</f>
        <v>WR2</v>
      </c>
      <c r="AN205" s="105" t="str">
        <f>IFERROR(INDEX(TableWRMaster[TM],MATCH(TableWRTECalcPts[[#This Row],[POSRef]],TableWRMaster[WRRef],0)),"")</f>
        <v>MIA</v>
      </c>
      <c r="AO205" s="105">
        <f>IFERROR(INDEX(TableWRMaster[BYE],MATCH(TableWRTECalcPts[[#This Row],[POSRef]],TableWRMaster[WRRef],0)),"")</f>
        <v>6</v>
      </c>
      <c r="AP205" s="103">
        <f>IFERROR(INDEX(TableWRMaster[Custom],MATCH(TableWRTECalcPts[[#This Row],[POSRef]],TableWRMaster[WRRef],0)),"")</f>
        <v>266.35924114405168</v>
      </c>
    </row>
    <row r="206" spans="13:42" x14ac:dyDescent="0.25">
      <c r="M206" s="60"/>
      <c r="O206" s="59" t="str">
        <f>IFERROR(RANK(TableWRCalcPts[[#This Row],[Custom]],TableWRCalcPts[Custom])+COUNTIF($T$3:T206,T206)-1,"")</f>
        <v/>
      </c>
      <c r="P206" s="59">
        <v>204</v>
      </c>
      <c r="Q206" s="59" t="str">
        <f>IFERROR(INDEX(TableWRMaster[Player],MATCH(TableWRCalcPts[[#This Row],[WRRef]],TableWRMaster[WRRef],0)),"")</f>
        <v/>
      </c>
      <c r="R206" s="59" t="str">
        <f>IFERROR(INDEX(TableWRMaster[TM],MATCH(TableWRCalcPts[[#This Row],[WRRef]],TableWRMaster[WRRef],0)),"")</f>
        <v/>
      </c>
      <c r="S206" s="59" t="str">
        <f>IFERROR(INDEX(TableWRMaster[BYE],MATCH(TableWRCalcPts[[#This Row],[WRRef]],TableWRMaster[WRRef],0)),"")</f>
        <v/>
      </c>
      <c r="T206" s="60" t="str">
        <f>IFERROR(INDEX(TableWRMaster[Custom],MATCH(TableWRCalcPts[[#This Row],[WRRef]],TableWRMaster[WRRef],0)),"")</f>
        <v/>
      </c>
      <c r="AI206" s="59" t="s">
        <v>208</v>
      </c>
      <c r="AJ206" s="59">
        <f>IFERROR(RANK(TableWRTECalcPts[[#This Row],[Custom]],TableWRTECalcPts[Custom])+COUNTIF($AP$3:AP206,AP206)-1,"")</f>
        <v>13</v>
      </c>
      <c r="AK206" s="105">
        <v>104</v>
      </c>
      <c r="AL206" s="105" t="str">
        <f>IFERROR(INDEX(TableWRMaster[Player],MATCH(TableWRTECalcPts[[#This Row],[POSRef]],TableWRMaster[WRRef],0)),"")</f>
        <v>Jaylen Waddle</v>
      </c>
      <c r="AM206" s="105" t="str">
        <f>IFERROR(_xlfn.CONCAT(TableWRTECalcPts[[#This Row],[POS]],INDEX(TableWRRanks[RK],MATCH(TableWRTECalcPts[[#This Row],[PLAYER]],TableWRRanks[Player],0))),"")</f>
        <v>WR13</v>
      </c>
      <c r="AN206" s="105" t="str">
        <f>IFERROR(INDEX(TableWRMaster[TM],MATCH(TableWRTECalcPts[[#This Row],[POSRef]],TableWRMaster[WRRef],0)),"")</f>
        <v>MIA</v>
      </c>
      <c r="AO206" s="105">
        <f>IFERROR(INDEX(TableWRMaster[BYE],MATCH(TableWRTECalcPts[[#This Row],[POSRef]],TableWRMaster[WRRef],0)),"")</f>
        <v>6</v>
      </c>
      <c r="AP206" s="103">
        <f>IFERROR(INDEX(TableWRMaster[Custom],MATCH(TableWRTECalcPts[[#This Row],[POSRef]],TableWRMaster[WRRef],0)),"")</f>
        <v>205.17621580917057</v>
      </c>
    </row>
    <row r="207" spans="13:42" x14ac:dyDescent="0.25">
      <c r="M207" s="60"/>
      <c r="O207" s="59" t="str">
        <f>IFERROR(RANK(TableWRCalcPts[[#This Row],[Custom]],TableWRCalcPts[Custom])+COUNTIF($T$3:T207,T207)-1,"")</f>
        <v/>
      </c>
      <c r="P207" s="59">
        <v>205</v>
      </c>
      <c r="Q207" s="59" t="str">
        <f>IFERROR(INDEX(TableWRMaster[Player],MATCH(TableWRCalcPts[[#This Row],[WRRef]],TableWRMaster[WRRef],0)),"")</f>
        <v/>
      </c>
      <c r="R207" s="59" t="str">
        <f>IFERROR(INDEX(TableWRMaster[TM],MATCH(TableWRCalcPts[[#This Row],[WRRef]],TableWRMaster[WRRef],0)),"")</f>
        <v/>
      </c>
      <c r="S207" s="59" t="str">
        <f>IFERROR(INDEX(TableWRMaster[BYE],MATCH(TableWRCalcPts[[#This Row],[WRRef]],TableWRMaster[WRRef],0)),"")</f>
        <v/>
      </c>
      <c r="T207" s="60" t="str">
        <f>IFERROR(INDEX(TableWRMaster[Custom],MATCH(TableWRCalcPts[[#This Row],[WRRef]],TableWRMaster[WRRef],0)),"")</f>
        <v/>
      </c>
      <c r="AI207" s="59" t="s">
        <v>208</v>
      </c>
      <c r="AJ207" s="59">
        <f>IFERROR(RANK(TableWRTECalcPts[[#This Row],[Custom]],TableWRTECalcPts[Custom])+COUNTIF($AP$3:AP207,AP207)-1,"")</f>
        <v>154</v>
      </c>
      <c r="AK207" s="105">
        <v>105</v>
      </c>
      <c r="AL207" s="105" t="str">
        <f>IFERROR(INDEX(TableWRMaster[Player],MATCH(TableWRTECalcPts[[#This Row],[POSRef]],TableWRMaster[WRRef],0)),"")</f>
        <v>Odell Beckham</v>
      </c>
      <c r="AM207" s="105" t="str">
        <f>IFERROR(_xlfn.CONCAT(TableWRTECalcPts[[#This Row],[POS]],INDEX(TableWRRanks[RK],MATCH(TableWRTECalcPts[[#This Row],[PLAYER]],TableWRRanks[Player],0))),"")</f>
        <v>WR112</v>
      </c>
      <c r="AN207" s="105" t="str">
        <f>IFERROR(INDEX(TableWRMaster[TM],MATCH(TableWRTECalcPts[[#This Row],[POSRef]],TableWRMaster[WRRef],0)),"")</f>
        <v>MIA</v>
      </c>
      <c r="AO207" s="105">
        <f>IFERROR(INDEX(TableWRMaster[BYE],MATCH(TableWRTECalcPts[[#This Row],[POSRef]],TableWRMaster[WRRef],0)),"")</f>
        <v>6</v>
      </c>
      <c r="AP207" s="103">
        <f>IFERROR(INDEX(TableWRMaster[Custom],MATCH(TableWRTECalcPts[[#This Row],[POSRef]],TableWRMaster[WRRef],0)),"")</f>
        <v>43.144873904039258</v>
      </c>
    </row>
    <row r="208" spans="13:42" x14ac:dyDescent="0.25">
      <c r="M208" s="60"/>
      <c r="O208" s="59" t="str">
        <f>IFERROR(RANK(TableWRCalcPts[[#This Row],[Custom]],TableWRCalcPts[Custom])+COUNTIF($T$3:T208,T208)-1,"")</f>
        <v/>
      </c>
      <c r="P208" s="59">
        <v>206</v>
      </c>
      <c r="Q208" s="59" t="str">
        <f>IFERROR(INDEX(TableWRMaster[Player],MATCH(TableWRCalcPts[[#This Row],[WRRef]],TableWRMaster[WRRef],0)),"")</f>
        <v/>
      </c>
      <c r="R208" s="59" t="str">
        <f>IFERROR(INDEX(TableWRMaster[TM],MATCH(TableWRCalcPts[[#This Row],[WRRef]],TableWRMaster[WRRef],0)),"")</f>
        <v/>
      </c>
      <c r="S208" s="59" t="str">
        <f>IFERROR(INDEX(TableWRMaster[BYE],MATCH(TableWRCalcPts[[#This Row],[WRRef]],TableWRMaster[WRRef],0)),"")</f>
        <v/>
      </c>
      <c r="T208" s="60" t="str">
        <f>IFERROR(INDEX(TableWRMaster[Custom],MATCH(TableWRCalcPts[[#This Row],[WRRef]],TableWRMaster[WRRef],0)),"")</f>
        <v/>
      </c>
      <c r="AI208" s="59" t="s">
        <v>208</v>
      </c>
      <c r="AJ208" s="59">
        <f>IFERROR(RANK(TableWRTECalcPts[[#This Row],[Custom]],TableWRTECalcPts[Custom])+COUNTIF($AP$3:AP208,AP208)-1,"")</f>
        <v>227</v>
      </c>
      <c r="AK208" s="105">
        <v>106</v>
      </c>
      <c r="AL208" s="105" t="str">
        <f>IFERROR(INDEX(TableWRMaster[Player],MATCH(TableWRTECalcPts[[#This Row],[POSRef]],TableWRMaster[WRRef],0)),"")</f>
        <v>Braxton Berrios</v>
      </c>
      <c r="AM208" s="105" t="str">
        <f>IFERROR(_xlfn.CONCAT(TableWRTECalcPts[[#This Row],[POS]],INDEX(TableWRRanks[RK],MATCH(TableWRTECalcPts[[#This Row],[PLAYER]],TableWRRanks[Player],0))),"")</f>
        <v>WR160</v>
      </c>
      <c r="AN208" s="105" t="str">
        <f>IFERROR(INDEX(TableWRMaster[TM],MATCH(TableWRTECalcPts[[#This Row],[POSRef]],TableWRMaster[WRRef],0)),"")</f>
        <v>MIA</v>
      </c>
      <c r="AO208" s="105">
        <f>IFERROR(INDEX(TableWRMaster[BYE],MATCH(TableWRTECalcPts[[#This Row],[POSRef]],TableWRMaster[WRRef],0)),"")</f>
        <v>6</v>
      </c>
      <c r="AP208" s="103">
        <f>IFERROR(INDEX(TableWRMaster[Custom],MATCH(TableWRTECalcPts[[#This Row],[POSRef]],TableWRMaster[WRRef],0)),"")</f>
        <v>11.404967640175933</v>
      </c>
    </row>
    <row r="209" spans="13:42" x14ac:dyDescent="0.25">
      <c r="M209" s="60"/>
      <c r="O209" s="59" t="str">
        <f>IFERROR(RANK(TableWRCalcPts[[#This Row],[Custom]],TableWRCalcPts[Custom])+COUNTIF($T$3:T209,T209)-1,"")</f>
        <v/>
      </c>
      <c r="P209" s="59">
        <v>207</v>
      </c>
      <c r="Q209" s="59" t="str">
        <f>IFERROR(INDEX(TableWRMaster[Player],MATCH(TableWRCalcPts[[#This Row],[WRRef]],TableWRMaster[WRRef],0)),"")</f>
        <v/>
      </c>
      <c r="R209" s="59" t="str">
        <f>IFERROR(INDEX(TableWRMaster[TM],MATCH(TableWRCalcPts[[#This Row],[WRRef]],TableWRMaster[WRRef],0)),"")</f>
        <v/>
      </c>
      <c r="S209" s="59" t="str">
        <f>IFERROR(INDEX(TableWRMaster[BYE],MATCH(TableWRCalcPts[[#This Row],[WRRef]],TableWRMaster[WRRef],0)),"")</f>
        <v/>
      </c>
      <c r="T209" s="60" t="str">
        <f>IFERROR(INDEX(TableWRMaster[Custom],MATCH(TableWRCalcPts[[#This Row],[WRRef]],TableWRMaster[WRRef],0)),"")</f>
        <v/>
      </c>
      <c r="AI209" s="59" t="s">
        <v>208</v>
      </c>
      <c r="AJ209" s="59">
        <f>IFERROR(RANK(TableWRTECalcPts[[#This Row],[Custom]],TableWRTECalcPts[Custom])+COUNTIF($AP$3:AP209,AP209)-1,"")</f>
        <v>140</v>
      </c>
      <c r="AK209" s="105">
        <v>107</v>
      </c>
      <c r="AL209" s="105" t="str">
        <f>IFERROR(INDEX(TableWRMaster[Player],MATCH(TableWRTECalcPts[[#This Row],[POSRef]],TableWRMaster[WRRef],0)),"")</f>
        <v>Malik Washington</v>
      </c>
      <c r="AM209" s="105" t="str">
        <f>IFERROR(_xlfn.CONCAT(TableWRTECalcPts[[#This Row],[POS]],INDEX(TableWRRanks[RK],MATCH(TableWRTECalcPts[[#This Row],[PLAYER]],TableWRRanks[Player],0))),"")</f>
        <v>WR104</v>
      </c>
      <c r="AN209" s="105" t="str">
        <f>IFERROR(INDEX(TableWRMaster[TM],MATCH(TableWRTECalcPts[[#This Row],[POSRef]],TableWRMaster[WRRef],0)),"")</f>
        <v>MIA</v>
      </c>
      <c r="AO209" s="105">
        <f>IFERROR(INDEX(TableWRMaster[BYE],MATCH(TableWRTECalcPts[[#This Row],[POSRef]],TableWRMaster[WRRef],0)),"")</f>
        <v>6</v>
      </c>
      <c r="AP209" s="103">
        <f>IFERROR(INDEX(TableWRMaster[Custom],MATCH(TableWRTECalcPts[[#This Row],[POSRef]],TableWRMaster[WRRef],0)),"")</f>
        <v>56.740369681564793</v>
      </c>
    </row>
    <row r="210" spans="13:42" x14ac:dyDescent="0.25">
      <c r="M210" s="60"/>
      <c r="O210" s="59" t="str">
        <f>IFERROR(RANK(TableWRCalcPts[[#This Row],[Custom]],TableWRCalcPts[Custom])+COUNTIF($T$3:T210,T210)-1,"")</f>
        <v/>
      </c>
      <c r="P210" s="59">
        <v>208</v>
      </c>
      <c r="Q210" s="59" t="str">
        <f>IFERROR(INDEX(TableWRMaster[Player],MATCH(TableWRCalcPts[[#This Row],[WRRef]],TableWRMaster[WRRef],0)),"")</f>
        <v/>
      </c>
      <c r="R210" s="59" t="str">
        <f>IFERROR(INDEX(TableWRMaster[TM],MATCH(TableWRCalcPts[[#This Row],[WRRef]],TableWRMaster[WRRef],0)),"")</f>
        <v/>
      </c>
      <c r="S210" s="59" t="str">
        <f>IFERROR(INDEX(TableWRMaster[BYE],MATCH(TableWRCalcPts[[#This Row],[WRRef]],TableWRMaster[WRRef],0)),"")</f>
        <v/>
      </c>
      <c r="T210" s="60" t="str">
        <f>IFERROR(INDEX(TableWRMaster[Custom],MATCH(TableWRCalcPts[[#This Row],[WRRef]],TableWRMaster[WRRef],0)),"")</f>
        <v/>
      </c>
      <c r="AI210" s="59" t="s">
        <v>208</v>
      </c>
      <c r="AJ210" s="59">
        <f>IFERROR(RANK(TableWRTECalcPts[[#This Row],[Custom]],TableWRTECalcPts[Custom])+COUNTIF($AP$3:AP210,AP210)-1,"")</f>
        <v>237</v>
      </c>
      <c r="AK210" s="105">
        <v>108</v>
      </c>
      <c r="AL210" s="105" t="str">
        <f>IFERROR(INDEX(TableWRMaster[Player],MATCH(TableWRTECalcPts[[#This Row],[POSRef]],TableWRMaster[WRRef],0)),"")</f>
        <v>River Cracraft</v>
      </c>
      <c r="AM210" s="105" t="str">
        <f>IFERROR(_xlfn.CONCAT(TableWRTECalcPts[[#This Row],[POS]],INDEX(TableWRRanks[RK],MATCH(TableWRTECalcPts[[#This Row],[PLAYER]],TableWRRanks[Player],0))),"")</f>
        <v>WR167</v>
      </c>
      <c r="AN210" s="105" t="str">
        <f>IFERROR(INDEX(TableWRMaster[TM],MATCH(TableWRTECalcPts[[#This Row],[POSRef]],TableWRMaster[WRRef],0)),"")</f>
        <v>MIA</v>
      </c>
      <c r="AO210" s="105">
        <f>IFERROR(INDEX(TableWRMaster[BYE],MATCH(TableWRTECalcPts[[#This Row],[POSRef]],TableWRMaster[WRRef],0)),"")</f>
        <v>6</v>
      </c>
      <c r="AP210" s="103">
        <f>IFERROR(INDEX(TableWRMaster[Custom],MATCH(TableWRTECalcPts[[#This Row],[POSRef]],TableWRMaster[WRRef],0)),"")</f>
        <v>8.5156327785290653</v>
      </c>
    </row>
    <row r="211" spans="13:42" x14ac:dyDescent="0.25">
      <c r="M211" s="60"/>
      <c r="O211" s="59" t="str">
        <f>IFERROR(RANK(TableWRCalcPts[[#This Row],[Custom]],TableWRCalcPts[Custom])+COUNTIF($T$3:T211,T211)-1,"")</f>
        <v/>
      </c>
      <c r="P211" s="59">
        <v>209</v>
      </c>
      <c r="Q211" s="59" t="str">
        <f>IFERROR(INDEX(TableWRMaster[Player],MATCH(TableWRCalcPts[[#This Row],[WRRef]],TableWRMaster[WRRef],0)),"")</f>
        <v/>
      </c>
      <c r="R211" s="59" t="str">
        <f>IFERROR(INDEX(TableWRMaster[TM],MATCH(TableWRCalcPts[[#This Row],[WRRef]],TableWRMaster[WRRef],0)),"")</f>
        <v/>
      </c>
      <c r="S211" s="59" t="str">
        <f>IFERROR(INDEX(TableWRMaster[BYE],MATCH(TableWRCalcPts[[#This Row],[WRRef]],TableWRMaster[WRRef],0)),"")</f>
        <v/>
      </c>
      <c r="T211" s="60" t="str">
        <f>IFERROR(INDEX(TableWRMaster[Custom],MATCH(TableWRCalcPts[[#This Row],[WRRef]],TableWRMaster[WRRef],0)),"")</f>
        <v/>
      </c>
      <c r="AI211" s="59" t="s">
        <v>208</v>
      </c>
      <c r="AJ211" s="59">
        <f>IFERROR(RANK(TableWRTECalcPts[[#This Row],[Custom]],TableWRTECalcPts[Custom])+COUNTIF($AP$3:AP211,AP211)-1,"")</f>
        <v>5</v>
      </c>
      <c r="AK211" s="105">
        <v>109</v>
      </c>
      <c r="AL211" s="105" t="str">
        <f>IFERROR(INDEX(TableWRMaster[Player],MATCH(TableWRTECalcPts[[#This Row],[POSRef]],TableWRMaster[WRRef],0)),"")</f>
        <v>Justin Jefferson</v>
      </c>
      <c r="AM211" s="105" t="str">
        <f>IFERROR(_xlfn.CONCAT(TableWRTECalcPts[[#This Row],[POS]],INDEX(TableWRRanks[RK],MATCH(TableWRTECalcPts[[#This Row],[PLAYER]],TableWRRanks[Player],0))),"")</f>
        <v>WR5</v>
      </c>
      <c r="AN211" s="105" t="str">
        <f>IFERROR(INDEX(TableWRMaster[TM],MATCH(TableWRTECalcPts[[#This Row],[POSRef]],TableWRMaster[WRRef],0)),"")</f>
        <v>MIN</v>
      </c>
      <c r="AO211" s="105">
        <f>IFERROR(INDEX(TableWRMaster[BYE],MATCH(TableWRTECalcPts[[#This Row],[POSRef]],TableWRMaster[WRRef],0)),"")</f>
        <v>6</v>
      </c>
      <c r="AP211" s="103">
        <f>IFERROR(INDEX(TableWRMaster[Custom],MATCH(TableWRTECalcPts[[#This Row],[POSRef]],TableWRMaster[WRRef],0)),"")</f>
        <v>241.32118821726243</v>
      </c>
    </row>
    <row r="212" spans="13:42" x14ac:dyDescent="0.25">
      <c r="M212" s="60"/>
      <c r="O212" s="59" t="str">
        <f>IFERROR(RANK(TableWRCalcPts[[#This Row],[Custom]],TableWRCalcPts[Custom])+COUNTIF($T$3:T212,T212)-1,"")</f>
        <v/>
      </c>
      <c r="P212" s="59">
        <v>210</v>
      </c>
      <c r="Q212" s="59" t="str">
        <f>IFERROR(INDEX(TableWRMaster[Player],MATCH(TableWRCalcPts[[#This Row],[WRRef]],TableWRMaster[WRRef],0)),"")</f>
        <v/>
      </c>
      <c r="R212" s="59" t="str">
        <f>IFERROR(INDEX(TableWRMaster[TM],MATCH(TableWRCalcPts[[#This Row],[WRRef]],TableWRMaster[WRRef],0)),"")</f>
        <v/>
      </c>
      <c r="S212" s="59" t="str">
        <f>IFERROR(INDEX(TableWRMaster[BYE],MATCH(TableWRCalcPts[[#This Row],[WRRef]],TableWRMaster[WRRef],0)),"")</f>
        <v/>
      </c>
      <c r="T212" s="60" t="str">
        <f>IFERROR(INDEX(TableWRMaster[Custom],MATCH(TableWRCalcPts[[#This Row],[WRRef]],TableWRMaster[WRRef],0)),"")</f>
        <v/>
      </c>
      <c r="AI212" s="59" t="s">
        <v>208</v>
      </c>
      <c r="AJ212" s="59">
        <f>IFERROR(RANK(TableWRTECalcPts[[#This Row],[Custom]],TableWRTECalcPts[Custom])+COUNTIF($AP$3:AP212,AP212)-1,"")</f>
        <v>39</v>
      </c>
      <c r="AK212" s="105">
        <v>110</v>
      </c>
      <c r="AL212" s="105" t="str">
        <f>IFERROR(INDEX(TableWRMaster[Player],MATCH(TableWRTECalcPts[[#This Row],[POSRef]],TableWRMaster[WRRef],0)),"")</f>
        <v>Jordan Addison</v>
      </c>
      <c r="AM212" s="105" t="str">
        <f>IFERROR(_xlfn.CONCAT(TableWRTECalcPts[[#This Row],[POS]],INDEX(TableWRRanks[RK],MATCH(TableWRTECalcPts[[#This Row],[PLAYER]],TableWRRanks[Player],0))),"")</f>
        <v>WR35</v>
      </c>
      <c r="AN212" s="105" t="str">
        <f>IFERROR(INDEX(TableWRMaster[TM],MATCH(TableWRTECalcPts[[#This Row],[POSRef]],TableWRMaster[WRRef],0)),"")</f>
        <v>MIN</v>
      </c>
      <c r="AO212" s="105">
        <f>IFERROR(INDEX(TableWRMaster[BYE],MATCH(TableWRTECalcPts[[#This Row],[POSRef]],TableWRMaster[WRRef],0)),"")</f>
        <v>6</v>
      </c>
      <c r="AP212" s="103">
        <f>IFERROR(INDEX(TableWRMaster[Custom],MATCH(TableWRTECalcPts[[#This Row],[POSRef]],TableWRMaster[WRRef],0)),"")</f>
        <v>173.55431512473601</v>
      </c>
    </row>
    <row r="213" spans="13:42" x14ac:dyDescent="0.25">
      <c r="M213" s="60"/>
      <c r="O213" s="59" t="str">
        <f>IFERROR(RANK(TableWRCalcPts[[#This Row],[Custom]],TableWRCalcPts[Custom])+COUNTIF($T$3:T213,T213)-1,"")</f>
        <v/>
      </c>
      <c r="P213" s="59">
        <v>211</v>
      </c>
      <c r="Q213" s="59" t="str">
        <f>IFERROR(INDEX(TableWRMaster[Player],MATCH(TableWRCalcPts[[#This Row],[WRRef]],TableWRMaster[WRRef],0)),"")</f>
        <v/>
      </c>
      <c r="R213" s="59" t="str">
        <f>IFERROR(INDEX(TableWRMaster[TM],MATCH(TableWRCalcPts[[#This Row],[WRRef]],TableWRMaster[WRRef],0)),"")</f>
        <v/>
      </c>
      <c r="S213" s="59" t="str">
        <f>IFERROR(INDEX(TableWRMaster[BYE],MATCH(TableWRCalcPts[[#This Row],[WRRef]],TableWRMaster[WRRef],0)),"")</f>
        <v/>
      </c>
      <c r="T213" s="60" t="str">
        <f>IFERROR(INDEX(TableWRMaster[Custom],MATCH(TableWRCalcPts[[#This Row],[WRRef]],TableWRMaster[WRRef],0)),"")</f>
        <v/>
      </c>
      <c r="AI213" s="59" t="s">
        <v>208</v>
      </c>
      <c r="AJ213" s="59">
        <f>IFERROR(RANK(TableWRTECalcPts[[#This Row],[Custom]],TableWRTECalcPts[Custom])+COUNTIF($AP$3:AP213,AP213)-1,"")</f>
        <v>184</v>
      </c>
      <c r="AK213" s="105">
        <v>111</v>
      </c>
      <c r="AL213" s="105" t="str">
        <f>IFERROR(INDEX(TableWRMaster[Player],MATCH(TableWRTECalcPts[[#This Row],[POSRef]],TableWRMaster[WRRef],0)),"")</f>
        <v>Brandon Powell</v>
      </c>
      <c r="AM213" s="105" t="str">
        <f>IFERROR(_xlfn.CONCAT(TableWRTECalcPts[[#This Row],[POS]],INDEX(TableWRRanks[RK],MATCH(TableWRTECalcPts[[#This Row],[PLAYER]],TableWRRanks[Player],0))),"")</f>
        <v>WR132</v>
      </c>
      <c r="AN213" s="105" t="str">
        <f>IFERROR(INDEX(TableWRMaster[TM],MATCH(TableWRTECalcPts[[#This Row],[POSRef]],TableWRMaster[WRRef],0)),"")</f>
        <v>MIN</v>
      </c>
      <c r="AO213" s="105">
        <f>IFERROR(INDEX(TableWRMaster[BYE],MATCH(TableWRTECalcPts[[#This Row],[POSRef]],TableWRMaster[WRRef],0)),"")</f>
        <v>6</v>
      </c>
      <c r="AP213" s="103">
        <f>IFERROR(INDEX(TableWRMaster[Custom],MATCH(TableWRTECalcPts[[#This Row],[POSRef]],TableWRMaster[WRRef],0)),"")</f>
        <v>24.407091129565359</v>
      </c>
    </row>
    <row r="214" spans="13:42" x14ac:dyDescent="0.25">
      <c r="M214" s="60"/>
      <c r="O214" s="59" t="str">
        <f>IFERROR(RANK(TableWRCalcPts[[#This Row],[Custom]],TableWRCalcPts[Custom])+COUNTIF($T$3:T214,T214)-1,"")</f>
        <v/>
      </c>
      <c r="P214" s="59">
        <v>212</v>
      </c>
      <c r="Q214" s="59" t="str">
        <f>IFERROR(INDEX(TableWRMaster[Player],MATCH(TableWRCalcPts[[#This Row],[WRRef]],TableWRMaster[WRRef],0)),"")</f>
        <v/>
      </c>
      <c r="R214" s="59" t="str">
        <f>IFERROR(INDEX(TableWRMaster[TM],MATCH(TableWRCalcPts[[#This Row],[WRRef]],TableWRMaster[WRRef],0)),"")</f>
        <v/>
      </c>
      <c r="S214" s="59" t="str">
        <f>IFERROR(INDEX(TableWRMaster[BYE],MATCH(TableWRCalcPts[[#This Row],[WRRef]],TableWRMaster[WRRef],0)),"")</f>
        <v/>
      </c>
      <c r="T214" s="60" t="str">
        <f>IFERROR(INDEX(TableWRMaster[Custom],MATCH(TableWRCalcPts[[#This Row],[WRRef]],TableWRMaster[WRRef],0)),"")</f>
        <v/>
      </c>
      <c r="AI214" s="59" t="s">
        <v>208</v>
      </c>
      <c r="AJ214" s="59">
        <f>IFERROR(RANK(TableWRTECalcPts[[#This Row],[Custom]],TableWRTECalcPts[Custom])+COUNTIF($AP$3:AP214,AP214)-1,"")</f>
        <v>216</v>
      </c>
      <c r="AK214" s="105">
        <v>112</v>
      </c>
      <c r="AL214" s="105" t="str">
        <f>IFERROR(INDEX(TableWRMaster[Player],MATCH(TableWRTECalcPts[[#This Row],[POSRef]],TableWRMaster[WRRef],0)),"")</f>
        <v>Trent Sherfield</v>
      </c>
      <c r="AM214" s="105" t="str">
        <f>IFERROR(_xlfn.CONCAT(TableWRTECalcPts[[#This Row],[POS]],INDEX(TableWRRanks[RK],MATCH(TableWRTECalcPts[[#This Row],[PLAYER]],TableWRRanks[Player],0))),"")</f>
        <v>WR152</v>
      </c>
      <c r="AN214" s="105" t="str">
        <f>IFERROR(INDEX(TableWRMaster[TM],MATCH(TableWRTECalcPts[[#This Row],[POSRef]],TableWRMaster[WRRef],0)),"")</f>
        <v>MIN</v>
      </c>
      <c r="AO214" s="105">
        <f>IFERROR(INDEX(TableWRMaster[BYE],MATCH(TableWRTECalcPts[[#This Row],[POSRef]],TableWRMaster[WRRef],0)),"")</f>
        <v>6</v>
      </c>
      <c r="AP214" s="103">
        <f>IFERROR(INDEX(TableWRMaster[Custom],MATCH(TableWRTECalcPts[[#This Row],[POSRef]],TableWRMaster[WRRef],0)),"")</f>
        <v>14.679469050603101</v>
      </c>
    </row>
    <row r="215" spans="13:42" x14ac:dyDescent="0.25">
      <c r="M215" s="60"/>
      <c r="O215" s="59" t="str">
        <f>IFERROR(RANK(TableWRCalcPts[[#This Row],[Custom]],TableWRCalcPts[Custom])+COUNTIF($T$3:T215,T215)-1,"")</f>
        <v/>
      </c>
      <c r="P215" s="59">
        <v>213</v>
      </c>
      <c r="Q215" s="59" t="str">
        <f>IFERROR(INDEX(TableWRMaster[Player],MATCH(TableWRCalcPts[[#This Row],[WRRef]],TableWRMaster[WRRef],0)),"")</f>
        <v/>
      </c>
      <c r="R215" s="59" t="str">
        <f>IFERROR(INDEX(TableWRMaster[TM],MATCH(TableWRCalcPts[[#This Row],[WRRef]],TableWRMaster[WRRef],0)),"")</f>
        <v/>
      </c>
      <c r="S215" s="59" t="str">
        <f>IFERROR(INDEX(TableWRMaster[BYE],MATCH(TableWRCalcPts[[#This Row],[WRRef]],TableWRMaster[WRRef],0)),"")</f>
        <v/>
      </c>
      <c r="T215" s="60" t="str">
        <f>IFERROR(INDEX(TableWRMaster[Custom],MATCH(TableWRCalcPts[[#This Row],[WRRef]],TableWRMaster[WRRef],0)),"")</f>
        <v/>
      </c>
      <c r="AI215" s="59" t="s">
        <v>208</v>
      </c>
      <c r="AJ215" s="59">
        <f>IFERROR(RANK(TableWRTECalcPts[[#This Row],[Custom]],TableWRTECalcPts[Custom])+COUNTIF($AP$3:AP215,AP215)-1,"")</f>
        <v>129</v>
      </c>
      <c r="AK215" s="105">
        <v>113</v>
      </c>
      <c r="AL215" s="105" t="str">
        <f>IFERROR(INDEX(TableWRMaster[Player],MATCH(TableWRTECalcPts[[#This Row],[POSRef]],TableWRMaster[WRRef],0)),"")</f>
        <v>Jalen Nailor</v>
      </c>
      <c r="AM215" s="105" t="str">
        <f>IFERROR(_xlfn.CONCAT(TableWRTECalcPts[[#This Row],[POS]],INDEX(TableWRRanks[RK],MATCH(TableWRTECalcPts[[#This Row],[PLAYER]],TableWRRanks[Player],0))),"")</f>
        <v>WR97</v>
      </c>
      <c r="AN215" s="105" t="str">
        <f>IFERROR(INDEX(TableWRMaster[TM],MATCH(TableWRTECalcPts[[#This Row],[POSRef]],TableWRMaster[WRRef],0)),"")</f>
        <v>MIN</v>
      </c>
      <c r="AO215" s="105">
        <f>IFERROR(INDEX(TableWRMaster[BYE],MATCH(TableWRTECalcPts[[#This Row],[POSRef]],TableWRMaster[WRRef],0)),"")</f>
        <v>6</v>
      </c>
      <c r="AP215" s="103">
        <f>IFERROR(INDEX(TableWRMaster[Custom],MATCH(TableWRTECalcPts[[#This Row],[POSRef]],TableWRMaster[WRRef],0)),"")</f>
        <v>64.716988902047987</v>
      </c>
    </row>
    <row r="216" spans="13:42" x14ac:dyDescent="0.25">
      <c r="M216" s="60"/>
      <c r="O216" s="59" t="str">
        <f>IFERROR(RANK(TableWRCalcPts[[#This Row],[Custom]],TableWRCalcPts[Custom])+COUNTIF($T$3:T216,T216)-1,"")</f>
        <v/>
      </c>
      <c r="P216" s="59">
        <v>214</v>
      </c>
      <c r="Q216" s="59" t="str">
        <f>IFERROR(INDEX(TableWRMaster[Player],MATCH(TableWRCalcPts[[#This Row],[WRRef]],TableWRMaster[WRRef],0)),"")</f>
        <v/>
      </c>
      <c r="R216" s="59" t="str">
        <f>IFERROR(INDEX(TableWRMaster[TM],MATCH(TableWRCalcPts[[#This Row],[WRRef]],TableWRMaster[WRRef],0)),"")</f>
        <v/>
      </c>
      <c r="S216" s="59" t="str">
        <f>IFERROR(INDEX(TableWRMaster[BYE],MATCH(TableWRCalcPts[[#This Row],[WRRef]],TableWRMaster[WRRef],0)),"")</f>
        <v/>
      </c>
      <c r="T216" s="60" t="str">
        <f>IFERROR(INDEX(TableWRMaster[Custom],MATCH(TableWRCalcPts[[#This Row],[WRRef]],TableWRMaster[WRRef],0)),"")</f>
        <v/>
      </c>
      <c r="AI216" s="59" t="s">
        <v>208</v>
      </c>
      <c r="AJ216" s="59">
        <f>IFERROR(RANK(TableWRTECalcPts[[#This Row],[Custom]],TableWRTECalcPts[Custom])+COUNTIF($AP$3:AP216,AP216)-1,"")</f>
        <v>76</v>
      </c>
      <c r="AK216" s="105">
        <v>114</v>
      </c>
      <c r="AL216" s="105" t="str">
        <f>IFERROR(INDEX(TableWRMaster[Player],MATCH(TableWRTECalcPts[[#This Row],[POSRef]],TableWRMaster[WRRef],0)),"")</f>
        <v>Demario Douglas</v>
      </c>
      <c r="AM216" s="105" t="str">
        <f>IFERROR(_xlfn.CONCAT(TableWRTECalcPts[[#This Row],[POS]],INDEX(TableWRRanks[RK],MATCH(TableWRTECalcPts[[#This Row],[PLAYER]],TableWRRanks[Player],0))),"")</f>
        <v>WR64</v>
      </c>
      <c r="AN216" s="105" t="str">
        <f>IFERROR(INDEX(TableWRMaster[TM],MATCH(TableWRTECalcPts[[#This Row],[POSRef]],TableWRMaster[WRRef],0)),"")</f>
        <v>NE</v>
      </c>
      <c r="AO216" s="105">
        <f>IFERROR(INDEX(TableWRMaster[BYE],MATCH(TableWRTECalcPts[[#This Row],[POSRef]],TableWRMaster[WRRef],0)),"")</f>
        <v>14</v>
      </c>
      <c r="AP216" s="103">
        <f>IFERROR(INDEX(TableWRMaster[Custom],MATCH(TableWRTECalcPts[[#This Row],[POSRef]],TableWRMaster[WRRef],0)),"")</f>
        <v>127.43642317391996</v>
      </c>
    </row>
    <row r="217" spans="13:42" x14ac:dyDescent="0.25">
      <c r="M217" s="60"/>
      <c r="O217" s="59" t="str">
        <f>IFERROR(RANK(TableWRCalcPts[[#This Row],[Custom]],TableWRCalcPts[Custom])+COUNTIF($T$3:T217,T217)-1,"")</f>
        <v/>
      </c>
      <c r="P217" s="59">
        <v>215</v>
      </c>
      <c r="Q217" s="59" t="str">
        <f>IFERROR(INDEX(TableWRMaster[Player],MATCH(TableWRCalcPts[[#This Row],[WRRef]],TableWRMaster[WRRef],0)),"")</f>
        <v/>
      </c>
      <c r="R217" s="59" t="str">
        <f>IFERROR(INDEX(TableWRMaster[TM],MATCH(TableWRCalcPts[[#This Row],[WRRef]],TableWRMaster[WRRef],0)),"")</f>
        <v/>
      </c>
      <c r="S217" s="59" t="str">
        <f>IFERROR(INDEX(TableWRMaster[BYE],MATCH(TableWRCalcPts[[#This Row],[WRRef]],TableWRMaster[WRRef],0)),"")</f>
        <v/>
      </c>
      <c r="T217" s="60" t="str">
        <f>IFERROR(INDEX(TableWRMaster[Custom],MATCH(TableWRCalcPts[[#This Row],[WRRef]],TableWRMaster[WRRef],0)),"")</f>
        <v/>
      </c>
      <c r="AI217" s="59" t="s">
        <v>208</v>
      </c>
      <c r="AJ217" s="59">
        <f>IFERROR(RANK(TableWRTECalcPts[[#This Row],[Custom]],TableWRTECalcPts[Custom])+COUNTIF($AP$3:AP217,AP217)-1,"")</f>
        <v>126</v>
      </c>
      <c r="AK217" s="105">
        <v>115</v>
      </c>
      <c r="AL217" s="105" t="str">
        <f>IFERROR(INDEX(TableWRMaster[Player],MATCH(TableWRTECalcPts[[#This Row],[POSRef]],TableWRMaster[WRRef],0)),"")</f>
        <v>Kendrick Bourne</v>
      </c>
      <c r="AM217" s="105" t="str">
        <f>IFERROR(_xlfn.CONCAT(TableWRTECalcPts[[#This Row],[POS]],INDEX(TableWRRanks[RK],MATCH(TableWRTECalcPts[[#This Row],[PLAYER]],TableWRRanks[Player],0))),"")</f>
        <v>WR95</v>
      </c>
      <c r="AN217" s="105" t="str">
        <f>IFERROR(INDEX(TableWRMaster[TM],MATCH(TableWRTECalcPts[[#This Row],[POSRef]],TableWRMaster[WRRef],0)),"")</f>
        <v>NE</v>
      </c>
      <c r="AO217" s="105">
        <f>IFERROR(INDEX(TableWRMaster[BYE],MATCH(TableWRTECalcPts[[#This Row],[POSRef]],TableWRMaster[WRRef],0)),"")</f>
        <v>14</v>
      </c>
      <c r="AP217" s="103">
        <f>IFERROR(INDEX(TableWRMaster[Custom],MATCH(TableWRTECalcPts[[#This Row],[POSRef]],TableWRMaster[WRRef],0)),"")</f>
        <v>70.699840083387201</v>
      </c>
    </row>
    <row r="218" spans="13:42" x14ac:dyDescent="0.25">
      <c r="M218" s="60"/>
      <c r="O218" s="59" t="str">
        <f>IFERROR(RANK(TableWRCalcPts[[#This Row],[Custom]],TableWRCalcPts[Custom])+COUNTIF($T$3:T218,T218)-1,"")</f>
        <v/>
      </c>
      <c r="P218" s="59">
        <v>216</v>
      </c>
      <c r="Q218" s="59" t="str">
        <f>IFERROR(INDEX(TableWRMaster[Player],MATCH(TableWRCalcPts[[#This Row],[WRRef]],TableWRMaster[WRRef],0)),"")</f>
        <v/>
      </c>
      <c r="R218" s="59" t="str">
        <f>IFERROR(INDEX(TableWRMaster[TM],MATCH(TableWRCalcPts[[#This Row],[WRRef]],TableWRMaster[WRRef],0)),"")</f>
        <v/>
      </c>
      <c r="S218" s="59" t="str">
        <f>IFERROR(INDEX(TableWRMaster[BYE],MATCH(TableWRCalcPts[[#This Row],[WRRef]],TableWRMaster[WRRef],0)),"")</f>
        <v/>
      </c>
      <c r="T218" s="60" t="str">
        <f>IFERROR(INDEX(TableWRMaster[Custom],MATCH(TableWRCalcPts[[#This Row],[WRRef]],TableWRMaster[WRRef],0)),"")</f>
        <v/>
      </c>
      <c r="AI218" s="59" t="s">
        <v>208</v>
      </c>
      <c r="AJ218" s="59">
        <f>IFERROR(RANK(TableWRTECalcPts[[#This Row],[Custom]],TableWRTECalcPts[Custom])+COUNTIF($AP$3:AP218,AP218)-1,"")</f>
        <v>106</v>
      </c>
      <c r="AK218" s="105">
        <v>116</v>
      </c>
      <c r="AL218" s="105" t="str">
        <f>IFERROR(INDEX(TableWRMaster[Player],MATCH(TableWRTECalcPts[[#This Row],[POSRef]],TableWRMaster[WRRef],0)),"")</f>
        <v>Ja'Lynn Polk</v>
      </c>
      <c r="AM218" s="105" t="str">
        <f>IFERROR(_xlfn.CONCAT(TableWRTECalcPts[[#This Row],[POS]],INDEX(TableWRRanks[RK],MATCH(TableWRTECalcPts[[#This Row],[PLAYER]],TableWRRanks[Player],0))),"")</f>
        <v>WR86</v>
      </c>
      <c r="AN218" s="105" t="str">
        <f>IFERROR(INDEX(TableWRMaster[TM],MATCH(TableWRTECalcPts[[#This Row],[POSRef]],TableWRMaster[WRRef],0)),"")</f>
        <v>NE</v>
      </c>
      <c r="AO218" s="105">
        <f>IFERROR(INDEX(TableWRMaster[BYE],MATCH(TableWRTECalcPts[[#This Row],[POSRef]],TableWRMaster[WRRef],0)),"")</f>
        <v>14</v>
      </c>
      <c r="AP218" s="103">
        <f>IFERROR(INDEX(TableWRMaster[Custom],MATCH(TableWRTECalcPts[[#This Row],[POSRef]],TableWRMaster[WRRef],0)),"")</f>
        <v>92.520147055073906</v>
      </c>
    </row>
    <row r="219" spans="13:42" x14ac:dyDescent="0.25">
      <c r="M219" s="60"/>
      <c r="O219" s="59" t="str">
        <f>IFERROR(RANK(TableWRCalcPts[[#This Row],[Custom]],TableWRCalcPts[Custom])+COUNTIF($T$3:T219,T219)-1,"")</f>
        <v/>
      </c>
      <c r="P219" s="59">
        <v>217</v>
      </c>
      <c r="Q219" s="59" t="str">
        <f>IFERROR(INDEX(TableWRMaster[Player],MATCH(TableWRCalcPts[[#This Row],[WRRef]],TableWRMaster[WRRef],0)),"")</f>
        <v/>
      </c>
      <c r="R219" s="59" t="str">
        <f>IFERROR(INDEX(TableWRMaster[TM],MATCH(TableWRCalcPts[[#This Row],[WRRef]],TableWRMaster[WRRef],0)),"")</f>
        <v/>
      </c>
      <c r="S219" s="59" t="str">
        <f>IFERROR(INDEX(TableWRMaster[BYE],MATCH(TableWRCalcPts[[#This Row],[WRRef]],TableWRMaster[WRRef],0)),"")</f>
        <v/>
      </c>
      <c r="T219" s="60" t="str">
        <f>IFERROR(INDEX(TableWRMaster[Custom],MATCH(TableWRCalcPts[[#This Row],[WRRef]],TableWRMaster[WRRef],0)),"")</f>
        <v/>
      </c>
      <c r="AI219" s="59" t="s">
        <v>208</v>
      </c>
      <c r="AJ219" s="59">
        <f>IFERROR(RANK(TableWRTECalcPts[[#This Row],[Custom]],TableWRTECalcPts[Custom])+COUNTIF($AP$3:AP219,AP219)-1,"")</f>
        <v>133</v>
      </c>
      <c r="AK219" s="105">
        <v>117</v>
      </c>
      <c r="AL219" s="105" t="str">
        <f>IFERROR(INDEX(TableWRMaster[Player],MATCH(TableWRTECalcPts[[#This Row],[POSRef]],TableWRMaster[WRRef],0)),"")</f>
        <v>Tyquan Thornton</v>
      </c>
      <c r="AM219" s="105" t="str">
        <f>IFERROR(_xlfn.CONCAT(TableWRTECalcPts[[#This Row],[POS]],INDEX(TableWRRanks[RK],MATCH(TableWRTECalcPts[[#This Row],[PLAYER]],TableWRRanks[Player],0))),"")</f>
        <v>WR100</v>
      </c>
      <c r="AN219" s="105" t="str">
        <f>IFERROR(INDEX(TableWRMaster[TM],MATCH(TableWRTECalcPts[[#This Row],[POSRef]],TableWRMaster[WRRef],0)),"")</f>
        <v>NE</v>
      </c>
      <c r="AO219" s="105">
        <f>IFERROR(INDEX(TableWRMaster[BYE],MATCH(TableWRTECalcPts[[#This Row],[POSRef]],TableWRMaster[WRRef],0)),"")</f>
        <v>14</v>
      </c>
      <c r="AP219" s="103">
        <f>IFERROR(INDEX(TableWRMaster[Custom],MATCH(TableWRTECalcPts[[#This Row],[POSRef]],TableWRMaster[WRRef],0)),"")</f>
        <v>63.087701683529595</v>
      </c>
    </row>
    <row r="220" spans="13:42" x14ac:dyDescent="0.25">
      <c r="M220" s="60"/>
      <c r="O220" s="59" t="str">
        <f>IFERROR(RANK(TableWRCalcPts[[#This Row],[Custom]],TableWRCalcPts[Custom])+COUNTIF($T$3:T220,T220)-1,"")</f>
        <v/>
      </c>
      <c r="P220" s="59">
        <v>218</v>
      </c>
      <c r="Q220" s="59" t="str">
        <f>IFERROR(INDEX(TableWRMaster[Player],MATCH(TableWRCalcPts[[#This Row],[WRRef]],TableWRMaster[WRRef],0)),"")</f>
        <v/>
      </c>
      <c r="R220" s="59" t="str">
        <f>IFERROR(INDEX(TableWRMaster[TM],MATCH(TableWRCalcPts[[#This Row],[WRRef]],TableWRMaster[WRRef],0)),"")</f>
        <v/>
      </c>
      <c r="S220" s="59" t="str">
        <f>IFERROR(INDEX(TableWRMaster[BYE],MATCH(TableWRCalcPts[[#This Row],[WRRef]],TableWRMaster[WRRef],0)),"")</f>
        <v/>
      </c>
      <c r="T220" s="60" t="str">
        <f>IFERROR(INDEX(TableWRMaster[Custom],MATCH(TableWRCalcPts[[#This Row],[WRRef]],TableWRMaster[WRRef],0)),"")</f>
        <v/>
      </c>
      <c r="AI220" s="59" t="s">
        <v>208</v>
      </c>
      <c r="AJ220" s="59">
        <f>IFERROR(RANK(TableWRTECalcPts[[#This Row],[Custom]],TableWRTECalcPts[Custom])+COUNTIF($AP$3:AP220,AP220)-1,"")</f>
        <v>208</v>
      </c>
      <c r="AK220" s="105">
        <v>118</v>
      </c>
      <c r="AL220" s="105" t="str">
        <f>IFERROR(INDEX(TableWRMaster[Player],MATCH(TableWRTECalcPts[[#This Row],[POSRef]],TableWRMaster[WRRef],0)),"")</f>
        <v>Javon Baker</v>
      </c>
      <c r="AM220" s="105" t="str">
        <f>IFERROR(_xlfn.CONCAT(TableWRTECalcPts[[#This Row],[POS]],INDEX(TableWRRanks[RK],MATCH(TableWRTECalcPts[[#This Row],[PLAYER]],TableWRRanks[Player],0))),"")</f>
        <v>WR145</v>
      </c>
      <c r="AN220" s="105" t="str">
        <f>IFERROR(INDEX(TableWRMaster[TM],MATCH(TableWRTECalcPts[[#This Row],[POSRef]],TableWRMaster[WRRef],0)),"")</f>
        <v>NE</v>
      </c>
      <c r="AO220" s="105">
        <f>IFERROR(INDEX(TableWRMaster[BYE],MATCH(TableWRTECalcPts[[#This Row],[POSRef]],TableWRMaster[WRRef],0)),"")</f>
        <v>14</v>
      </c>
      <c r="AP220" s="103">
        <f>IFERROR(INDEX(TableWRMaster[Custom],MATCH(TableWRTECalcPts[[#This Row],[POSRef]],TableWRMaster[WRRef],0)),"")</f>
        <v>16.660263898414083</v>
      </c>
    </row>
    <row r="221" spans="13:42" x14ac:dyDescent="0.25">
      <c r="M221" s="60"/>
      <c r="O221" s="59" t="str">
        <f>IFERROR(RANK(TableWRCalcPts[[#This Row],[Custom]],TableWRCalcPts[Custom])+COUNTIF($T$3:T221,T221)-1,"")</f>
        <v/>
      </c>
      <c r="P221" s="59">
        <v>219</v>
      </c>
      <c r="Q221" s="59" t="str">
        <f>IFERROR(INDEX(TableWRMaster[Player],MATCH(TableWRCalcPts[[#This Row],[WRRef]],TableWRMaster[WRRef],0)),"")</f>
        <v/>
      </c>
      <c r="R221" s="59" t="str">
        <f>IFERROR(INDEX(TableWRMaster[TM],MATCH(TableWRCalcPts[[#This Row],[WRRef]],TableWRMaster[WRRef],0)),"")</f>
        <v/>
      </c>
      <c r="S221" s="59" t="str">
        <f>IFERROR(INDEX(TableWRMaster[BYE],MATCH(TableWRCalcPts[[#This Row],[WRRef]],TableWRMaster[WRRef],0)),"")</f>
        <v/>
      </c>
      <c r="T221" s="60" t="str">
        <f>IFERROR(INDEX(TableWRMaster[Custom],MATCH(TableWRCalcPts[[#This Row],[WRRef]],TableWRMaster[WRRef],0)),"")</f>
        <v/>
      </c>
      <c r="AI221" s="59" t="s">
        <v>208</v>
      </c>
      <c r="AJ221" s="59">
        <f>IFERROR(RANK(TableWRTECalcPts[[#This Row],[Custom]],TableWRTECalcPts[Custom])+COUNTIF($AP$3:AP221,AP221)-1,"")</f>
        <v>104</v>
      </c>
      <c r="AK221" s="105">
        <v>119</v>
      </c>
      <c r="AL221" s="105" t="str">
        <f>IFERROR(INDEX(TableWRMaster[Player],MATCH(TableWRTECalcPts[[#This Row],[POSRef]],TableWRMaster[WRRef],0)),"")</f>
        <v>K.J. Osborn</v>
      </c>
      <c r="AM221" s="105" t="str">
        <f>IFERROR(_xlfn.CONCAT(TableWRTECalcPts[[#This Row],[POS]],INDEX(TableWRRanks[RK],MATCH(TableWRTECalcPts[[#This Row],[PLAYER]],TableWRRanks[Player],0))),"")</f>
        <v>WR85</v>
      </c>
      <c r="AN221" s="105" t="str">
        <f>IFERROR(INDEX(TableWRMaster[TM],MATCH(TableWRTECalcPts[[#This Row],[POSRef]],TableWRMaster[WRRef],0)),"")</f>
        <v>NE</v>
      </c>
      <c r="AO221" s="105">
        <f>IFERROR(INDEX(TableWRMaster[BYE],MATCH(TableWRTECalcPts[[#This Row],[POSRef]],TableWRMaster[WRRef],0)),"")</f>
        <v>14</v>
      </c>
      <c r="AP221" s="103">
        <f>IFERROR(INDEX(TableWRMaster[Custom],MATCH(TableWRTECalcPts[[#This Row],[POSRef]],TableWRMaster[WRRef],0)),"")</f>
        <v>93.985026112107334</v>
      </c>
    </row>
    <row r="222" spans="13:42" x14ac:dyDescent="0.25">
      <c r="M222" s="60"/>
      <c r="O222" s="59" t="str">
        <f>IFERROR(RANK(TableWRCalcPts[[#This Row],[Custom]],TableWRCalcPts[Custom])+COUNTIF($T$3:T222,T222)-1,"")</f>
        <v/>
      </c>
      <c r="P222" s="59">
        <v>220</v>
      </c>
      <c r="Q222" s="59" t="str">
        <f>IFERROR(INDEX(TableWRMaster[Player],MATCH(TableWRCalcPts[[#This Row],[WRRef]],TableWRMaster[WRRef],0)),"")</f>
        <v/>
      </c>
      <c r="R222" s="59" t="str">
        <f>IFERROR(INDEX(TableWRMaster[TM],MATCH(TableWRCalcPts[[#This Row],[WRRef]],TableWRMaster[WRRef],0)),"")</f>
        <v/>
      </c>
      <c r="S222" s="59" t="str">
        <f>IFERROR(INDEX(TableWRMaster[BYE],MATCH(TableWRCalcPts[[#This Row],[WRRef]],TableWRMaster[WRRef],0)),"")</f>
        <v/>
      </c>
      <c r="T222" s="60" t="str">
        <f>IFERROR(INDEX(TableWRMaster[Custom],MATCH(TableWRCalcPts[[#This Row],[WRRef]],TableWRMaster[WRRef],0)),"")</f>
        <v/>
      </c>
      <c r="AI222" s="59" t="s">
        <v>208</v>
      </c>
      <c r="AJ222" s="59">
        <f>IFERROR(RANK(TableWRTECalcPts[[#This Row],[Custom]],TableWRTECalcPts[Custom])+COUNTIF($AP$3:AP222,AP222)-1,"")</f>
        <v>25</v>
      </c>
      <c r="AK222" s="105">
        <v>120</v>
      </c>
      <c r="AL222" s="105" t="str">
        <f>IFERROR(INDEX(TableWRMaster[Player],MATCH(TableWRTECalcPts[[#This Row],[POSRef]],TableWRMaster[WRRef],0)),"")</f>
        <v>Chris Olave</v>
      </c>
      <c r="AM222" s="105" t="str">
        <f>IFERROR(_xlfn.CONCAT(TableWRTECalcPts[[#This Row],[POS]],INDEX(TableWRRanks[RK],MATCH(TableWRTECalcPts[[#This Row],[PLAYER]],TableWRRanks[Player],0))),"")</f>
        <v>WR24</v>
      </c>
      <c r="AN222" s="105" t="str">
        <f>IFERROR(INDEX(TableWRMaster[TM],MATCH(TableWRTECalcPts[[#This Row],[POSRef]],TableWRMaster[WRRef],0)),"")</f>
        <v>NO</v>
      </c>
      <c r="AO222" s="105">
        <f>IFERROR(INDEX(TableWRMaster[BYE],MATCH(TableWRTECalcPts[[#This Row],[POSRef]],TableWRMaster[WRRef],0)),"")</f>
        <v>12</v>
      </c>
      <c r="AP222" s="103">
        <f>IFERROR(INDEX(TableWRMaster[Custom],MATCH(TableWRTECalcPts[[#This Row],[POSRef]],TableWRMaster[WRRef],0)),"")</f>
        <v>191.5147230908091</v>
      </c>
    </row>
    <row r="223" spans="13:42" x14ac:dyDescent="0.25">
      <c r="M223" s="60"/>
      <c r="O223" s="59" t="str">
        <f>IFERROR(RANK(TableWRCalcPts[[#This Row],[Custom]],TableWRCalcPts[Custom])+COUNTIF($T$3:T223,T223)-1,"")</f>
        <v/>
      </c>
      <c r="P223" s="59">
        <v>221</v>
      </c>
      <c r="Q223" s="59" t="str">
        <f>IFERROR(INDEX(TableWRMaster[Player],MATCH(TableWRCalcPts[[#This Row],[WRRef]],TableWRMaster[WRRef],0)),"")</f>
        <v/>
      </c>
      <c r="R223" s="59" t="str">
        <f>IFERROR(INDEX(TableWRMaster[TM],MATCH(TableWRCalcPts[[#This Row],[WRRef]],TableWRMaster[WRRef],0)),"")</f>
        <v/>
      </c>
      <c r="S223" s="59" t="str">
        <f>IFERROR(INDEX(TableWRMaster[BYE],MATCH(TableWRCalcPts[[#This Row],[WRRef]],TableWRMaster[WRRef],0)),"")</f>
        <v/>
      </c>
      <c r="T223" s="60" t="str">
        <f>IFERROR(INDEX(TableWRMaster[Custom],MATCH(TableWRCalcPts[[#This Row],[WRRef]],TableWRMaster[WRRef],0)),"")</f>
        <v/>
      </c>
      <c r="AI223" s="59" t="s">
        <v>208</v>
      </c>
      <c r="AJ223" s="59">
        <f>IFERROR(RANK(TableWRTECalcPts[[#This Row],[Custom]],TableWRTECalcPts[Custom])+COUNTIF($AP$3:AP223,AP223)-1,"")</f>
        <v>67</v>
      </c>
      <c r="AK223" s="105">
        <v>121</v>
      </c>
      <c r="AL223" s="105" t="str">
        <f>IFERROR(INDEX(TableWRMaster[Player],MATCH(TableWRTECalcPts[[#This Row],[POSRef]],TableWRMaster[WRRef],0)),"")</f>
        <v>Rashid Shaheed</v>
      </c>
      <c r="AM223" s="105" t="str">
        <f>IFERROR(_xlfn.CONCAT(TableWRTECalcPts[[#This Row],[POS]],INDEX(TableWRRanks[RK],MATCH(TableWRTECalcPts[[#This Row],[PLAYER]],TableWRRanks[Player],0))),"")</f>
        <v>WR58</v>
      </c>
      <c r="AN223" s="105" t="str">
        <f>IFERROR(INDEX(TableWRMaster[TM],MATCH(TableWRTECalcPts[[#This Row],[POSRef]],TableWRMaster[WRRef],0)),"")</f>
        <v>NO</v>
      </c>
      <c r="AO223" s="105">
        <f>IFERROR(INDEX(TableWRMaster[BYE],MATCH(TableWRTECalcPts[[#This Row],[POSRef]],TableWRMaster[WRRef],0)),"")</f>
        <v>12</v>
      </c>
      <c r="AP223" s="103">
        <f>IFERROR(INDEX(TableWRMaster[Custom],MATCH(TableWRTECalcPts[[#This Row],[POSRef]],TableWRMaster[WRRef],0)),"")</f>
        <v>146.61073300360175</v>
      </c>
    </row>
    <row r="224" spans="13:42" x14ac:dyDescent="0.25">
      <c r="M224" s="60"/>
      <c r="O224" s="59" t="str">
        <f>IFERROR(RANK(TableWRCalcPts[[#This Row],[Custom]],TableWRCalcPts[Custom])+COUNTIF($T$3:T224,T224)-1,"")</f>
        <v/>
      </c>
      <c r="P224" s="59">
        <v>222</v>
      </c>
      <c r="Q224" s="59" t="str">
        <f>IFERROR(INDEX(TableWRMaster[Player],MATCH(TableWRCalcPts[[#This Row],[WRRef]],TableWRMaster[WRRef],0)),"")</f>
        <v/>
      </c>
      <c r="R224" s="59" t="str">
        <f>IFERROR(INDEX(TableWRMaster[TM],MATCH(TableWRCalcPts[[#This Row],[WRRef]],TableWRMaster[WRRef],0)),"")</f>
        <v/>
      </c>
      <c r="S224" s="59" t="str">
        <f>IFERROR(INDEX(TableWRMaster[BYE],MATCH(TableWRCalcPts[[#This Row],[WRRef]],TableWRMaster[WRRef],0)),"")</f>
        <v/>
      </c>
      <c r="T224" s="60" t="str">
        <f>IFERROR(INDEX(TableWRMaster[Custom],MATCH(TableWRCalcPts[[#This Row],[WRRef]],TableWRMaster[WRRef],0)),"")</f>
        <v/>
      </c>
      <c r="AI224" s="59" t="s">
        <v>208</v>
      </c>
      <c r="AJ224" s="59">
        <f>IFERROR(RANK(TableWRTECalcPts[[#This Row],[Custom]],TableWRTECalcPts[Custom])+COUNTIF($AP$3:AP224,AP224)-1,"")</f>
        <v>132</v>
      </c>
      <c r="AK224" s="105">
        <v>122</v>
      </c>
      <c r="AL224" s="105" t="str">
        <f>IFERROR(INDEX(TableWRMaster[Player],MATCH(TableWRTECalcPts[[#This Row],[POSRef]],TableWRMaster[WRRef],0)),"")</f>
        <v>Cedrick Wilson</v>
      </c>
      <c r="AM224" s="105" t="str">
        <f>IFERROR(_xlfn.CONCAT(TableWRTECalcPts[[#This Row],[POS]],INDEX(TableWRRanks[RK],MATCH(TableWRTECalcPts[[#This Row],[PLAYER]],TableWRRanks[Player],0))),"")</f>
        <v>WR99</v>
      </c>
      <c r="AN224" s="105" t="str">
        <f>IFERROR(INDEX(TableWRMaster[TM],MATCH(TableWRTECalcPts[[#This Row],[POSRef]],TableWRMaster[WRRef],0)),"")</f>
        <v>NO</v>
      </c>
      <c r="AO224" s="105">
        <f>IFERROR(INDEX(TableWRMaster[BYE],MATCH(TableWRTECalcPts[[#This Row],[POSRef]],TableWRMaster[WRRef],0)),"")</f>
        <v>12</v>
      </c>
      <c r="AP224" s="103">
        <f>IFERROR(INDEX(TableWRMaster[Custom],MATCH(TableWRTECalcPts[[#This Row],[POSRef]],TableWRMaster[WRRef],0)),"")</f>
        <v>63.135295687497305</v>
      </c>
    </row>
    <row r="225" spans="13:42" x14ac:dyDescent="0.25">
      <c r="M225" s="60"/>
      <c r="O225" s="59" t="str">
        <f>IFERROR(RANK(TableWRCalcPts[[#This Row],[Custom]],TableWRCalcPts[Custom])+COUNTIF($T$3:T225,T225)-1,"")</f>
        <v/>
      </c>
      <c r="P225" s="59">
        <v>223</v>
      </c>
      <c r="Q225" s="59" t="str">
        <f>IFERROR(INDEX(TableWRMaster[Player],MATCH(TableWRCalcPts[[#This Row],[WRRef]],TableWRMaster[WRRef],0)),"")</f>
        <v/>
      </c>
      <c r="R225" s="59" t="str">
        <f>IFERROR(INDEX(TableWRMaster[TM],MATCH(TableWRCalcPts[[#This Row],[WRRef]],TableWRMaster[WRRef],0)),"")</f>
        <v/>
      </c>
      <c r="S225" s="59" t="str">
        <f>IFERROR(INDEX(TableWRMaster[BYE],MATCH(TableWRCalcPts[[#This Row],[WRRef]],TableWRMaster[WRRef],0)),"")</f>
        <v/>
      </c>
      <c r="T225" s="60" t="str">
        <f>IFERROR(INDEX(TableWRMaster[Custom],MATCH(TableWRCalcPts[[#This Row],[WRRef]],TableWRMaster[WRRef],0)),"")</f>
        <v/>
      </c>
      <c r="AI225" s="59" t="s">
        <v>208</v>
      </c>
      <c r="AJ225" s="59">
        <f>IFERROR(RANK(TableWRTECalcPts[[#This Row],[Custom]],TableWRTECalcPts[Custom])+COUNTIF($AP$3:AP225,AP225)-1,"")</f>
        <v>152</v>
      </c>
      <c r="AK225" s="105">
        <v>123</v>
      </c>
      <c r="AL225" s="105" t="str">
        <f>IFERROR(INDEX(TableWRMaster[Player],MATCH(TableWRTECalcPts[[#This Row],[POSRef]],TableWRMaster[WRRef],0)),"")</f>
        <v>A.T. Perry</v>
      </c>
      <c r="AM225" s="105" t="str">
        <f>IFERROR(_xlfn.CONCAT(TableWRTECalcPts[[#This Row],[POS]],INDEX(TableWRRanks[RK],MATCH(TableWRTECalcPts[[#This Row],[PLAYER]],TableWRRanks[Player],0))),"")</f>
        <v>WR111</v>
      </c>
      <c r="AN225" s="105" t="str">
        <f>IFERROR(INDEX(TableWRMaster[TM],MATCH(TableWRTECalcPts[[#This Row],[POSRef]],TableWRMaster[WRRef],0)),"")</f>
        <v>NO</v>
      </c>
      <c r="AO225" s="105">
        <f>IFERROR(INDEX(TableWRMaster[BYE],MATCH(TableWRTECalcPts[[#This Row],[POSRef]],TableWRMaster[WRRef],0)),"")</f>
        <v>12</v>
      </c>
      <c r="AP225" s="103">
        <f>IFERROR(INDEX(TableWRMaster[Custom],MATCH(TableWRTECalcPts[[#This Row],[POSRef]],TableWRMaster[WRRef],0)),"")</f>
        <v>45.789766470240522</v>
      </c>
    </row>
    <row r="226" spans="13:42" x14ac:dyDescent="0.25">
      <c r="M226" s="60"/>
      <c r="O226" s="59" t="str">
        <f>IFERROR(RANK(TableWRCalcPts[[#This Row],[Custom]],TableWRCalcPts[Custom])+COUNTIF($T$3:T226,T226)-1,"")</f>
        <v/>
      </c>
      <c r="P226" s="59">
        <v>224</v>
      </c>
      <c r="Q226" s="59" t="str">
        <f>IFERROR(INDEX(TableWRMaster[Player],MATCH(TableWRCalcPts[[#This Row],[WRRef]],TableWRMaster[WRRef],0)),"")</f>
        <v/>
      </c>
      <c r="R226" s="59" t="str">
        <f>IFERROR(INDEX(TableWRMaster[TM],MATCH(TableWRCalcPts[[#This Row],[WRRef]],TableWRMaster[WRRef],0)),"")</f>
        <v/>
      </c>
      <c r="S226" s="59" t="str">
        <f>IFERROR(INDEX(TableWRMaster[BYE],MATCH(TableWRCalcPts[[#This Row],[WRRef]],TableWRMaster[WRRef],0)),"")</f>
        <v/>
      </c>
      <c r="T226" s="60" t="str">
        <f>IFERROR(INDEX(TableWRMaster[Custom],MATCH(TableWRCalcPts[[#This Row],[WRRef]],TableWRMaster[WRRef],0)),"")</f>
        <v/>
      </c>
      <c r="AI226" s="59" t="s">
        <v>208</v>
      </c>
      <c r="AJ226" s="59">
        <f>IFERROR(RANK(TableWRTECalcPts[[#This Row],[Custom]],TableWRTECalcPts[Custom])+COUNTIF($AP$3:AP226,AP226)-1,"")</f>
        <v>199</v>
      </c>
      <c r="AK226" s="105">
        <v>124</v>
      </c>
      <c r="AL226" s="105" t="str">
        <f>IFERROR(INDEX(TableWRMaster[Player],MATCH(TableWRTECalcPts[[#This Row],[POSRef]],TableWRMaster[WRRef],0)),"")</f>
        <v>Bub Means</v>
      </c>
      <c r="AM226" s="105" t="str">
        <f>IFERROR(_xlfn.CONCAT(TableWRTECalcPts[[#This Row],[POS]],INDEX(TableWRRanks[RK],MATCH(TableWRTECalcPts[[#This Row],[PLAYER]],TableWRRanks[Player],0))),"")</f>
        <v>WR141</v>
      </c>
      <c r="AN226" s="105" t="str">
        <f>IFERROR(INDEX(TableWRMaster[TM],MATCH(TableWRTECalcPts[[#This Row],[POSRef]],TableWRMaster[WRRef],0)),"")</f>
        <v>NO</v>
      </c>
      <c r="AO226" s="105">
        <f>IFERROR(INDEX(TableWRMaster[BYE],MATCH(TableWRTECalcPts[[#This Row],[POSRef]],TableWRMaster[WRRef],0)),"")</f>
        <v>12</v>
      </c>
      <c r="AP226" s="103">
        <f>IFERROR(INDEX(TableWRMaster[Custom],MATCH(TableWRTECalcPts[[#This Row],[POSRef]],TableWRMaster[WRRef],0)),"")</f>
        <v>19.239112264455407</v>
      </c>
    </row>
    <row r="227" spans="13:42" x14ac:dyDescent="0.25">
      <c r="M227" s="60"/>
      <c r="O227" s="59" t="str">
        <f>IFERROR(RANK(TableWRCalcPts[[#This Row],[Custom]],TableWRCalcPts[Custom])+COUNTIF($T$3:T227,T227)-1,"")</f>
        <v/>
      </c>
      <c r="P227" s="59">
        <v>225</v>
      </c>
      <c r="Q227" s="59" t="str">
        <f>IFERROR(INDEX(TableWRMaster[Player],MATCH(TableWRCalcPts[[#This Row],[WRRef]],TableWRMaster[WRRef],0)),"")</f>
        <v/>
      </c>
      <c r="R227" s="59" t="str">
        <f>IFERROR(INDEX(TableWRMaster[TM],MATCH(TableWRCalcPts[[#This Row],[WRRef]],TableWRMaster[WRRef],0)),"")</f>
        <v/>
      </c>
      <c r="S227" s="59" t="str">
        <f>IFERROR(INDEX(TableWRMaster[BYE],MATCH(TableWRCalcPts[[#This Row],[WRRef]],TableWRMaster[WRRef],0)),"")</f>
        <v/>
      </c>
      <c r="T227" s="60" t="str">
        <f>IFERROR(INDEX(TableWRMaster[Custom],MATCH(TableWRCalcPts[[#This Row],[WRRef]],TableWRMaster[WRRef],0)),"")</f>
        <v/>
      </c>
      <c r="AI227" s="59" t="s">
        <v>208</v>
      </c>
      <c r="AJ227" s="59">
        <f>IFERROR(RANK(TableWRTECalcPts[[#This Row],[Custom]],TableWRTECalcPts[Custom])+COUNTIF($AP$3:AP227,AP227)-1,"")</f>
        <v>255</v>
      </c>
      <c r="AK227" s="105">
        <v>125</v>
      </c>
      <c r="AL227" s="105" t="str">
        <f>IFERROR(INDEX(TableWRMaster[Player],MATCH(TableWRTECalcPts[[#This Row],[POSRef]],TableWRMaster[WRRef],0)),"")</f>
        <v>Stanley Morgan</v>
      </c>
      <c r="AM227" s="105" t="str">
        <f>IFERROR(_xlfn.CONCAT(TableWRTECalcPts[[#This Row],[POS]],INDEX(TableWRRanks[RK],MATCH(TableWRTECalcPts[[#This Row],[PLAYER]],TableWRRanks[Player],0))),"")</f>
        <v>WR174</v>
      </c>
      <c r="AN227" s="105" t="str">
        <f>IFERROR(INDEX(TableWRMaster[TM],MATCH(TableWRTECalcPts[[#This Row],[POSRef]],TableWRMaster[WRRef],0)),"")</f>
        <v>NO</v>
      </c>
      <c r="AO227" s="105">
        <f>IFERROR(INDEX(TableWRMaster[BYE],MATCH(TableWRTECalcPts[[#This Row],[POSRef]],TableWRMaster[WRRef],0)),"")</f>
        <v>12</v>
      </c>
      <c r="AP227" s="103">
        <f>IFERROR(INDEX(TableWRMaster[Custom],MATCH(TableWRTECalcPts[[#This Row],[POSRef]],TableWRMaster[WRRef],0)),"")</f>
        <v>6.7321870722144546</v>
      </c>
    </row>
    <row r="228" spans="13:42" x14ac:dyDescent="0.25">
      <c r="M228" s="60"/>
      <c r="T228" s="60"/>
      <c r="AI228" s="59" t="s">
        <v>208</v>
      </c>
      <c r="AJ228" s="59">
        <f>IFERROR(RANK(TableWRTECalcPts[[#This Row],[Custom]],TableWRTECalcPts[Custom])+COUNTIF($AP$3:AP228,AP228)-1,"")</f>
        <v>27</v>
      </c>
      <c r="AK228" s="105">
        <v>126</v>
      </c>
      <c r="AL228" s="105" t="str">
        <f>IFERROR(INDEX(TableWRMaster[Player],MATCH(TableWRTECalcPts[[#This Row],[POSRef]],TableWRMaster[WRRef],0)),"")</f>
        <v>Malik Nabers</v>
      </c>
      <c r="AM228" s="105" t="str">
        <f>IFERROR(_xlfn.CONCAT(TableWRTECalcPts[[#This Row],[POS]],INDEX(TableWRRanks[RK],MATCH(TableWRTECalcPts[[#This Row],[PLAYER]],TableWRRanks[Player],0))),"")</f>
        <v>WR26</v>
      </c>
      <c r="AN228" s="105" t="str">
        <f>IFERROR(INDEX(TableWRMaster[TM],MATCH(TableWRTECalcPts[[#This Row],[POSRef]],TableWRMaster[WRRef],0)),"")</f>
        <v>NYG</v>
      </c>
      <c r="AO228" s="105">
        <f>IFERROR(INDEX(TableWRMaster[BYE],MATCH(TableWRTECalcPts[[#This Row],[POSRef]],TableWRMaster[WRRef],0)),"")</f>
        <v>11</v>
      </c>
      <c r="AP228" s="103">
        <f>IFERROR(INDEX(TableWRMaster[Custom],MATCH(TableWRTECalcPts[[#This Row],[POSRef]],TableWRMaster[WRRef],0)),"")</f>
        <v>188.23503874057269</v>
      </c>
    </row>
    <row r="229" spans="13:42" x14ac:dyDescent="0.25">
      <c r="M229" s="60"/>
      <c r="T229" s="60"/>
      <c r="AI229" s="59" t="s">
        <v>208</v>
      </c>
      <c r="AJ229" s="59">
        <f>IFERROR(RANK(TableWRTECalcPts[[#This Row],[Custom]],TableWRTECalcPts[Custom])+COUNTIF($AP$3:AP229,AP229)-1,"")</f>
        <v>78</v>
      </c>
      <c r="AK229" s="105">
        <v>127</v>
      </c>
      <c r="AL229" s="105" t="str">
        <f>IFERROR(INDEX(TableWRMaster[Player],MATCH(TableWRTECalcPts[[#This Row],[POSRef]],TableWRMaster[WRRef],0)),"")</f>
        <v>Wan'Dale Robinson</v>
      </c>
      <c r="AM229" s="105" t="str">
        <f>IFERROR(_xlfn.CONCAT(TableWRTECalcPts[[#This Row],[POS]],INDEX(TableWRRanks[RK],MATCH(TableWRTECalcPts[[#This Row],[PLAYER]],TableWRRanks[Player],0))),"")</f>
        <v>WR66</v>
      </c>
      <c r="AN229" s="105" t="str">
        <f>IFERROR(INDEX(TableWRMaster[TM],MATCH(TableWRTECalcPts[[#This Row],[POSRef]],TableWRMaster[WRRef],0)),"")</f>
        <v>NYG</v>
      </c>
      <c r="AO229" s="105">
        <f>IFERROR(INDEX(TableWRMaster[BYE],MATCH(TableWRTECalcPts[[#This Row],[POSRef]],TableWRMaster[WRRef],0)),"")</f>
        <v>11</v>
      </c>
      <c r="AP229" s="103">
        <f>IFERROR(INDEX(TableWRMaster[Custom],MATCH(TableWRTECalcPts[[#This Row],[POSRef]],TableWRMaster[WRRef],0)),"")</f>
        <v>125.38100715896201</v>
      </c>
    </row>
    <row r="230" spans="13:42" x14ac:dyDescent="0.25">
      <c r="M230" s="60"/>
      <c r="T230" s="60"/>
      <c r="AI230" s="59" t="s">
        <v>208</v>
      </c>
      <c r="AJ230" s="59">
        <f>IFERROR(RANK(TableWRTECalcPts[[#This Row],[Custom]],TableWRTECalcPts[Custom])+COUNTIF($AP$3:AP230,AP230)-1,"")</f>
        <v>98</v>
      </c>
      <c r="AK230" s="105">
        <v>128</v>
      </c>
      <c r="AL230" s="105" t="str">
        <f>IFERROR(INDEX(TableWRMaster[Player],MATCH(TableWRTECalcPts[[#This Row],[POSRef]],TableWRMaster[WRRef],0)),"")</f>
        <v>Darius Slayton</v>
      </c>
      <c r="AM230" s="105" t="str">
        <f>IFERROR(_xlfn.CONCAT(TableWRTECalcPts[[#This Row],[POS]],INDEX(TableWRRanks[RK],MATCH(TableWRTECalcPts[[#This Row],[PLAYER]],TableWRRanks[Player],0))),"")</f>
        <v>WR83</v>
      </c>
      <c r="AN230" s="105" t="str">
        <f>IFERROR(INDEX(TableWRMaster[TM],MATCH(TableWRTECalcPts[[#This Row],[POSRef]],TableWRMaster[WRRef],0)),"")</f>
        <v>NYG</v>
      </c>
      <c r="AO230" s="105">
        <f>IFERROR(INDEX(TableWRMaster[BYE],MATCH(TableWRTECalcPts[[#This Row],[POSRef]],TableWRMaster[WRRef],0)),"")</f>
        <v>11</v>
      </c>
      <c r="AP230" s="103">
        <f>IFERROR(INDEX(TableWRMaster[Custom],MATCH(TableWRTECalcPts[[#This Row],[POSRef]],TableWRMaster[WRRef],0)),"")</f>
        <v>99.733947802944002</v>
      </c>
    </row>
    <row r="231" spans="13:42" x14ac:dyDescent="0.25">
      <c r="M231" s="60"/>
      <c r="T231" s="60"/>
      <c r="AI231" s="59" t="s">
        <v>208</v>
      </c>
      <c r="AJ231" s="59">
        <f>IFERROR(RANK(TableWRTECalcPts[[#This Row],[Custom]],TableWRTECalcPts[Custom])+COUNTIF($AP$3:AP231,AP231)-1,"")</f>
        <v>118</v>
      </c>
      <c r="AK231" s="105">
        <v>129</v>
      </c>
      <c r="AL231" s="105" t="str">
        <f>IFERROR(INDEX(TableWRMaster[Player],MATCH(TableWRTECalcPts[[#This Row],[POSRef]],TableWRMaster[WRRef],0)),"")</f>
        <v>Jalin Hyatt</v>
      </c>
      <c r="AM231" s="105" t="str">
        <f>IFERROR(_xlfn.CONCAT(TableWRTECalcPts[[#This Row],[POS]],INDEX(TableWRRanks[RK],MATCH(TableWRTECalcPts[[#This Row],[PLAYER]],TableWRRanks[Player],0))),"")</f>
        <v>WR90</v>
      </c>
      <c r="AN231" s="105" t="str">
        <f>IFERROR(INDEX(TableWRMaster[TM],MATCH(TableWRTECalcPts[[#This Row],[POSRef]],TableWRMaster[WRRef],0)),"")</f>
        <v>NYG</v>
      </c>
      <c r="AO231" s="105">
        <f>IFERROR(INDEX(TableWRMaster[BYE],MATCH(TableWRTECalcPts[[#This Row],[POSRef]],TableWRMaster[WRRef],0)),"")</f>
        <v>11</v>
      </c>
      <c r="AP231" s="103">
        <f>IFERROR(INDEX(TableWRMaster[Custom],MATCH(TableWRTECalcPts[[#This Row],[POSRef]],TableWRMaster[WRRef],0)),"")</f>
        <v>78.840212767144308</v>
      </c>
    </row>
    <row r="232" spans="13:42" x14ac:dyDescent="0.25">
      <c r="M232" s="60"/>
      <c r="T232" s="60"/>
      <c r="AI232" s="59" t="s">
        <v>208</v>
      </c>
      <c r="AJ232" s="59">
        <f>IFERROR(RANK(TableWRTECalcPts[[#This Row],[Custom]],TableWRTECalcPts[Custom])+COUNTIF($AP$3:AP232,AP232)-1,"")</f>
        <v>229</v>
      </c>
      <c r="AK232" s="105">
        <v>130</v>
      </c>
      <c r="AL232" s="105" t="str">
        <f>IFERROR(INDEX(TableWRMaster[Player],MATCH(TableWRTECalcPts[[#This Row],[POSRef]],TableWRMaster[WRRef],0)),"")</f>
        <v>Gunner Olszewski</v>
      </c>
      <c r="AM232" s="105" t="str">
        <f>IFERROR(_xlfn.CONCAT(TableWRTECalcPts[[#This Row],[POS]],INDEX(TableWRRanks[RK],MATCH(TableWRTECalcPts[[#This Row],[PLAYER]],TableWRRanks[Player],0))),"")</f>
        <v>WR162</v>
      </c>
      <c r="AN232" s="105" t="str">
        <f>IFERROR(INDEX(TableWRMaster[TM],MATCH(TableWRTECalcPts[[#This Row],[POSRef]],TableWRMaster[WRRef],0)),"")</f>
        <v>NYG</v>
      </c>
      <c r="AO232" s="105">
        <f>IFERROR(INDEX(TableWRMaster[BYE],MATCH(TableWRTECalcPts[[#This Row],[POSRef]],TableWRMaster[WRRef],0)),"")</f>
        <v>11</v>
      </c>
      <c r="AP232" s="103">
        <f>IFERROR(INDEX(TableWRMaster[Custom],MATCH(TableWRTECalcPts[[#This Row],[POSRef]],TableWRMaster[WRRef],0)),"")</f>
        <v>11.028768729912445</v>
      </c>
    </row>
    <row r="233" spans="13:42" x14ac:dyDescent="0.25">
      <c r="M233" s="60"/>
      <c r="T233" s="60"/>
      <c r="AI233" s="59" t="s">
        <v>208</v>
      </c>
      <c r="AJ233" s="59">
        <f>IFERROR(RANK(TableWRTECalcPts[[#This Row],[Custom]],TableWRTECalcPts[Custom])+COUNTIF($AP$3:AP233,AP233)-1,"")</f>
        <v>24</v>
      </c>
      <c r="AK233" s="105">
        <v>131</v>
      </c>
      <c r="AL233" s="105" t="str">
        <f>IFERROR(INDEX(TableWRMaster[Player],MATCH(TableWRTECalcPts[[#This Row],[POSRef]],TableWRMaster[WRRef],0)),"")</f>
        <v>Garrett Wilson</v>
      </c>
      <c r="AM233" s="105" t="str">
        <f>IFERROR(_xlfn.CONCAT(TableWRTECalcPts[[#This Row],[POS]],INDEX(TableWRRanks[RK],MATCH(TableWRTECalcPts[[#This Row],[PLAYER]],TableWRRanks[Player],0))),"")</f>
        <v>WR23</v>
      </c>
      <c r="AN233" s="105" t="str">
        <f>IFERROR(INDEX(TableWRMaster[TM],MATCH(TableWRTECalcPts[[#This Row],[POSRef]],TableWRMaster[WRRef],0)),"")</f>
        <v>NYJ</v>
      </c>
      <c r="AO233" s="105">
        <f>IFERROR(INDEX(TableWRMaster[BYE],MATCH(TableWRTECalcPts[[#This Row],[POSRef]],TableWRMaster[WRRef],0)),"")</f>
        <v>12</v>
      </c>
      <c r="AP233" s="103">
        <f>IFERROR(INDEX(TableWRMaster[Custom],MATCH(TableWRTECalcPts[[#This Row],[POSRef]],TableWRMaster[WRRef],0)),"")</f>
        <v>191.61840654680199</v>
      </c>
    </row>
    <row r="234" spans="13:42" x14ac:dyDescent="0.25">
      <c r="M234" s="60"/>
      <c r="T234" s="60"/>
      <c r="AI234" s="59" t="s">
        <v>208</v>
      </c>
      <c r="AJ234" s="59">
        <f>IFERROR(RANK(TableWRTECalcPts[[#This Row],[Custom]],TableWRTECalcPts[Custom])+COUNTIF($AP$3:AP234,AP234)-1,"")</f>
        <v>58</v>
      </c>
      <c r="AK234" s="105">
        <v>132</v>
      </c>
      <c r="AL234" s="105" t="str">
        <f>IFERROR(INDEX(TableWRMaster[Player],MATCH(TableWRTECalcPts[[#This Row],[POSRef]],TableWRMaster[WRRef],0)),"")</f>
        <v>Mike Williams</v>
      </c>
      <c r="AM234" s="105" t="str">
        <f>IFERROR(_xlfn.CONCAT(TableWRTECalcPts[[#This Row],[POS]],INDEX(TableWRRanks[RK],MATCH(TableWRTECalcPts[[#This Row],[PLAYER]],TableWRRanks[Player],0))),"")</f>
        <v>WR50</v>
      </c>
      <c r="AN234" s="105" t="str">
        <f>IFERROR(INDEX(TableWRMaster[TM],MATCH(TableWRTECalcPts[[#This Row],[POSRef]],TableWRMaster[WRRef],0)),"")</f>
        <v>NYJ</v>
      </c>
      <c r="AO234" s="105">
        <f>IFERROR(INDEX(TableWRMaster[BYE],MATCH(TableWRTECalcPts[[#This Row],[POSRef]],TableWRMaster[WRRef],0)),"")</f>
        <v>12</v>
      </c>
      <c r="AP234" s="103">
        <f>IFERROR(INDEX(TableWRMaster[Custom],MATCH(TableWRTECalcPts[[#This Row],[POSRef]],TableWRMaster[WRRef],0)),"")</f>
        <v>158.6684307713081</v>
      </c>
    </row>
    <row r="235" spans="13:42" x14ac:dyDescent="0.25">
      <c r="M235" s="60"/>
      <c r="T235" s="60"/>
      <c r="AI235" s="59" t="s">
        <v>208</v>
      </c>
      <c r="AJ235" s="59">
        <f>IFERROR(RANK(TableWRTECalcPts[[#This Row],[Custom]],TableWRTECalcPts[Custom])+COUNTIF($AP$3:AP235,AP235)-1,"")</f>
        <v>91</v>
      </c>
      <c r="AK235" s="105">
        <v>133</v>
      </c>
      <c r="AL235" s="105" t="str">
        <f>IFERROR(INDEX(TableWRMaster[Player],MATCH(TableWRTECalcPts[[#This Row],[POSRef]],TableWRMaster[WRRef],0)),"")</f>
        <v>Malachi Corley</v>
      </c>
      <c r="AM235" s="105" t="str">
        <f>IFERROR(_xlfn.CONCAT(TableWRTECalcPts[[#This Row],[POS]],INDEX(TableWRRanks[RK],MATCH(TableWRTECalcPts[[#This Row],[PLAYER]],TableWRRanks[Player],0))),"")</f>
        <v>WR77</v>
      </c>
      <c r="AN235" s="105" t="str">
        <f>IFERROR(INDEX(TableWRMaster[TM],MATCH(TableWRTECalcPts[[#This Row],[POSRef]],TableWRMaster[WRRef],0)),"")</f>
        <v>NYJ</v>
      </c>
      <c r="AO235" s="105">
        <f>IFERROR(INDEX(TableWRMaster[BYE],MATCH(TableWRTECalcPts[[#This Row],[POSRef]],TableWRMaster[WRRef],0)),"")</f>
        <v>12</v>
      </c>
      <c r="AP235" s="103">
        <f>IFERROR(INDEX(TableWRMaster[Custom],MATCH(TableWRTECalcPts[[#This Row],[POSRef]],TableWRMaster[WRRef],0)),"")</f>
        <v>103.06146196052893</v>
      </c>
    </row>
    <row r="236" spans="13:42" x14ac:dyDescent="0.25">
      <c r="M236" s="60"/>
      <c r="T236" s="60"/>
      <c r="AI236" s="59" t="s">
        <v>208</v>
      </c>
      <c r="AJ236" s="59">
        <f>IFERROR(RANK(TableWRTECalcPts[[#This Row],[Custom]],TableWRTECalcPts[Custom])+COUNTIF($AP$3:AP236,AP236)-1,"")</f>
        <v>157</v>
      </c>
      <c r="AK236" s="105">
        <v>134</v>
      </c>
      <c r="AL236" s="105" t="str">
        <f>IFERROR(INDEX(TableWRMaster[Player],MATCH(TableWRTECalcPts[[#This Row],[POSRef]],TableWRMaster[WRRef],0)),"")</f>
        <v>Allen Lazard</v>
      </c>
      <c r="AM236" s="105" t="str">
        <f>IFERROR(_xlfn.CONCAT(TableWRTECalcPts[[#This Row],[POS]],INDEX(TableWRRanks[RK],MATCH(TableWRTECalcPts[[#This Row],[PLAYER]],TableWRRanks[Player],0))),"")</f>
        <v>WR114</v>
      </c>
      <c r="AN236" s="105" t="str">
        <f>IFERROR(INDEX(TableWRMaster[TM],MATCH(TableWRTECalcPts[[#This Row],[POSRef]],TableWRMaster[WRRef],0)),"")</f>
        <v>NYJ</v>
      </c>
      <c r="AO236" s="105">
        <f>IFERROR(INDEX(TableWRMaster[BYE],MATCH(TableWRTECalcPts[[#This Row],[POSRef]],TableWRMaster[WRRef],0)),"")</f>
        <v>12</v>
      </c>
      <c r="AP236" s="103">
        <f>IFERROR(INDEX(TableWRMaster[Custom],MATCH(TableWRTECalcPts[[#This Row],[POSRef]],TableWRMaster[WRRef],0)),"")</f>
        <v>42.460357713573167</v>
      </c>
    </row>
    <row r="237" spans="13:42" x14ac:dyDescent="0.25">
      <c r="M237" s="60"/>
      <c r="T237" s="60"/>
      <c r="AI237" s="59" t="s">
        <v>208</v>
      </c>
      <c r="AJ237" s="59">
        <f>IFERROR(RANK(TableWRTECalcPts[[#This Row],[Custom]],TableWRTECalcPts[Custom])+COUNTIF($AP$3:AP237,AP237)-1,"")</f>
        <v>206</v>
      </c>
      <c r="AK237" s="105">
        <v>135</v>
      </c>
      <c r="AL237" s="105" t="str">
        <f>IFERROR(INDEX(TableWRMaster[Player],MATCH(TableWRTECalcPts[[#This Row],[POSRef]],TableWRMaster[WRRef],0)),"")</f>
        <v>Jason Brownlee</v>
      </c>
      <c r="AM237" s="105" t="str">
        <f>IFERROR(_xlfn.CONCAT(TableWRTECalcPts[[#This Row],[POS]],INDEX(TableWRRanks[RK],MATCH(TableWRTECalcPts[[#This Row],[PLAYER]],TableWRRanks[Player],0))),"")</f>
        <v>WR143</v>
      </c>
      <c r="AN237" s="105" t="str">
        <f>IFERROR(INDEX(TableWRMaster[TM],MATCH(TableWRTECalcPts[[#This Row],[POSRef]],TableWRMaster[WRRef],0)),"")</f>
        <v>NYJ</v>
      </c>
      <c r="AO237" s="105">
        <f>IFERROR(INDEX(TableWRMaster[BYE],MATCH(TableWRTECalcPts[[#This Row],[POSRef]],TableWRMaster[WRRef],0)),"")</f>
        <v>12</v>
      </c>
      <c r="AP237" s="103">
        <f>IFERROR(INDEX(TableWRMaster[Custom],MATCH(TableWRTECalcPts[[#This Row],[POSRef]],TableWRMaster[WRRef],0)),"")</f>
        <v>17.408112710446087</v>
      </c>
    </row>
    <row r="238" spans="13:42" x14ac:dyDescent="0.25">
      <c r="M238" s="60"/>
      <c r="T238" s="60"/>
      <c r="AI238" s="59" t="s">
        <v>208</v>
      </c>
      <c r="AJ238" s="59">
        <f>IFERROR(RANK(TableWRTECalcPts[[#This Row],[Custom]],TableWRTECalcPts[Custom])+COUNTIF($AP$3:AP238,AP238)-1,"")</f>
        <v>178</v>
      </c>
      <c r="AK238" s="105">
        <v>136</v>
      </c>
      <c r="AL238" s="105" t="str">
        <f>IFERROR(INDEX(TableWRMaster[Player],MATCH(TableWRTECalcPts[[#This Row],[POSRef]],TableWRMaster[WRRef],0)),"")</f>
        <v>Xavier Gipson</v>
      </c>
      <c r="AM238" s="105" t="str">
        <f>IFERROR(_xlfn.CONCAT(TableWRTECalcPts[[#This Row],[POS]],INDEX(TableWRRanks[RK],MATCH(TableWRTECalcPts[[#This Row],[PLAYER]],TableWRRanks[Player],0))),"")</f>
        <v>WR128</v>
      </c>
      <c r="AN238" s="105" t="str">
        <f>IFERROR(INDEX(TableWRMaster[TM],MATCH(TableWRTECalcPts[[#This Row],[POSRef]],TableWRMaster[WRRef],0)),"")</f>
        <v>NYJ</v>
      </c>
      <c r="AO238" s="105">
        <f>IFERROR(INDEX(TableWRMaster[BYE],MATCH(TableWRTECalcPts[[#This Row],[POSRef]],TableWRMaster[WRRef],0)),"")</f>
        <v>12</v>
      </c>
      <c r="AP238" s="103">
        <f>IFERROR(INDEX(TableWRMaster[Custom],MATCH(TableWRTECalcPts[[#This Row],[POSRef]],TableWRMaster[WRRef],0)),"")</f>
        <v>27.628995709029127</v>
      </c>
    </row>
    <row r="239" spans="13:42" x14ac:dyDescent="0.25">
      <c r="M239" s="60"/>
      <c r="T239" s="60"/>
      <c r="AI239" s="59" t="s">
        <v>208</v>
      </c>
      <c r="AJ239" s="59">
        <f>IFERROR(RANK(TableWRTECalcPts[[#This Row],[Custom]],TableWRTECalcPts[Custom])+COUNTIF($AP$3:AP239,AP239)-1,"")</f>
        <v>7</v>
      </c>
      <c r="AK239" s="105">
        <v>137</v>
      </c>
      <c r="AL239" s="105" t="str">
        <f>IFERROR(INDEX(TableWRMaster[Player],MATCH(TableWRTECalcPts[[#This Row],[POSRef]],TableWRMaster[WRRef],0)),"")</f>
        <v>A.J. Brown</v>
      </c>
      <c r="AM239" s="105" t="str">
        <f>IFERROR(_xlfn.CONCAT(TableWRTECalcPts[[#This Row],[POS]],INDEX(TableWRRanks[RK],MATCH(TableWRTECalcPts[[#This Row],[PLAYER]],TableWRRanks[Player],0))),"")</f>
        <v>WR7</v>
      </c>
      <c r="AN239" s="105" t="str">
        <f>IFERROR(INDEX(TableWRMaster[TM],MATCH(TableWRTECalcPts[[#This Row],[POSRef]],TableWRMaster[WRRef],0)),"")</f>
        <v>PHI</v>
      </c>
      <c r="AO239" s="105">
        <f>IFERROR(INDEX(TableWRMaster[BYE],MATCH(TableWRTECalcPts[[#This Row],[POSRef]],TableWRMaster[WRRef],0)),"")</f>
        <v>5</v>
      </c>
      <c r="AP239" s="103">
        <f>IFERROR(INDEX(TableWRMaster[Custom],MATCH(TableWRTECalcPts[[#This Row],[POSRef]],TableWRMaster[WRRef],0)),"")</f>
        <v>222.93815465263103</v>
      </c>
    </row>
    <row r="240" spans="13:42" x14ac:dyDescent="0.25">
      <c r="M240" s="60"/>
      <c r="T240" s="60"/>
      <c r="AI240" s="59" t="s">
        <v>208</v>
      </c>
      <c r="AJ240" s="59">
        <f>IFERROR(RANK(TableWRTECalcPts[[#This Row],[Custom]],TableWRTECalcPts[Custom])+COUNTIF($AP$3:AP240,AP240)-1,"")</f>
        <v>17</v>
      </c>
      <c r="AK240" s="105">
        <v>138</v>
      </c>
      <c r="AL240" s="105" t="str">
        <f>IFERROR(INDEX(TableWRMaster[Player],MATCH(TableWRTECalcPts[[#This Row],[POSRef]],TableWRMaster[WRRef],0)),"")</f>
        <v>DeVonta Smith</v>
      </c>
      <c r="AM240" s="105" t="str">
        <f>IFERROR(_xlfn.CONCAT(TableWRTECalcPts[[#This Row],[POS]],INDEX(TableWRRanks[RK],MATCH(TableWRTECalcPts[[#This Row],[PLAYER]],TableWRRanks[Player],0))),"")</f>
        <v>WR16</v>
      </c>
      <c r="AN240" s="105" t="str">
        <f>IFERROR(INDEX(TableWRMaster[TM],MATCH(TableWRTECalcPts[[#This Row],[POSRef]],TableWRMaster[WRRef],0)),"")</f>
        <v>PHI</v>
      </c>
      <c r="AO240" s="105">
        <f>IFERROR(INDEX(TableWRMaster[BYE],MATCH(TableWRTECalcPts[[#This Row],[POSRef]],TableWRMaster[WRRef],0)),"")</f>
        <v>5</v>
      </c>
      <c r="AP240" s="103">
        <f>IFERROR(INDEX(TableWRMaster[Custom],MATCH(TableWRTECalcPts[[#This Row],[POSRef]],TableWRMaster[WRRef],0)),"")</f>
        <v>200.62046472114179</v>
      </c>
    </row>
    <row r="241" spans="13:42" x14ac:dyDescent="0.25">
      <c r="M241" s="60"/>
      <c r="T241" s="60"/>
      <c r="AI241" s="59" t="s">
        <v>208</v>
      </c>
      <c r="AJ241" s="59">
        <f>IFERROR(RANK(TableWRTECalcPts[[#This Row],[Custom]],TableWRTECalcPts[Custom])+COUNTIF($AP$3:AP241,AP241)-1,"")</f>
        <v>148</v>
      </c>
      <c r="AK241" s="105">
        <v>139</v>
      </c>
      <c r="AL241" s="105" t="str">
        <f>IFERROR(INDEX(TableWRMaster[Player],MATCH(TableWRTECalcPts[[#This Row],[POSRef]],TableWRMaster[WRRef],0)),"")</f>
        <v>Jahan Dotson</v>
      </c>
      <c r="AM241" s="105" t="str">
        <f>IFERROR(_xlfn.CONCAT(TableWRTECalcPts[[#This Row],[POS]],INDEX(TableWRRanks[RK],MATCH(TableWRTECalcPts[[#This Row],[PLAYER]],TableWRRanks[Player],0))),"")</f>
        <v>WR108</v>
      </c>
      <c r="AN241" s="105" t="str">
        <f>IFERROR(INDEX(TableWRMaster[TM],MATCH(TableWRTECalcPts[[#This Row],[POSRef]],TableWRMaster[WRRef],0)),"")</f>
        <v>PHI</v>
      </c>
      <c r="AO241" s="105">
        <f>IFERROR(INDEX(TableWRMaster[BYE],MATCH(TableWRTECalcPts[[#This Row],[POSRef]],TableWRMaster[WRRef],0)),"")</f>
        <v>5</v>
      </c>
      <c r="AP241" s="103">
        <f>IFERROR(INDEX(TableWRMaster[Custom],MATCH(TableWRTECalcPts[[#This Row],[POSRef]],TableWRMaster[WRRef],0)),"")</f>
        <v>48.684252861175672</v>
      </c>
    </row>
    <row r="242" spans="13:42" x14ac:dyDescent="0.25">
      <c r="M242" s="60"/>
      <c r="T242" s="60"/>
      <c r="AI242" s="59" t="s">
        <v>208</v>
      </c>
      <c r="AJ242" s="59">
        <f>IFERROR(RANK(TableWRTECalcPts[[#This Row],[Custom]],TableWRTECalcPts[Custom])+COUNTIF($AP$3:AP242,AP242)-1,"")</f>
        <v>180</v>
      </c>
      <c r="AK242" s="105">
        <v>140</v>
      </c>
      <c r="AL242" s="105" t="str">
        <f>IFERROR(INDEX(TableWRMaster[Player],MATCH(TableWRTECalcPts[[#This Row],[POSRef]],TableWRMaster[WRRef],0)),"")</f>
        <v>Johnny Wilson</v>
      </c>
      <c r="AM242" s="105" t="str">
        <f>IFERROR(_xlfn.CONCAT(TableWRTECalcPts[[#This Row],[POS]],INDEX(TableWRRanks[RK],MATCH(TableWRTECalcPts[[#This Row],[PLAYER]],TableWRRanks[Player],0))),"")</f>
        <v>WR129</v>
      </c>
      <c r="AN242" s="105" t="str">
        <f>IFERROR(INDEX(TableWRMaster[TM],MATCH(TableWRTECalcPts[[#This Row],[POSRef]],TableWRMaster[WRRef],0)),"")</f>
        <v>PHI</v>
      </c>
      <c r="AO242" s="105">
        <f>IFERROR(INDEX(TableWRMaster[BYE],MATCH(TableWRTECalcPts[[#This Row],[POSRef]],TableWRMaster[WRRef],0)),"")</f>
        <v>5</v>
      </c>
      <c r="AP242" s="103">
        <f>IFERROR(INDEX(TableWRMaster[Custom],MATCH(TableWRTECalcPts[[#This Row],[POSRef]],TableWRMaster[WRRef],0)),"")</f>
        <v>25.767407778456288</v>
      </c>
    </row>
    <row r="243" spans="13:42" x14ac:dyDescent="0.25">
      <c r="AI243" s="59" t="s">
        <v>208</v>
      </c>
      <c r="AJ243" s="59">
        <f>IFERROR(RANK(TableWRTECalcPts[[#This Row],[Custom]],TableWRTECalcPts[Custom])+COUNTIF($AP$3:AP243,AP243)-1,"")</f>
        <v>232</v>
      </c>
      <c r="AK243" s="105">
        <v>141</v>
      </c>
      <c r="AL243" s="105" t="str">
        <f>IFERROR(INDEX(TableWRMaster[Player],MATCH(TableWRTECalcPts[[#This Row],[POSRef]],TableWRMaster[WRRef],0)),"")</f>
        <v>Britain Covey</v>
      </c>
      <c r="AM243" s="105" t="str">
        <f>IFERROR(_xlfn.CONCAT(TableWRTECalcPts[[#This Row],[POS]],INDEX(TableWRRanks[RK],MATCH(TableWRTECalcPts[[#This Row],[PLAYER]],TableWRRanks[Player],0))),"")</f>
        <v>WR163</v>
      </c>
      <c r="AN243" s="105" t="str">
        <f>IFERROR(INDEX(TableWRMaster[TM],MATCH(TableWRTECalcPts[[#This Row],[POSRef]],TableWRMaster[WRRef],0)),"")</f>
        <v>PHI</v>
      </c>
      <c r="AO243" s="105">
        <f>IFERROR(INDEX(TableWRMaster[BYE],MATCH(TableWRTECalcPts[[#This Row],[POSRef]],TableWRMaster[WRRef],0)),"")</f>
        <v>5</v>
      </c>
      <c r="AP243" s="103">
        <f>IFERROR(INDEX(TableWRMaster[Custom],MATCH(TableWRTECalcPts[[#This Row],[POSRef]],TableWRMaster[WRRef],0)),"")</f>
        <v>10.576269518762009</v>
      </c>
    </row>
    <row r="244" spans="13:42" x14ac:dyDescent="0.25">
      <c r="AI244" s="59" t="s">
        <v>208</v>
      </c>
      <c r="AJ244" s="59">
        <f>IFERROR(RANK(TableWRTECalcPts[[#This Row],[Custom]],TableWRTECalcPts[Custom])+COUNTIF($AP$3:AP244,AP244)-1,"")</f>
        <v>26</v>
      </c>
      <c r="AK244" s="105">
        <v>142</v>
      </c>
      <c r="AL244" s="105" t="str">
        <f>IFERROR(INDEX(TableWRMaster[Player],MATCH(TableWRTECalcPts[[#This Row],[POSRef]],TableWRMaster[WRRef],0)),"")</f>
        <v>George Pickens</v>
      </c>
      <c r="AM244" s="105" t="str">
        <f>IFERROR(_xlfn.CONCAT(TableWRTECalcPts[[#This Row],[POS]],INDEX(TableWRRanks[RK],MATCH(TableWRTECalcPts[[#This Row],[PLAYER]],TableWRRanks[Player],0))),"")</f>
        <v>WR25</v>
      </c>
      <c r="AN244" s="105" t="str">
        <f>IFERROR(INDEX(TableWRMaster[TM],MATCH(TableWRTECalcPts[[#This Row],[POSRef]],TableWRMaster[WRRef],0)),"")</f>
        <v>PIT</v>
      </c>
      <c r="AO244" s="105">
        <f>IFERROR(INDEX(TableWRMaster[BYE],MATCH(TableWRTECalcPts[[#This Row],[POSRef]],TableWRMaster[WRRef],0)),"")</f>
        <v>9</v>
      </c>
      <c r="AP244" s="103">
        <f>IFERROR(INDEX(TableWRMaster[Custom],MATCH(TableWRTECalcPts[[#This Row],[POSRef]],TableWRMaster[WRRef],0)),"")</f>
        <v>189.09560213560073</v>
      </c>
    </row>
    <row r="245" spans="13:42" x14ac:dyDescent="0.25">
      <c r="AI245" s="59" t="s">
        <v>208</v>
      </c>
      <c r="AJ245" s="59">
        <f>IFERROR(RANK(TableWRTECalcPts[[#This Row],[Custom]],TableWRTECalcPts[Custom])+COUNTIF($AP$3:AP245,AP245)-1,"")</f>
        <v>94</v>
      </c>
      <c r="AK245" s="105">
        <v>143</v>
      </c>
      <c r="AL245" s="105" t="str">
        <f>IFERROR(INDEX(TableWRMaster[Player],MATCH(TableWRTECalcPts[[#This Row],[POSRef]],TableWRMaster[WRRef],0)),"")</f>
        <v>Roman Wilson</v>
      </c>
      <c r="AM245" s="105" t="str">
        <f>IFERROR(_xlfn.CONCAT(TableWRTECalcPts[[#This Row],[POS]],INDEX(TableWRRanks[RK],MATCH(TableWRTECalcPts[[#This Row],[PLAYER]],TableWRRanks[Player],0))),"")</f>
        <v>WR79</v>
      </c>
      <c r="AN245" s="105" t="str">
        <f>IFERROR(INDEX(TableWRMaster[TM],MATCH(TableWRTECalcPts[[#This Row],[POSRef]],TableWRMaster[WRRef],0)),"")</f>
        <v>PIT</v>
      </c>
      <c r="AO245" s="105">
        <f>IFERROR(INDEX(TableWRMaster[BYE],MATCH(TableWRTECalcPts[[#This Row],[POSRef]],TableWRMaster[WRRef],0)),"")</f>
        <v>9</v>
      </c>
      <c r="AP245" s="103">
        <f>IFERROR(INDEX(TableWRMaster[Custom],MATCH(TableWRTECalcPts[[#This Row],[POSRef]],TableWRMaster[WRRef],0)),"")</f>
        <v>100.98603118800001</v>
      </c>
    </row>
    <row r="246" spans="13:42" x14ac:dyDescent="0.25">
      <c r="AI246" s="59" t="s">
        <v>208</v>
      </c>
      <c r="AJ246" s="59">
        <f>IFERROR(RANK(TableWRTECalcPts[[#This Row],[Custom]],TableWRTECalcPts[Custom])+COUNTIF($AP$3:AP246,AP246)-1,"")</f>
        <v>95</v>
      </c>
      <c r="AK246" s="105">
        <v>144</v>
      </c>
      <c r="AL246" s="105" t="str">
        <f>IFERROR(INDEX(TableWRMaster[Player],MATCH(TableWRTECalcPts[[#This Row],[POSRef]],TableWRMaster[WRRef],0)),"")</f>
        <v>Van Jefferson</v>
      </c>
      <c r="AM246" s="105" t="str">
        <f>IFERROR(_xlfn.CONCAT(TableWRTECalcPts[[#This Row],[POS]],INDEX(TableWRRanks[RK],MATCH(TableWRTECalcPts[[#This Row],[PLAYER]],TableWRRanks[Player],0))),"")</f>
        <v>WR80</v>
      </c>
      <c r="AN246" s="105" t="str">
        <f>IFERROR(INDEX(TableWRMaster[TM],MATCH(TableWRTECalcPts[[#This Row],[POSRef]],TableWRMaster[WRRef],0)),"")</f>
        <v>PIT</v>
      </c>
      <c r="AO246" s="105">
        <f>IFERROR(INDEX(TableWRMaster[BYE],MATCH(TableWRTECalcPts[[#This Row],[POSRef]],TableWRMaster[WRRef],0)),"")</f>
        <v>9</v>
      </c>
      <c r="AP246" s="103">
        <f>IFERROR(INDEX(TableWRMaster[Custom],MATCH(TableWRTECalcPts[[#This Row],[POSRef]],TableWRMaster[WRRef],0)),"")</f>
        <v>100.70653692455998</v>
      </c>
    </row>
    <row r="247" spans="13:42" x14ac:dyDescent="0.25">
      <c r="AI247" s="59" t="s">
        <v>208</v>
      </c>
      <c r="AJ247" s="59">
        <f>IFERROR(RANK(TableWRTECalcPts[[#This Row],[Custom]],TableWRTECalcPts[Custom])+COUNTIF($AP$3:AP247,AP247)-1,"")</f>
        <v>138</v>
      </c>
      <c r="AK247" s="105">
        <v>145</v>
      </c>
      <c r="AL247" s="105" t="str">
        <f>IFERROR(INDEX(TableWRMaster[Player],MATCH(TableWRTECalcPts[[#This Row],[POSRef]],TableWRMaster[WRRef],0)),"")</f>
        <v>Calvin Austin</v>
      </c>
      <c r="AM247" s="105" t="str">
        <f>IFERROR(_xlfn.CONCAT(TableWRTECalcPts[[#This Row],[POS]],INDEX(TableWRRanks[RK],MATCH(TableWRTECalcPts[[#This Row],[PLAYER]],TableWRRanks[Player],0))),"")</f>
        <v>WR103</v>
      </c>
      <c r="AN247" s="105" t="str">
        <f>IFERROR(INDEX(TableWRMaster[TM],MATCH(TableWRTECalcPts[[#This Row],[POSRef]],TableWRMaster[WRRef],0)),"")</f>
        <v>PIT</v>
      </c>
      <c r="AO247" s="105">
        <f>IFERROR(INDEX(TableWRMaster[BYE],MATCH(TableWRTECalcPts[[#This Row],[POSRef]],TableWRMaster[WRRef],0)),"")</f>
        <v>9</v>
      </c>
      <c r="AP247" s="103">
        <f>IFERROR(INDEX(TableWRMaster[Custom],MATCH(TableWRTECalcPts[[#This Row],[POSRef]],TableWRMaster[WRRef],0)),"")</f>
        <v>58.376500767336978</v>
      </c>
    </row>
    <row r="248" spans="13:42" x14ac:dyDescent="0.25">
      <c r="AI248" s="59" t="s">
        <v>208</v>
      </c>
      <c r="AJ248" s="59">
        <f>IFERROR(RANK(TableWRTECalcPts[[#This Row],[Custom]],TableWRTECalcPts[Custom])+COUNTIF($AP$3:AP248,AP248)-1,"")</f>
        <v>238</v>
      </c>
      <c r="AK248" s="105">
        <v>146</v>
      </c>
      <c r="AL248" s="105" t="str">
        <f>IFERROR(INDEX(TableWRMaster[Player],MATCH(TableWRTECalcPts[[#This Row],[POSRef]],TableWRMaster[WRRef],0)),"")</f>
        <v>Dez Fitzpatrick</v>
      </c>
      <c r="AM248" s="105" t="str">
        <f>IFERROR(_xlfn.CONCAT(TableWRTECalcPts[[#This Row],[POS]],INDEX(TableWRRanks[RK],MATCH(TableWRTECalcPts[[#This Row],[PLAYER]],TableWRRanks[Player],0))),"")</f>
        <v>WR168</v>
      </c>
      <c r="AN248" s="105" t="str">
        <f>IFERROR(INDEX(TableWRMaster[TM],MATCH(TableWRTECalcPts[[#This Row],[POSRef]],TableWRMaster[WRRef],0)),"")</f>
        <v>PIT</v>
      </c>
      <c r="AO248" s="105">
        <f>IFERROR(INDEX(TableWRMaster[BYE],MATCH(TableWRTECalcPts[[#This Row],[POSRef]],TableWRMaster[WRRef],0)),"")</f>
        <v>9</v>
      </c>
      <c r="AP248" s="103">
        <f>IFERROR(INDEX(TableWRMaster[Custom],MATCH(TableWRTECalcPts[[#This Row],[POSRef]],TableWRMaster[WRRef],0)),"")</f>
        <v>8.4999207711599993</v>
      </c>
    </row>
    <row r="249" spans="13:42" x14ac:dyDescent="0.25">
      <c r="AI249" s="59" t="s">
        <v>208</v>
      </c>
      <c r="AJ249" s="59">
        <f>IFERROR(RANK(TableWRTECalcPts[[#This Row],[Custom]],TableWRTECalcPts[Custom])+COUNTIF($AP$3:AP249,AP249)-1,"")</f>
        <v>19</v>
      </c>
      <c r="AK249" s="105">
        <v>147</v>
      </c>
      <c r="AL249" s="105" t="str">
        <f>IFERROR(INDEX(TableWRMaster[Player],MATCH(TableWRTECalcPts[[#This Row],[POSRef]],TableWRMaster[WRRef],0)),"")</f>
        <v>DK Metcalf</v>
      </c>
      <c r="AM249" s="105" t="str">
        <f>IFERROR(_xlfn.CONCAT(TableWRTECalcPts[[#This Row],[POS]],INDEX(TableWRRanks[RK],MATCH(TableWRTECalcPts[[#This Row],[PLAYER]],TableWRRanks[Player],0))),"")</f>
        <v>WR18</v>
      </c>
      <c r="AN249" s="105" t="str">
        <f>IFERROR(INDEX(TableWRMaster[TM],MATCH(TableWRTECalcPts[[#This Row],[POSRef]],TableWRMaster[WRRef],0)),"")</f>
        <v>SEA</v>
      </c>
      <c r="AO249" s="105">
        <f>IFERROR(INDEX(TableWRMaster[BYE],MATCH(TableWRTECalcPts[[#This Row],[POSRef]],TableWRMaster[WRRef],0)),"")</f>
        <v>10</v>
      </c>
      <c r="AP249" s="103">
        <f>IFERROR(INDEX(TableWRMaster[Custom],MATCH(TableWRTECalcPts[[#This Row],[POSRef]],TableWRMaster[WRRef],0)),"")</f>
        <v>196.75593147513993</v>
      </c>
    </row>
    <row r="250" spans="13:42" x14ac:dyDescent="0.25">
      <c r="AI250" s="59" t="s">
        <v>208</v>
      </c>
      <c r="AJ250" s="59">
        <f>IFERROR(RANK(TableWRTECalcPts[[#This Row],[Custom]],TableWRTECalcPts[Custom])+COUNTIF($AP$3:AP250,AP250)-1,"")</f>
        <v>53</v>
      </c>
      <c r="AK250" s="105">
        <v>148</v>
      </c>
      <c r="AL250" s="105" t="str">
        <f>IFERROR(INDEX(TableWRMaster[Player],MATCH(TableWRTECalcPts[[#This Row],[POSRef]],TableWRMaster[WRRef],0)),"")</f>
        <v>Tyler Lockett</v>
      </c>
      <c r="AM250" s="105" t="str">
        <f>IFERROR(_xlfn.CONCAT(TableWRTECalcPts[[#This Row],[POS]],INDEX(TableWRRanks[RK],MATCH(TableWRTECalcPts[[#This Row],[PLAYER]],TableWRRanks[Player],0))),"")</f>
        <v>WR47</v>
      </c>
      <c r="AN250" s="105" t="str">
        <f>IFERROR(INDEX(TableWRMaster[TM],MATCH(TableWRTECalcPts[[#This Row],[POSRef]],TableWRMaster[WRRef],0)),"")</f>
        <v>SEA</v>
      </c>
      <c r="AO250" s="105">
        <f>IFERROR(INDEX(TableWRMaster[BYE],MATCH(TableWRTECalcPts[[#This Row],[POSRef]],TableWRMaster[WRRef],0)),"")</f>
        <v>10</v>
      </c>
      <c r="AP250" s="103">
        <f>IFERROR(INDEX(TableWRMaster[Custom],MATCH(TableWRTECalcPts[[#This Row],[POSRef]],TableWRMaster[WRRef],0)),"")</f>
        <v>162.31493454865003</v>
      </c>
    </row>
    <row r="251" spans="13:42" x14ac:dyDescent="0.25">
      <c r="AI251" s="59" t="s">
        <v>208</v>
      </c>
      <c r="AJ251" s="59">
        <f>IFERROR(RANK(TableWRTECalcPts[[#This Row],[Custom]],TableWRTECalcPts[Custom])+COUNTIF($AP$3:AP251,AP251)-1,"")</f>
        <v>49</v>
      </c>
      <c r="AK251" s="105">
        <v>149</v>
      </c>
      <c r="AL251" s="105" t="str">
        <f>IFERROR(INDEX(TableWRMaster[Player],MATCH(TableWRTECalcPts[[#This Row],[POSRef]],TableWRMaster[WRRef],0)),"")</f>
        <v>Jaxon Smith-Njigba</v>
      </c>
      <c r="AM251" s="105" t="str">
        <f>IFERROR(_xlfn.CONCAT(TableWRTECalcPts[[#This Row],[POS]],INDEX(TableWRRanks[RK],MATCH(TableWRTECalcPts[[#This Row],[PLAYER]],TableWRRanks[Player],0))),"")</f>
        <v>WR44</v>
      </c>
      <c r="AN251" s="105" t="str">
        <f>IFERROR(INDEX(TableWRMaster[TM],MATCH(TableWRTECalcPts[[#This Row],[POSRef]],TableWRMaster[WRRef],0)),"")</f>
        <v>SEA</v>
      </c>
      <c r="AO251" s="105">
        <f>IFERROR(INDEX(TableWRMaster[BYE],MATCH(TableWRTECalcPts[[#This Row],[POSRef]],TableWRMaster[WRRef],0)),"")</f>
        <v>10</v>
      </c>
      <c r="AP251" s="103">
        <f>IFERROR(INDEX(TableWRMaster[Custom],MATCH(TableWRTECalcPts[[#This Row],[POSRef]],TableWRMaster[WRRef],0)),"")</f>
        <v>163.8453388368572</v>
      </c>
    </row>
    <row r="252" spans="13:42" x14ac:dyDescent="0.25">
      <c r="AI252" s="59" t="s">
        <v>208</v>
      </c>
      <c r="AJ252" s="59">
        <f>IFERROR(RANK(TableWRTECalcPts[[#This Row],[Custom]],TableWRTECalcPts[Custom])+COUNTIF($AP$3:AP252,AP252)-1,"")</f>
        <v>165</v>
      </c>
      <c r="AK252" s="105">
        <v>150</v>
      </c>
      <c r="AL252" s="105" t="str">
        <f>IFERROR(INDEX(TableWRMaster[Player],MATCH(TableWRTECalcPts[[#This Row],[POSRef]],TableWRMaster[WRRef],0)),"")</f>
        <v>Jake Bobo</v>
      </c>
      <c r="AM252" s="105" t="str">
        <f>IFERROR(_xlfn.CONCAT(TableWRTECalcPts[[#This Row],[POS]],INDEX(TableWRRanks[RK],MATCH(TableWRTECalcPts[[#This Row],[PLAYER]],TableWRRanks[Player],0))),"")</f>
        <v>WR118</v>
      </c>
      <c r="AN252" s="105" t="str">
        <f>IFERROR(INDEX(TableWRMaster[TM],MATCH(TableWRTECalcPts[[#This Row],[POSRef]],TableWRMaster[WRRef],0)),"")</f>
        <v>SEA</v>
      </c>
      <c r="AO252" s="105">
        <f>IFERROR(INDEX(TableWRMaster[BYE],MATCH(TableWRTECalcPts[[#This Row],[POSRef]],TableWRMaster[WRRef],0)),"")</f>
        <v>10</v>
      </c>
      <c r="AP252" s="103">
        <f>IFERROR(INDEX(TableWRMaster[Custom],MATCH(TableWRTECalcPts[[#This Row],[POSRef]],TableWRMaster[WRRef],0)),"")</f>
        <v>34.341331834367637</v>
      </c>
    </row>
    <row r="253" spans="13:42" x14ac:dyDescent="0.25">
      <c r="AI253" s="59" t="s">
        <v>208</v>
      </c>
      <c r="AJ253" s="59">
        <f>IFERROR(RANK(TableWRTECalcPts[[#This Row],[Custom]],TableWRTECalcPts[Custom])+COUNTIF($AP$3:AP253,AP253)-1,"")</f>
        <v>217</v>
      </c>
      <c r="AK253" s="105">
        <v>151</v>
      </c>
      <c r="AL253" s="105" t="str">
        <f>IFERROR(INDEX(TableWRMaster[Player],MATCH(TableWRTECalcPts[[#This Row],[POSRef]],TableWRMaster[WRRef],0)),"")</f>
        <v>Laviska Shenault</v>
      </c>
      <c r="AM253" s="105" t="str">
        <f>IFERROR(_xlfn.CONCAT(TableWRTECalcPts[[#This Row],[POS]],INDEX(TableWRRanks[RK],MATCH(TableWRTECalcPts[[#This Row],[PLAYER]],TableWRRanks[Player],0))),"")</f>
        <v>WR153</v>
      </c>
      <c r="AN253" s="105" t="str">
        <f>IFERROR(INDEX(TableWRMaster[TM],MATCH(TableWRTECalcPts[[#This Row],[POSRef]],TableWRMaster[WRRef],0)),"")</f>
        <v>SEA</v>
      </c>
      <c r="AO253" s="105">
        <f>IFERROR(INDEX(TableWRMaster[BYE],MATCH(TableWRTECalcPts[[#This Row],[POSRef]],TableWRMaster[WRRef],0)),"")</f>
        <v>10</v>
      </c>
      <c r="AP253" s="103">
        <f>IFERROR(INDEX(TableWRMaster[Custom],MATCH(TableWRTECalcPts[[#This Row],[POSRef]],TableWRMaster[WRRef],0)),"")</f>
        <v>14.629293969015656</v>
      </c>
    </row>
    <row r="254" spans="13:42" x14ac:dyDescent="0.25">
      <c r="AI254" s="59" t="s">
        <v>208</v>
      </c>
      <c r="AJ254" s="59">
        <f>IFERROR(RANK(TableWRTECalcPts[[#This Row],[Custom]],TableWRTECalcPts[Custom])+COUNTIF($AP$3:AP254,AP254)-1,"")</f>
        <v>14</v>
      </c>
      <c r="AK254" s="105">
        <v>152</v>
      </c>
      <c r="AL254" s="105" t="str">
        <f>IFERROR(INDEX(TableWRMaster[Player],MATCH(TableWRTECalcPts[[#This Row],[POSRef]],TableWRMaster[WRRef],0)),"")</f>
        <v>Brandon Aiyuk</v>
      </c>
      <c r="AM254" s="105" t="str">
        <f>IFERROR(_xlfn.CONCAT(TableWRTECalcPts[[#This Row],[POS]],INDEX(TableWRRanks[RK],MATCH(TableWRTECalcPts[[#This Row],[PLAYER]],TableWRRanks[Player],0))),"")</f>
        <v>WR14</v>
      </c>
      <c r="AN254" s="105" t="str">
        <f>IFERROR(INDEX(TableWRMaster[TM],MATCH(TableWRTECalcPts[[#This Row],[POSRef]],TableWRMaster[WRRef],0)),"")</f>
        <v>SF</v>
      </c>
      <c r="AO254" s="105">
        <f>IFERROR(INDEX(TableWRMaster[BYE],MATCH(TableWRTECalcPts[[#This Row],[POSRef]],TableWRMaster[WRRef],0)),"")</f>
        <v>9</v>
      </c>
      <c r="AP254" s="103">
        <f>IFERROR(INDEX(TableWRMaster[Custom],MATCH(TableWRTECalcPts[[#This Row],[POSRef]],TableWRMaster[WRRef],0)),"")</f>
        <v>204.932700677376</v>
      </c>
    </row>
    <row r="255" spans="13:42" x14ac:dyDescent="0.25">
      <c r="AI255" s="59" t="s">
        <v>208</v>
      </c>
      <c r="AJ255" s="59">
        <f>IFERROR(RANK(TableWRTECalcPts[[#This Row],[Custom]],TableWRTECalcPts[Custom])+COUNTIF($AP$3:AP255,AP255)-1,"")</f>
        <v>10</v>
      </c>
      <c r="AK255" s="105">
        <v>153</v>
      </c>
      <c r="AL255" s="105" t="str">
        <f>IFERROR(INDEX(TableWRMaster[Player],MATCH(TableWRTECalcPts[[#This Row],[POSRef]],TableWRMaster[WRRef],0)),"")</f>
        <v>Deebo Samuel</v>
      </c>
      <c r="AM255" s="105" t="str">
        <f>IFERROR(_xlfn.CONCAT(TableWRTECalcPts[[#This Row],[POS]],INDEX(TableWRRanks[RK],MATCH(TableWRTECalcPts[[#This Row],[PLAYER]],TableWRRanks[Player],0))),"")</f>
        <v>WR10</v>
      </c>
      <c r="AN255" s="105" t="str">
        <f>IFERROR(INDEX(TableWRMaster[TM],MATCH(TableWRTECalcPts[[#This Row],[POSRef]],TableWRMaster[WRRef],0)),"")</f>
        <v>SF</v>
      </c>
      <c r="AO255" s="105">
        <f>IFERROR(INDEX(TableWRMaster[BYE],MATCH(TableWRTECalcPts[[#This Row],[POSRef]],TableWRMaster[WRRef],0)),"")</f>
        <v>9</v>
      </c>
      <c r="AP255" s="103">
        <f>IFERROR(INDEX(TableWRMaster[Custom],MATCH(TableWRTECalcPts[[#This Row],[POSRef]],TableWRMaster[WRRef],0)),"")</f>
        <v>209.42708203956002</v>
      </c>
    </row>
    <row r="256" spans="13:42" x14ac:dyDescent="0.25">
      <c r="AI256" s="59" t="s">
        <v>208</v>
      </c>
      <c r="AJ256" s="59">
        <f>IFERROR(RANK(TableWRTECalcPts[[#This Row],[Custom]],TableWRTECalcPts[Custom])+COUNTIF($AP$3:AP256,AP256)-1,"")</f>
        <v>130</v>
      </c>
      <c r="AK256" s="105">
        <v>154</v>
      </c>
      <c r="AL256" s="105" t="str">
        <f>IFERROR(INDEX(TableWRMaster[Player],MATCH(TableWRTECalcPts[[#This Row],[POSRef]],TableWRMaster[WRRef],0)),"")</f>
        <v>Ricky Pearsall</v>
      </c>
      <c r="AM256" s="105" t="str">
        <f>IFERROR(_xlfn.CONCAT(TableWRTECalcPts[[#This Row],[POS]],INDEX(TableWRRanks[RK],MATCH(TableWRTECalcPts[[#This Row],[PLAYER]],TableWRRanks[Player],0))),"")</f>
        <v>WR98</v>
      </c>
      <c r="AN256" s="105" t="str">
        <f>IFERROR(INDEX(TableWRMaster[TM],MATCH(TableWRTECalcPts[[#This Row],[POSRef]],TableWRMaster[WRRef],0)),"")</f>
        <v>SF</v>
      </c>
      <c r="AO256" s="105">
        <f>IFERROR(INDEX(TableWRMaster[BYE],MATCH(TableWRTECalcPts[[#This Row],[POSRef]],TableWRMaster[WRRef],0)),"")</f>
        <v>9</v>
      </c>
      <c r="AP256" s="103">
        <f>IFERROR(INDEX(TableWRMaster[Custom],MATCH(TableWRTECalcPts[[#This Row],[POSRef]],TableWRMaster[WRRef],0)),"")</f>
        <v>64.515491200216616</v>
      </c>
    </row>
    <row r="257" spans="35:42" x14ac:dyDescent="0.25">
      <c r="AI257" s="59" t="s">
        <v>208</v>
      </c>
      <c r="AJ257" s="59">
        <f>IFERROR(RANK(TableWRTECalcPts[[#This Row],[Custom]],TableWRTECalcPts[Custom])+COUNTIF($AP$3:AP257,AP257)-1,"")</f>
        <v>134</v>
      </c>
      <c r="AK257" s="105">
        <v>155</v>
      </c>
      <c r="AL257" s="105" t="str">
        <f>IFERROR(INDEX(TableWRMaster[Player],MATCH(TableWRTECalcPts[[#This Row],[POSRef]],TableWRMaster[WRRef],0)),"")</f>
        <v>Jauan Jennings</v>
      </c>
      <c r="AM257" s="105" t="str">
        <f>IFERROR(_xlfn.CONCAT(TableWRTECalcPts[[#This Row],[POS]],INDEX(TableWRRanks[RK],MATCH(TableWRTECalcPts[[#This Row],[PLAYER]],TableWRRanks[Player],0))),"")</f>
        <v>WR101</v>
      </c>
      <c r="AN257" s="105" t="str">
        <f>IFERROR(INDEX(TableWRMaster[TM],MATCH(TableWRTECalcPts[[#This Row],[POSRef]],TableWRMaster[WRRef],0)),"")</f>
        <v>SF</v>
      </c>
      <c r="AO257" s="105">
        <f>IFERROR(INDEX(TableWRMaster[BYE],MATCH(TableWRTECalcPts[[#This Row],[POSRef]],TableWRMaster[WRRef],0)),"")</f>
        <v>9</v>
      </c>
      <c r="AP257" s="103">
        <f>IFERROR(INDEX(TableWRMaster[Custom],MATCH(TableWRTECalcPts[[#This Row],[POSRef]],TableWRMaster[WRRef],0)),"")</f>
        <v>60.696683892896807</v>
      </c>
    </row>
    <row r="258" spans="35:42" x14ac:dyDescent="0.25">
      <c r="AI258" s="59" t="s">
        <v>208</v>
      </c>
      <c r="AJ258" s="59">
        <f>IFERROR(RANK(TableWRTECalcPts[[#This Row],[Custom]],TableWRTECalcPts[Custom])+COUNTIF($AP$3:AP258,AP258)-1,"")</f>
        <v>228</v>
      </c>
      <c r="AK258" s="105">
        <v>156</v>
      </c>
      <c r="AL258" s="105" t="str">
        <f>IFERROR(INDEX(TableWRMaster[Player],MATCH(TableWRTECalcPts[[#This Row],[POSRef]],TableWRMaster[WRRef],0)),"")</f>
        <v>Ronnie Bell</v>
      </c>
      <c r="AM258" s="105" t="str">
        <f>IFERROR(_xlfn.CONCAT(TableWRTECalcPts[[#This Row],[POS]],INDEX(TableWRRanks[RK],MATCH(TableWRTECalcPts[[#This Row],[PLAYER]],TableWRRanks[Player],0))),"")</f>
        <v>WR161</v>
      </c>
      <c r="AN258" s="105" t="str">
        <f>IFERROR(INDEX(TableWRMaster[TM],MATCH(TableWRTECalcPts[[#This Row],[POSRef]],TableWRMaster[WRRef],0)),"")</f>
        <v>SF</v>
      </c>
      <c r="AO258" s="105">
        <f>IFERROR(INDEX(TableWRMaster[BYE],MATCH(TableWRTECalcPts[[#This Row],[POSRef]],TableWRMaster[WRRef],0)),"")</f>
        <v>9</v>
      </c>
      <c r="AP258" s="103">
        <f>IFERROR(INDEX(TableWRMaster[Custom],MATCH(TableWRTECalcPts[[#This Row],[POSRef]],TableWRMaster[WRRef],0)),"")</f>
        <v>11.050598875505298</v>
      </c>
    </row>
    <row r="259" spans="35:42" x14ac:dyDescent="0.25">
      <c r="AI259" s="59" t="s">
        <v>208</v>
      </c>
      <c r="AJ259" s="59">
        <f>IFERROR(RANK(TableWRTECalcPts[[#This Row],[Custom]],TableWRTECalcPts[Custom])+COUNTIF($AP$3:AP259,AP259)-1,"")</f>
        <v>236</v>
      </c>
      <c r="AK259" s="105">
        <v>157</v>
      </c>
      <c r="AL259" s="105" t="str">
        <f>IFERROR(INDEX(TableWRMaster[Player],MATCH(TableWRTECalcPts[[#This Row],[POSRef]],TableWRMaster[WRRef],0)),"")</f>
        <v>Danny Gray</v>
      </c>
      <c r="AM259" s="105" t="str">
        <f>IFERROR(_xlfn.CONCAT(TableWRTECalcPts[[#This Row],[POS]],INDEX(TableWRRanks[RK],MATCH(TableWRTECalcPts[[#This Row],[PLAYER]],TableWRRanks[Player],0))),"")</f>
        <v>WR166</v>
      </c>
      <c r="AN259" s="105" t="str">
        <f>IFERROR(INDEX(TableWRMaster[TM],MATCH(TableWRTECalcPts[[#This Row],[POSRef]],TableWRMaster[WRRef],0)),"")</f>
        <v>SF</v>
      </c>
      <c r="AO259" s="105">
        <f>IFERROR(INDEX(TableWRMaster[BYE],MATCH(TableWRTECalcPts[[#This Row],[POSRef]],TableWRMaster[WRRef],0)),"")</f>
        <v>9</v>
      </c>
      <c r="AP259" s="103">
        <f>IFERROR(INDEX(TableWRMaster[Custom],MATCH(TableWRTECalcPts[[#This Row],[POSRef]],TableWRMaster[WRRef],0)),"")</f>
        <v>8.5978939176899996</v>
      </c>
    </row>
    <row r="260" spans="35:42" x14ac:dyDescent="0.25">
      <c r="AI260" s="59" t="s">
        <v>208</v>
      </c>
      <c r="AJ260" s="59">
        <f>IFERROR(RANK(TableWRTECalcPts[[#This Row],[Custom]],TableWRTECalcPts[Custom])+COUNTIF($AP$3:AP260,AP260)-1,"")</f>
        <v>9</v>
      </c>
      <c r="AK260" s="105">
        <v>158</v>
      </c>
      <c r="AL260" s="105" t="str">
        <f>IFERROR(INDEX(TableWRMaster[Player],MATCH(TableWRTECalcPts[[#This Row],[POSRef]],TableWRMaster[WRRef],0)),"")</f>
        <v>Mike Evans</v>
      </c>
      <c r="AM260" s="105" t="str">
        <f>IFERROR(_xlfn.CONCAT(TableWRTECalcPts[[#This Row],[POS]],INDEX(TableWRRanks[RK],MATCH(TableWRTECalcPts[[#This Row],[PLAYER]],TableWRRanks[Player],0))),"")</f>
        <v>WR9</v>
      </c>
      <c r="AN260" s="105" t="str">
        <f>IFERROR(INDEX(TableWRMaster[TM],MATCH(TableWRTECalcPts[[#This Row],[POSRef]],TableWRMaster[WRRef],0)),"")</f>
        <v>TB</v>
      </c>
      <c r="AO260" s="105">
        <f>IFERROR(INDEX(TableWRMaster[BYE],MATCH(TableWRTECalcPts[[#This Row],[POSRef]],TableWRMaster[WRRef],0)),"")</f>
        <v>11</v>
      </c>
      <c r="AP260" s="103">
        <f>IFERROR(INDEX(TableWRMaster[Custom],MATCH(TableWRTECalcPts[[#This Row],[POSRef]],TableWRMaster[WRRef],0)),"")</f>
        <v>209.61363892007614</v>
      </c>
    </row>
    <row r="261" spans="35:42" x14ac:dyDescent="0.25">
      <c r="AI261" s="59" t="s">
        <v>208</v>
      </c>
      <c r="AJ261" s="59">
        <f>IFERROR(RANK(TableWRTECalcPts[[#This Row],[Custom]],TableWRTECalcPts[Custom])+COUNTIF($AP$3:AP261,AP261)-1,"")</f>
        <v>46</v>
      </c>
      <c r="AK261" s="105">
        <v>159</v>
      </c>
      <c r="AL261" s="105" t="str">
        <f>IFERROR(INDEX(TableWRMaster[Player],MATCH(TableWRTECalcPts[[#This Row],[POSRef]],TableWRMaster[WRRef],0)),"")</f>
        <v>Chris Godwin</v>
      </c>
      <c r="AM261" s="105" t="str">
        <f>IFERROR(_xlfn.CONCAT(TableWRTECalcPts[[#This Row],[POS]],INDEX(TableWRRanks[RK],MATCH(TableWRTECalcPts[[#This Row],[PLAYER]],TableWRRanks[Player],0))),"")</f>
        <v>WR41</v>
      </c>
      <c r="AN261" s="105" t="str">
        <f>IFERROR(INDEX(TableWRMaster[TM],MATCH(TableWRTECalcPts[[#This Row],[POSRef]],TableWRMaster[WRRef],0)),"")</f>
        <v>TB</v>
      </c>
      <c r="AO261" s="105">
        <f>IFERROR(INDEX(TableWRMaster[BYE],MATCH(TableWRTECalcPts[[#This Row],[POSRef]],TableWRMaster[WRRef],0)),"")</f>
        <v>11</v>
      </c>
      <c r="AP261" s="103">
        <f>IFERROR(INDEX(TableWRMaster[Custom],MATCH(TableWRTECalcPts[[#This Row],[POSRef]],TableWRMaster[WRRef],0)),"")</f>
        <v>167.29208694718784</v>
      </c>
    </row>
    <row r="262" spans="35:42" x14ac:dyDescent="0.25">
      <c r="AI262" s="59" t="s">
        <v>208</v>
      </c>
      <c r="AJ262" s="59">
        <f>IFERROR(RANK(TableWRTECalcPts[[#This Row],[Custom]],TableWRTECalcPts[Custom])+COUNTIF($AP$3:AP262,AP262)-1,"")</f>
        <v>149</v>
      </c>
      <c r="AK262" s="105">
        <v>160</v>
      </c>
      <c r="AL262" s="105" t="str">
        <f>IFERROR(INDEX(TableWRMaster[Player],MATCH(TableWRTECalcPts[[#This Row],[POSRef]],TableWRMaster[WRRef],0)),"")</f>
        <v>Trey Palmer</v>
      </c>
      <c r="AM262" s="105" t="str">
        <f>IFERROR(_xlfn.CONCAT(TableWRTECalcPts[[#This Row],[POS]],INDEX(TableWRRanks[RK],MATCH(TableWRTECalcPts[[#This Row],[PLAYER]],TableWRRanks[Player],0))),"")</f>
        <v>WR109</v>
      </c>
      <c r="AN262" s="105" t="str">
        <f>IFERROR(INDEX(TableWRMaster[TM],MATCH(TableWRTECalcPts[[#This Row],[POSRef]],TableWRMaster[WRRef],0)),"")</f>
        <v>TB</v>
      </c>
      <c r="AO262" s="105">
        <f>IFERROR(INDEX(TableWRMaster[BYE],MATCH(TableWRTECalcPts[[#This Row],[POSRef]],TableWRMaster[WRRef],0)),"")</f>
        <v>11</v>
      </c>
      <c r="AP262" s="103">
        <f>IFERROR(INDEX(TableWRMaster[Custom],MATCH(TableWRTECalcPts[[#This Row],[POSRef]],TableWRMaster[WRRef],0)),"")</f>
        <v>48.394842908874082</v>
      </c>
    </row>
    <row r="263" spans="35:42" x14ac:dyDescent="0.25">
      <c r="AI263" s="59" t="s">
        <v>208</v>
      </c>
      <c r="AJ263" s="59">
        <f>IFERROR(RANK(TableWRTECalcPts[[#This Row],[Custom]],TableWRTECalcPts[Custom])+COUNTIF($AP$3:AP263,AP263)-1,"")</f>
        <v>89</v>
      </c>
      <c r="AK263" s="105">
        <v>161</v>
      </c>
      <c r="AL263" s="105" t="str">
        <f>IFERROR(INDEX(TableWRMaster[Player],MATCH(TableWRTECalcPts[[#This Row],[POSRef]],TableWRMaster[WRRef],0)),"")</f>
        <v>Jalen McMillan</v>
      </c>
      <c r="AM263" s="105" t="str">
        <f>IFERROR(_xlfn.CONCAT(TableWRTECalcPts[[#This Row],[POS]],INDEX(TableWRRanks[RK],MATCH(TableWRTECalcPts[[#This Row],[PLAYER]],TableWRRanks[Player],0))),"")</f>
        <v>WR75</v>
      </c>
      <c r="AN263" s="105" t="str">
        <f>IFERROR(INDEX(TableWRMaster[TM],MATCH(TableWRTECalcPts[[#This Row],[POSRef]],TableWRMaster[WRRef],0)),"")</f>
        <v>TB</v>
      </c>
      <c r="AO263" s="105">
        <f>IFERROR(INDEX(TableWRMaster[BYE],MATCH(TableWRTECalcPts[[#This Row],[POSRef]],TableWRMaster[WRRef],0)),"")</f>
        <v>11</v>
      </c>
      <c r="AP263" s="103">
        <f>IFERROR(INDEX(TableWRMaster[Custom],MATCH(TableWRTECalcPts[[#This Row],[POSRef]],TableWRMaster[WRRef],0)),"")</f>
        <v>109.11603627591739</v>
      </c>
    </row>
    <row r="264" spans="35:42" x14ac:dyDescent="0.25">
      <c r="AI264" s="59" t="s">
        <v>208</v>
      </c>
      <c r="AJ264" s="59">
        <f>IFERROR(RANK(TableWRTECalcPts[[#This Row],[Custom]],TableWRTECalcPts[Custom])+COUNTIF($AP$3:AP264,AP264)-1,"")</f>
        <v>235</v>
      </c>
      <c r="AK264" s="105">
        <v>162</v>
      </c>
      <c r="AL264" s="105" t="str">
        <f>IFERROR(INDEX(TableWRMaster[Player],MATCH(TableWRTECalcPts[[#This Row],[POSRef]],TableWRMaster[WRRef],0)),"")</f>
        <v>Kameron Johnson</v>
      </c>
      <c r="AM264" s="105" t="str">
        <f>IFERROR(_xlfn.CONCAT(TableWRTECalcPts[[#This Row],[POS]],INDEX(TableWRRanks[RK],MATCH(TableWRTECalcPts[[#This Row],[PLAYER]],TableWRRanks[Player],0))),"")</f>
        <v>WR165</v>
      </c>
      <c r="AN264" s="105" t="str">
        <f>IFERROR(INDEX(TableWRMaster[TM],MATCH(TableWRTECalcPts[[#This Row],[POSRef]],TableWRMaster[WRRef],0)),"")</f>
        <v>TB</v>
      </c>
      <c r="AO264" s="105">
        <f>IFERROR(INDEX(TableWRMaster[BYE],MATCH(TableWRTECalcPts[[#This Row],[POSRef]],TableWRMaster[WRRef],0)),"")</f>
        <v>11</v>
      </c>
      <c r="AP264" s="103">
        <f>IFERROR(INDEX(TableWRMaster[Custom],MATCH(TableWRTECalcPts[[#This Row],[POSRef]],TableWRMaster[WRRef],0)),"")</f>
        <v>9.0625465750914227</v>
      </c>
    </row>
    <row r="265" spans="35:42" x14ac:dyDescent="0.25">
      <c r="AI265" s="59" t="s">
        <v>208</v>
      </c>
      <c r="AJ265" s="59">
        <f>IFERROR(RANK(TableWRTECalcPts[[#This Row],[Custom]],TableWRTECalcPts[Custom])+COUNTIF($AP$3:AP265,AP265)-1,"")</f>
        <v>43</v>
      </c>
      <c r="AK265" s="105">
        <v>163</v>
      </c>
      <c r="AL265" s="105" t="str">
        <f>IFERROR(INDEX(TableWRMaster[Player],MATCH(TableWRTECalcPts[[#This Row],[POSRef]],TableWRMaster[WRRef],0)),"")</f>
        <v>DeAndre Hopkins</v>
      </c>
      <c r="AM265" s="105" t="str">
        <f>IFERROR(_xlfn.CONCAT(TableWRTECalcPts[[#This Row],[POS]],INDEX(TableWRRanks[RK],MATCH(TableWRTECalcPts[[#This Row],[PLAYER]],TableWRRanks[Player],0))),"")</f>
        <v>WR39</v>
      </c>
      <c r="AN265" s="105" t="str">
        <f>IFERROR(INDEX(TableWRMaster[TM],MATCH(TableWRTECalcPts[[#This Row],[POSRef]],TableWRMaster[WRRef],0)),"")</f>
        <v>TEN</v>
      </c>
      <c r="AO265" s="105">
        <f>IFERROR(INDEX(TableWRMaster[BYE],MATCH(TableWRTECalcPts[[#This Row],[POSRef]],TableWRMaster[WRRef],0)),"")</f>
        <v>5</v>
      </c>
      <c r="AP265" s="103">
        <f>IFERROR(INDEX(TableWRMaster[Custom],MATCH(TableWRTECalcPts[[#This Row],[POSRef]],TableWRMaster[WRRef],0)),"")</f>
        <v>170.19671371216654</v>
      </c>
    </row>
    <row r="266" spans="35:42" x14ac:dyDescent="0.25">
      <c r="AI266" s="59" t="s">
        <v>208</v>
      </c>
      <c r="AJ266" s="59">
        <f>IFERROR(RANK(TableWRTECalcPts[[#This Row],[Custom]],TableWRTECalcPts[Custom])+COUNTIF($AP$3:AP266,AP266)-1,"")</f>
        <v>31</v>
      </c>
      <c r="AK266" s="105">
        <v>164</v>
      </c>
      <c r="AL266" s="105" t="str">
        <f>IFERROR(INDEX(TableWRMaster[Player],MATCH(TableWRTECalcPts[[#This Row],[POSRef]],TableWRMaster[WRRef],0)),"")</f>
        <v>Calvin Ridley</v>
      </c>
      <c r="AM266" s="105" t="str">
        <f>IFERROR(_xlfn.CONCAT(TableWRTECalcPts[[#This Row],[POS]],INDEX(TableWRRanks[RK],MATCH(TableWRTECalcPts[[#This Row],[PLAYER]],TableWRRanks[Player],0))),"")</f>
        <v>WR30</v>
      </c>
      <c r="AN266" s="105" t="str">
        <f>IFERROR(INDEX(TableWRMaster[TM],MATCH(TableWRTECalcPts[[#This Row],[POSRef]],TableWRMaster[WRRef],0)),"")</f>
        <v>TEN</v>
      </c>
      <c r="AO266" s="105">
        <f>IFERROR(INDEX(TableWRMaster[BYE],MATCH(TableWRTECalcPts[[#This Row],[POSRef]],TableWRMaster[WRRef],0)),"")</f>
        <v>5</v>
      </c>
      <c r="AP266" s="103">
        <f>IFERROR(INDEX(TableWRMaster[Custom],MATCH(TableWRTECalcPts[[#This Row],[POSRef]],TableWRMaster[WRRef],0)),"")</f>
        <v>182.91329454254475</v>
      </c>
    </row>
    <row r="267" spans="35:42" x14ac:dyDescent="0.25">
      <c r="AI267" s="59" t="s">
        <v>208</v>
      </c>
      <c r="AJ267" s="59">
        <f>IFERROR(RANK(TableWRTECalcPts[[#This Row],[Custom]],TableWRTECalcPts[Custom])+COUNTIF($AP$3:AP267,AP267)-1,"")</f>
        <v>113</v>
      </c>
      <c r="AK267" s="105">
        <v>165</v>
      </c>
      <c r="AL267" s="105" t="str">
        <f>IFERROR(INDEX(TableWRMaster[Player],MATCH(TableWRTECalcPts[[#This Row],[POSRef]],TableWRMaster[WRRef],0)),"")</f>
        <v>Tyler Boyd</v>
      </c>
      <c r="AM267" s="105" t="str">
        <f>IFERROR(_xlfn.CONCAT(TableWRTECalcPts[[#This Row],[POS]],INDEX(TableWRRanks[RK],MATCH(TableWRTECalcPts[[#This Row],[PLAYER]],TableWRRanks[Player],0))),"")</f>
        <v>WR89</v>
      </c>
      <c r="AN267" s="105" t="str">
        <f>IFERROR(INDEX(TableWRMaster[TM],MATCH(TableWRTECalcPts[[#This Row],[POSRef]],TableWRMaster[WRRef],0)),"")</f>
        <v>TEN</v>
      </c>
      <c r="AO267" s="105">
        <f>IFERROR(INDEX(TableWRMaster[BYE],MATCH(TableWRTECalcPts[[#This Row],[POSRef]],TableWRMaster[WRRef],0)),"")</f>
        <v>5</v>
      </c>
      <c r="AP267" s="103">
        <f>IFERROR(INDEX(TableWRMaster[Custom],MATCH(TableWRTECalcPts[[#This Row],[POSRef]],TableWRMaster[WRRef],0)),"")</f>
        <v>81.555692015345855</v>
      </c>
    </row>
    <row r="268" spans="35:42" x14ac:dyDescent="0.25">
      <c r="AI268" s="59" t="s">
        <v>208</v>
      </c>
      <c r="AJ268" s="59">
        <f>IFERROR(RANK(TableWRTECalcPts[[#This Row],[Custom]],TableWRTECalcPts[Custom])+COUNTIF($AP$3:AP268,AP268)-1,"")</f>
        <v>173</v>
      </c>
      <c r="AK268" s="105">
        <v>166</v>
      </c>
      <c r="AL268" s="105" t="str">
        <f>IFERROR(INDEX(TableWRMaster[Player],MATCH(TableWRTECalcPts[[#This Row],[POSRef]],TableWRMaster[WRRef],0)),"")</f>
        <v>Treylon Burks</v>
      </c>
      <c r="AM268" s="105" t="str">
        <f>IFERROR(_xlfn.CONCAT(TableWRTECalcPts[[#This Row],[POS]],INDEX(TableWRRanks[RK],MATCH(TableWRTECalcPts[[#This Row],[PLAYER]],TableWRRanks[Player],0))),"")</f>
        <v>WR125</v>
      </c>
      <c r="AN268" s="105" t="str">
        <f>IFERROR(INDEX(TableWRMaster[TM],MATCH(TableWRTECalcPts[[#This Row],[POSRef]],TableWRMaster[WRRef],0)),"")</f>
        <v>TEN</v>
      </c>
      <c r="AO268" s="105">
        <f>IFERROR(INDEX(TableWRMaster[BYE],MATCH(TableWRTECalcPts[[#This Row],[POSRef]],TableWRMaster[WRRef],0)),"")</f>
        <v>5</v>
      </c>
      <c r="AP268" s="103">
        <f>IFERROR(INDEX(TableWRMaster[Custom],MATCH(TableWRTECalcPts[[#This Row],[POSRef]],TableWRMaster[WRRef],0)),"")</f>
        <v>28.738155331311248</v>
      </c>
    </row>
    <row r="269" spans="35:42" x14ac:dyDescent="0.25">
      <c r="AI269" s="59" t="s">
        <v>208</v>
      </c>
      <c r="AJ269" s="59">
        <f>IFERROR(RANK(TableWRTECalcPts[[#This Row],[Custom]],TableWRTECalcPts[Custom])+COUNTIF($AP$3:AP269,AP269)-1,"")</f>
        <v>200</v>
      </c>
      <c r="AK269" s="105">
        <v>167</v>
      </c>
      <c r="AL269" s="105" t="str">
        <f>IFERROR(INDEX(TableWRMaster[Player],MATCH(TableWRTECalcPts[[#This Row],[POSRef]],TableWRMaster[WRRef],0)),"")</f>
        <v>Nick Westbrook-Ikhine</v>
      </c>
      <c r="AM269" s="105" t="str">
        <f>IFERROR(_xlfn.CONCAT(TableWRTECalcPts[[#This Row],[POS]],INDEX(TableWRRanks[RK],MATCH(TableWRTECalcPts[[#This Row],[PLAYER]],TableWRRanks[Player],0))),"")</f>
        <v>WR142</v>
      </c>
      <c r="AN269" s="105" t="str">
        <f>IFERROR(INDEX(TableWRMaster[TM],MATCH(TableWRTECalcPts[[#This Row],[POSRef]],TableWRMaster[WRRef],0)),"")</f>
        <v>TEN</v>
      </c>
      <c r="AO269" s="105">
        <f>IFERROR(INDEX(TableWRMaster[BYE],MATCH(TableWRTECalcPts[[#This Row],[POSRef]],TableWRMaster[WRRef],0)),"")</f>
        <v>5</v>
      </c>
      <c r="AP269" s="103">
        <f>IFERROR(INDEX(TableWRMaster[Custom],MATCH(TableWRTECalcPts[[#This Row],[POSRef]],TableWRMaster[WRRef],0)),"")</f>
        <v>18.661396136836288</v>
      </c>
    </row>
    <row r="270" spans="35:42" x14ac:dyDescent="0.25">
      <c r="AI270" s="59" t="s">
        <v>208</v>
      </c>
      <c r="AJ270" s="59">
        <f>IFERROR(RANK(TableWRTECalcPts[[#This Row],[Custom]],TableWRTECalcPts[Custom])+COUNTIF($AP$3:AP270,AP270)-1,"")</f>
        <v>247</v>
      </c>
      <c r="AK270" s="105">
        <v>168</v>
      </c>
      <c r="AL270" s="105" t="str">
        <f>IFERROR(INDEX(TableWRMaster[Player],MATCH(TableWRTECalcPts[[#This Row],[POSRef]],TableWRMaster[WRRef],0)),"")</f>
        <v>Kyle Philips</v>
      </c>
      <c r="AM270" s="105" t="str">
        <f>IFERROR(_xlfn.CONCAT(TableWRTECalcPts[[#This Row],[POS]],INDEX(TableWRRanks[RK],MATCH(TableWRTECalcPts[[#This Row],[PLAYER]],TableWRRanks[Player],0))),"")</f>
        <v>WR171</v>
      </c>
      <c r="AN270" s="105" t="str">
        <f>IFERROR(INDEX(TableWRMaster[TM],MATCH(TableWRTECalcPts[[#This Row],[POSRef]],TableWRMaster[WRRef],0)),"")</f>
        <v>TEN</v>
      </c>
      <c r="AO270" s="105">
        <f>IFERROR(INDEX(TableWRMaster[BYE],MATCH(TableWRTECalcPts[[#This Row],[POSRef]],TableWRMaster[WRRef],0)),"")</f>
        <v>5</v>
      </c>
      <c r="AP270" s="103">
        <f>IFERROR(INDEX(TableWRMaster[Custom],MATCH(TableWRTECalcPts[[#This Row],[POSRef]],TableWRMaster[WRRef],0)),"")</f>
        <v>7.6127953092598748</v>
      </c>
    </row>
    <row r="271" spans="35:42" x14ac:dyDescent="0.25">
      <c r="AI271" s="59" t="s">
        <v>208</v>
      </c>
      <c r="AJ271" s="59">
        <f>IFERROR(RANK(TableWRTECalcPts[[#This Row],[Custom]],TableWRTECalcPts[Custom])+COUNTIF($AP$3:AP271,AP271)-1,"")</f>
        <v>254</v>
      </c>
      <c r="AK271" s="105">
        <v>169</v>
      </c>
      <c r="AL271" s="105" t="str">
        <f>IFERROR(INDEX(TableWRMaster[Player],MATCH(TableWRTECalcPts[[#This Row],[POSRef]],TableWRMaster[WRRef],0)),"")</f>
        <v>Jha'Quan Jackson</v>
      </c>
      <c r="AM271" s="105" t="str">
        <f>IFERROR(_xlfn.CONCAT(TableWRTECalcPts[[#This Row],[POS]],INDEX(TableWRRanks[RK],MATCH(TableWRTECalcPts[[#This Row],[PLAYER]],TableWRRanks[Player],0))),"")</f>
        <v>WR173</v>
      </c>
      <c r="AN271" s="105" t="str">
        <f>IFERROR(INDEX(TableWRMaster[TM],MATCH(TableWRTECalcPts[[#This Row],[POSRef]],TableWRMaster[WRRef],0)),"")</f>
        <v>TEN</v>
      </c>
      <c r="AO271" s="105">
        <f>IFERROR(INDEX(TableWRMaster[BYE],MATCH(TableWRTECalcPts[[#This Row],[POSRef]],TableWRMaster[WRRef],0)),"")</f>
        <v>5</v>
      </c>
      <c r="AP271" s="103">
        <f>IFERROR(INDEX(TableWRMaster[Custom],MATCH(TableWRTECalcPts[[#This Row],[POSRef]],TableWRMaster[WRRef],0)),"")</f>
        <v>6.8794944646427991</v>
      </c>
    </row>
    <row r="272" spans="35:42" x14ac:dyDescent="0.25">
      <c r="AI272" s="59" t="s">
        <v>208</v>
      </c>
      <c r="AJ272" s="59">
        <f>IFERROR(RANK(TableWRTECalcPts[[#This Row],[Custom]],TableWRTECalcPts[Custom])+COUNTIF($AP$3:AP272,AP272)-1,"")</f>
        <v>20</v>
      </c>
      <c r="AK272" s="105">
        <v>170</v>
      </c>
      <c r="AL272" s="105" t="str">
        <f>IFERROR(INDEX(TableWRMaster[Player],MATCH(TableWRTECalcPts[[#This Row],[POSRef]],TableWRMaster[WRRef],0)),"")</f>
        <v>Terry McLaurin</v>
      </c>
      <c r="AM272" s="105" t="str">
        <f>IFERROR(_xlfn.CONCAT(TableWRTECalcPts[[#This Row],[POS]],INDEX(TableWRRanks[RK],MATCH(TableWRTECalcPts[[#This Row],[PLAYER]],TableWRRanks[Player],0))),"")</f>
        <v>WR19</v>
      </c>
      <c r="AN272" s="105" t="str">
        <f>IFERROR(INDEX(TableWRMaster[TM],MATCH(TableWRTECalcPts[[#This Row],[POSRef]],TableWRMaster[WRRef],0)),"")</f>
        <v>WSH</v>
      </c>
      <c r="AO272" s="105">
        <f>IFERROR(INDEX(TableWRMaster[BYE],MATCH(TableWRTECalcPts[[#This Row],[POSRef]],TableWRMaster[WRRef],0)),"")</f>
        <v>14</v>
      </c>
      <c r="AP272" s="103">
        <f>IFERROR(INDEX(TableWRMaster[Custom],MATCH(TableWRTECalcPts[[#This Row],[POSRef]],TableWRMaster[WRRef],0)),"")</f>
        <v>196.63586376487206</v>
      </c>
    </row>
    <row r="273" spans="35:42" x14ac:dyDescent="0.25">
      <c r="AI273" s="59" t="s">
        <v>208</v>
      </c>
      <c r="AJ273" s="59">
        <f>IFERROR(RANK(TableWRTECalcPts[[#This Row],[Custom]],TableWRTECalcPts[Custom])+COUNTIF($AP$3:AP273,AP273)-1,"")</f>
        <v>125</v>
      </c>
      <c r="AK273" s="105">
        <v>171</v>
      </c>
      <c r="AL273" s="105" t="str">
        <f>IFERROR(INDEX(TableWRMaster[Player],MATCH(TableWRTECalcPts[[#This Row],[POSRef]],TableWRMaster[WRRef],0)),"")</f>
        <v>Luke McCaffrey</v>
      </c>
      <c r="AM273" s="105" t="str">
        <f>IFERROR(_xlfn.CONCAT(TableWRTECalcPts[[#This Row],[POS]],INDEX(TableWRRanks[RK],MATCH(TableWRTECalcPts[[#This Row],[PLAYER]],TableWRRanks[Player],0))),"")</f>
        <v>WR94</v>
      </c>
      <c r="AN273" s="105" t="str">
        <f>IFERROR(INDEX(TableWRMaster[TM],MATCH(TableWRTECalcPts[[#This Row],[POSRef]],TableWRMaster[WRRef],0)),"")</f>
        <v>WSH</v>
      </c>
      <c r="AO273" s="105">
        <f>IFERROR(INDEX(TableWRMaster[BYE],MATCH(TableWRTECalcPts[[#This Row],[POSRef]],TableWRMaster[WRRef],0)),"")</f>
        <v>14</v>
      </c>
      <c r="AP273" s="103">
        <f>IFERROR(INDEX(TableWRMaster[Custom],MATCH(TableWRTECalcPts[[#This Row],[POSRef]],TableWRMaster[WRRef],0)),"")</f>
        <v>71.775430096650027</v>
      </c>
    </row>
    <row r="274" spans="35:42" x14ac:dyDescent="0.25">
      <c r="AI274" s="59" t="s">
        <v>208</v>
      </c>
      <c r="AJ274" s="59">
        <f>IFERROR(RANK(TableWRTECalcPts[[#This Row],[Custom]],TableWRTECalcPts[Custom])+COUNTIF($AP$3:AP274,AP274)-1,"")</f>
        <v>221</v>
      </c>
      <c r="AK274" s="105">
        <v>172</v>
      </c>
      <c r="AL274" s="105" t="str">
        <f>IFERROR(INDEX(TableWRMaster[Player],MATCH(TableWRTECalcPts[[#This Row],[POSRef]],TableWRMaster[WRRef],0)),"")</f>
        <v>Jamison Crowder</v>
      </c>
      <c r="AM274" s="105" t="str">
        <f>IFERROR(_xlfn.CONCAT(TableWRTECalcPts[[#This Row],[POS]],INDEX(TableWRRanks[RK],MATCH(TableWRTECalcPts[[#This Row],[PLAYER]],TableWRRanks[Player],0))),"")</f>
        <v>WR156</v>
      </c>
      <c r="AN274" s="105" t="str">
        <f>IFERROR(INDEX(TableWRMaster[TM],MATCH(TableWRTECalcPts[[#This Row],[POSRef]],TableWRMaster[WRRef],0)),"")</f>
        <v>WSH</v>
      </c>
      <c r="AO274" s="105">
        <f>IFERROR(INDEX(TableWRMaster[BYE],MATCH(TableWRTECalcPts[[#This Row],[POSRef]],TableWRMaster[WRRef],0)),"")</f>
        <v>14</v>
      </c>
      <c r="AP274" s="103">
        <f>IFERROR(INDEX(TableWRMaster[Custom],MATCH(TableWRTECalcPts[[#This Row],[POSRef]],TableWRMaster[WRRef],0)),"")</f>
        <v>13.927226789448</v>
      </c>
    </row>
    <row r="275" spans="35:42" x14ac:dyDescent="0.25">
      <c r="AI275" s="59" t="s">
        <v>208</v>
      </c>
      <c r="AJ275" s="59">
        <f>IFERROR(RANK(TableWRTECalcPts[[#This Row],[Custom]],TableWRTECalcPts[Custom])+COUNTIF($AP$3:AP275,AP275)-1,"")</f>
        <v>147</v>
      </c>
      <c r="AK275" s="105">
        <v>173</v>
      </c>
      <c r="AL275" s="105" t="str">
        <f>IFERROR(INDEX(TableWRMaster[Player],MATCH(TableWRTECalcPts[[#This Row],[POSRef]],TableWRMaster[WRRef],0)),"")</f>
        <v>Olamide Zaccheaus</v>
      </c>
      <c r="AM275" s="105" t="str">
        <f>IFERROR(_xlfn.CONCAT(TableWRTECalcPts[[#This Row],[POS]],INDEX(TableWRRanks[RK],MATCH(TableWRTECalcPts[[#This Row],[PLAYER]],TableWRRanks[Player],0))),"")</f>
        <v>WR107</v>
      </c>
      <c r="AN275" s="105" t="str">
        <f>IFERROR(INDEX(TableWRMaster[TM],MATCH(TableWRTECalcPts[[#This Row],[POSRef]],TableWRMaster[WRRef],0)),"")</f>
        <v>WSH</v>
      </c>
      <c r="AO275" s="105">
        <f>IFERROR(INDEX(TableWRMaster[BYE],MATCH(TableWRTECalcPts[[#This Row],[POSRef]],TableWRMaster[WRRef],0)),"")</f>
        <v>14</v>
      </c>
      <c r="AP275" s="103">
        <f>IFERROR(INDEX(TableWRMaster[Custom],MATCH(TableWRTECalcPts[[#This Row],[POSRef]],TableWRMaster[WRRef],0)),"")</f>
        <v>49.709316936787211</v>
      </c>
    </row>
    <row r="276" spans="35:42" x14ac:dyDescent="0.25">
      <c r="AI276" s="59" t="s">
        <v>208</v>
      </c>
      <c r="AJ276" s="59">
        <f>IFERROR(RANK(TableWRTECalcPts[[#This Row],[Custom]],TableWRTECalcPts[Custom])+COUNTIF($AP$3:AP276,AP276)-1,"")</f>
        <v>100</v>
      </c>
      <c r="AK276" s="105">
        <v>174</v>
      </c>
      <c r="AL276" s="105" t="str">
        <f>IFERROR(INDEX(TableWRMaster[Player],MATCH(TableWRTECalcPts[[#This Row],[POSRef]],TableWRMaster[WRRef],0)),"")</f>
        <v>Dyami Brown</v>
      </c>
      <c r="AM276" s="105" t="str">
        <f>IFERROR(_xlfn.CONCAT(TableWRTECalcPts[[#This Row],[POS]],INDEX(TableWRRanks[RK],MATCH(TableWRTECalcPts[[#This Row],[PLAYER]],TableWRRanks[Player],0))),"")</f>
        <v>WR84</v>
      </c>
      <c r="AN276" s="105" t="str">
        <f>IFERROR(INDEX(TableWRMaster[TM],MATCH(TableWRTECalcPts[[#This Row],[POSRef]],TableWRMaster[WRRef],0)),"")</f>
        <v>WSH</v>
      </c>
      <c r="AO276" s="105">
        <f>IFERROR(INDEX(TableWRMaster[BYE],MATCH(TableWRTECalcPts[[#This Row],[POSRef]],TableWRMaster[WRRef],0)),"")</f>
        <v>14</v>
      </c>
      <c r="AP276" s="103">
        <f>IFERROR(INDEX(TableWRMaster[Custom],MATCH(TableWRTECalcPts[[#This Row],[POSRef]],TableWRMaster[WRRef],0)),"")</f>
        <v>99.25364432662559</v>
      </c>
    </row>
    <row r="277" spans="35:42" x14ac:dyDescent="0.25">
      <c r="AI277" s="59" t="s">
        <v>208</v>
      </c>
      <c r="AJ277" s="59">
        <f>IFERROR(RANK(TableWRTECalcPts[[#This Row],[Custom]],TableWRTECalcPts[Custom])+COUNTIF($AP$3:AP277,AP277)-1,"")</f>
        <v>162</v>
      </c>
      <c r="AK277" s="105">
        <v>175</v>
      </c>
      <c r="AL277" s="105" t="str">
        <f>IFERROR(INDEX(TableWRMaster[Player],MATCH(TableWRTECalcPts[[#This Row],[POSRef]],TableWRMaster[WRRef],0)),"")</f>
        <v>Noah Brown</v>
      </c>
      <c r="AM277" s="105" t="str">
        <f>IFERROR(_xlfn.CONCAT(TableWRTECalcPts[[#This Row],[POS]],INDEX(TableWRRanks[RK],MATCH(TableWRTECalcPts[[#This Row],[PLAYER]],TableWRRanks[Player],0))),"")</f>
        <v>WR116</v>
      </c>
      <c r="AN277" s="105" t="str">
        <f>IFERROR(INDEX(TableWRMaster[TM],MATCH(TableWRTECalcPts[[#This Row],[POSRef]],TableWRMaster[WRRef],0)),"")</f>
        <v>WSH</v>
      </c>
      <c r="AO277" s="105">
        <f>IFERROR(INDEX(TableWRMaster[BYE],MATCH(TableWRTECalcPts[[#This Row],[POSRef]],TableWRMaster[WRRef],0)),"")</f>
        <v>14</v>
      </c>
      <c r="AP277" s="103">
        <f>IFERROR(INDEX(TableWRMaster[Custom],MATCH(TableWRTECalcPts[[#This Row],[POSRef]],TableWRMaster[WRRef],0)),"")</f>
        <v>38.679942155400006</v>
      </c>
    </row>
    <row r="278" spans="35:42" x14ac:dyDescent="0.25">
      <c r="AI278" s="59" t="s">
        <v>208</v>
      </c>
      <c r="AJ278" s="59" t="str">
        <f>IFERROR(RANK(TableWRTECalcPts[[#This Row],[Custom]],TableWRTECalcPts[Custom])+COUNTIF($AP$3:AP278,AP278)-1,"")</f>
        <v/>
      </c>
      <c r="AK278" s="105">
        <v>176</v>
      </c>
      <c r="AL278" s="105" t="str">
        <f>IFERROR(INDEX(TableWRMaster[Player],MATCH(TableWRTECalcPts[[#This Row],[POSRef]],TableWRMaster[WRRef],0)),"")</f>
        <v/>
      </c>
      <c r="AM278" s="105" t="str">
        <f>IFERROR(_xlfn.CONCAT(TableWRTECalcPts[[#This Row],[POS]],INDEX(TableWRRanks[RK],MATCH(TableWRTECalcPts[[#This Row],[PLAYER]],TableWRRanks[Player],0))),"")</f>
        <v>WR176</v>
      </c>
      <c r="AN278" s="105" t="str">
        <f>IFERROR(INDEX(TableWRMaster[TM],MATCH(TableWRTECalcPts[[#This Row],[POSRef]],TableWRMaster[WRRef],0)),"")</f>
        <v/>
      </c>
      <c r="AO278" s="105" t="str">
        <f>IFERROR(INDEX(TableWRMaster[BYE],MATCH(TableWRTECalcPts[[#This Row],[POSRef]],TableWRMaster[WRRef],0)),"")</f>
        <v/>
      </c>
      <c r="AP278" s="103" t="str">
        <f>IFERROR(INDEX(TableWRMaster[Custom],MATCH(TableWRTECalcPts[[#This Row],[POSRef]],TableWRMaster[WRRef],0)),"")</f>
        <v/>
      </c>
    </row>
    <row r="279" spans="35:42" x14ac:dyDescent="0.25">
      <c r="AI279" s="59" t="s">
        <v>208</v>
      </c>
      <c r="AJ279" s="59" t="str">
        <f>IFERROR(RANK(TableWRTECalcPts[[#This Row],[Custom]],TableWRTECalcPts[Custom])+COUNTIF($AP$3:AP279,AP279)-1,"")</f>
        <v/>
      </c>
      <c r="AK279" s="105">
        <v>177</v>
      </c>
      <c r="AL279" s="105" t="str">
        <f>IFERROR(INDEX(TableWRMaster[Player],MATCH(TableWRTECalcPts[[#This Row],[POSRef]],TableWRMaster[WRRef],0)),"")</f>
        <v/>
      </c>
      <c r="AM279" s="105" t="str">
        <f>IFERROR(_xlfn.CONCAT(TableWRTECalcPts[[#This Row],[POS]],INDEX(TableWRRanks[RK],MATCH(TableWRTECalcPts[[#This Row],[PLAYER]],TableWRRanks[Player],0))),"")</f>
        <v>WR176</v>
      </c>
      <c r="AN279" s="105" t="str">
        <f>IFERROR(INDEX(TableWRMaster[TM],MATCH(TableWRTECalcPts[[#This Row],[POSRef]],TableWRMaster[WRRef],0)),"")</f>
        <v/>
      </c>
      <c r="AO279" s="105" t="str">
        <f>IFERROR(INDEX(TableWRMaster[BYE],MATCH(TableWRTECalcPts[[#This Row],[POSRef]],TableWRMaster[WRRef],0)),"")</f>
        <v/>
      </c>
      <c r="AP279" s="103" t="str">
        <f>IFERROR(INDEX(TableWRMaster[Custom],MATCH(TableWRTECalcPts[[#This Row],[POSRef]],TableWRMaster[WRRef],0)),"")</f>
        <v/>
      </c>
    </row>
    <row r="280" spans="35:42" x14ac:dyDescent="0.25">
      <c r="AI280" s="59" t="s">
        <v>208</v>
      </c>
      <c r="AJ280" s="59" t="str">
        <f>IFERROR(RANK(TableWRTECalcPts[[#This Row],[Custom]],TableWRTECalcPts[Custom])+COUNTIF($AP$3:AP280,AP280)-1,"")</f>
        <v/>
      </c>
      <c r="AK280" s="105">
        <v>178</v>
      </c>
      <c r="AL280" s="105" t="str">
        <f>IFERROR(INDEX(TableWRMaster[Player],MATCH(TableWRTECalcPts[[#This Row],[POSRef]],TableWRMaster[WRRef],0)),"")</f>
        <v/>
      </c>
      <c r="AM280" s="105" t="str">
        <f>IFERROR(_xlfn.CONCAT(TableWRTECalcPts[[#This Row],[POS]],INDEX(TableWRRanks[RK],MATCH(TableWRTECalcPts[[#This Row],[PLAYER]],TableWRRanks[Player],0))),"")</f>
        <v>WR176</v>
      </c>
      <c r="AN280" s="105" t="str">
        <f>IFERROR(INDEX(TableWRMaster[TM],MATCH(TableWRTECalcPts[[#This Row],[POSRef]],TableWRMaster[WRRef],0)),"")</f>
        <v/>
      </c>
      <c r="AO280" s="105" t="str">
        <f>IFERROR(INDEX(TableWRMaster[BYE],MATCH(TableWRTECalcPts[[#This Row],[POSRef]],TableWRMaster[WRRef],0)),"")</f>
        <v/>
      </c>
      <c r="AP280" s="103" t="str">
        <f>IFERROR(INDEX(TableWRMaster[Custom],MATCH(TableWRTECalcPts[[#This Row],[POSRef]],TableWRMaster[WRRef],0)),"")</f>
        <v/>
      </c>
    </row>
    <row r="281" spans="35:42" x14ac:dyDescent="0.25">
      <c r="AI281" s="59" t="s">
        <v>208</v>
      </c>
      <c r="AJ281" s="59" t="str">
        <f>IFERROR(RANK(TableWRTECalcPts[[#This Row],[Custom]],TableWRTECalcPts[Custom])+COUNTIF($AP$3:AP281,AP281)-1,"")</f>
        <v/>
      </c>
      <c r="AK281" s="105">
        <v>179</v>
      </c>
      <c r="AL281" s="105" t="str">
        <f>IFERROR(INDEX(TableWRMaster[Player],MATCH(TableWRTECalcPts[[#This Row],[POSRef]],TableWRMaster[WRRef],0)),"")</f>
        <v/>
      </c>
      <c r="AM281" s="105" t="str">
        <f>IFERROR(_xlfn.CONCAT(TableWRTECalcPts[[#This Row],[POS]],INDEX(TableWRRanks[RK],MATCH(TableWRTECalcPts[[#This Row],[PLAYER]],TableWRRanks[Player],0))),"")</f>
        <v>WR176</v>
      </c>
      <c r="AN281" s="105" t="str">
        <f>IFERROR(INDEX(TableWRMaster[TM],MATCH(TableWRTECalcPts[[#This Row],[POSRef]],TableWRMaster[WRRef],0)),"")</f>
        <v/>
      </c>
      <c r="AO281" s="105" t="str">
        <f>IFERROR(INDEX(TableWRMaster[BYE],MATCH(TableWRTECalcPts[[#This Row],[POSRef]],TableWRMaster[WRRef],0)),"")</f>
        <v/>
      </c>
      <c r="AP281" s="103" t="str">
        <f>IFERROR(INDEX(TableWRMaster[Custom],MATCH(TableWRTECalcPts[[#This Row],[POSRef]],TableWRMaster[WRRef],0)),"")</f>
        <v/>
      </c>
    </row>
    <row r="282" spans="35:42" x14ac:dyDescent="0.25">
      <c r="AI282" s="59" t="s">
        <v>208</v>
      </c>
      <c r="AJ282" s="59" t="str">
        <f>IFERROR(RANK(TableWRTECalcPts[[#This Row],[Custom]],TableWRTECalcPts[Custom])+COUNTIF($AP$3:AP282,AP282)-1,"")</f>
        <v/>
      </c>
      <c r="AK282" s="105">
        <v>180</v>
      </c>
      <c r="AL282" s="105" t="str">
        <f>IFERROR(INDEX(TableWRMaster[Player],MATCH(TableWRTECalcPts[[#This Row],[POSRef]],TableWRMaster[WRRef],0)),"")</f>
        <v/>
      </c>
      <c r="AM282" s="105" t="str">
        <f>IFERROR(_xlfn.CONCAT(TableWRTECalcPts[[#This Row],[POS]],INDEX(TableWRRanks[RK],MATCH(TableWRTECalcPts[[#This Row],[PLAYER]],TableWRRanks[Player],0))),"")</f>
        <v>WR176</v>
      </c>
      <c r="AN282" s="105" t="str">
        <f>IFERROR(INDEX(TableWRMaster[TM],MATCH(TableWRTECalcPts[[#This Row],[POSRef]],TableWRMaster[WRRef],0)),"")</f>
        <v/>
      </c>
      <c r="AO282" s="105" t="str">
        <f>IFERROR(INDEX(TableWRMaster[BYE],MATCH(TableWRTECalcPts[[#This Row],[POSRef]],TableWRMaster[WRRef],0)),"")</f>
        <v/>
      </c>
      <c r="AP282" s="103" t="str">
        <f>IFERROR(INDEX(TableWRMaster[Custom],MATCH(TableWRTECalcPts[[#This Row],[POSRef]],TableWRMaster[WRRef],0)),"")</f>
        <v/>
      </c>
    </row>
    <row r="283" spans="35:42" x14ac:dyDescent="0.25">
      <c r="AI283" s="59" t="s">
        <v>208</v>
      </c>
      <c r="AJ283" s="59" t="str">
        <f>IFERROR(RANK(TableWRTECalcPts[[#This Row],[Custom]],TableWRTECalcPts[Custom])+COUNTIF($AP$3:AP283,AP283)-1,"")</f>
        <v/>
      </c>
      <c r="AK283" s="105">
        <v>181</v>
      </c>
      <c r="AL283" s="105" t="str">
        <f>IFERROR(INDEX(TableWRMaster[Player],MATCH(TableWRTECalcPts[[#This Row],[POSRef]],TableWRMaster[WRRef],0)),"")</f>
        <v/>
      </c>
      <c r="AM283" s="105" t="str">
        <f>IFERROR(_xlfn.CONCAT(TableWRTECalcPts[[#This Row],[POS]],INDEX(TableWRRanks[RK],MATCH(TableWRTECalcPts[[#This Row],[PLAYER]],TableWRRanks[Player],0))),"")</f>
        <v>WR176</v>
      </c>
      <c r="AN283" s="105" t="str">
        <f>IFERROR(INDEX(TableWRMaster[TM],MATCH(TableWRTECalcPts[[#This Row],[POSRef]],TableWRMaster[WRRef],0)),"")</f>
        <v/>
      </c>
      <c r="AO283" s="105" t="str">
        <f>IFERROR(INDEX(TableWRMaster[BYE],MATCH(TableWRTECalcPts[[#This Row],[POSRef]],TableWRMaster[WRRef],0)),"")</f>
        <v/>
      </c>
      <c r="AP283" s="103" t="str">
        <f>IFERROR(INDEX(TableWRMaster[Custom],MATCH(TableWRTECalcPts[[#This Row],[POSRef]],TableWRMaster[WRRef],0)),"")</f>
        <v/>
      </c>
    </row>
    <row r="284" spans="35:42" x14ac:dyDescent="0.25">
      <c r="AI284" s="59" t="s">
        <v>208</v>
      </c>
      <c r="AJ284" s="59" t="str">
        <f>IFERROR(RANK(TableWRTECalcPts[[#This Row],[Custom]],TableWRTECalcPts[Custom])+COUNTIF($AP$3:AP284,AP284)-1,"")</f>
        <v/>
      </c>
      <c r="AK284" s="105">
        <v>182</v>
      </c>
      <c r="AL284" s="105" t="str">
        <f>IFERROR(INDEX(TableWRMaster[Player],MATCH(TableWRTECalcPts[[#This Row],[POSRef]],TableWRMaster[WRRef],0)),"")</f>
        <v/>
      </c>
      <c r="AM284" s="105" t="str">
        <f>IFERROR(_xlfn.CONCAT(TableWRTECalcPts[[#This Row],[POS]],INDEX(TableWRRanks[RK],MATCH(TableWRTECalcPts[[#This Row],[PLAYER]],TableWRRanks[Player],0))),"")</f>
        <v>WR176</v>
      </c>
      <c r="AN284" s="105" t="str">
        <f>IFERROR(INDEX(TableWRMaster[TM],MATCH(TableWRTECalcPts[[#This Row],[POSRef]],TableWRMaster[WRRef],0)),"")</f>
        <v/>
      </c>
      <c r="AO284" s="105" t="str">
        <f>IFERROR(INDEX(TableWRMaster[BYE],MATCH(TableWRTECalcPts[[#This Row],[POSRef]],TableWRMaster[WRRef],0)),"")</f>
        <v/>
      </c>
      <c r="AP284" s="103" t="str">
        <f>IFERROR(INDEX(TableWRMaster[Custom],MATCH(TableWRTECalcPts[[#This Row],[POSRef]],TableWRMaster[WRRef],0)),"")</f>
        <v/>
      </c>
    </row>
    <row r="285" spans="35:42" x14ac:dyDescent="0.25">
      <c r="AI285" s="59" t="s">
        <v>208</v>
      </c>
      <c r="AJ285" s="59" t="str">
        <f>IFERROR(RANK(TableWRTECalcPts[[#This Row],[Custom]],TableWRTECalcPts[Custom])+COUNTIF($AP$3:AP285,AP285)-1,"")</f>
        <v/>
      </c>
      <c r="AK285" s="105">
        <v>183</v>
      </c>
      <c r="AL285" s="105" t="str">
        <f>IFERROR(INDEX(TableWRMaster[Player],MATCH(TableWRTECalcPts[[#This Row],[POSRef]],TableWRMaster[WRRef],0)),"")</f>
        <v/>
      </c>
      <c r="AM285" s="105" t="str">
        <f>IFERROR(_xlfn.CONCAT(TableWRTECalcPts[[#This Row],[POS]],INDEX(TableWRRanks[RK],MATCH(TableWRTECalcPts[[#This Row],[PLAYER]],TableWRRanks[Player],0))),"")</f>
        <v>WR176</v>
      </c>
      <c r="AN285" s="105" t="str">
        <f>IFERROR(INDEX(TableWRMaster[TM],MATCH(TableWRTECalcPts[[#This Row],[POSRef]],TableWRMaster[WRRef],0)),"")</f>
        <v/>
      </c>
      <c r="AO285" s="105" t="str">
        <f>IFERROR(INDEX(TableWRMaster[BYE],MATCH(TableWRTECalcPts[[#This Row],[POSRef]],TableWRMaster[WRRef],0)),"")</f>
        <v/>
      </c>
      <c r="AP285" s="103" t="str">
        <f>IFERROR(INDEX(TableWRMaster[Custom],MATCH(TableWRTECalcPts[[#This Row],[POSRef]],TableWRMaster[WRRef],0)),"")</f>
        <v/>
      </c>
    </row>
    <row r="286" spans="35:42" x14ac:dyDescent="0.25">
      <c r="AI286" s="59" t="s">
        <v>208</v>
      </c>
      <c r="AJ286" s="59" t="str">
        <f>IFERROR(RANK(TableWRTECalcPts[[#This Row],[Custom]],TableWRTECalcPts[Custom])+COUNTIF($AP$3:AP286,AP286)-1,"")</f>
        <v/>
      </c>
      <c r="AK286" s="105">
        <v>184</v>
      </c>
      <c r="AL286" s="105" t="str">
        <f>IFERROR(INDEX(TableWRMaster[Player],MATCH(TableWRTECalcPts[[#This Row],[POSRef]],TableWRMaster[WRRef],0)),"")</f>
        <v/>
      </c>
      <c r="AM286" s="105" t="str">
        <f>IFERROR(_xlfn.CONCAT(TableWRTECalcPts[[#This Row],[POS]],INDEX(TableWRRanks[RK],MATCH(TableWRTECalcPts[[#This Row],[PLAYER]],TableWRRanks[Player],0))),"")</f>
        <v>WR176</v>
      </c>
      <c r="AN286" s="105" t="str">
        <f>IFERROR(INDEX(TableWRMaster[TM],MATCH(TableWRTECalcPts[[#This Row],[POSRef]],TableWRMaster[WRRef],0)),"")</f>
        <v/>
      </c>
      <c r="AO286" s="105" t="str">
        <f>IFERROR(INDEX(TableWRMaster[BYE],MATCH(TableWRTECalcPts[[#This Row],[POSRef]],TableWRMaster[WRRef],0)),"")</f>
        <v/>
      </c>
      <c r="AP286" s="103" t="str">
        <f>IFERROR(INDEX(TableWRMaster[Custom],MATCH(TableWRTECalcPts[[#This Row],[POSRef]],TableWRMaster[WRRef],0)),"")</f>
        <v/>
      </c>
    </row>
    <row r="287" spans="35:42" x14ac:dyDescent="0.25">
      <c r="AI287" s="59" t="s">
        <v>208</v>
      </c>
      <c r="AJ287" s="59" t="str">
        <f>IFERROR(RANK(TableWRTECalcPts[[#This Row],[Custom]],TableWRTECalcPts[Custom])+COUNTIF($AP$3:AP287,AP287)-1,"")</f>
        <v/>
      </c>
      <c r="AK287" s="105">
        <v>185</v>
      </c>
      <c r="AL287" s="105" t="str">
        <f>IFERROR(INDEX(TableWRMaster[Player],MATCH(TableWRTECalcPts[[#This Row],[POSRef]],TableWRMaster[WRRef],0)),"")</f>
        <v/>
      </c>
      <c r="AM287" s="105" t="str">
        <f>IFERROR(_xlfn.CONCAT(TableWRTECalcPts[[#This Row],[POS]],INDEX(TableWRRanks[RK],MATCH(TableWRTECalcPts[[#This Row],[PLAYER]],TableWRRanks[Player],0))),"")</f>
        <v>WR176</v>
      </c>
      <c r="AN287" s="105" t="str">
        <f>IFERROR(INDEX(TableWRMaster[TM],MATCH(TableWRTECalcPts[[#This Row],[POSRef]],TableWRMaster[WRRef],0)),"")</f>
        <v/>
      </c>
      <c r="AO287" s="105" t="str">
        <f>IFERROR(INDEX(TableWRMaster[BYE],MATCH(TableWRTECalcPts[[#This Row],[POSRef]],TableWRMaster[WRRef],0)),"")</f>
        <v/>
      </c>
      <c r="AP287" s="103" t="str">
        <f>IFERROR(INDEX(TableWRMaster[Custom],MATCH(TableWRTECalcPts[[#This Row],[POSRef]],TableWRMaster[WRRef],0)),"")</f>
        <v/>
      </c>
    </row>
    <row r="288" spans="35:42" x14ac:dyDescent="0.25">
      <c r="AI288" s="59" t="s">
        <v>208</v>
      </c>
      <c r="AJ288" s="59" t="str">
        <f>IFERROR(RANK(TableWRTECalcPts[[#This Row],[Custom]],TableWRTECalcPts[Custom])+COUNTIF($AP$3:AP288,AP288)-1,"")</f>
        <v/>
      </c>
      <c r="AK288" s="105">
        <v>186</v>
      </c>
      <c r="AL288" s="105" t="str">
        <f>IFERROR(INDEX(TableWRMaster[Player],MATCH(TableWRTECalcPts[[#This Row],[POSRef]],TableWRMaster[WRRef],0)),"")</f>
        <v/>
      </c>
      <c r="AM288" s="105" t="str">
        <f>IFERROR(_xlfn.CONCAT(TableWRTECalcPts[[#This Row],[POS]],INDEX(TableWRRanks[RK],MATCH(TableWRTECalcPts[[#This Row],[PLAYER]],TableWRRanks[Player],0))),"")</f>
        <v>WR176</v>
      </c>
      <c r="AN288" s="105" t="str">
        <f>IFERROR(INDEX(TableWRMaster[TM],MATCH(TableWRTECalcPts[[#This Row],[POSRef]],TableWRMaster[WRRef],0)),"")</f>
        <v/>
      </c>
      <c r="AO288" s="105" t="str">
        <f>IFERROR(INDEX(TableWRMaster[BYE],MATCH(TableWRTECalcPts[[#This Row],[POSRef]],TableWRMaster[WRRef],0)),"")</f>
        <v/>
      </c>
      <c r="AP288" s="103" t="str">
        <f>IFERROR(INDEX(TableWRMaster[Custom],MATCH(TableWRTECalcPts[[#This Row],[POSRef]],TableWRMaster[WRRef],0)),"")</f>
        <v/>
      </c>
    </row>
    <row r="289" spans="35:42" x14ac:dyDescent="0.25">
      <c r="AI289" s="59" t="s">
        <v>208</v>
      </c>
      <c r="AJ289" s="59" t="str">
        <f>IFERROR(RANK(TableWRTECalcPts[[#This Row],[Custom]],TableWRTECalcPts[Custom])+COUNTIF($AP$3:AP289,AP289)-1,"")</f>
        <v/>
      </c>
      <c r="AK289" s="105">
        <v>187</v>
      </c>
      <c r="AL289" s="105" t="str">
        <f>IFERROR(INDEX(TableWRMaster[Player],MATCH(TableWRTECalcPts[[#This Row],[POSRef]],TableWRMaster[WRRef],0)),"")</f>
        <v/>
      </c>
      <c r="AM289" s="105" t="str">
        <f>IFERROR(_xlfn.CONCAT(TableWRTECalcPts[[#This Row],[POS]],INDEX(TableWRRanks[RK],MATCH(TableWRTECalcPts[[#This Row],[PLAYER]],TableWRRanks[Player],0))),"")</f>
        <v>WR176</v>
      </c>
      <c r="AN289" s="105" t="str">
        <f>IFERROR(INDEX(TableWRMaster[TM],MATCH(TableWRTECalcPts[[#This Row],[POSRef]],TableWRMaster[WRRef],0)),"")</f>
        <v/>
      </c>
      <c r="AO289" s="105" t="str">
        <f>IFERROR(INDEX(TableWRMaster[BYE],MATCH(TableWRTECalcPts[[#This Row],[POSRef]],TableWRMaster[WRRef],0)),"")</f>
        <v/>
      </c>
      <c r="AP289" s="103" t="str">
        <f>IFERROR(INDEX(TableWRMaster[Custom],MATCH(TableWRTECalcPts[[#This Row],[POSRef]],TableWRMaster[WRRef],0)),"")</f>
        <v/>
      </c>
    </row>
    <row r="290" spans="35:42" x14ac:dyDescent="0.25">
      <c r="AI290" s="59" t="s">
        <v>208</v>
      </c>
      <c r="AJ290" s="59" t="str">
        <f>IFERROR(RANK(TableWRTECalcPts[[#This Row],[Custom]],TableWRTECalcPts[Custom])+COUNTIF($AP$3:AP290,AP290)-1,"")</f>
        <v/>
      </c>
      <c r="AK290" s="105">
        <v>188</v>
      </c>
      <c r="AL290" s="105" t="str">
        <f>IFERROR(INDEX(TableWRMaster[Player],MATCH(TableWRTECalcPts[[#This Row],[POSRef]],TableWRMaster[WRRef],0)),"")</f>
        <v/>
      </c>
      <c r="AM290" s="105" t="str">
        <f>IFERROR(_xlfn.CONCAT(TableWRTECalcPts[[#This Row],[POS]],INDEX(TableWRRanks[RK],MATCH(TableWRTECalcPts[[#This Row],[PLAYER]],TableWRRanks[Player],0))),"")</f>
        <v>WR176</v>
      </c>
      <c r="AN290" s="105" t="str">
        <f>IFERROR(INDEX(TableWRMaster[TM],MATCH(TableWRTECalcPts[[#This Row],[POSRef]],TableWRMaster[WRRef],0)),"")</f>
        <v/>
      </c>
      <c r="AO290" s="105" t="str">
        <f>IFERROR(INDEX(TableWRMaster[BYE],MATCH(TableWRTECalcPts[[#This Row],[POSRef]],TableWRMaster[WRRef],0)),"")</f>
        <v/>
      </c>
      <c r="AP290" s="103" t="str">
        <f>IFERROR(INDEX(TableWRMaster[Custom],MATCH(TableWRTECalcPts[[#This Row],[POSRef]],TableWRMaster[WRRef],0)),"")</f>
        <v/>
      </c>
    </row>
    <row r="291" spans="35:42" x14ac:dyDescent="0.25">
      <c r="AI291" s="59" t="s">
        <v>208</v>
      </c>
      <c r="AJ291" s="59" t="str">
        <f>IFERROR(RANK(TableWRTECalcPts[[#This Row],[Custom]],TableWRTECalcPts[Custom])+COUNTIF($AP$3:AP291,AP291)-1,"")</f>
        <v/>
      </c>
      <c r="AK291" s="105">
        <v>189</v>
      </c>
      <c r="AL291" s="105" t="str">
        <f>IFERROR(INDEX(TableWRMaster[Player],MATCH(TableWRTECalcPts[[#This Row],[POSRef]],TableWRMaster[WRRef],0)),"")</f>
        <v/>
      </c>
      <c r="AM291" s="105" t="str">
        <f>IFERROR(_xlfn.CONCAT(TableWRTECalcPts[[#This Row],[POS]],INDEX(TableWRRanks[RK],MATCH(TableWRTECalcPts[[#This Row],[PLAYER]],TableWRRanks[Player],0))),"")</f>
        <v>WR176</v>
      </c>
      <c r="AN291" s="105" t="str">
        <f>IFERROR(INDEX(TableWRMaster[TM],MATCH(TableWRTECalcPts[[#This Row],[POSRef]],TableWRMaster[WRRef],0)),"")</f>
        <v/>
      </c>
      <c r="AO291" s="105" t="str">
        <f>IFERROR(INDEX(TableWRMaster[BYE],MATCH(TableWRTECalcPts[[#This Row],[POSRef]],TableWRMaster[WRRef],0)),"")</f>
        <v/>
      </c>
      <c r="AP291" s="103" t="str">
        <f>IFERROR(INDEX(TableWRMaster[Custom],MATCH(TableWRTECalcPts[[#This Row],[POSRef]],TableWRMaster[WRRef],0)),"")</f>
        <v/>
      </c>
    </row>
    <row r="292" spans="35:42" x14ac:dyDescent="0.25">
      <c r="AI292" s="59" t="s">
        <v>208</v>
      </c>
      <c r="AJ292" s="59" t="str">
        <f>IFERROR(RANK(TableWRTECalcPts[[#This Row],[Custom]],TableWRTECalcPts[Custom])+COUNTIF($AP$3:AP292,AP292)-1,"")</f>
        <v/>
      </c>
      <c r="AK292" s="105">
        <v>190</v>
      </c>
      <c r="AL292" s="105" t="str">
        <f>IFERROR(INDEX(TableWRMaster[Player],MATCH(TableWRTECalcPts[[#This Row],[POSRef]],TableWRMaster[WRRef],0)),"")</f>
        <v/>
      </c>
      <c r="AM292" s="105" t="str">
        <f>IFERROR(_xlfn.CONCAT(TableWRTECalcPts[[#This Row],[POS]],INDEX(TableWRRanks[RK],MATCH(TableWRTECalcPts[[#This Row],[PLAYER]],TableWRRanks[Player],0))),"")</f>
        <v>WR176</v>
      </c>
      <c r="AN292" s="105" t="str">
        <f>IFERROR(INDEX(TableWRMaster[TM],MATCH(TableWRTECalcPts[[#This Row],[POSRef]],TableWRMaster[WRRef],0)),"")</f>
        <v/>
      </c>
      <c r="AO292" s="105" t="str">
        <f>IFERROR(INDEX(TableWRMaster[BYE],MATCH(TableWRTECalcPts[[#This Row],[POSRef]],TableWRMaster[WRRef],0)),"")</f>
        <v/>
      </c>
      <c r="AP292" s="103" t="str">
        <f>IFERROR(INDEX(TableWRMaster[Custom],MATCH(TableWRTECalcPts[[#This Row],[POSRef]],TableWRMaster[WRRef],0)),"")</f>
        <v/>
      </c>
    </row>
    <row r="293" spans="35:42" x14ac:dyDescent="0.25">
      <c r="AI293" s="59" t="s">
        <v>208</v>
      </c>
      <c r="AJ293" s="59" t="str">
        <f>IFERROR(RANK(TableWRTECalcPts[[#This Row],[Custom]],TableWRTECalcPts[Custom])+COUNTIF($AP$3:AP293,AP293)-1,"")</f>
        <v/>
      </c>
      <c r="AK293" s="105">
        <v>191</v>
      </c>
      <c r="AL293" s="105" t="str">
        <f>IFERROR(INDEX(TableWRMaster[Player],MATCH(TableWRTECalcPts[[#This Row],[POSRef]],TableWRMaster[WRRef],0)),"")</f>
        <v/>
      </c>
      <c r="AM293" s="105" t="str">
        <f>IFERROR(_xlfn.CONCAT(TableWRTECalcPts[[#This Row],[POS]],INDEX(TableWRRanks[RK],MATCH(TableWRTECalcPts[[#This Row],[PLAYER]],TableWRRanks[Player],0))),"")</f>
        <v>WR176</v>
      </c>
      <c r="AN293" s="105" t="str">
        <f>IFERROR(INDEX(TableWRMaster[TM],MATCH(TableWRTECalcPts[[#This Row],[POSRef]],TableWRMaster[WRRef],0)),"")</f>
        <v/>
      </c>
      <c r="AO293" s="105" t="str">
        <f>IFERROR(INDEX(TableWRMaster[BYE],MATCH(TableWRTECalcPts[[#This Row],[POSRef]],TableWRMaster[WRRef],0)),"")</f>
        <v/>
      </c>
      <c r="AP293" s="103" t="str">
        <f>IFERROR(INDEX(TableWRMaster[Custom],MATCH(TableWRTECalcPts[[#This Row],[POSRef]],TableWRMaster[WRRef],0)),"")</f>
        <v/>
      </c>
    </row>
    <row r="294" spans="35:42" x14ac:dyDescent="0.25">
      <c r="AI294" s="59" t="s">
        <v>208</v>
      </c>
      <c r="AJ294" s="59" t="str">
        <f>IFERROR(RANK(TableWRTECalcPts[[#This Row],[Custom]],TableWRTECalcPts[Custom])+COUNTIF($AP$3:AP294,AP294)-1,"")</f>
        <v/>
      </c>
      <c r="AK294" s="105">
        <v>192</v>
      </c>
      <c r="AL294" s="105" t="str">
        <f>IFERROR(INDEX(TableWRMaster[Player],MATCH(TableWRTECalcPts[[#This Row],[POSRef]],TableWRMaster[WRRef],0)),"")</f>
        <v/>
      </c>
      <c r="AM294" s="105" t="str">
        <f>IFERROR(_xlfn.CONCAT(TableWRTECalcPts[[#This Row],[POS]],INDEX(TableWRRanks[RK],MATCH(TableWRTECalcPts[[#This Row],[PLAYER]],TableWRRanks[Player],0))),"")</f>
        <v>WR176</v>
      </c>
      <c r="AN294" s="105" t="str">
        <f>IFERROR(INDEX(TableWRMaster[TM],MATCH(TableWRTECalcPts[[#This Row],[POSRef]],TableWRMaster[WRRef],0)),"")</f>
        <v/>
      </c>
      <c r="AO294" s="105" t="str">
        <f>IFERROR(INDEX(TableWRMaster[BYE],MATCH(TableWRTECalcPts[[#This Row],[POSRef]],TableWRMaster[WRRef],0)),"")</f>
        <v/>
      </c>
      <c r="AP294" s="103" t="str">
        <f>IFERROR(INDEX(TableWRMaster[Custom],MATCH(TableWRTECalcPts[[#This Row],[POSRef]],TableWRMaster[WRRef],0)),"")</f>
        <v/>
      </c>
    </row>
    <row r="295" spans="35:42" x14ac:dyDescent="0.25">
      <c r="AI295" s="59" t="s">
        <v>208</v>
      </c>
      <c r="AJ295" s="59" t="str">
        <f>IFERROR(RANK(TableWRTECalcPts[[#This Row],[Custom]],TableWRTECalcPts[Custom])+COUNTIF($AP$3:AP295,AP295)-1,"")</f>
        <v/>
      </c>
      <c r="AK295" s="105">
        <v>193</v>
      </c>
      <c r="AL295" s="105" t="str">
        <f>IFERROR(INDEX(TableWRMaster[Player],MATCH(TableWRTECalcPts[[#This Row],[POSRef]],TableWRMaster[WRRef],0)),"")</f>
        <v/>
      </c>
      <c r="AM295" s="105" t="str">
        <f>IFERROR(_xlfn.CONCAT(TableWRTECalcPts[[#This Row],[POS]],INDEX(TableWRRanks[RK],MATCH(TableWRTECalcPts[[#This Row],[PLAYER]],TableWRRanks[Player],0))),"")</f>
        <v>WR176</v>
      </c>
      <c r="AN295" s="105" t="str">
        <f>IFERROR(INDEX(TableWRMaster[TM],MATCH(TableWRTECalcPts[[#This Row],[POSRef]],TableWRMaster[WRRef],0)),"")</f>
        <v/>
      </c>
      <c r="AO295" s="105" t="str">
        <f>IFERROR(INDEX(TableWRMaster[BYE],MATCH(TableWRTECalcPts[[#This Row],[POSRef]],TableWRMaster[WRRef],0)),"")</f>
        <v/>
      </c>
      <c r="AP295" s="103" t="str">
        <f>IFERROR(INDEX(TableWRMaster[Custom],MATCH(TableWRTECalcPts[[#This Row],[POSRef]],TableWRMaster[WRRef],0)),"")</f>
        <v/>
      </c>
    </row>
    <row r="296" spans="35:42" x14ac:dyDescent="0.25">
      <c r="AI296" s="59" t="s">
        <v>208</v>
      </c>
      <c r="AJ296" s="59" t="str">
        <f>IFERROR(RANK(TableWRTECalcPts[[#This Row],[Custom]],TableWRTECalcPts[Custom])+COUNTIF($AP$3:AP296,AP296)-1,"")</f>
        <v/>
      </c>
      <c r="AK296" s="105">
        <v>194</v>
      </c>
      <c r="AL296" s="105" t="str">
        <f>IFERROR(INDEX(TableWRMaster[Player],MATCH(TableWRTECalcPts[[#This Row],[POSRef]],TableWRMaster[WRRef],0)),"")</f>
        <v/>
      </c>
      <c r="AM296" s="105" t="str">
        <f>IFERROR(_xlfn.CONCAT(TableWRTECalcPts[[#This Row],[POS]],INDEX(TableWRRanks[RK],MATCH(TableWRTECalcPts[[#This Row],[PLAYER]],TableWRRanks[Player],0))),"")</f>
        <v>WR176</v>
      </c>
      <c r="AN296" s="105" t="str">
        <f>IFERROR(INDEX(TableWRMaster[TM],MATCH(TableWRTECalcPts[[#This Row],[POSRef]],TableWRMaster[WRRef],0)),"")</f>
        <v/>
      </c>
      <c r="AO296" s="105" t="str">
        <f>IFERROR(INDEX(TableWRMaster[BYE],MATCH(TableWRTECalcPts[[#This Row],[POSRef]],TableWRMaster[WRRef],0)),"")</f>
        <v/>
      </c>
      <c r="AP296" s="103" t="str">
        <f>IFERROR(INDEX(TableWRMaster[Custom],MATCH(TableWRTECalcPts[[#This Row],[POSRef]],TableWRMaster[WRRef],0)),"")</f>
        <v/>
      </c>
    </row>
    <row r="297" spans="35:42" x14ac:dyDescent="0.25">
      <c r="AI297" s="59" t="s">
        <v>208</v>
      </c>
      <c r="AJ297" s="59" t="str">
        <f>IFERROR(RANK(TableWRTECalcPts[[#This Row],[Custom]],TableWRTECalcPts[Custom])+COUNTIF($AP$3:AP297,AP297)-1,"")</f>
        <v/>
      </c>
      <c r="AK297" s="105">
        <v>195</v>
      </c>
      <c r="AL297" s="105" t="str">
        <f>IFERROR(INDEX(TableWRMaster[Player],MATCH(TableWRTECalcPts[[#This Row],[POSRef]],TableWRMaster[WRRef],0)),"")</f>
        <v/>
      </c>
      <c r="AM297" s="105" t="str">
        <f>IFERROR(_xlfn.CONCAT(TableWRTECalcPts[[#This Row],[POS]],INDEX(TableWRRanks[RK],MATCH(TableWRTECalcPts[[#This Row],[PLAYER]],TableWRRanks[Player],0))),"")</f>
        <v>WR176</v>
      </c>
      <c r="AN297" s="105" t="str">
        <f>IFERROR(INDEX(TableWRMaster[TM],MATCH(TableWRTECalcPts[[#This Row],[POSRef]],TableWRMaster[WRRef],0)),"")</f>
        <v/>
      </c>
      <c r="AO297" s="105" t="str">
        <f>IFERROR(INDEX(TableWRMaster[BYE],MATCH(TableWRTECalcPts[[#This Row],[POSRef]],TableWRMaster[WRRef],0)),"")</f>
        <v/>
      </c>
      <c r="AP297" s="103" t="str">
        <f>IFERROR(INDEX(TableWRMaster[Custom],MATCH(TableWRTECalcPts[[#This Row],[POSRef]],TableWRMaster[WRRef],0)),"")</f>
        <v/>
      </c>
    </row>
    <row r="298" spans="35:42" x14ac:dyDescent="0.25">
      <c r="AI298" s="59" t="s">
        <v>208</v>
      </c>
      <c r="AJ298" s="59" t="str">
        <f>IFERROR(RANK(TableWRTECalcPts[[#This Row],[Custom]],TableWRTECalcPts[Custom])+COUNTIF($AP$3:AP298,AP298)-1,"")</f>
        <v/>
      </c>
      <c r="AK298" s="105">
        <v>196</v>
      </c>
      <c r="AL298" s="105" t="str">
        <f>IFERROR(INDEX(TableWRMaster[Player],MATCH(TableWRTECalcPts[[#This Row],[POSRef]],TableWRMaster[WRRef],0)),"")</f>
        <v/>
      </c>
      <c r="AM298" s="105" t="str">
        <f>IFERROR(_xlfn.CONCAT(TableWRTECalcPts[[#This Row],[POS]],INDEX(TableWRRanks[RK],MATCH(TableWRTECalcPts[[#This Row],[PLAYER]],TableWRRanks[Player],0))),"")</f>
        <v>WR176</v>
      </c>
      <c r="AN298" s="105" t="str">
        <f>IFERROR(INDEX(TableWRMaster[TM],MATCH(TableWRTECalcPts[[#This Row],[POSRef]],TableWRMaster[WRRef],0)),"")</f>
        <v/>
      </c>
      <c r="AO298" s="105" t="str">
        <f>IFERROR(INDEX(TableWRMaster[BYE],MATCH(TableWRTECalcPts[[#This Row],[POSRef]],TableWRMaster[WRRef],0)),"")</f>
        <v/>
      </c>
      <c r="AP298" s="103" t="str">
        <f>IFERROR(INDEX(TableWRMaster[Custom],MATCH(TableWRTECalcPts[[#This Row],[POSRef]],TableWRMaster[WRRef],0)),"")</f>
        <v/>
      </c>
    </row>
    <row r="299" spans="35:42" x14ac:dyDescent="0.25">
      <c r="AI299" s="59" t="s">
        <v>208</v>
      </c>
      <c r="AJ299" s="59" t="str">
        <f>IFERROR(RANK(TableWRTECalcPts[[#This Row],[Custom]],TableWRTECalcPts[Custom])+COUNTIF($AP$3:AP299,AP299)-1,"")</f>
        <v/>
      </c>
      <c r="AK299" s="105">
        <v>197</v>
      </c>
      <c r="AL299" s="105" t="str">
        <f>IFERROR(INDEX(TableWRMaster[Player],MATCH(TableWRTECalcPts[[#This Row],[POSRef]],TableWRMaster[WRRef],0)),"")</f>
        <v/>
      </c>
      <c r="AM299" s="105" t="str">
        <f>IFERROR(_xlfn.CONCAT(TableWRTECalcPts[[#This Row],[POS]],INDEX(TableWRRanks[RK],MATCH(TableWRTECalcPts[[#This Row],[PLAYER]],TableWRRanks[Player],0))),"")</f>
        <v>WR176</v>
      </c>
      <c r="AN299" s="105" t="str">
        <f>IFERROR(INDEX(TableWRMaster[TM],MATCH(TableWRTECalcPts[[#This Row],[POSRef]],TableWRMaster[WRRef],0)),"")</f>
        <v/>
      </c>
      <c r="AO299" s="105" t="str">
        <f>IFERROR(INDEX(TableWRMaster[BYE],MATCH(TableWRTECalcPts[[#This Row],[POSRef]],TableWRMaster[WRRef],0)),"")</f>
        <v/>
      </c>
      <c r="AP299" s="103" t="str">
        <f>IFERROR(INDEX(TableWRMaster[Custom],MATCH(TableWRTECalcPts[[#This Row],[POSRef]],TableWRMaster[WRRef],0)),"")</f>
        <v/>
      </c>
    </row>
    <row r="300" spans="35:42" x14ac:dyDescent="0.25">
      <c r="AI300" s="59" t="s">
        <v>208</v>
      </c>
      <c r="AJ300" s="59" t="str">
        <f>IFERROR(RANK(TableWRTECalcPts[[#This Row],[Custom]],TableWRTECalcPts[Custom])+COUNTIF($AP$3:AP300,AP300)-1,"")</f>
        <v/>
      </c>
      <c r="AK300" s="105">
        <v>198</v>
      </c>
      <c r="AL300" s="105" t="str">
        <f>IFERROR(INDEX(TableWRMaster[Player],MATCH(TableWRTECalcPts[[#This Row],[POSRef]],TableWRMaster[WRRef],0)),"")</f>
        <v/>
      </c>
      <c r="AM300" s="105" t="str">
        <f>IFERROR(_xlfn.CONCAT(TableWRTECalcPts[[#This Row],[POS]],INDEX(TableWRRanks[RK],MATCH(TableWRTECalcPts[[#This Row],[PLAYER]],TableWRRanks[Player],0))),"")</f>
        <v>WR176</v>
      </c>
      <c r="AN300" s="105" t="str">
        <f>IFERROR(INDEX(TableWRMaster[TM],MATCH(TableWRTECalcPts[[#This Row],[POSRef]],TableWRMaster[WRRef],0)),"")</f>
        <v/>
      </c>
      <c r="AO300" s="105" t="str">
        <f>IFERROR(INDEX(TableWRMaster[BYE],MATCH(TableWRTECalcPts[[#This Row],[POSRef]],TableWRMaster[WRRef],0)),"")</f>
        <v/>
      </c>
      <c r="AP300" s="103" t="str">
        <f>IFERROR(INDEX(TableWRMaster[Custom],MATCH(TableWRTECalcPts[[#This Row],[POSRef]],TableWRMaster[WRRef],0)),"")</f>
        <v/>
      </c>
    </row>
    <row r="301" spans="35:42" x14ac:dyDescent="0.25">
      <c r="AI301" s="59" t="s">
        <v>208</v>
      </c>
      <c r="AJ301" s="59" t="str">
        <f>IFERROR(RANK(TableWRTECalcPts[[#This Row],[Custom]],TableWRTECalcPts[Custom])+COUNTIF($AP$3:AP301,AP301)-1,"")</f>
        <v/>
      </c>
      <c r="AK301" s="105">
        <v>199</v>
      </c>
      <c r="AL301" s="105" t="str">
        <f>IFERROR(INDEX(TableWRMaster[Player],MATCH(TableWRTECalcPts[[#This Row],[POSRef]],TableWRMaster[WRRef],0)),"")</f>
        <v/>
      </c>
      <c r="AM301" s="105" t="str">
        <f>IFERROR(_xlfn.CONCAT(TableWRTECalcPts[[#This Row],[POS]],INDEX(TableWRRanks[RK],MATCH(TableWRTECalcPts[[#This Row],[PLAYER]],TableWRRanks[Player],0))),"")</f>
        <v>WR176</v>
      </c>
      <c r="AN301" s="105" t="str">
        <f>IFERROR(INDEX(TableWRMaster[TM],MATCH(TableWRTECalcPts[[#This Row],[POSRef]],TableWRMaster[WRRef],0)),"")</f>
        <v/>
      </c>
      <c r="AO301" s="105" t="str">
        <f>IFERROR(INDEX(TableWRMaster[BYE],MATCH(TableWRTECalcPts[[#This Row],[POSRef]],TableWRMaster[WRRef],0)),"")</f>
        <v/>
      </c>
      <c r="AP301" s="103" t="str">
        <f>IFERROR(INDEX(TableWRMaster[Custom],MATCH(TableWRTECalcPts[[#This Row],[POSRef]],TableWRMaster[WRRef],0)),"")</f>
        <v/>
      </c>
    </row>
    <row r="302" spans="35:42" x14ac:dyDescent="0.25">
      <c r="AI302" s="59" t="s">
        <v>208</v>
      </c>
      <c r="AJ302" s="59" t="str">
        <f>IFERROR(RANK(TableWRTECalcPts[[#This Row],[Custom]],TableWRTECalcPts[Custom])+COUNTIF($AP$3:AP302,AP302)-1,"")</f>
        <v/>
      </c>
      <c r="AK302" s="105">
        <v>200</v>
      </c>
      <c r="AL302" s="105" t="str">
        <f>IFERROR(INDEX(TableWRMaster[Player],MATCH(TableWRTECalcPts[[#This Row],[POSRef]],TableWRMaster[WRRef],0)),"")</f>
        <v/>
      </c>
      <c r="AM302" s="105" t="str">
        <f>IFERROR(_xlfn.CONCAT(TableWRTECalcPts[[#This Row],[POS]],INDEX(TableWRRanks[RK],MATCH(TableWRTECalcPts[[#This Row],[PLAYER]],TableWRRanks[Player],0))),"")</f>
        <v>WR176</v>
      </c>
      <c r="AN302" s="105" t="str">
        <f>IFERROR(INDEX(TableWRMaster[TM],MATCH(TableWRTECalcPts[[#This Row],[POSRef]],TableWRMaster[WRRef],0)),"")</f>
        <v/>
      </c>
      <c r="AO302" s="105" t="str">
        <f>IFERROR(INDEX(TableWRMaster[BYE],MATCH(TableWRTECalcPts[[#This Row],[POSRef]],TableWRMaster[WRRef],0)),"")</f>
        <v/>
      </c>
      <c r="AP302" s="103" t="str">
        <f>IFERROR(INDEX(TableWRMaster[Custom],MATCH(TableWRTECalcPts[[#This Row],[POSRef]],TableWRMaster[WRRef],0)),"")</f>
        <v/>
      </c>
    </row>
    <row r="303" spans="35:42" x14ac:dyDescent="0.25">
      <c r="AI303" s="59" t="s">
        <v>208</v>
      </c>
      <c r="AJ303" s="59" t="str">
        <f>IFERROR(RANK(TableWRTECalcPts[[#This Row],[Custom]],TableWRTECalcPts[Custom])+COUNTIF($AP$3:AP303,AP303)-1,"")</f>
        <v/>
      </c>
      <c r="AK303" s="105">
        <v>201</v>
      </c>
      <c r="AL303" s="105" t="str">
        <f>IFERROR(INDEX(TableWRMaster[Player],MATCH(TableWRTECalcPts[[#This Row],[POSRef]],TableWRMaster[WRRef],0)),"")</f>
        <v/>
      </c>
      <c r="AM303" s="105" t="str">
        <f>IFERROR(_xlfn.CONCAT(TableWRTECalcPts[[#This Row],[POS]],INDEX(TableWRRanks[RK],MATCH(TableWRTECalcPts[[#This Row],[PLAYER]],TableWRRanks[Player],0))),"")</f>
        <v>WR176</v>
      </c>
      <c r="AN303" s="105" t="str">
        <f>IFERROR(INDEX(TableWRMaster[TM],MATCH(TableWRTECalcPts[[#This Row],[POSRef]],TableWRMaster[WRRef],0)),"")</f>
        <v/>
      </c>
      <c r="AO303" s="105" t="str">
        <f>IFERROR(INDEX(TableWRMaster[BYE],MATCH(TableWRTECalcPts[[#This Row],[POSRef]],TableWRMaster[WRRef],0)),"")</f>
        <v/>
      </c>
      <c r="AP303" s="103" t="str">
        <f>IFERROR(INDEX(TableWRMaster[Custom],MATCH(TableWRTECalcPts[[#This Row],[POSRef]],TableWRMaster[WRRef],0)),"")</f>
        <v/>
      </c>
    </row>
    <row r="304" spans="35:42" x14ac:dyDescent="0.25">
      <c r="AI304" s="59" t="s">
        <v>208</v>
      </c>
      <c r="AJ304" s="59" t="str">
        <f>IFERROR(RANK(TableWRTECalcPts[[#This Row],[Custom]],TableWRTECalcPts[Custom])+COUNTIF($AP$3:AP304,AP304)-1,"")</f>
        <v/>
      </c>
      <c r="AK304" s="105">
        <v>202</v>
      </c>
      <c r="AL304" s="105" t="str">
        <f>IFERROR(INDEX(TableWRMaster[Player],MATCH(TableWRTECalcPts[[#This Row],[POSRef]],TableWRMaster[WRRef],0)),"")</f>
        <v/>
      </c>
      <c r="AM304" s="105" t="str">
        <f>IFERROR(_xlfn.CONCAT(TableWRTECalcPts[[#This Row],[POS]],INDEX(TableWRRanks[RK],MATCH(TableWRTECalcPts[[#This Row],[PLAYER]],TableWRRanks[Player],0))),"")</f>
        <v>WR176</v>
      </c>
      <c r="AN304" s="105" t="str">
        <f>IFERROR(INDEX(TableWRMaster[TM],MATCH(TableWRTECalcPts[[#This Row],[POSRef]],TableWRMaster[WRRef],0)),"")</f>
        <v/>
      </c>
      <c r="AO304" s="105" t="str">
        <f>IFERROR(INDEX(TableWRMaster[BYE],MATCH(TableWRTECalcPts[[#This Row],[POSRef]],TableWRMaster[WRRef],0)),"")</f>
        <v/>
      </c>
      <c r="AP304" s="103" t="str">
        <f>IFERROR(INDEX(TableWRMaster[Custom],MATCH(TableWRTECalcPts[[#This Row],[POSRef]],TableWRMaster[WRRef],0)),"")</f>
        <v/>
      </c>
    </row>
    <row r="305" spans="35:42" x14ac:dyDescent="0.25">
      <c r="AI305" s="59" t="s">
        <v>208</v>
      </c>
      <c r="AJ305" s="59" t="str">
        <f>IFERROR(RANK(TableWRTECalcPts[[#This Row],[Custom]],TableWRTECalcPts[Custom])+COUNTIF($AP$3:AP305,AP305)-1,"")</f>
        <v/>
      </c>
      <c r="AK305" s="105">
        <v>203</v>
      </c>
      <c r="AL305" s="105" t="str">
        <f>IFERROR(INDEX(TableWRMaster[Player],MATCH(TableWRTECalcPts[[#This Row],[POSRef]],TableWRMaster[WRRef],0)),"")</f>
        <v/>
      </c>
      <c r="AM305" s="105" t="str">
        <f>IFERROR(_xlfn.CONCAT(TableWRTECalcPts[[#This Row],[POS]],INDEX(TableWRRanks[RK],MATCH(TableWRTECalcPts[[#This Row],[PLAYER]],TableWRRanks[Player],0))),"")</f>
        <v>WR176</v>
      </c>
      <c r="AN305" s="105" t="str">
        <f>IFERROR(INDEX(TableWRMaster[TM],MATCH(TableWRTECalcPts[[#This Row],[POSRef]],TableWRMaster[WRRef],0)),"")</f>
        <v/>
      </c>
      <c r="AO305" s="105" t="str">
        <f>IFERROR(INDEX(TableWRMaster[BYE],MATCH(TableWRTECalcPts[[#This Row],[POSRef]],TableWRMaster[WRRef],0)),"")</f>
        <v/>
      </c>
      <c r="AP305" s="103" t="str">
        <f>IFERROR(INDEX(TableWRMaster[Custom],MATCH(TableWRTECalcPts[[#This Row],[POSRef]],TableWRMaster[WRRef],0)),"")</f>
        <v/>
      </c>
    </row>
    <row r="306" spans="35:42" x14ac:dyDescent="0.25">
      <c r="AI306" s="59" t="s">
        <v>208</v>
      </c>
      <c r="AJ306" s="59" t="str">
        <f>IFERROR(RANK(TableWRTECalcPts[[#This Row],[Custom]],TableWRTECalcPts[Custom])+COUNTIF($AP$3:AP306,AP306)-1,"")</f>
        <v/>
      </c>
      <c r="AK306" s="105">
        <v>204</v>
      </c>
      <c r="AL306" s="105" t="str">
        <f>IFERROR(INDEX(TableWRMaster[Player],MATCH(TableWRTECalcPts[[#This Row],[POSRef]],TableWRMaster[WRRef],0)),"")</f>
        <v/>
      </c>
      <c r="AM306" s="105" t="str">
        <f>IFERROR(_xlfn.CONCAT(TableWRTECalcPts[[#This Row],[POS]],INDEX(TableWRRanks[RK],MATCH(TableWRTECalcPts[[#This Row],[PLAYER]],TableWRRanks[Player],0))),"")</f>
        <v>WR176</v>
      </c>
      <c r="AN306" s="105" t="str">
        <f>IFERROR(INDEX(TableWRMaster[TM],MATCH(TableWRTECalcPts[[#This Row],[POSRef]],TableWRMaster[WRRef],0)),"")</f>
        <v/>
      </c>
      <c r="AO306" s="105" t="str">
        <f>IFERROR(INDEX(TableWRMaster[BYE],MATCH(TableWRTECalcPts[[#This Row],[POSRef]],TableWRMaster[WRRef],0)),"")</f>
        <v/>
      </c>
      <c r="AP306" s="103" t="str">
        <f>IFERROR(INDEX(TableWRMaster[Custom],MATCH(TableWRTECalcPts[[#This Row],[POSRef]],TableWRMaster[WRRef],0)),"")</f>
        <v/>
      </c>
    </row>
    <row r="307" spans="35:42" x14ac:dyDescent="0.25">
      <c r="AI307" s="59" t="s">
        <v>208</v>
      </c>
      <c r="AJ307" s="59" t="str">
        <f>IFERROR(RANK(TableWRTECalcPts[[#This Row],[Custom]],TableWRTECalcPts[Custom])+COUNTIF($AP$3:AP307,AP307)-1,"")</f>
        <v/>
      </c>
      <c r="AK307" s="105">
        <v>205</v>
      </c>
      <c r="AL307" s="105" t="str">
        <f>IFERROR(INDEX(TableWRMaster[Player],MATCH(TableWRTECalcPts[[#This Row],[POSRef]],TableWRMaster[WRRef],0)),"")</f>
        <v/>
      </c>
      <c r="AM307" s="105" t="str">
        <f>IFERROR(_xlfn.CONCAT(TableWRTECalcPts[[#This Row],[POS]],INDEX(TableWRRanks[RK],MATCH(TableWRTECalcPts[[#This Row],[PLAYER]],TableWRRanks[Player],0))),"")</f>
        <v>WR176</v>
      </c>
      <c r="AN307" s="105" t="str">
        <f>IFERROR(INDEX(TableWRMaster[TM],MATCH(TableWRTECalcPts[[#This Row],[POSRef]],TableWRMaster[WRRef],0)),"")</f>
        <v/>
      </c>
      <c r="AO307" s="105" t="str">
        <f>IFERROR(INDEX(TableWRMaster[BYE],MATCH(TableWRTECalcPts[[#This Row],[POSRef]],TableWRMaster[WRRef],0)),"")</f>
        <v/>
      </c>
      <c r="AP307" s="103" t="str">
        <f>IFERROR(INDEX(TableWRMaster[Custom],MATCH(TableWRTECalcPts[[#This Row],[POSRef]],TableWRMaster[WRRef],0)),"")</f>
        <v/>
      </c>
    </row>
    <row r="308" spans="35:42" x14ac:dyDescent="0.25">
      <c r="AI308" s="59" t="s">
        <v>208</v>
      </c>
      <c r="AJ308" s="59" t="str">
        <f>IFERROR(RANK(TableWRTECalcPts[[#This Row],[Custom]],TableWRTECalcPts[Custom])+COUNTIF($AP$3:AP308,AP308)-1,"")</f>
        <v/>
      </c>
      <c r="AK308" s="105">
        <v>206</v>
      </c>
      <c r="AL308" s="105" t="str">
        <f>IFERROR(INDEX(TableWRMaster[Player],MATCH(TableWRTECalcPts[[#This Row],[POSRef]],TableWRMaster[WRRef],0)),"")</f>
        <v/>
      </c>
      <c r="AM308" s="105" t="str">
        <f>IFERROR(_xlfn.CONCAT(TableWRTECalcPts[[#This Row],[POS]],INDEX(TableWRRanks[RK],MATCH(TableWRTECalcPts[[#This Row],[PLAYER]],TableWRRanks[Player],0))),"")</f>
        <v>WR176</v>
      </c>
      <c r="AN308" s="105" t="str">
        <f>IFERROR(INDEX(TableWRMaster[TM],MATCH(TableWRTECalcPts[[#This Row],[POSRef]],TableWRMaster[WRRef],0)),"")</f>
        <v/>
      </c>
      <c r="AO308" s="105" t="str">
        <f>IFERROR(INDEX(TableWRMaster[BYE],MATCH(TableWRTECalcPts[[#This Row],[POSRef]],TableWRMaster[WRRef],0)),"")</f>
        <v/>
      </c>
      <c r="AP308" s="103" t="str">
        <f>IFERROR(INDEX(TableWRMaster[Custom],MATCH(TableWRTECalcPts[[#This Row],[POSRef]],TableWRMaster[WRRef],0)),"")</f>
        <v/>
      </c>
    </row>
    <row r="309" spans="35:42" x14ac:dyDescent="0.25">
      <c r="AI309" s="59" t="s">
        <v>208</v>
      </c>
      <c r="AJ309" s="59" t="str">
        <f>IFERROR(RANK(TableWRTECalcPts[[#This Row],[Custom]],TableWRTECalcPts[Custom])+COUNTIF($AP$3:AP309,AP309)-1,"")</f>
        <v/>
      </c>
      <c r="AK309" s="105">
        <v>207</v>
      </c>
      <c r="AL309" s="105" t="str">
        <f>IFERROR(INDEX(TableWRMaster[Player],MATCH(TableWRTECalcPts[[#This Row],[POSRef]],TableWRMaster[WRRef],0)),"")</f>
        <v/>
      </c>
      <c r="AM309" s="105" t="str">
        <f>IFERROR(_xlfn.CONCAT(TableWRTECalcPts[[#This Row],[POS]],INDEX(TableWRRanks[RK],MATCH(TableWRTECalcPts[[#This Row],[PLAYER]],TableWRRanks[Player],0))),"")</f>
        <v>WR176</v>
      </c>
      <c r="AN309" s="105" t="str">
        <f>IFERROR(INDEX(TableWRMaster[TM],MATCH(TableWRTECalcPts[[#This Row],[POSRef]],TableWRMaster[WRRef],0)),"")</f>
        <v/>
      </c>
      <c r="AO309" s="105" t="str">
        <f>IFERROR(INDEX(TableWRMaster[BYE],MATCH(TableWRTECalcPts[[#This Row],[POSRef]],TableWRMaster[WRRef],0)),"")</f>
        <v/>
      </c>
      <c r="AP309" s="103" t="str">
        <f>IFERROR(INDEX(TableWRMaster[Custom],MATCH(TableWRTECalcPts[[#This Row],[POSRef]],TableWRMaster[WRRef],0)),"")</f>
        <v/>
      </c>
    </row>
    <row r="310" spans="35:42" x14ac:dyDescent="0.25">
      <c r="AI310" s="59" t="s">
        <v>208</v>
      </c>
      <c r="AJ310" s="59" t="str">
        <f>IFERROR(RANK(TableWRTECalcPts[[#This Row],[Custom]],TableWRTECalcPts[Custom])+COUNTIF($AP$3:AP310,AP310)-1,"")</f>
        <v/>
      </c>
      <c r="AK310" s="105">
        <v>208</v>
      </c>
      <c r="AL310" s="105" t="str">
        <f>IFERROR(INDEX(TableWRMaster[Player],MATCH(TableWRTECalcPts[[#This Row],[POSRef]],TableWRMaster[WRRef],0)),"")</f>
        <v/>
      </c>
      <c r="AM310" s="105" t="str">
        <f>IFERROR(_xlfn.CONCAT(TableWRTECalcPts[[#This Row],[POS]],INDEX(TableWRRanks[RK],MATCH(TableWRTECalcPts[[#This Row],[PLAYER]],TableWRRanks[Player],0))),"")</f>
        <v>WR176</v>
      </c>
      <c r="AN310" s="105" t="str">
        <f>IFERROR(INDEX(TableWRMaster[TM],MATCH(TableWRTECalcPts[[#This Row],[POSRef]],TableWRMaster[WRRef],0)),"")</f>
        <v/>
      </c>
      <c r="AO310" s="105" t="str">
        <f>IFERROR(INDEX(TableWRMaster[BYE],MATCH(TableWRTECalcPts[[#This Row],[POSRef]],TableWRMaster[WRRef],0)),"")</f>
        <v/>
      </c>
      <c r="AP310" s="103" t="str">
        <f>IFERROR(INDEX(TableWRMaster[Custom],MATCH(TableWRTECalcPts[[#This Row],[POSRef]],TableWRMaster[WRRef],0)),"")</f>
        <v/>
      </c>
    </row>
    <row r="311" spans="35:42" x14ac:dyDescent="0.25">
      <c r="AI311" s="59" t="s">
        <v>208</v>
      </c>
      <c r="AJ311" s="59" t="str">
        <f>IFERROR(RANK(TableWRTECalcPts[[#This Row],[Custom]],TableWRTECalcPts[Custom])+COUNTIF($AP$3:AP311,AP311)-1,"")</f>
        <v/>
      </c>
      <c r="AK311" s="105">
        <v>209</v>
      </c>
      <c r="AL311" s="105" t="str">
        <f>IFERROR(INDEX(TableWRMaster[Player],MATCH(TableWRTECalcPts[[#This Row],[POSRef]],TableWRMaster[WRRef],0)),"")</f>
        <v/>
      </c>
      <c r="AM311" s="105" t="str">
        <f>IFERROR(_xlfn.CONCAT(TableWRTECalcPts[[#This Row],[POS]],INDEX(TableWRRanks[RK],MATCH(TableWRTECalcPts[[#This Row],[PLAYER]],TableWRRanks[Player],0))),"")</f>
        <v>WR176</v>
      </c>
      <c r="AN311" s="105" t="str">
        <f>IFERROR(INDEX(TableWRMaster[TM],MATCH(TableWRTECalcPts[[#This Row],[POSRef]],TableWRMaster[WRRef],0)),"")</f>
        <v/>
      </c>
      <c r="AO311" s="105" t="str">
        <f>IFERROR(INDEX(TableWRMaster[BYE],MATCH(TableWRTECalcPts[[#This Row],[POSRef]],TableWRMaster[WRRef],0)),"")</f>
        <v/>
      </c>
      <c r="AP311" s="103" t="str">
        <f>IFERROR(INDEX(TableWRMaster[Custom],MATCH(TableWRTECalcPts[[#This Row],[POSRef]],TableWRMaster[WRRef],0)),"")</f>
        <v/>
      </c>
    </row>
    <row r="312" spans="35:42" x14ac:dyDescent="0.25">
      <c r="AI312" s="59" t="s">
        <v>208</v>
      </c>
      <c r="AJ312" s="59" t="str">
        <f>IFERROR(RANK(TableWRTECalcPts[[#This Row],[Custom]],TableWRTECalcPts[Custom])+COUNTIF($AP$3:AP312,AP312)-1,"")</f>
        <v/>
      </c>
      <c r="AK312" s="105">
        <v>210</v>
      </c>
      <c r="AL312" s="105" t="str">
        <f>IFERROR(INDEX(TableWRMaster[Player],MATCH(TableWRTECalcPts[[#This Row],[POSRef]],TableWRMaster[WRRef],0)),"")</f>
        <v/>
      </c>
      <c r="AM312" s="105" t="str">
        <f>IFERROR(_xlfn.CONCAT(TableWRTECalcPts[[#This Row],[POS]],INDEX(TableWRRanks[RK],MATCH(TableWRTECalcPts[[#This Row],[PLAYER]],TableWRRanks[Player],0))),"")</f>
        <v>WR176</v>
      </c>
      <c r="AN312" s="105" t="str">
        <f>IFERROR(INDEX(TableWRMaster[TM],MATCH(TableWRTECalcPts[[#This Row],[POSRef]],TableWRMaster[WRRef],0)),"")</f>
        <v/>
      </c>
      <c r="AO312" s="105" t="str">
        <f>IFERROR(INDEX(TableWRMaster[BYE],MATCH(TableWRTECalcPts[[#This Row],[POSRef]],TableWRMaster[WRRef],0)),"")</f>
        <v/>
      </c>
      <c r="AP312" s="103" t="str">
        <f>IFERROR(INDEX(TableWRMaster[Custom],MATCH(TableWRTECalcPts[[#This Row],[POSRef]],TableWRMaster[WRRef],0)),"")</f>
        <v/>
      </c>
    </row>
    <row r="313" spans="35:42" x14ac:dyDescent="0.25">
      <c r="AI313" s="59" t="s">
        <v>208</v>
      </c>
      <c r="AJ313" s="59" t="str">
        <f>IFERROR(RANK(TableWRTECalcPts[[#This Row],[Custom]],TableWRTECalcPts[Custom])+COUNTIF($AP$3:AP313,AP313)-1,"")</f>
        <v/>
      </c>
      <c r="AK313" s="105">
        <v>211</v>
      </c>
      <c r="AL313" s="105" t="str">
        <f>IFERROR(INDEX(TableWRMaster[Player],MATCH(TableWRTECalcPts[[#This Row],[POSRef]],TableWRMaster[WRRef],0)),"")</f>
        <v/>
      </c>
      <c r="AM313" s="105" t="str">
        <f>IFERROR(_xlfn.CONCAT(TableWRTECalcPts[[#This Row],[POS]],INDEX(TableWRRanks[RK],MATCH(TableWRTECalcPts[[#This Row],[PLAYER]],TableWRRanks[Player],0))),"")</f>
        <v>WR176</v>
      </c>
      <c r="AN313" s="105" t="str">
        <f>IFERROR(INDEX(TableWRMaster[TM],MATCH(TableWRTECalcPts[[#This Row],[POSRef]],TableWRMaster[WRRef],0)),"")</f>
        <v/>
      </c>
      <c r="AO313" s="105" t="str">
        <f>IFERROR(INDEX(TableWRMaster[BYE],MATCH(TableWRTECalcPts[[#This Row],[POSRef]],TableWRMaster[WRRef],0)),"")</f>
        <v/>
      </c>
      <c r="AP313" s="103" t="str">
        <f>IFERROR(INDEX(TableWRMaster[Custom],MATCH(TableWRTECalcPts[[#This Row],[POSRef]],TableWRMaster[WRRef],0)),"")</f>
        <v/>
      </c>
    </row>
    <row r="314" spans="35:42" x14ac:dyDescent="0.25">
      <c r="AI314" s="59" t="s">
        <v>208</v>
      </c>
      <c r="AJ314" s="59" t="str">
        <f>IFERROR(RANK(TableWRTECalcPts[[#This Row],[Custom]],TableWRTECalcPts[Custom])+COUNTIF($AP$3:AP314,AP314)-1,"")</f>
        <v/>
      </c>
      <c r="AK314" s="105">
        <v>212</v>
      </c>
      <c r="AL314" s="105" t="str">
        <f>IFERROR(INDEX(TableWRMaster[Player],MATCH(TableWRTECalcPts[[#This Row],[POSRef]],TableWRMaster[WRRef],0)),"")</f>
        <v/>
      </c>
      <c r="AM314" s="105" t="str">
        <f>IFERROR(_xlfn.CONCAT(TableWRTECalcPts[[#This Row],[POS]],INDEX(TableWRRanks[RK],MATCH(TableWRTECalcPts[[#This Row],[PLAYER]],TableWRRanks[Player],0))),"")</f>
        <v>WR176</v>
      </c>
      <c r="AN314" s="105" t="str">
        <f>IFERROR(INDEX(TableWRMaster[TM],MATCH(TableWRTECalcPts[[#This Row],[POSRef]],TableWRMaster[WRRef],0)),"")</f>
        <v/>
      </c>
      <c r="AO314" s="105" t="str">
        <f>IFERROR(INDEX(TableWRMaster[BYE],MATCH(TableWRTECalcPts[[#This Row],[POSRef]],TableWRMaster[WRRef],0)),"")</f>
        <v/>
      </c>
      <c r="AP314" s="103" t="str">
        <f>IFERROR(INDEX(TableWRMaster[Custom],MATCH(TableWRTECalcPts[[#This Row],[POSRef]],TableWRMaster[WRRef],0)),"")</f>
        <v/>
      </c>
    </row>
    <row r="315" spans="35:42" x14ac:dyDescent="0.25">
      <c r="AI315" s="59" t="s">
        <v>208</v>
      </c>
      <c r="AJ315" s="59" t="str">
        <f>IFERROR(RANK(TableWRTECalcPts[[#This Row],[Custom]],TableWRTECalcPts[Custom])+COUNTIF($AP$3:AP315,AP315)-1,"")</f>
        <v/>
      </c>
      <c r="AK315" s="105">
        <v>213</v>
      </c>
      <c r="AL315" s="105" t="str">
        <f>IFERROR(INDEX(TableWRMaster[Player],MATCH(TableWRTECalcPts[[#This Row],[POSRef]],TableWRMaster[WRRef],0)),"")</f>
        <v/>
      </c>
      <c r="AM315" s="105" t="str">
        <f>IFERROR(_xlfn.CONCAT(TableWRTECalcPts[[#This Row],[POS]],INDEX(TableWRRanks[RK],MATCH(TableWRTECalcPts[[#This Row],[PLAYER]],TableWRRanks[Player],0))),"")</f>
        <v>WR176</v>
      </c>
      <c r="AN315" s="105" t="str">
        <f>IFERROR(INDEX(TableWRMaster[TM],MATCH(TableWRTECalcPts[[#This Row],[POSRef]],TableWRMaster[WRRef],0)),"")</f>
        <v/>
      </c>
      <c r="AO315" s="105" t="str">
        <f>IFERROR(INDEX(TableWRMaster[BYE],MATCH(TableWRTECalcPts[[#This Row],[POSRef]],TableWRMaster[WRRef],0)),"")</f>
        <v/>
      </c>
      <c r="AP315" s="103" t="str">
        <f>IFERROR(INDEX(TableWRMaster[Custom],MATCH(TableWRTECalcPts[[#This Row],[POSRef]],TableWRMaster[WRRef],0)),"")</f>
        <v/>
      </c>
    </row>
    <row r="316" spans="35:42" x14ac:dyDescent="0.25">
      <c r="AI316" s="59" t="s">
        <v>208</v>
      </c>
      <c r="AJ316" s="59" t="str">
        <f>IFERROR(RANK(TableWRTECalcPts[[#This Row],[Custom]],TableWRTECalcPts[Custom])+COUNTIF($AP$3:AP316,AP316)-1,"")</f>
        <v/>
      </c>
      <c r="AK316" s="105">
        <v>214</v>
      </c>
      <c r="AL316" s="105" t="str">
        <f>IFERROR(INDEX(TableWRMaster[Player],MATCH(TableWRTECalcPts[[#This Row],[POSRef]],TableWRMaster[WRRef],0)),"")</f>
        <v/>
      </c>
      <c r="AM316" s="105" t="str">
        <f>IFERROR(_xlfn.CONCAT(TableWRTECalcPts[[#This Row],[POS]],INDEX(TableWRRanks[RK],MATCH(TableWRTECalcPts[[#This Row],[PLAYER]],TableWRRanks[Player],0))),"")</f>
        <v>WR176</v>
      </c>
      <c r="AN316" s="105" t="str">
        <f>IFERROR(INDEX(TableWRMaster[TM],MATCH(TableWRTECalcPts[[#This Row],[POSRef]],TableWRMaster[WRRef],0)),"")</f>
        <v/>
      </c>
      <c r="AO316" s="105" t="str">
        <f>IFERROR(INDEX(TableWRMaster[BYE],MATCH(TableWRTECalcPts[[#This Row],[POSRef]],TableWRMaster[WRRef],0)),"")</f>
        <v/>
      </c>
      <c r="AP316" s="103" t="str">
        <f>IFERROR(INDEX(TableWRMaster[Custom],MATCH(TableWRTECalcPts[[#This Row],[POSRef]],TableWRMaster[WRRef],0)),"")</f>
        <v/>
      </c>
    </row>
    <row r="317" spans="35:42" x14ac:dyDescent="0.25">
      <c r="AI317" s="59" t="s">
        <v>208</v>
      </c>
      <c r="AJ317" s="59" t="str">
        <f>IFERROR(RANK(TableWRTECalcPts[[#This Row],[Custom]],TableWRTECalcPts[Custom])+COUNTIF($AP$3:AP317,AP317)-1,"")</f>
        <v/>
      </c>
      <c r="AK317" s="105">
        <v>215</v>
      </c>
      <c r="AL317" s="105" t="str">
        <f>IFERROR(INDEX(TableWRMaster[Player],MATCH(TableWRTECalcPts[[#This Row],[POSRef]],TableWRMaster[WRRef],0)),"")</f>
        <v/>
      </c>
      <c r="AM317" s="105" t="str">
        <f>IFERROR(_xlfn.CONCAT(TableWRTECalcPts[[#This Row],[POS]],INDEX(TableWRRanks[RK],MATCH(TableWRTECalcPts[[#This Row],[PLAYER]],TableWRRanks[Player],0))),"")</f>
        <v>WR176</v>
      </c>
      <c r="AN317" s="105" t="str">
        <f>IFERROR(INDEX(TableWRMaster[TM],MATCH(TableWRTECalcPts[[#This Row],[POSRef]],TableWRMaster[WRRef],0)),"")</f>
        <v/>
      </c>
      <c r="AO317" s="105" t="str">
        <f>IFERROR(INDEX(TableWRMaster[BYE],MATCH(TableWRTECalcPts[[#This Row],[POSRef]],TableWRMaster[WRRef],0)),"")</f>
        <v/>
      </c>
      <c r="AP317" s="103" t="str">
        <f>IFERROR(INDEX(TableWRMaster[Custom],MATCH(TableWRTECalcPts[[#This Row],[POSRef]],TableWRMaster[WRRef],0)),"")</f>
        <v/>
      </c>
    </row>
    <row r="318" spans="35:42" x14ac:dyDescent="0.25">
      <c r="AI318" s="59" t="s">
        <v>208</v>
      </c>
      <c r="AJ318" s="59" t="str">
        <f>IFERROR(RANK(TableWRTECalcPts[[#This Row],[Custom]],TableWRTECalcPts[Custom])+COUNTIF($AP$3:AP318,AP318)-1,"")</f>
        <v/>
      </c>
      <c r="AK318" s="105">
        <v>216</v>
      </c>
      <c r="AL318" s="105" t="str">
        <f>IFERROR(INDEX(TableWRMaster[Player],MATCH(TableWRTECalcPts[[#This Row],[POSRef]],TableWRMaster[WRRef],0)),"")</f>
        <v/>
      </c>
      <c r="AM318" s="105" t="str">
        <f>IFERROR(_xlfn.CONCAT(TableWRTECalcPts[[#This Row],[POS]],INDEX(TableWRRanks[RK],MATCH(TableWRTECalcPts[[#This Row],[PLAYER]],TableWRRanks[Player],0))),"")</f>
        <v>WR176</v>
      </c>
      <c r="AN318" s="105" t="str">
        <f>IFERROR(INDEX(TableWRMaster[TM],MATCH(TableWRTECalcPts[[#This Row],[POSRef]],TableWRMaster[WRRef],0)),"")</f>
        <v/>
      </c>
      <c r="AO318" s="105" t="str">
        <f>IFERROR(INDEX(TableWRMaster[BYE],MATCH(TableWRTECalcPts[[#This Row],[POSRef]],TableWRMaster[WRRef],0)),"")</f>
        <v/>
      </c>
      <c r="AP318" s="103" t="str">
        <f>IFERROR(INDEX(TableWRMaster[Custom],MATCH(TableWRTECalcPts[[#This Row],[POSRef]],TableWRMaster[WRRef],0)),"")</f>
        <v/>
      </c>
    </row>
    <row r="319" spans="35:42" x14ac:dyDescent="0.25">
      <c r="AI319" s="59" t="s">
        <v>208</v>
      </c>
      <c r="AJ319" s="59" t="str">
        <f>IFERROR(RANK(TableWRTECalcPts[[#This Row],[Custom]],TableWRTECalcPts[Custom])+COUNTIF($AP$3:AP319,AP319)-1,"")</f>
        <v/>
      </c>
      <c r="AK319" s="105">
        <v>217</v>
      </c>
      <c r="AL319" s="105" t="str">
        <f>IFERROR(INDEX(TableWRMaster[Player],MATCH(TableWRTECalcPts[[#This Row],[POSRef]],TableWRMaster[WRRef],0)),"")</f>
        <v/>
      </c>
      <c r="AM319" s="105" t="str">
        <f>IFERROR(_xlfn.CONCAT(TableWRTECalcPts[[#This Row],[POS]],INDEX(TableWRRanks[RK],MATCH(TableWRTECalcPts[[#This Row],[PLAYER]],TableWRRanks[Player],0))),"")</f>
        <v>WR176</v>
      </c>
      <c r="AN319" s="105" t="str">
        <f>IFERROR(INDEX(TableWRMaster[TM],MATCH(TableWRTECalcPts[[#This Row],[POSRef]],TableWRMaster[WRRef],0)),"")</f>
        <v/>
      </c>
      <c r="AO319" s="105" t="str">
        <f>IFERROR(INDEX(TableWRMaster[BYE],MATCH(TableWRTECalcPts[[#This Row],[POSRef]],TableWRMaster[WRRef],0)),"")</f>
        <v/>
      </c>
      <c r="AP319" s="103" t="str">
        <f>IFERROR(INDEX(TableWRMaster[Custom],MATCH(TableWRTECalcPts[[#This Row],[POSRef]],TableWRMaster[WRRef],0)),"")</f>
        <v/>
      </c>
    </row>
    <row r="320" spans="35:42" x14ac:dyDescent="0.25">
      <c r="AI320" s="59" t="s">
        <v>208</v>
      </c>
      <c r="AJ320" s="59" t="str">
        <f>IFERROR(RANK(TableWRTECalcPts[[#This Row],[Custom]],TableWRTECalcPts[Custom])+COUNTIF($AP$3:AP320,AP320)-1,"")</f>
        <v/>
      </c>
      <c r="AK320" s="105">
        <v>218</v>
      </c>
      <c r="AL320" s="105" t="str">
        <f>IFERROR(INDEX(TableWRMaster[Player],MATCH(TableWRTECalcPts[[#This Row],[POSRef]],TableWRMaster[WRRef],0)),"")</f>
        <v/>
      </c>
      <c r="AM320" s="105" t="str">
        <f>IFERROR(_xlfn.CONCAT(TableWRTECalcPts[[#This Row],[POS]],INDEX(TableWRRanks[RK],MATCH(TableWRTECalcPts[[#This Row],[PLAYER]],TableWRRanks[Player],0))),"")</f>
        <v>WR176</v>
      </c>
      <c r="AN320" s="105" t="str">
        <f>IFERROR(INDEX(TableWRMaster[TM],MATCH(TableWRTECalcPts[[#This Row],[POSRef]],TableWRMaster[WRRef],0)),"")</f>
        <v/>
      </c>
      <c r="AO320" s="105" t="str">
        <f>IFERROR(INDEX(TableWRMaster[BYE],MATCH(TableWRTECalcPts[[#This Row],[POSRef]],TableWRMaster[WRRef],0)),"")</f>
        <v/>
      </c>
      <c r="AP320" s="103" t="str">
        <f>IFERROR(INDEX(TableWRMaster[Custom],MATCH(TableWRTECalcPts[[#This Row],[POSRef]],TableWRMaster[WRRef],0)),"")</f>
        <v/>
      </c>
    </row>
    <row r="321" spans="35:42" x14ac:dyDescent="0.25">
      <c r="AI321" s="59" t="s">
        <v>208</v>
      </c>
      <c r="AJ321" s="59" t="str">
        <f>IFERROR(RANK(TableWRTECalcPts[[#This Row],[Custom]],TableWRTECalcPts[Custom])+COUNTIF($AP$3:AP321,AP321)-1,"")</f>
        <v/>
      </c>
      <c r="AK321" s="105">
        <v>219</v>
      </c>
      <c r="AL321" s="105" t="str">
        <f>IFERROR(INDEX(TableWRMaster[Player],MATCH(TableWRTECalcPts[[#This Row],[POSRef]],TableWRMaster[WRRef],0)),"")</f>
        <v/>
      </c>
      <c r="AM321" s="105" t="str">
        <f>IFERROR(_xlfn.CONCAT(TableWRTECalcPts[[#This Row],[POS]],INDEX(TableWRRanks[RK],MATCH(TableWRTECalcPts[[#This Row],[PLAYER]],TableWRRanks[Player],0))),"")</f>
        <v>WR176</v>
      </c>
      <c r="AN321" s="105" t="str">
        <f>IFERROR(INDEX(TableWRMaster[TM],MATCH(TableWRTECalcPts[[#This Row],[POSRef]],TableWRMaster[WRRef],0)),"")</f>
        <v/>
      </c>
      <c r="AO321" s="105" t="str">
        <f>IFERROR(INDEX(TableWRMaster[BYE],MATCH(TableWRTECalcPts[[#This Row],[POSRef]],TableWRMaster[WRRef],0)),"")</f>
        <v/>
      </c>
      <c r="AP321" s="103" t="str">
        <f>IFERROR(INDEX(TableWRMaster[Custom],MATCH(TableWRTECalcPts[[#This Row],[POSRef]],TableWRMaster[WRRef],0)),"")</f>
        <v/>
      </c>
    </row>
    <row r="322" spans="35:42" x14ac:dyDescent="0.25">
      <c r="AI322" s="59" t="s">
        <v>208</v>
      </c>
      <c r="AJ322" s="59" t="str">
        <f>IFERROR(RANK(TableWRTECalcPts[[#This Row],[Custom]],TableWRTECalcPts[Custom])+COUNTIF($AP$3:AP322,AP322)-1,"")</f>
        <v/>
      </c>
      <c r="AK322" s="105">
        <v>220</v>
      </c>
      <c r="AL322" s="105" t="str">
        <f>IFERROR(INDEX(TableWRMaster[Player],MATCH(TableWRTECalcPts[[#This Row],[POSRef]],TableWRMaster[WRRef],0)),"")</f>
        <v/>
      </c>
      <c r="AM322" s="105" t="str">
        <f>IFERROR(_xlfn.CONCAT(TableWRTECalcPts[[#This Row],[POS]],INDEX(TableWRRanks[RK],MATCH(TableWRTECalcPts[[#This Row],[PLAYER]],TableWRRanks[Player],0))),"")</f>
        <v>WR176</v>
      </c>
      <c r="AN322" s="105" t="str">
        <f>IFERROR(INDEX(TableWRMaster[TM],MATCH(TableWRTECalcPts[[#This Row],[POSRef]],TableWRMaster[WRRef],0)),"")</f>
        <v/>
      </c>
      <c r="AO322" s="105" t="str">
        <f>IFERROR(INDEX(TableWRMaster[BYE],MATCH(TableWRTECalcPts[[#This Row],[POSRef]],TableWRMaster[WRRef],0)),"")</f>
        <v/>
      </c>
      <c r="AP322" s="103" t="str">
        <f>IFERROR(INDEX(TableWRMaster[Custom],MATCH(TableWRTECalcPts[[#This Row],[POSRef]],TableWRMaster[WRRef],0)),"")</f>
        <v/>
      </c>
    </row>
    <row r="323" spans="35:42" x14ac:dyDescent="0.25">
      <c r="AI323" s="59" t="s">
        <v>208</v>
      </c>
      <c r="AJ323" s="59" t="str">
        <f>IFERROR(RANK(TableWRTECalcPts[[#This Row],[Custom]],TableWRTECalcPts[Custom])+COUNTIF($AP$3:AP323,AP323)-1,"")</f>
        <v/>
      </c>
      <c r="AK323" s="105">
        <v>221</v>
      </c>
      <c r="AL323" s="105" t="str">
        <f>IFERROR(INDEX(TableWRMaster[Player],MATCH(TableWRTECalcPts[[#This Row],[POSRef]],TableWRMaster[WRRef],0)),"")</f>
        <v/>
      </c>
      <c r="AM323" s="105" t="str">
        <f>IFERROR(_xlfn.CONCAT(TableWRTECalcPts[[#This Row],[POS]],INDEX(TableWRRanks[RK],MATCH(TableWRTECalcPts[[#This Row],[PLAYER]],TableWRRanks[Player],0))),"")</f>
        <v>WR176</v>
      </c>
      <c r="AN323" s="105" t="str">
        <f>IFERROR(INDEX(TableWRMaster[TM],MATCH(TableWRTECalcPts[[#This Row],[POSRef]],TableWRMaster[WRRef],0)),"")</f>
        <v/>
      </c>
      <c r="AO323" s="105" t="str">
        <f>IFERROR(INDEX(TableWRMaster[BYE],MATCH(TableWRTECalcPts[[#This Row],[POSRef]],TableWRMaster[WRRef],0)),"")</f>
        <v/>
      </c>
      <c r="AP323" s="103" t="str">
        <f>IFERROR(INDEX(TableWRMaster[Custom],MATCH(TableWRTECalcPts[[#This Row],[POSRef]],TableWRMaster[WRRef],0)),"")</f>
        <v/>
      </c>
    </row>
    <row r="324" spans="35:42" x14ac:dyDescent="0.25">
      <c r="AI324" s="59" t="s">
        <v>208</v>
      </c>
      <c r="AJ324" s="59" t="str">
        <f>IFERROR(RANK(TableWRTECalcPts[[#This Row],[Custom]],TableWRTECalcPts[Custom])+COUNTIF($AP$3:AP324,AP324)-1,"")</f>
        <v/>
      </c>
      <c r="AK324" s="105">
        <v>222</v>
      </c>
      <c r="AL324" s="105" t="str">
        <f>IFERROR(INDEX(TableWRMaster[Player],MATCH(TableWRTECalcPts[[#This Row],[POSRef]],TableWRMaster[WRRef],0)),"")</f>
        <v/>
      </c>
      <c r="AM324" s="105" t="str">
        <f>IFERROR(_xlfn.CONCAT(TableWRTECalcPts[[#This Row],[POS]],INDEX(TableWRRanks[RK],MATCH(TableWRTECalcPts[[#This Row],[PLAYER]],TableWRRanks[Player],0))),"")</f>
        <v>WR176</v>
      </c>
      <c r="AN324" s="105" t="str">
        <f>IFERROR(INDEX(TableWRMaster[TM],MATCH(TableWRTECalcPts[[#This Row],[POSRef]],TableWRMaster[WRRef],0)),"")</f>
        <v/>
      </c>
      <c r="AO324" s="105" t="str">
        <f>IFERROR(INDEX(TableWRMaster[BYE],MATCH(TableWRTECalcPts[[#This Row],[POSRef]],TableWRMaster[WRRef],0)),"")</f>
        <v/>
      </c>
      <c r="AP324" s="103" t="str">
        <f>IFERROR(INDEX(TableWRMaster[Custom],MATCH(TableWRTECalcPts[[#This Row],[POSRef]],TableWRMaster[WRRef],0)),"")</f>
        <v/>
      </c>
    </row>
    <row r="325" spans="35:42" x14ac:dyDescent="0.25">
      <c r="AI325" s="59" t="s">
        <v>208</v>
      </c>
      <c r="AJ325" s="59" t="str">
        <f>IFERROR(RANK(TableWRTECalcPts[[#This Row],[Custom]],TableWRTECalcPts[Custom])+COUNTIF($AP$3:AP325,AP325)-1,"")</f>
        <v/>
      </c>
      <c r="AK325" s="105">
        <v>223</v>
      </c>
      <c r="AL325" s="105" t="str">
        <f>IFERROR(INDEX(TableWRMaster[Player],MATCH(TableWRTECalcPts[[#This Row],[POSRef]],TableWRMaster[WRRef],0)),"")</f>
        <v/>
      </c>
      <c r="AM325" s="105" t="str">
        <f>IFERROR(_xlfn.CONCAT(TableWRTECalcPts[[#This Row],[POS]],INDEX(TableWRRanks[RK],MATCH(TableWRTECalcPts[[#This Row],[PLAYER]],TableWRRanks[Player],0))),"")</f>
        <v>WR176</v>
      </c>
      <c r="AN325" s="105" t="str">
        <f>IFERROR(INDEX(TableWRMaster[TM],MATCH(TableWRTECalcPts[[#This Row],[POSRef]],TableWRMaster[WRRef],0)),"")</f>
        <v/>
      </c>
      <c r="AO325" s="105" t="str">
        <f>IFERROR(INDEX(TableWRMaster[BYE],MATCH(TableWRTECalcPts[[#This Row],[POSRef]],TableWRMaster[WRRef],0)),"")</f>
        <v/>
      </c>
      <c r="AP325" s="103" t="str">
        <f>IFERROR(INDEX(TableWRMaster[Custom],MATCH(TableWRTECalcPts[[#This Row],[POSRef]],TableWRMaster[WRRef],0)),"")</f>
        <v/>
      </c>
    </row>
    <row r="326" spans="35:42" x14ac:dyDescent="0.25">
      <c r="AI326" s="59" t="s">
        <v>208</v>
      </c>
      <c r="AJ326" s="59" t="str">
        <f>IFERROR(RANK(TableWRTECalcPts[[#This Row],[Custom]],TableWRTECalcPts[Custom])+COUNTIF($AP$3:AP326,AP326)-1,"")</f>
        <v/>
      </c>
      <c r="AK326" s="105">
        <v>224</v>
      </c>
      <c r="AL326" s="105" t="str">
        <f>IFERROR(INDEX(TableWRMaster[Player],MATCH(TableWRTECalcPts[[#This Row],[POSRef]],TableWRMaster[WRRef],0)),"")</f>
        <v/>
      </c>
      <c r="AM326" s="105" t="str">
        <f>IFERROR(_xlfn.CONCAT(TableWRTECalcPts[[#This Row],[POS]],INDEX(TableWRRanks[RK],MATCH(TableWRTECalcPts[[#This Row],[PLAYER]],TableWRRanks[Player],0))),"")</f>
        <v>WR176</v>
      </c>
      <c r="AN326" s="105" t="str">
        <f>IFERROR(INDEX(TableWRMaster[TM],MATCH(TableWRTECalcPts[[#This Row],[POSRef]],TableWRMaster[WRRef],0)),"")</f>
        <v/>
      </c>
      <c r="AO326" s="105" t="str">
        <f>IFERROR(INDEX(TableWRMaster[BYE],MATCH(TableWRTECalcPts[[#This Row],[POSRef]],TableWRMaster[WRRef],0)),"")</f>
        <v/>
      </c>
      <c r="AP326" s="103" t="str">
        <f>IFERROR(INDEX(TableWRMaster[Custom],MATCH(TableWRTECalcPts[[#This Row],[POSRef]],TableWRMaster[WRRef],0)),"")</f>
        <v/>
      </c>
    </row>
    <row r="327" spans="35:42" x14ac:dyDescent="0.25">
      <c r="AI327" s="59" t="s">
        <v>208</v>
      </c>
      <c r="AJ327" s="59" t="str">
        <f>IFERROR(RANK(TableWRTECalcPts[[#This Row],[Custom]],TableWRTECalcPts[Custom])+COUNTIF($AP$3:AP327,AP327)-1,"")</f>
        <v/>
      </c>
      <c r="AK327" s="105">
        <v>225</v>
      </c>
      <c r="AL327" s="105" t="str">
        <f>IFERROR(INDEX(TableWRMaster[Player],MATCH(TableWRTECalcPts[[#This Row],[POSRef]],TableWRMaster[WRRef],0)),"")</f>
        <v/>
      </c>
      <c r="AM327" s="105" t="str">
        <f>IFERROR(_xlfn.CONCAT(TableWRTECalcPts[[#This Row],[POS]],INDEX(TableWRRanks[RK],MATCH(TableWRTECalcPts[[#This Row],[PLAYER]],TableWRRanks[Player],0))),"")</f>
        <v>WR176</v>
      </c>
      <c r="AN327" s="105" t="str">
        <f>IFERROR(INDEX(TableWRMaster[TM],MATCH(TableWRTECalcPts[[#This Row],[POSRef]],TableWRMaster[WRRef],0)),"")</f>
        <v/>
      </c>
      <c r="AO327" s="105" t="str">
        <f>IFERROR(INDEX(TableWRMaster[BYE],MATCH(TableWRTECalcPts[[#This Row],[POSRef]],TableWRMaster[WRRef],0)),"")</f>
        <v/>
      </c>
      <c r="AP327" s="103" t="str">
        <f>IFERROR(INDEX(TableWRMaster[Custom],MATCH(TableWRTECalcPts[[#This Row],[POSRef]],TableWRMaster[WRRef],0)),"")</f>
        <v/>
      </c>
    </row>
  </sheetData>
  <pageMargins left="0.7" right="0.7" top="0.75" bottom="0.75" header="0.3" footer="0.3"/>
  <pageSetup orientation="portrait" horizontalDpi="90" verticalDpi="90" r:id="rId1"/>
  <ignoredErrors>
    <ignoredError sqref="AM3:AM327" calculatedColumn="1"/>
  </ignoredErrors>
  <tableParts count="6">
    <tablePart r:id="rId2"/>
    <tablePart r:id="rId3"/>
    <tablePart r:id="rId4"/>
    <tablePart r:id="rId5"/>
    <tablePart r:id="rId6"/>
    <tablePart r:id="rId7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1D904-1E5C-49A4-BE58-407A92F40514}">
  <dimension ref="A1:U187"/>
  <sheetViews>
    <sheetView zoomScale="85" zoomScaleNormal="85" workbookViewId="0"/>
  </sheetViews>
  <sheetFormatPr defaultRowHeight="12.75" x14ac:dyDescent="0.2"/>
  <cols>
    <col min="1" max="1" width="4.140625" bestFit="1" customWidth="1"/>
    <col min="2" max="2" width="4.140625" customWidth="1"/>
    <col min="3" max="3" width="17.140625" bestFit="1" customWidth="1"/>
    <col min="4" max="4" width="5.5703125" bestFit="1" customWidth="1"/>
    <col min="5" max="5" width="7.7109375" bestFit="1" customWidth="1"/>
    <col min="6" max="6" width="5" bestFit="1" customWidth="1"/>
    <col min="8" max="8" width="19.28515625" bestFit="1" customWidth="1"/>
    <col min="9" max="9" width="5.5703125" bestFit="1" customWidth="1"/>
    <col min="10" max="10" width="7.7109375" bestFit="1" customWidth="1"/>
    <col min="11" max="11" width="5" bestFit="1" customWidth="1"/>
    <col min="13" max="13" width="20.28515625" bestFit="1" customWidth="1"/>
    <col min="14" max="14" width="5.5703125" bestFit="1" customWidth="1"/>
    <col min="15" max="15" width="7.7109375" bestFit="1" customWidth="1"/>
    <col min="16" max="16" width="5" bestFit="1" customWidth="1"/>
    <col min="18" max="18" width="17" bestFit="1" customWidth="1"/>
    <col min="19" max="19" width="5.5703125" bestFit="1" customWidth="1"/>
    <col min="20" max="20" width="7.7109375" bestFit="1" customWidth="1"/>
    <col min="21" max="21" width="5" bestFit="1" customWidth="1"/>
  </cols>
  <sheetData>
    <row r="1" spans="1:21" x14ac:dyDescent="0.2">
      <c r="A1" t="s">
        <v>136</v>
      </c>
      <c r="C1" t="s">
        <v>9</v>
      </c>
      <c r="H1" t="s">
        <v>207</v>
      </c>
      <c r="M1" t="s">
        <v>208</v>
      </c>
      <c r="R1" t="s">
        <v>10</v>
      </c>
    </row>
    <row r="2" spans="1:21" x14ac:dyDescent="0.2">
      <c r="C2" t="s">
        <v>454</v>
      </c>
      <c r="D2" t="s">
        <v>437</v>
      </c>
      <c r="E2" t="s">
        <v>455</v>
      </c>
      <c r="F2" t="s">
        <v>533</v>
      </c>
      <c r="H2" t="s">
        <v>454</v>
      </c>
      <c r="I2" t="s">
        <v>437</v>
      </c>
      <c r="J2" t="s">
        <v>455</v>
      </c>
      <c r="K2" t="s">
        <v>533</v>
      </c>
      <c r="M2" t="s">
        <v>454</v>
      </c>
      <c r="N2" t="s">
        <v>437</v>
      </c>
      <c r="O2" t="s">
        <v>455</v>
      </c>
      <c r="P2" t="s">
        <v>533</v>
      </c>
      <c r="R2" t="s">
        <v>454</v>
      </c>
      <c r="S2" t="s">
        <v>437</v>
      </c>
      <c r="T2" t="s">
        <v>455</v>
      </c>
      <c r="U2" t="s">
        <v>533</v>
      </c>
    </row>
    <row r="3" spans="1:21" x14ac:dyDescent="0.2">
      <c r="A3">
        <v>1</v>
      </c>
      <c r="C3" t="s">
        <v>158</v>
      </c>
      <c r="D3" t="s">
        <v>111</v>
      </c>
      <c r="E3" t="s">
        <v>9</v>
      </c>
      <c r="F3">
        <v>1</v>
      </c>
      <c r="H3" t="s">
        <v>5</v>
      </c>
      <c r="I3" t="s">
        <v>114</v>
      </c>
      <c r="J3" t="s">
        <v>207</v>
      </c>
      <c r="K3">
        <v>1</v>
      </c>
      <c r="M3" t="s">
        <v>144</v>
      </c>
      <c r="N3" t="s">
        <v>95</v>
      </c>
      <c r="O3" t="s">
        <v>208</v>
      </c>
      <c r="P3">
        <v>1</v>
      </c>
      <c r="R3" t="s">
        <v>47</v>
      </c>
      <c r="S3" t="s">
        <v>102</v>
      </c>
      <c r="T3" t="s">
        <v>10</v>
      </c>
      <c r="U3">
        <v>1</v>
      </c>
    </row>
    <row r="4" spans="1:21" x14ac:dyDescent="0.2">
      <c r="A4">
        <v>2</v>
      </c>
      <c r="C4" t="s">
        <v>26</v>
      </c>
      <c r="D4" t="s">
        <v>90</v>
      </c>
      <c r="E4" t="s">
        <v>9</v>
      </c>
      <c r="F4">
        <v>1</v>
      </c>
      <c r="H4" t="s">
        <v>150</v>
      </c>
      <c r="I4" t="s">
        <v>100</v>
      </c>
      <c r="J4" t="s">
        <v>207</v>
      </c>
      <c r="K4">
        <v>2</v>
      </c>
      <c r="M4" t="s">
        <v>46</v>
      </c>
      <c r="N4" t="s">
        <v>105</v>
      </c>
      <c r="O4" t="s">
        <v>208</v>
      </c>
      <c r="P4">
        <v>1</v>
      </c>
      <c r="R4" t="s">
        <v>488</v>
      </c>
      <c r="S4" t="s">
        <v>97</v>
      </c>
      <c r="T4" t="s">
        <v>10</v>
      </c>
      <c r="U4">
        <v>1</v>
      </c>
    </row>
    <row r="5" spans="1:21" x14ac:dyDescent="0.2">
      <c r="A5">
        <v>3</v>
      </c>
      <c r="C5" t="s">
        <v>19</v>
      </c>
      <c r="D5" t="s">
        <v>89</v>
      </c>
      <c r="E5" t="s">
        <v>9</v>
      </c>
      <c r="F5">
        <v>1</v>
      </c>
      <c r="H5" t="s">
        <v>410</v>
      </c>
      <c r="I5" t="s">
        <v>110</v>
      </c>
      <c r="J5" t="s">
        <v>207</v>
      </c>
      <c r="K5">
        <v>2</v>
      </c>
      <c r="M5" t="s">
        <v>156</v>
      </c>
      <c r="N5" t="s">
        <v>106</v>
      </c>
      <c r="O5" t="s">
        <v>208</v>
      </c>
      <c r="P5">
        <v>2</v>
      </c>
      <c r="R5" t="s">
        <v>448</v>
      </c>
      <c r="S5" t="s">
        <v>87</v>
      </c>
      <c r="T5" t="s">
        <v>10</v>
      </c>
      <c r="U5">
        <v>2</v>
      </c>
    </row>
    <row r="6" spans="1:21" x14ac:dyDescent="0.2">
      <c r="A6">
        <v>4</v>
      </c>
      <c r="C6" t="s">
        <v>45</v>
      </c>
      <c r="D6" t="s">
        <v>102</v>
      </c>
      <c r="E6" t="s">
        <v>9</v>
      </c>
      <c r="F6">
        <v>1</v>
      </c>
      <c r="H6" t="s">
        <v>473</v>
      </c>
      <c r="I6" t="s">
        <v>88</v>
      </c>
      <c r="J6" t="s">
        <v>207</v>
      </c>
      <c r="K6">
        <v>2</v>
      </c>
      <c r="M6" t="s">
        <v>197</v>
      </c>
      <c r="N6" t="s">
        <v>97</v>
      </c>
      <c r="O6" t="s">
        <v>208</v>
      </c>
      <c r="P6">
        <v>2</v>
      </c>
      <c r="R6" t="s">
        <v>22</v>
      </c>
      <c r="S6" t="s">
        <v>89</v>
      </c>
      <c r="T6" t="s">
        <v>10</v>
      </c>
      <c r="U6">
        <v>2</v>
      </c>
    </row>
    <row r="7" spans="1:21" x14ac:dyDescent="0.2">
      <c r="A7">
        <v>5</v>
      </c>
      <c r="C7" t="s">
        <v>495</v>
      </c>
      <c r="D7" t="s">
        <v>100</v>
      </c>
      <c r="E7" t="s">
        <v>9</v>
      </c>
      <c r="F7">
        <v>2</v>
      </c>
      <c r="H7" t="s">
        <v>76</v>
      </c>
      <c r="I7" t="s">
        <v>111</v>
      </c>
      <c r="J7" t="s">
        <v>207</v>
      </c>
      <c r="K7">
        <v>2</v>
      </c>
      <c r="M7" t="s">
        <v>195</v>
      </c>
      <c r="N7" t="s">
        <v>93</v>
      </c>
      <c r="O7" t="s">
        <v>208</v>
      </c>
      <c r="P7">
        <v>2</v>
      </c>
      <c r="R7" t="s">
        <v>179</v>
      </c>
      <c r="S7" t="s">
        <v>88</v>
      </c>
      <c r="T7" t="s">
        <v>10</v>
      </c>
      <c r="U7">
        <v>2</v>
      </c>
    </row>
    <row r="8" spans="1:21" x14ac:dyDescent="0.2">
      <c r="A8">
        <v>6</v>
      </c>
      <c r="C8" t="s">
        <v>148</v>
      </c>
      <c r="D8" t="s">
        <v>98</v>
      </c>
      <c r="E8" t="s">
        <v>9</v>
      </c>
      <c r="F8">
        <v>2</v>
      </c>
      <c r="H8" t="s">
        <v>57</v>
      </c>
      <c r="I8" t="s">
        <v>89</v>
      </c>
      <c r="J8" t="s">
        <v>207</v>
      </c>
      <c r="K8">
        <v>3</v>
      </c>
      <c r="M8" t="s">
        <v>505</v>
      </c>
      <c r="N8" t="s">
        <v>104</v>
      </c>
      <c r="O8" t="s">
        <v>208</v>
      </c>
      <c r="P8">
        <v>3</v>
      </c>
      <c r="R8" t="s">
        <v>74</v>
      </c>
      <c r="S8" t="s">
        <v>436</v>
      </c>
      <c r="T8" t="s">
        <v>10</v>
      </c>
      <c r="U8">
        <v>3</v>
      </c>
    </row>
    <row r="9" spans="1:21" x14ac:dyDescent="0.2">
      <c r="A9">
        <v>7</v>
      </c>
      <c r="C9" t="s">
        <v>493</v>
      </c>
      <c r="D9" t="s">
        <v>99</v>
      </c>
      <c r="E9" t="s">
        <v>9</v>
      </c>
      <c r="F9">
        <v>2</v>
      </c>
      <c r="H9" t="s">
        <v>393</v>
      </c>
      <c r="I9" t="s">
        <v>436</v>
      </c>
      <c r="J9" t="s">
        <v>207</v>
      </c>
      <c r="K9">
        <v>3</v>
      </c>
      <c r="M9" t="s">
        <v>58</v>
      </c>
      <c r="N9" t="s">
        <v>111</v>
      </c>
      <c r="O9" t="s">
        <v>208</v>
      </c>
      <c r="P9">
        <v>3</v>
      </c>
      <c r="R9" t="s">
        <v>476</v>
      </c>
      <c r="S9" t="s">
        <v>90</v>
      </c>
      <c r="T9" t="s">
        <v>10</v>
      </c>
      <c r="U9">
        <v>3</v>
      </c>
    </row>
    <row r="10" spans="1:21" x14ac:dyDescent="0.2">
      <c r="A10">
        <v>8</v>
      </c>
      <c r="C10" t="s">
        <v>85</v>
      </c>
      <c r="D10" t="s">
        <v>87</v>
      </c>
      <c r="E10" t="s">
        <v>9</v>
      </c>
      <c r="F10">
        <v>2</v>
      </c>
      <c r="H10" t="s">
        <v>486</v>
      </c>
      <c r="I10" t="s">
        <v>97</v>
      </c>
      <c r="J10" t="s">
        <v>207</v>
      </c>
      <c r="K10">
        <v>3</v>
      </c>
      <c r="M10" t="s">
        <v>577</v>
      </c>
      <c r="N10" t="s">
        <v>87</v>
      </c>
      <c r="O10" t="s">
        <v>208</v>
      </c>
      <c r="P10">
        <v>3</v>
      </c>
      <c r="R10" t="s">
        <v>13</v>
      </c>
      <c r="S10" t="s">
        <v>114</v>
      </c>
      <c r="T10" t="s">
        <v>10</v>
      </c>
      <c r="U10">
        <v>3</v>
      </c>
    </row>
    <row r="11" spans="1:21" x14ac:dyDescent="0.2">
      <c r="A11">
        <v>9</v>
      </c>
      <c r="C11" t="s">
        <v>569</v>
      </c>
      <c r="D11" t="s">
        <v>432</v>
      </c>
      <c r="E11" t="s">
        <v>9</v>
      </c>
      <c r="F11">
        <v>2</v>
      </c>
      <c r="H11" t="s">
        <v>72</v>
      </c>
      <c r="I11" t="s">
        <v>98</v>
      </c>
      <c r="J11" t="s">
        <v>207</v>
      </c>
      <c r="K11">
        <v>3</v>
      </c>
      <c r="M11" t="s">
        <v>60</v>
      </c>
      <c r="N11" t="s">
        <v>115</v>
      </c>
      <c r="O11" t="s">
        <v>208</v>
      </c>
      <c r="P11">
        <v>3</v>
      </c>
      <c r="R11" t="s">
        <v>406</v>
      </c>
      <c r="S11" t="s">
        <v>95</v>
      </c>
      <c r="T11" t="s">
        <v>10</v>
      </c>
      <c r="U11">
        <v>3</v>
      </c>
    </row>
    <row r="12" spans="1:21" x14ac:dyDescent="0.2">
      <c r="A12">
        <v>10</v>
      </c>
      <c r="C12" t="s">
        <v>36</v>
      </c>
      <c r="D12" t="s">
        <v>95</v>
      </c>
      <c r="E12" t="s">
        <v>9</v>
      </c>
      <c r="F12">
        <v>3</v>
      </c>
      <c r="H12" t="s">
        <v>420</v>
      </c>
      <c r="I12" t="s">
        <v>104</v>
      </c>
      <c r="J12" t="s">
        <v>207</v>
      </c>
      <c r="K12">
        <v>3</v>
      </c>
      <c r="M12" t="s">
        <v>12</v>
      </c>
      <c r="N12" t="s">
        <v>114</v>
      </c>
      <c r="O12" t="s">
        <v>208</v>
      </c>
      <c r="P12">
        <v>3</v>
      </c>
      <c r="R12" t="s">
        <v>39</v>
      </c>
      <c r="S12" t="s">
        <v>106</v>
      </c>
      <c r="T12" t="s">
        <v>10</v>
      </c>
      <c r="U12">
        <v>4</v>
      </c>
    </row>
    <row r="13" spans="1:21" x14ac:dyDescent="0.2">
      <c r="A13">
        <v>11</v>
      </c>
      <c r="C13" t="s">
        <v>142</v>
      </c>
      <c r="D13" t="s">
        <v>93</v>
      </c>
      <c r="E13" t="s">
        <v>9</v>
      </c>
      <c r="F13">
        <v>3</v>
      </c>
      <c r="H13" t="s">
        <v>524</v>
      </c>
      <c r="I13" t="s">
        <v>105</v>
      </c>
      <c r="J13" t="s">
        <v>207</v>
      </c>
      <c r="K13">
        <v>3</v>
      </c>
      <c r="M13" t="s">
        <v>198</v>
      </c>
      <c r="N13" t="s">
        <v>99</v>
      </c>
      <c r="O13" t="s">
        <v>208</v>
      </c>
      <c r="P13">
        <v>4</v>
      </c>
      <c r="R13" t="s">
        <v>582</v>
      </c>
      <c r="S13" t="s">
        <v>162</v>
      </c>
      <c r="T13" t="s">
        <v>10</v>
      </c>
      <c r="U13">
        <v>4</v>
      </c>
    </row>
    <row r="14" spans="1:21" x14ac:dyDescent="0.2">
      <c r="A14">
        <v>12</v>
      </c>
      <c r="C14" t="s">
        <v>467</v>
      </c>
      <c r="D14" t="s">
        <v>114</v>
      </c>
      <c r="E14" t="s">
        <v>9</v>
      </c>
      <c r="F14">
        <v>3</v>
      </c>
      <c r="H14" t="s">
        <v>29</v>
      </c>
      <c r="I14" t="s">
        <v>99</v>
      </c>
      <c r="J14" t="s">
        <v>207</v>
      </c>
      <c r="K14">
        <v>3</v>
      </c>
      <c r="M14" t="s">
        <v>159</v>
      </c>
      <c r="N14" t="s">
        <v>114</v>
      </c>
      <c r="O14" t="s">
        <v>208</v>
      </c>
      <c r="P14">
        <v>4</v>
      </c>
      <c r="R14" t="s">
        <v>32</v>
      </c>
      <c r="S14" t="s">
        <v>94</v>
      </c>
      <c r="T14" t="s">
        <v>10</v>
      </c>
      <c r="U14">
        <v>4</v>
      </c>
    </row>
    <row r="15" spans="1:21" x14ac:dyDescent="0.2">
      <c r="A15">
        <v>13</v>
      </c>
      <c r="C15" t="s">
        <v>553</v>
      </c>
      <c r="D15" t="s">
        <v>92</v>
      </c>
      <c r="E15" t="s">
        <v>9</v>
      </c>
      <c r="F15">
        <v>3</v>
      </c>
      <c r="H15" t="s">
        <v>457</v>
      </c>
      <c r="I15" t="s">
        <v>102</v>
      </c>
      <c r="J15" t="s">
        <v>207</v>
      </c>
      <c r="K15">
        <v>3</v>
      </c>
      <c r="M15" t="s">
        <v>398</v>
      </c>
      <c r="N15" t="s">
        <v>110</v>
      </c>
      <c r="O15" t="s">
        <v>208</v>
      </c>
      <c r="P15">
        <v>4</v>
      </c>
      <c r="R15" t="s">
        <v>69</v>
      </c>
      <c r="S15" t="s">
        <v>111</v>
      </c>
      <c r="T15" t="s">
        <v>10</v>
      </c>
      <c r="U15">
        <v>4</v>
      </c>
    </row>
    <row r="16" spans="1:21" x14ac:dyDescent="0.2">
      <c r="A16">
        <v>14</v>
      </c>
      <c r="C16" t="s">
        <v>54</v>
      </c>
      <c r="D16" t="s">
        <v>97</v>
      </c>
      <c r="E16" t="s">
        <v>9</v>
      </c>
      <c r="F16">
        <v>3</v>
      </c>
      <c r="H16" t="s">
        <v>429</v>
      </c>
      <c r="I16" t="s">
        <v>90</v>
      </c>
      <c r="J16" t="s">
        <v>207</v>
      </c>
      <c r="K16">
        <v>3</v>
      </c>
      <c r="M16" t="s">
        <v>388</v>
      </c>
      <c r="N16" t="s">
        <v>88</v>
      </c>
      <c r="O16" t="s">
        <v>208</v>
      </c>
      <c r="P16">
        <v>4</v>
      </c>
      <c r="R16" t="s">
        <v>78</v>
      </c>
      <c r="S16" t="s">
        <v>108</v>
      </c>
      <c r="T16" t="s">
        <v>10</v>
      </c>
      <c r="U16">
        <v>5</v>
      </c>
    </row>
    <row r="17" spans="1:21" x14ac:dyDescent="0.2">
      <c r="A17">
        <v>15</v>
      </c>
      <c r="C17" t="s">
        <v>173</v>
      </c>
      <c r="D17" t="s">
        <v>436</v>
      </c>
      <c r="E17" t="s">
        <v>9</v>
      </c>
      <c r="F17">
        <v>3</v>
      </c>
      <c r="H17" t="s">
        <v>79</v>
      </c>
      <c r="I17" t="s">
        <v>108</v>
      </c>
      <c r="J17" t="s">
        <v>207</v>
      </c>
      <c r="K17">
        <v>3</v>
      </c>
      <c r="M17" t="s">
        <v>52</v>
      </c>
      <c r="N17" t="s">
        <v>104</v>
      </c>
      <c r="O17" t="s">
        <v>208</v>
      </c>
      <c r="P17">
        <v>4</v>
      </c>
      <c r="R17" t="s">
        <v>17</v>
      </c>
      <c r="S17" t="s">
        <v>107</v>
      </c>
      <c r="T17" t="s">
        <v>10</v>
      </c>
      <c r="U17">
        <v>5</v>
      </c>
    </row>
    <row r="18" spans="1:21" x14ac:dyDescent="0.2">
      <c r="A18">
        <v>16</v>
      </c>
      <c r="C18" t="s">
        <v>80</v>
      </c>
      <c r="D18" t="s">
        <v>88</v>
      </c>
      <c r="E18" t="s">
        <v>9</v>
      </c>
      <c r="F18">
        <v>3</v>
      </c>
      <c r="H18" t="s">
        <v>42</v>
      </c>
      <c r="I18" t="s">
        <v>106</v>
      </c>
      <c r="J18" t="s">
        <v>207</v>
      </c>
      <c r="K18">
        <v>4</v>
      </c>
      <c r="M18" t="s">
        <v>169</v>
      </c>
      <c r="N18" t="s">
        <v>113</v>
      </c>
      <c r="O18" t="s">
        <v>208</v>
      </c>
      <c r="P18">
        <v>4</v>
      </c>
      <c r="R18" t="s">
        <v>135</v>
      </c>
      <c r="S18" t="s">
        <v>99</v>
      </c>
      <c r="T18" t="s">
        <v>10</v>
      </c>
      <c r="U18">
        <v>5</v>
      </c>
    </row>
    <row r="19" spans="1:21" x14ac:dyDescent="0.2">
      <c r="A19">
        <v>17</v>
      </c>
      <c r="C19" t="s">
        <v>154</v>
      </c>
      <c r="D19" t="s">
        <v>105</v>
      </c>
      <c r="E19" t="s">
        <v>9</v>
      </c>
      <c r="F19">
        <v>3</v>
      </c>
      <c r="H19" t="s">
        <v>65</v>
      </c>
      <c r="I19" t="s">
        <v>87</v>
      </c>
      <c r="J19" t="s">
        <v>207</v>
      </c>
      <c r="K19">
        <v>4</v>
      </c>
      <c r="M19" t="s">
        <v>500</v>
      </c>
      <c r="N19" t="s">
        <v>102</v>
      </c>
      <c r="O19" t="s">
        <v>208</v>
      </c>
      <c r="P19">
        <v>4</v>
      </c>
      <c r="R19" t="s">
        <v>491</v>
      </c>
      <c r="S19" t="s">
        <v>98</v>
      </c>
      <c r="T19" t="s">
        <v>10</v>
      </c>
      <c r="U19">
        <v>5</v>
      </c>
    </row>
    <row r="20" spans="1:21" x14ac:dyDescent="0.2">
      <c r="A20">
        <v>18</v>
      </c>
      <c r="C20" t="s">
        <v>41</v>
      </c>
      <c r="D20" t="s">
        <v>110</v>
      </c>
      <c r="E20" t="s">
        <v>9</v>
      </c>
      <c r="F20">
        <v>4</v>
      </c>
      <c r="H20" t="s">
        <v>418</v>
      </c>
      <c r="I20" t="s">
        <v>115</v>
      </c>
      <c r="J20" t="s">
        <v>207</v>
      </c>
      <c r="K20">
        <v>4</v>
      </c>
      <c r="M20" t="s">
        <v>399</v>
      </c>
      <c r="N20" t="s">
        <v>108</v>
      </c>
      <c r="O20" t="s">
        <v>208</v>
      </c>
      <c r="P20">
        <v>4</v>
      </c>
      <c r="R20" t="s">
        <v>141</v>
      </c>
      <c r="S20" t="s">
        <v>92</v>
      </c>
      <c r="T20" t="s">
        <v>10</v>
      </c>
      <c r="U20">
        <v>5</v>
      </c>
    </row>
    <row r="21" spans="1:21" x14ac:dyDescent="0.2">
      <c r="A21">
        <v>19</v>
      </c>
      <c r="C21" t="s">
        <v>518</v>
      </c>
      <c r="D21" t="s">
        <v>116</v>
      </c>
      <c r="E21" t="s">
        <v>9</v>
      </c>
      <c r="F21">
        <v>4</v>
      </c>
      <c r="H21" t="s">
        <v>522</v>
      </c>
      <c r="I21" t="s">
        <v>113</v>
      </c>
      <c r="J21" t="s">
        <v>207</v>
      </c>
      <c r="K21">
        <v>4</v>
      </c>
      <c r="M21" t="s">
        <v>43</v>
      </c>
      <c r="N21" t="s">
        <v>162</v>
      </c>
      <c r="O21" t="s">
        <v>208</v>
      </c>
      <c r="P21">
        <v>4</v>
      </c>
      <c r="R21" t="s">
        <v>417</v>
      </c>
      <c r="S21" t="s">
        <v>115</v>
      </c>
      <c r="T21" t="s">
        <v>10</v>
      </c>
      <c r="U21">
        <v>5</v>
      </c>
    </row>
    <row r="22" spans="1:21" x14ac:dyDescent="0.2">
      <c r="A22">
        <v>20</v>
      </c>
      <c r="C22" t="s">
        <v>44</v>
      </c>
      <c r="D22" t="s">
        <v>94</v>
      </c>
      <c r="E22" t="s">
        <v>9</v>
      </c>
      <c r="F22">
        <v>4</v>
      </c>
      <c r="H22" t="s">
        <v>190</v>
      </c>
      <c r="I22" t="s">
        <v>107</v>
      </c>
      <c r="J22" t="s">
        <v>207</v>
      </c>
      <c r="K22">
        <v>4</v>
      </c>
      <c r="M22" t="s">
        <v>193</v>
      </c>
      <c r="N22" t="s">
        <v>92</v>
      </c>
      <c r="O22" t="s">
        <v>208</v>
      </c>
      <c r="P22">
        <v>5</v>
      </c>
      <c r="R22" t="s">
        <v>183</v>
      </c>
      <c r="S22" t="s">
        <v>112</v>
      </c>
      <c r="T22" t="s">
        <v>10</v>
      </c>
      <c r="U22">
        <v>5</v>
      </c>
    </row>
    <row r="23" spans="1:21" x14ac:dyDescent="0.2">
      <c r="A23">
        <v>21</v>
      </c>
      <c r="C23" t="s">
        <v>152</v>
      </c>
      <c r="D23" t="s">
        <v>103</v>
      </c>
      <c r="E23" t="s">
        <v>9</v>
      </c>
      <c r="F23">
        <v>4</v>
      </c>
      <c r="H23" t="s">
        <v>409</v>
      </c>
      <c r="I23" t="s">
        <v>162</v>
      </c>
      <c r="J23" t="s">
        <v>207</v>
      </c>
      <c r="K23">
        <v>4</v>
      </c>
      <c r="M23" t="s">
        <v>202</v>
      </c>
      <c r="N23" t="s">
        <v>111</v>
      </c>
      <c r="O23" t="s">
        <v>208</v>
      </c>
      <c r="P23">
        <v>5</v>
      </c>
      <c r="R23" t="s">
        <v>385</v>
      </c>
      <c r="S23" t="s">
        <v>108</v>
      </c>
      <c r="T23" t="s">
        <v>10</v>
      </c>
      <c r="U23">
        <v>5</v>
      </c>
    </row>
    <row r="24" spans="1:21" x14ac:dyDescent="0.2">
      <c r="A24">
        <v>22</v>
      </c>
      <c r="C24" t="s">
        <v>40</v>
      </c>
      <c r="D24" t="s">
        <v>104</v>
      </c>
      <c r="E24" t="s">
        <v>9</v>
      </c>
      <c r="F24">
        <v>4</v>
      </c>
      <c r="H24" t="s">
        <v>131</v>
      </c>
      <c r="I24" t="s">
        <v>105</v>
      </c>
      <c r="J24" t="s">
        <v>207</v>
      </c>
      <c r="K24">
        <v>4</v>
      </c>
      <c r="M24" t="s">
        <v>56</v>
      </c>
      <c r="N24" t="s">
        <v>432</v>
      </c>
      <c r="O24" t="s">
        <v>208</v>
      </c>
      <c r="P24">
        <v>5</v>
      </c>
      <c r="R24" t="s">
        <v>59</v>
      </c>
      <c r="S24" t="s">
        <v>105</v>
      </c>
      <c r="T24" t="s">
        <v>10</v>
      </c>
      <c r="U24">
        <v>5</v>
      </c>
    </row>
    <row r="25" spans="1:21" x14ac:dyDescent="0.2">
      <c r="A25">
        <v>23</v>
      </c>
      <c r="C25" t="s">
        <v>456</v>
      </c>
      <c r="D25" t="s">
        <v>115</v>
      </c>
      <c r="E25" t="s">
        <v>9</v>
      </c>
      <c r="F25">
        <v>4</v>
      </c>
      <c r="H25" t="s">
        <v>164</v>
      </c>
      <c r="I25" t="s">
        <v>92</v>
      </c>
      <c r="J25" t="s">
        <v>207</v>
      </c>
      <c r="K25">
        <v>4</v>
      </c>
      <c r="M25" t="s">
        <v>200</v>
      </c>
      <c r="N25" t="s">
        <v>105</v>
      </c>
      <c r="O25" t="s">
        <v>208</v>
      </c>
      <c r="P25">
        <v>5</v>
      </c>
      <c r="R25" t="s">
        <v>446</v>
      </c>
      <c r="S25" t="s">
        <v>110</v>
      </c>
      <c r="T25" t="s">
        <v>10</v>
      </c>
      <c r="U25">
        <v>5</v>
      </c>
    </row>
    <row r="26" spans="1:21" x14ac:dyDescent="0.2">
      <c r="A26">
        <v>24</v>
      </c>
      <c r="C26" t="s">
        <v>580</v>
      </c>
      <c r="D26" t="s">
        <v>96</v>
      </c>
      <c r="E26" t="s">
        <v>9</v>
      </c>
      <c r="F26">
        <v>4</v>
      </c>
      <c r="H26" t="s">
        <v>189</v>
      </c>
      <c r="I26" t="s">
        <v>96</v>
      </c>
      <c r="J26" t="s">
        <v>207</v>
      </c>
      <c r="K26">
        <v>4</v>
      </c>
      <c r="M26" t="s">
        <v>143</v>
      </c>
      <c r="N26" t="s">
        <v>93</v>
      </c>
      <c r="O26" t="s">
        <v>208</v>
      </c>
      <c r="P26">
        <v>5</v>
      </c>
      <c r="R26" t="s">
        <v>55</v>
      </c>
      <c r="S26" t="s">
        <v>93</v>
      </c>
      <c r="T26" t="s">
        <v>10</v>
      </c>
      <c r="U26">
        <v>5</v>
      </c>
    </row>
    <row r="27" spans="1:21" x14ac:dyDescent="0.2">
      <c r="A27">
        <v>25</v>
      </c>
      <c r="C27" t="s">
        <v>477</v>
      </c>
      <c r="D27" t="s">
        <v>91</v>
      </c>
      <c r="E27" t="s">
        <v>9</v>
      </c>
      <c r="F27">
        <v>5</v>
      </c>
      <c r="H27" t="s">
        <v>415</v>
      </c>
      <c r="I27" t="s">
        <v>432</v>
      </c>
      <c r="J27" t="s">
        <v>207</v>
      </c>
      <c r="K27">
        <v>4</v>
      </c>
      <c r="M27" t="s">
        <v>412</v>
      </c>
      <c r="N27" t="s">
        <v>112</v>
      </c>
      <c r="O27" t="s">
        <v>208</v>
      </c>
      <c r="P27">
        <v>5</v>
      </c>
      <c r="R27" t="s">
        <v>23</v>
      </c>
      <c r="S27" t="s">
        <v>103</v>
      </c>
      <c r="T27" t="s">
        <v>10</v>
      </c>
      <c r="U27">
        <v>5</v>
      </c>
    </row>
    <row r="28" spans="1:21" x14ac:dyDescent="0.2">
      <c r="A28">
        <v>26</v>
      </c>
      <c r="C28" t="s">
        <v>73</v>
      </c>
      <c r="D28" t="s">
        <v>106</v>
      </c>
      <c r="E28" t="s">
        <v>9</v>
      </c>
      <c r="F28">
        <v>5</v>
      </c>
      <c r="H28" t="s">
        <v>537</v>
      </c>
      <c r="I28" t="s">
        <v>93</v>
      </c>
      <c r="J28" t="s">
        <v>207</v>
      </c>
      <c r="K28">
        <v>4</v>
      </c>
      <c r="M28" t="s">
        <v>83</v>
      </c>
      <c r="N28" t="s">
        <v>99</v>
      </c>
      <c r="O28" t="s">
        <v>208</v>
      </c>
      <c r="P28">
        <v>5</v>
      </c>
      <c r="R28" t="s">
        <v>403</v>
      </c>
      <c r="S28" t="s">
        <v>89</v>
      </c>
      <c r="T28" t="s">
        <v>10</v>
      </c>
      <c r="U28">
        <v>5</v>
      </c>
    </row>
    <row r="29" spans="1:21" x14ac:dyDescent="0.2">
      <c r="A29">
        <v>27</v>
      </c>
      <c r="C29" t="s">
        <v>177</v>
      </c>
      <c r="D29" t="s">
        <v>113</v>
      </c>
      <c r="E29" t="s">
        <v>9</v>
      </c>
      <c r="F29">
        <v>5</v>
      </c>
      <c r="H29" t="s">
        <v>27</v>
      </c>
      <c r="I29" t="s">
        <v>97</v>
      </c>
      <c r="J29" t="s">
        <v>207</v>
      </c>
      <c r="K29">
        <v>5</v>
      </c>
      <c r="M29" t="s">
        <v>578</v>
      </c>
      <c r="N29" t="s">
        <v>109</v>
      </c>
      <c r="O29" t="s">
        <v>208</v>
      </c>
      <c r="P29">
        <v>5</v>
      </c>
      <c r="R29" t="s">
        <v>592</v>
      </c>
      <c r="S29" t="s">
        <v>432</v>
      </c>
      <c r="T29" t="s">
        <v>10</v>
      </c>
      <c r="U29">
        <v>5</v>
      </c>
    </row>
    <row r="30" spans="1:21" x14ac:dyDescent="0.2">
      <c r="A30">
        <v>28</v>
      </c>
      <c r="C30" t="s">
        <v>77</v>
      </c>
      <c r="D30" t="s">
        <v>109</v>
      </c>
      <c r="E30" t="s">
        <v>9</v>
      </c>
      <c r="F30">
        <v>5</v>
      </c>
      <c r="H30" t="s">
        <v>25</v>
      </c>
      <c r="I30" t="s">
        <v>109</v>
      </c>
      <c r="J30" t="s">
        <v>207</v>
      </c>
      <c r="K30">
        <v>5</v>
      </c>
      <c r="M30" t="s">
        <v>84</v>
      </c>
      <c r="N30" t="s">
        <v>436</v>
      </c>
      <c r="O30" t="s">
        <v>208</v>
      </c>
      <c r="P30">
        <v>5</v>
      </c>
      <c r="R30" t="s">
        <v>444</v>
      </c>
      <c r="S30" t="s">
        <v>116</v>
      </c>
      <c r="T30" t="s">
        <v>10</v>
      </c>
      <c r="U30">
        <v>5</v>
      </c>
    </row>
    <row r="31" spans="1:21" x14ac:dyDescent="0.2">
      <c r="A31">
        <v>29</v>
      </c>
      <c r="C31" t="s">
        <v>70</v>
      </c>
      <c r="D31" t="s">
        <v>108</v>
      </c>
      <c r="E31" t="s">
        <v>9</v>
      </c>
      <c r="F31">
        <v>5</v>
      </c>
      <c r="H31" t="s">
        <v>35</v>
      </c>
      <c r="I31" t="s">
        <v>116</v>
      </c>
      <c r="J31" t="s">
        <v>207</v>
      </c>
      <c r="K31">
        <v>5</v>
      </c>
      <c r="M31" t="s">
        <v>443</v>
      </c>
      <c r="N31" t="s">
        <v>100</v>
      </c>
      <c r="O31" t="s">
        <v>208</v>
      </c>
      <c r="P31">
        <v>5</v>
      </c>
      <c r="R31" t="s">
        <v>184</v>
      </c>
      <c r="S31" t="s">
        <v>104</v>
      </c>
      <c r="T31" t="s">
        <v>10</v>
      </c>
      <c r="U31">
        <v>5</v>
      </c>
    </row>
    <row r="32" spans="1:21" x14ac:dyDescent="0.2">
      <c r="A32">
        <v>30</v>
      </c>
      <c r="C32" t="s">
        <v>382</v>
      </c>
      <c r="D32" t="s">
        <v>162</v>
      </c>
      <c r="E32" t="s">
        <v>9</v>
      </c>
      <c r="F32">
        <v>6</v>
      </c>
      <c r="H32" t="s">
        <v>191</v>
      </c>
      <c r="I32" t="s">
        <v>112</v>
      </c>
      <c r="J32" t="s">
        <v>207</v>
      </c>
      <c r="K32">
        <v>5</v>
      </c>
      <c r="M32" t="s">
        <v>133</v>
      </c>
      <c r="N32" t="s">
        <v>91</v>
      </c>
      <c r="O32" t="s">
        <v>208</v>
      </c>
      <c r="P32">
        <v>5</v>
      </c>
      <c r="R32" t="s">
        <v>38</v>
      </c>
      <c r="S32" t="s">
        <v>113</v>
      </c>
      <c r="T32" t="s">
        <v>10</v>
      </c>
      <c r="U32">
        <v>5</v>
      </c>
    </row>
    <row r="33" spans="1:21" x14ac:dyDescent="0.2">
      <c r="A33">
        <v>31</v>
      </c>
      <c r="C33" t="s">
        <v>576</v>
      </c>
      <c r="D33" t="s">
        <v>107</v>
      </c>
      <c r="E33" t="s">
        <v>9</v>
      </c>
      <c r="F33">
        <v>6</v>
      </c>
      <c r="H33" t="s">
        <v>590</v>
      </c>
      <c r="I33" t="s">
        <v>91</v>
      </c>
      <c r="J33" t="s">
        <v>207</v>
      </c>
      <c r="K33">
        <v>5</v>
      </c>
      <c r="M33" t="s">
        <v>33</v>
      </c>
      <c r="N33" t="s">
        <v>94</v>
      </c>
      <c r="O33" t="s">
        <v>208</v>
      </c>
      <c r="P33">
        <v>5</v>
      </c>
      <c r="R33" t="s">
        <v>425</v>
      </c>
      <c r="S33" t="s">
        <v>96</v>
      </c>
      <c r="T33" t="s">
        <v>10</v>
      </c>
      <c r="U33">
        <v>5</v>
      </c>
    </row>
    <row r="34" spans="1:21" x14ac:dyDescent="0.2">
      <c r="A34">
        <v>32</v>
      </c>
      <c r="C34" t="s">
        <v>62</v>
      </c>
      <c r="D34" t="s">
        <v>112</v>
      </c>
      <c r="E34" t="s">
        <v>9</v>
      </c>
      <c r="F34">
        <v>6</v>
      </c>
      <c r="H34" t="s">
        <v>20</v>
      </c>
      <c r="I34" t="s">
        <v>103</v>
      </c>
      <c r="J34" t="s">
        <v>207</v>
      </c>
      <c r="K34">
        <v>5</v>
      </c>
      <c r="M34" t="s">
        <v>465</v>
      </c>
      <c r="N34" t="s">
        <v>116</v>
      </c>
      <c r="O34" t="s">
        <v>208</v>
      </c>
      <c r="P34">
        <v>5</v>
      </c>
      <c r="R34" t="s">
        <v>492</v>
      </c>
      <c r="S34" t="s">
        <v>98</v>
      </c>
      <c r="T34" t="s">
        <v>10</v>
      </c>
      <c r="U34">
        <v>5</v>
      </c>
    </row>
    <row r="35" spans="1:21" x14ac:dyDescent="0.2">
      <c r="A35">
        <v>33</v>
      </c>
      <c r="C35" t="s">
        <v>172</v>
      </c>
      <c r="D35" t="s">
        <v>112</v>
      </c>
      <c r="E35" t="s">
        <v>9</v>
      </c>
      <c r="F35">
        <v>6</v>
      </c>
      <c r="H35" t="s">
        <v>519</v>
      </c>
      <c r="I35" t="s">
        <v>116</v>
      </c>
      <c r="J35" t="s">
        <v>207</v>
      </c>
      <c r="K35">
        <v>5</v>
      </c>
      <c r="M35" t="s">
        <v>474</v>
      </c>
      <c r="N35" t="s">
        <v>89</v>
      </c>
      <c r="O35" t="s">
        <v>208</v>
      </c>
      <c r="P35">
        <v>5</v>
      </c>
      <c r="R35" t="s">
        <v>620</v>
      </c>
      <c r="S35" t="s">
        <v>109</v>
      </c>
      <c r="T35" t="s">
        <v>10</v>
      </c>
      <c r="U35">
        <v>6</v>
      </c>
    </row>
    <row r="36" spans="1:21" x14ac:dyDescent="0.2">
      <c r="A36">
        <v>34</v>
      </c>
      <c r="C36" t="s">
        <v>563</v>
      </c>
      <c r="D36" t="s">
        <v>162</v>
      </c>
      <c r="E36" t="s">
        <v>9</v>
      </c>
      <c r="F36">
        <v>6</v>
      </c>
      <c r="H36" t="s">
        <v>14</v>
      </c>
      <c r="I36" t="s">
        <v>432</v>
      </c>
      <c r="J36" t="s">
        <v>207</v>
      </c>
      <c r="K36">
        <v>5</v>
      </c>
      <c r="M36" t="s">
        <v>583</v>
      </c>
      <c r="N36" t="s">
        <v>436</v>
      </c>
      <c r="O36" t="s">
        <v>208</v>
      </c>
      <c r="P36">
        <v>6</v>
      </c>
      <c r="R36" t="s">
        <v>502</v>
      </c>
      <c r="S36" t="s">
        <v>162</v>
      </c>
      <c r="T36" t="s">
        <v>10</v>
      </c>
      <c r="U36">
        <v>6</v>
      </c>
    </row>
    <row r="37" spans="1:21" x14ac:dyDescent="0.2">
      <c r="A37">
        <v>35</v>
      </c>
      <c r="C37" t="s">
        <v>123</v>
      </c>
      <c r="D37" t="s">
        <v>107</v>
      </c>
      <c r="E37" t="s">
        <v>9</v>
      </c>
      <c r="F37">
        <v>6</v>
      </c>
      <c r="H37" t="s">
        <v>405</v>
      </c>
      <c r="I37" t="s">
        <v>94</v>
      </c>
      <c r="J37" t="s">
        <v>207</v>
      </c>
      <c r="K37">
        <v>5</v>
      </c>
      <c r="M37" t="s">
        <v>15</v>
      </c>
      <c r="N37" t="s">
        <v>92</v>
      </c>
      <c r="O37" t="s">
        <v>208</v>
      </c>
      <c r="P37">
        <v>6</v>
      </c>
      <c r="R37" t="s">
        <v>180</v>
      </c>
      <c r="S37" t="s">
        <v>91</v>
      </c>
      <c r="T37" t="s">
        <v>10</v>
      </c>
      <c r="U37">
        <v>6</v>
      </c>
    </row>
    <row r="38" spans="1:21" x14ac:dyDescent="0.2">
      <c r="A38">
        <v>36</v>
      </c>
      <c r="C38" t="s">
        <v>145</v>
      </c>
      <c r="D38" t="s">
        <v>109</v>
      </c>
      <c r="E38" t="s">
        <v>9</v>
      </c>
      <c r="F38">
        <v>6</v>
      </c>
      <c r="H38" t="s">
        <v>186</v>
      </c>
      <c r="I38" t="s">
        <v>91</v>
      </c>
      <c r="J38" t="s">
        <v>207</v>
      </c>
      <c r="K38">
        <v>6</v>
      </c>
      <c r="M38" t="s">
        <v>61</v>
      </c>
      <c r="N38" t="s">
        <v>115</v>
      </c>
      <c r="O38" t="s">
        <v>208</v>
      </c>
      <c r="P38">
        <v>6</v>
      </c>
      <c r="R38" t="s">
        <v>599</v>
      </c>
      <c r="S38" t="s">
        <v>91</v>
      </c>
      <c r="T38" t="s">
        <v>10</v>
      </c>
      <c r="U38">
        <v>6</v>
      </c>
    </row>
    <row r="39" spans="1:21" x14ac:dyDescent="0.2">
      <c r="A39">
        <v>37</v>
      </c>
      <c r="C39" t="s">
        <v>414</v>
      </c>
      <c r="D39" t="s">
        <v>113</v>
      </c>
      <c r="E39" t="s">
        <v>9</v>
      </c>
      <c r="F39">
        <v>6</v>
      </c>
      <c r="H39" t="s">
        <v>614</v>
      </c>
      <c r="I39" t="s">
        <v>104</v>
      </c>
      <c r="J39" t="s">
        <v>207</v>
      </c>
      <c r="K39">
        <v>6</v>
      </c>
      <c r="M39" t="s">
        <v>166</v>
      </c>
      <c r="N39" t="s">
        <v>116</v>
      </c>
      <c r="O39" t="s">
        <v>208</v>
      </c>
      <c r="P39">
        <v>6</v>
      </c>
      <c r="R39" t="s">
        <v>182</v>
      </c>
      <c r="S39" t="s">
        <v>100</v>
      </c>
      <c r="T39" t="s">
        <v>10</v>
      </c>
      <c r="U39">
        <v>6</v>
      </c>
    </row>
    <row r="40" spans="1:21" x14ac:dyDescent="0.2">
      <c r="A40">
        <v>38</v>
      </c>
      <c r="C40" t="s">
        <v>545</v>
      </c>
      <c r="D40" t="s">
        <v>93</v>
      </c>
      <c r="E40" t="s">
        <v>9</v>
      </c>
      <c r="F40">
        <v>6</v>
      </c>
      <c r="H40" t="s">
        <v>458</v>
      </c>
      <c r="I40" t="s">
        <v>112</v>
      </c>
      <c r="J40" t="s">
        <v>207</v>
      </c>
      <c r="K40">
        <v>6</v>
      </c>
      <c r="M40" t="s">
        <v>523</v>
      </c>
      <c r="N40" t="s">
        <v>99</v>
      </c>
      <c r="O40" t="s">
        <v>208</v>
      </c>
      <c r="P40">
        <v>6</v>
      </c>
      <c r="R40" t="s">
        <v>24</v>
      </c>
      <c r="S40" t="s">
        <v>90</v>
      </c>
      <c r="T40" t="s">
        <v>10</v>
      </c>
      <c r="U40">
        <v>6</v>
      </c>
    </row>
    <row r="41" spans="1:21" x14ac:dyDescent="0.2">
      <c r="A41">
        <v>39</v>
      </c>
      <c r="C41" t="s">
        <v>394</v>
      </c>
      <c r="D41" t="s">
        <v>106</v>
      </c>
      <c r="E41" t="s">
        <v>9</v>
      </c>
      <c r="F41">
        <v>6</v>
      </c>
      <c r="H41" t="s">
        <v>513</v>
      </c>
      <c r="I41" t="s">
        <v>113</v>
      </c>
      <c r="J41" t="s">
        <v>207</v>
      </c>
      <c r="K41">
        <v>6</v>
      </c>
      <c r="M41" t="s">
        <v>528</v>
      </c>
      <c r="N41" t="s">
        <v>103</v>
      </c>
      <c r="O41" t="s">
        <v>208</v>
      </c>
      <c r="P41">
        <v>6</v>
      </c>
      <c r="R41" t="s">
        <v>68</v>
      </c>
      <c r="S41" t="s">
        <v>432</v>
      </c>
      <c r="T41" t="s">
        <v>10</v>
      </c>
      <c r="U41">
        <v>6</v>
      </c>
    </row>
    <row r="42" spans="1:21" x14ac:dyDescent="0.2">
      <c r="A42">
        <v>40</v>
      </c>
      <c r="C42" t="s">
        <v>466</v>
      </c>
      <c r="D42" t="s">
        <v>103</v>
      </c>
      <c r="E42" t="s">
        <v>9</v>
      </c>
      <c r="F42">
        <v>6</v>
      </c>
      <c r="H42" t="s">
        <v>401</v>
      </c>
      <c r="I42" t="s">
        <v>88</v>
      </c>
      <c r="J42" t="s">
        <v>207</v>
      </c>
      <c r="K42">
        <v>6</v>
      </c>
      <c r="M42" t="s">
        <v>37</v>
      </c>
      <c r="N42" t="s">
        <v>96</v>
      </c>
      <c r="O42" t="s">
        <v>208</v>
      </c>
      <c r="P42">
        <v>6</v>
      </c>
      <c r="R42" t="s">
        <v>430</v>
      </c>
      <c r="S42" t="s">
        <v>109</v>
      </c>
      <c r="T42" t="s">
        <v>10</v>
      </c>
      <c r="U42">
        <v>6</v>
      </c>
    </row>
    <row r="43" spans="1:21" x14ac:dyDescent="0.2">
      <c r="A43">
        <v>41</v>
      </c>
      <c r="H43" t="s">
        <v>31</v>
      </c>
      <c r="I43" t="s">
        <v>94</v>
      </c>
      <c r="J43" t="s">
        <v>207</v>
      </c>
      <c r="K43">
        <v>6</v>
      </c>
      <c r="M43" t="s">
        <v>424</v>
      </c>
      <c r="N43" t="s">
        <v>98</v>
      </c>
      <c r="O43" t="s">
        <v>208</v>
      </c>
      <c r="P43">
        <v>6</v>
      </c>
      <c r="R43" t="s">
        <v>64</v>
      </c>
      <c r="S43" t="s">
        <v>103</v>
      </c>
      <c r="T43" t="s">
        <v>10</v>
      </c>
      <c r="U43">
        <v>6</v>
      </c>
    </row>
    <row r="44" spans="1:21" x14ac:dyDescent="0.2">
      <c r="A44">
        <v>42</v>
      </c>
      <c r="H44" t="s">
        <v>390</v>
      </c>
      <c r="I44" t="s">
        <v>103</v>
      </c>
      <c r="J44" t="s">
        <v>207</v>
      </c>
      <c r="K44">
        <v>6</v>
      </c>
      <c r="M44" t="s">
        <v>407</v>
      </c>
      <c r="N44" t="s">
        <v>98</v>
      </c>
      <c r="O44" t="s">
        <v>208</v>
      </c>
      <c r="P44">
        <v>6</v>
      </c>
      <c r="R44" t="s">
        <v>101</v>
      </c>
      <c r="S44" t="s">
        <v>100</v>
      </c>
      <c r="T44" t="s">
        <v>10</v>
      </c>
      <c r="U44">
        <v>6</v>
      </c>
    </row>
    <row r="45" spans="1:21" x14ac:dyDescent="0.2">
      <c r="A45">
        <v>43</v>
      </c>
      <c r="H45" t="s">
        <v>462</v>
      </c>
      <c r="I45" t="s">
        <v>114</v>
      </c>
      <c r="J45" t="s">
        <v>207</v>
      </c>
      <c r="K45">
        <v>6</v>
      </c>
      <c r="M45" t="s">
        <v>575</v>
      </c>
      <c r="N45" t="s">
        <v>92</v>
      </c>
      <c r="O45" t="s">
        <v>208</v>
      </c>
      <c r="P45">
        <v>6</v>
      </c>
      <c r="R45" t="s">
        <v>49</v>
      </c>
      <c r="S45" t="s">
        <v>104</v>
      </c>
      <c r="T45" t="s">
        <v>10</v>
      </c>
      <c r="U45">
        <v>6</v>
      </c>
    </row>
    <row r="46" spans="1:21" x14ac:dyDescent="0.2">
      <c r="A46">
        <v>44</v>
      </c>
      <c r="H46" t="s">
        <v>188</v>
      </c>
      <c r="I46" t="s">
        <v>102</v>
      </c>
      <c r="J46" t="s">
        <v>207</v>
      </c>
      <c r="K46">
        <v>6</v>
      </c>
      <c r="M46" t="s">
        <v>16</v>
      </c>
      <c r="N46" t="s">
        <v>110</v>
      </c>
      <c r="O46" t="s">
        <v>208</v>
      </c>
      <c r="P46">
        <v>7</v>
      </c>
      <c r="R46" t="s">
        <v>469</v>
      </c>
      <c r="S46" t="s">
        <v>106</v>
      </c>
      <c r="T46" t="s">
        <v>10</v>
      </c>
      <c r="U46">
        <v>6</v>
      </c>
    </row>
    <row r="47" spans="1:21" x14ac:dyDescent="0.2">
      <c r="A47">
        <v>45</v>
      </c>
      <c r="H47" t="s">
        <v>34</v>
      </c>
      <c r="I47" t="s">
        <v>95</v>
      </c>
      <c r="J47" t="s">
        <v>207</v>
      </c>
      <c r="K47">
        <v>7</v>
      </c>
      <c r="M47" t="s">
        <v>404</v>
      </c>
      <c r="N47" t="s">
        <v>90</v>
      </c>
      <c r="O47" t="s">
        <v>208</v>
      </c>
      <c r="P47">
        <v>7</v>
      </c>
      <c r="R47" t="s">
        <v>512</v>
      </c>
      <c r="S47" t="s">
        <v>112</v>
      </c>
      <c r="T47" t="s">
        <v>10</v>
      </c>
      <c r="U47">
        <v>6</v>
      </c>
    </row>
    <row r="48" spans="1:21" x14ac:dyDescent="0.2">
      <c r="A48">
        <v>46</v>
      </c>
      <c r="H48" t="s">
        <v>632</v>
      </c>
      <c r="I48" t="s">
        <v>115</v>
      </c>
      <c r="J48" t="s">
        <v>207</v>
      </c>
      <c r="K48">
        <v>7</v>
      </c>
      <c r="M48" t="s">
        <v>506</v>
      </c>
      <c r="N48" t="s">
        <v>106</v>
      </c>
      <c r="O48" t="s">
        <v>208</v>
      </c>
      <c r="P48">
        <v>7</v>
      </c>
      <c r="R48" t="s">
        <v>48</v>
      </c>
      <c r="S48" t="s">
        <v>92</v>
      </c>
      <c r="T48" t="s">
        <v>10</v>
      </c>
      <c r="U48">
        <v>6</v>
      </c>
    </row>
    <row r="49" spans="1:21" x14ac:dyDescent="0.2">
      <c r="A49">
        <v>47</v>
      </c>
      <c r="H49" t="s">
        <v>480</v>
      </c>
      <c r="I49" t="s">
        <v>93</v>
      </c>
      <c r="J49" t="s">
        <v>207</v>
      </c>
      <c r="K49">
        <v>7</v>
      </c>
      <c r="M49" t="s">
        <v>21</v>
      </c>
      <c r="N49" t="s">
        <v>102</v>
      </c>
      <c r="O49" t="s">
        <v>208</v>
      </c>
      <c r="P49">
        <v>7</v>
      </c>
      <c r="R49" t="s">
        <v>411</v>
      </c>
      <c r="S49" t="s">
        <v>110</v>
      </c>
      <c r="T49" t="s">
        <v>10</v>
      </c>
      <c r="U49">
        <v>6</v>
      </c>
    </row>
    <row r="50" spans="1:21" x14ac:dyDescent="0.2">
      <c r="A50">
        <v>48</v>
      </c>
      <c r="H50" t="s">
        <v>594</v>
      </c>
      <c r="I50" t="s">
        <v>87</v>
      </c>
      <c r="J50" t="s">
        <v>207</v>
      </c>
      <c r="K50">
        <v>7</v>
      </c>
      <c r="M50" t="s">
        <v>514</v>
      </c>
      <c r="N50" t="s">
        <v>113</v>
      </c>
      <c r="O50" t="s">
        <v>208</v>
      </c>
      <c r="P50">
        <v>7</v>
      </c>
      <c r="R50" t="s">
        <v>18</v>
      </c>
      <c r="S50" t="s">
        <v>107</v>
      </c>
      <c r="T50" t="s">
        <v>10</v>
      </c>
      <c r="U50">
        <v>6</v>
      </c>
    </row>
    <row r="51" spans="1:21" x14ac:dyDescent="0.2">
      <c r="A51">
        <v>49</v>
      </c>
      <c r="H51" t="s">
        <v>160</v>
      </c>
      <c r="I51" t="s">
        <v>107</v>
      </c>
      <c r="J51" t="s">
        <v>207</v>
      </c>
      <c r="K51">
        <v>7</v>
      </c>
      <c r="M51" t="s">
        <v>391</v>
      </c>
      <c r="N51" t="s">
        <v>97</v>
      </c>
      <c r="O51" t="s">
        <v>208</v>
      </c>
      <c r="P51">
        <v>7</v>
      </c>
      <c r="R51" t="s">
        <v>608</v>
      </c>
      <c r="S51" t="s">
        <v>99</v>
      </c>
      <c r="T51" t="s">
        <v>10</v>
      </c>
      <c r="U51">
        <v>6</v>
      </c>
    </row>
    <row r="52" spans="1:21" x14ac:dyDescent="0.2">
      <c r="A52">
        <v>50</v>
      </c>
      <c r="H52" t="s">
        <v>535</v>
      </c>
      <c r="I52" t="s">
        <v>96</v>
      </c>
      <c r="J52" t="s">
        <v>207</v>
      </c>
      <c r="K52">
        <v>7</v>
      </c>
      <c r="M52" t="s">
        <v>591</v>
      </c>
      <c r="N52" t="s">
        <v>100</v>
      </c>
      <c r="O52" t="s">
        <v>208</v>
      </c>
      <c r="P52">
        <v>7</v>
      </c>
      <c r="R52" t="s">
        <v>610</v>
      </c>
      <c r="S52" t="s">
        <v>102</v>
      </c>
      <c r="T52" t="s">
        <v>10</v>
      </c>
      <c r="U52">
        <v>6</v>
      </c>
    </row>
    <row r="53" spans="1:21" x14ac:dyDescent="0.2">
      <c r="A53">
        <v>51</v>
      </c>
      <c r="H53" t="s">
        <v>598</v>
      </c>
      <c r="I53" t="s">
        <v>90</v>
      </c>
      <c r="J53" t="s">
        <v>207</v>
      </c>
      <c r="K53">
        <v>7</v>
      </c>
      <c r="M53" t="s">
        <v>587</v>
      </c>
      <c r="N53" t="s">
        <v>90</v>
      </c>
      <c r="O53" t="s">
        <v>208</v>
      </c>
      <c r="P53">
        <v>7</v>
      </c>
    </row>
    <row r="54" spans="1:21" x14ac:dyDescent="0.2">
      <c r="A54">
        <v>52</v>
      </c>
      <c r="H54" t="s">
        <v>439</v>
      </c>
      <c r="I54" t="s">
        <v>106</v>
      </c>
      <c r="J54" t="s">
        <v>207</v>
      </c>
      <c r="K54">
        <v>7</v>
      </c>
      <c r="M54" t="s">
        <v>584</v>
      </c>
      <c r="N54" t="s">
        <v>102</v>
      </c>
      <c r="O54" t="s">
        <v>208</v>
      </c>
      <c r="P54">
        <v>7</v>
      </c>
    </row>
    <row r="55" spans="1:21" x14ac:dyDescent="0.2">
      <c r="A55">
        <v>53</v>
      </c>
      <c r="H55" t="s">
        <v>616</v>
      </c>
      <c r="I55" t="s">
        <v>105</v>
      </c>
      <c r="J55" t="s">
        <v>207</v>
      </c>
      <c r="K55">
        <v>7</v>
      </c>
      <c r="M55" t="s">
        <v>490</v>
      </c>
      <c r="N55" t="s">
        <v>98</v>
      </c>
      <c r="O55" t="s">
        <v>208</v>
      </c>
      <c r="P55">
        <v>7</v>
      </c>
    </row>
    <row r="56" spans="1:21" x14ac:dyDescent="0.2">
      <c r="A56">
        <v>54</v>
      </c>
      <c r="H56" t="s">
        <v>531</v>
      </c>
      <c r="I56" t="s">
        <v>95</v>
      </c>
      <c r="J56" t="s">
        <v>207</v>
      </c>
      <c r="K56">
        <v>7</v>
      </c>
      <c r="M56" t="s">
        <v>588</v>
      </c>
      <c r="N56" t="s">
        <v>103</v>
      </c>
      <c r="O56" t="s">
        <v>208</v>
      </c>
      <c r="P56">
        <v>7</v>
      </c>
    </row>
    <row r="57" spans="1:21" x14ac:dyDescent="0.2">
      <c r="A57">
        <v>55</v>
      </c>
      <c r="H57" t="s">
        <v>606</v>
      </c>
      <c r="I57" t="s">
        <v>98</v>
      </c>
      <c r="J57" t="s">
        <v>207</v>
      </c>
      <c r="K57">
        <v>7</v>
      </c>
      <c r="M57" t="s">
        <v>63</v>
      </c>
      <c r="N57" t="s">
        <v>113</v>
      </c>
      <c r="O57" t="s">
        <v>208</v>
      </c>
      <c r="P57">
        <v>7</v>
      </c>
    </row>
    <row r="58" spans="1:21" x14ac:dyDescent="0.2">
      <c r="A58">
        <v>56</v>
      </c>
      <c r="H58" t="s">
        <v>187</v>
      </c>
      <c r="I58" t="s">
        <v>92</v>
      </c>
      <c r="J58" t="s">
        <v>207</v>
      </c>
      <c r="K58">
        <v>7</v>
      </c>
      <c r="M58" t="s">
        <v>132</v>
      </c>
      <c r="N58" t="s">
        <v>162</v>
      </c>
      <c r="O58" t="s">
        <v>208</v>
      </c>
      <c r="P58">
        <v>7</v>
      </c>
    </row>
    <row r="59" spans="1:21" x14ac:dyDescent="0.2">
      <c r="A59">
        <v>57</v>
      </c>
      <c r="H59" t="s">
        <v>702</v>
      </c>
      <c r="I59" t="s">
        <v>95</v>
      </c>
      <c r="J59" t="s">
        <v>207</v>
      </c>
      <c r="K59">
        <v>7</v>
      </c>
      <c r="M59" t="s">
        <v>6</v>
      </c>
      <c r="N59" t="s">
        <v>90</v>
      </c>
      <c r="O59" t="s">
        <v>208</v>
      </c>
      <c r="P59">
        <v>8</v>
      </c>
    </row>
    <row r="60" spans="1:21" x14ac:dyDescent="0.2">
      <c r="A60">
        <v>58</v>
      </c>
      <c r="H60" t="s">
        <v>622</v>
      </c>
      <c r="I60" t="s">
        <v>110</v>
      </c>
      <c r="J60" t="s">
        <v>207</v>
      </c>
      <c r="K60">
        <v>7</v>
      </c>
      <c r="M60" t="s">
        <v>50</v>
      </c>
      <c r="N60" t="s">
        <v>95</v>
      </c>
      <c r="O60" t="s">
        <v>208</v>
      </c>
      <c r="P60">
        <v>8</v>
      </c>
    </row>
    <row r="61" spans="1:21" x14ac:dyDescent="0.2">
      <c r="A61">
        <v>59</v>
      </c>
      <c r="H61" t="s">
        <v>521</v>
      </c>
      <c r="I61" t="s">
        <v>92</v>
      </c>
      <c r="J61" t="s">
        <v>207</v>
      </c>
      <c r="K61">
        <v>7</v>
      </c>
      <c r="M61" t="s">
        <v>468</v>
      </c>
      <c r="N61" t="s">
        <v>108</v>
      </c>
      <c r="O61" t="s">
        <v>208</v>
      </c>
      <c r="P61">
        <v>8</v>
      </c>
    </row>
    <row r="62" spans="1:21" x14ac:dyDescent="0.2">
      <c r="A62">
        <v>60</v>
      </c>
      <c r="H62" t="s">
        <v>81</v>
      </c>
      <c r="I62" t="s">
        <v>162</v>
      </c>
      <c r="J62" t="s">
        <v>207</v>
      </c>
      <c r="K62">
        <v>7</v>
      </c>
      <c r="M62" t="s">
        <v>194</v>
      </c>
      <c r="N62" t="s">
        <v>88</v>
      </c>
      <c r="O62" t="s">
        <v>208</v>
      </c>
      <c r="P62">
        <v>8</v>
      </c>
    </row>
    <row r="63" spans="1:21" x14ac:dyDescent="0.2">
      <c r="A63">
        <v>61</v>
      </c>
      <c r="H63" t="s">
        <v>165</v>
      </c>
      <c r="I63" t="s">
        <v>108</v>
      </c>
      <c r="J63" t="s">
        <v>207</v>
      </c>
      <c r="K63">
        <v>7</v>
      </c>
      <c r="M63" t="s">
        <v>475</v>
      </c>
      <c r="N63" t="s">
        <v>436</v>
      </c>
      <c r="O63" t="s">
        <v>208</v>
      </c>
      <c r="P63">
        <v>8</v>
      </c>
    </row>
    <row r="64" spans="1:21" x14ac:dyDescent="0.2">
      <c r="A64">
        <v>62</v>
      </c>
      <c r="H64" t="s">
        <v>605</v>
      </c>
      <c r="I64" t="s">
        <v>96</v>
      </c>
      <c r="J64" t="s">
        <v>207</v>
      </c>
      <c r="K64">
        <v>7</v>
      </c>
      <c r="M64" t="s">
        <v>204</v>
      </c>
      <c r="N64" t="s">
        <v>432</v>
      </c>
      <c r="O64" t="s">
        <v>208</v>
      </c>
      <c r="P64">
        <v>8</v>
      </c>
    </row>
    <row r="65" spans="1:16" x14ac:dyDescent="0.2">
      <c r="A65">
        <v>63</v>
      </c>
      <c r="H65" t="s">
        <v>621</v>
      </c>
      <c r="I65" t="s">
        <v>109</v>
      </c>
      <c r="J65" t="s">
        <v>207</v>
      </c>
      <c r="K65">
        <v>8</v>
      </c>
      <c r="M65" t="s">
        <v>146</v>
      </c>
      <c r="N65" t="s">
        <v>94</v>
      </c>
      <c r="O65" t="s">
        <v>208</v>
      </c>
      <c r="P65">
        <v>8</v>
      </c>
    </row>
    <row r="66" spans="1:16" x14ac:dyDescent="0.2">
      <c r="A66">
        <v>64</v>
      </c>
      <c r="H66" t="s">
        <v>438</v>
      </c>
      <c r="I66" t="s">
        <v>111</v>
      </c>
      <c r="J66" t="s">
        <v>207</v>
      </c>
      <c r="K66">
        <v>8</v>
      </c>
      <c r="M66" t="s">
        <v>564</v>
      </c>
      <c r="N66" t="s">
        <v>104</v>
      </c>
      <c r="O66" t="s">
        <v>208</v>
      </c>
      <c r="P66">
        <v>8</v>
      </c>
    </row>
    <row r="67" spans="1:16" x14ac:dyDescent="0.2">
      <c r="A67">
        <v>65</v>
      </c>
      <c r="H67" t="s">
        <v>28</v>
      </c>
      <c r="I67" t="s">
        <v>112</v>
      </c>
      <c r="J67" t="s">
        <v>207</v>
      </c>
      <c r="K67">
        <v>8</v>
      </c>
      <c r="M67" t="s">
        <v>558</v>
      </c>
      <c r="N67" t="s">
        <v>98</v>
      </c>
      <c r="O67" t="s">
        <v>208</v>
      </c>
      <c r="P67">
        <v>8</v>
      </c>
    </row>
    <row r="68" spans="1:16" x14ac:dyDescent="0.2">
      <c r="A68">
        <v>66</v>
      </c>
      <c r="H68" t="s">
        <v>497</v>
      </c>
      <c r="I68" t="s">
        <v>436</v>
      </c>
      <c r="J68" t="s">
        <v>207</v>
      </c>
      <c r="K68">
        <v>8</v>
      </c>
      <c r="M68" t="s">
        <v>636</v>
      </c>
      <c r="N68" t="s">
        <v>107</v>
      </c>
      <c r="O68" t="s">
        <v>208</v>
      </c>
      <c r="P68">
        <v>8</v>
      </c>
    </row>
    <row r="69" spans="1:16" x14ac:dyDescent="0.2">
      <c r="A69">
        <v>67</v>
      </c>
      <c r="H69" t="s">
        <v>623</v>
      </c>
      <c r="I69" t="s">
        <v>110</v>
      </c>
      <c r="J69" t="s">
        <v>207</v>
      </c>
      <c r="K69">
        <v>8</v>
      </c>
      <c r="M69" t="s">
        <v>539</v>
      </c>
      <c r="N69" t="s">
        <v>93</v>
      </c>
      <c r="O69" t="s">
        <v>208</v>
      </c>
      <c r="P69">
        <v>8</v>
      </c>
    </row>
    <row r="70" spans="1:16" x14ac:dyDescent="0.2">
      <c r="A70">
        <v>68</v>
      </c>
      <c r="H70" t="s">
        <v>408</v>
      </c>
      <c r="I70" t="s">
        <v>99</v>
      </c>
      <c r="J70" t="s">
        <v>207</v>
      </c>
      <c r="K70">
        <v>8</v>
      </c>
      <c r="M70" t="s">
        <v>82</v>
      </c>
      <c r="N70" t="s">
        <v>91</v>
      </c>
      <c r="O70" t="s">
        <v>208</v>
      </c>
      <c r="P70">
        <v>8</v>
      </c>
    </row>
    <row r="71" spans="1:16" x14ac:dyDescent="0.2">
      <c r="A71">
        <v>69</v>
      </c>
      <c r="H71" t="s">
        <v>611</v>
      </c>
      <c r="I71" t="s">
        <v>162</v>
      </c>
      <c r="J71" t="s">
        <v>207</v>
      </c>
      <c r="K71">
        <v>8</v>
      </c>
      <c r="M71" t="s">
        <v>431</v>
      </c>
      <c r="N71" t="s">
        <v>109</v>
      </c>
      <c r="O71" t="s">
        <v>208</v>
      </c>
      <c r="P71">
        <v>8</v>
      </c>
    </row>
    <row r="72" spans="1:16" x14ac:dyDescent="0.2">
      <c r="A72">
        <v>70</v>
      </c>
      <c r="H72" t="s">
        <v>509</v>
      </c>
      <c r="I72" t="s">
        <v>109</v>
      </c>
      <c r="J72" t="s">
        <v>207</v>
      </c>
      <c r="K72">
        <v>8</v>
      </c>
      <c r="M72" t="s">
        <v>463</v>
      </c>
      <c r="N72" t="s">
        <v>87</v>
      </c>
      <c r="O72" t="s">
        <v>208</v>
      </c>
      <c r="P72">
        <v>9</v>
      </c>
    </row>
    <row r="73" spans="1:16" x14ac:dyDescent="0.2">
      <c r="A73">
        <v>71</v>
      </c>
      <c r="H73" t="s">
        <v>561</v>
      </c>
      <c r="I73" t="s">
        <v>100</v>
      </c>
      <c r="J73" t="s">
        <v>207</v>
      </c>
      <c r="K73">
        <v>8</v>
      </c>
      <c r="M73" t="s">
        <v>472</v>
      </c>
      <c r="N73" t="s">
        <v>87</v>
      </c>
      <c r="O73" t="s">
        <v>208</v>
      </c>
      <c r="P73">
        <v>9</v>
      </c>
    </row>
    <row r="74" spans="1:16" x14ac:dyDescent="0.2">
      <c r="A74">
        <v>72</v>
      </c>
      <c r="H74" t="s">
        <v>625</v>
      </c>
      <c r="I74" t="s">
        <v>111</v>
      </c>
      <c r="J74" t="s">
        <v>207</v>
      </c>
      <c r="K74">
        <v>8</v>
      </c>
      <c r="M74" t="s">
        <v>631</v>
      </c>
      <c r="N74" t="s">
        <v>115</v>
      </c>
      <c r="O74" t="s">
        <v>208</v>
      </c>
      <c r="P74">
        <v>9</v>
      </c>
    </row>
    <row r="75" spans="1:16" x14ac:dyDescent="0.2">
      <c r="A75">
        <v>73</v>
      </c>
      <c r="H75" t="s">
        <v>686</v>
      </c>
      <c r="I75" t="s">
        <v>102</v>
      </c>
      <c r="J75" t="s">
        <v>207</v>
      </c>
      <c r="K75">
        <v>8</v>
      </c>
      <c r="M75" t="s">
        <v>634</v>
      </c>
      <c r="N75" t="s">
        <v>432</v>
      </c>
      <c r="O75" t="s">
        <v>208</v>
      </c>
      <c r="P75">
        <v>9</v>
      </c>
    </row>
    <row r="76" spans="1:16" x14ac:dyDescent="0.2">
      <c r="A76">
        <v>74</v>
      </c>
      <c r="H76" t="s">
        <v>612</v>
      </c>
      <c r="I76" t="s">
        <v>103</v>
      </c>
      <c r="J76" t="s">
        <v>207</v>
      </c>
      <c r="K76">
        <v>8</v>
      </c>
      <c r="M76" t="s">
        <v>496</v>
      </c>
      <c r="N76" t="s">
        <v>100</v>
      </c>
      <c r="O76" t="s">
        <v>208</v>
      </c>
      <c r="P76">
        <v>9</v>
      </c>
    </row>
    <row r="77" spans="1:16" x14ac:dyDescent="0.2">
      <c r="A77">
        <v>75</v>
      </c>
      <c r="H77" t="s">
        <v>507</v>
      </c>
      <c r="I77" t="s">
        <v>108</v>
      </c>
      <c r="J77" t="s">
        <v>207</v>
      </c>
      <c r="K77">
        <v>8</v>
      </c>
      <c r="M77" t="s">
        <v>589</v>
      </c>
      <c r="N77" t="s">
        <v>107</v>
      </c>
      <c r="O77" t="s">
        <v>208</v>
      </c>
      <c r="P77">
        <v>9</v>
      </c>
    </row>
    <row r="78" spans="1:16" x14ac:dyDescent="0.2">
      <c r="A78">
        <v>76</v>
      </c>
      <c r="H78" t="s">
        <v>530</v>
      </c>
      <c r="I78" t="s">
        <v>89</v>
      </c>
      <c r="J78" t="s">
        <v>207</v>
      </c>
      <c r="K78">
        <v>8</v>
      </c>
      <c r="M78" t="s">
        <v>586</v>
      </c>
      <c r="N78" t="s">
        <v>91</v>
      </c>
      <c r="O78" t="s">
        <v>208</v>
      </c>
      <c r="P78">
        <v>9</v>
      </c>
    </row>
    <row r="79" spans="1:16" x14ac:dyDescent="0.2">
      <c r="A79">
        <v>77</v>
      </c>
      <c r="H79" t="s">
        <v>544</v>
      </c>
      <c r="I79" t="s">
        <v>89</v>
      </c>
      <c r="J79" t="s">
        <v>207</v>
      </c>
      <c r="K79">
        <v>8</v>
      </c>
      <c r="M79" t="s">
        <v>426</v>
      </c>
      <c r="N79" t="s">
        <v>95</v>
      </c>
      <c r="O79" t="s">
        <v>208</v>
      </c>
      <c r="P79">
        <v>9</v>
      </c>
    </row>
    <row r="80" spans="1:16" x14ac:dyDescent="0.2">
      <c r="A80">
        <v>78</v>
      </c>
      <c r="H80" t="s">
        <v>701</v>
      </c>
      <c r="I80" t="s">
        <v>99</v>
      </c>
      <c r="J80" t="s">
        <v>207</v>
      </c>
      <c r="K80">
        <v>8</v>
      </c>
      <c r="M80" t="s">
        <v>192</v>
      </c>
      <c r="N80" t="s">
        <v>89</v>
      </c>
      <c r="O80" t="s">
        <v>208</v>
      </c>
      <c r="P80">
        <v>9</v>
      </c>
    </row>
    <row r="81" spans="1:16" x14ac:dyDescent="0.2">
      <c r="A81">
        <v>79</v>
      </c>
      <c r="H81" t="s">
        <v>637</v>
      </c>
      <c r="I81" t="s">
        <v>89</v>
      </c>
      <c r="J81" t="s">
        <v>207</v>
      </c>
      <c r="K81">
        <v>8</v>
      </c>
      <c r="M81" t="s">
        <v>485</v>
      </c>
      <c r="N81" t="s">
        <v>96</v>
      </c>
      <c r="O81" t="s">
        <v>208</v>
      </c>
      <c r="P81">
        <v>9</v>
      </c>
    </row>
    <row r="82" spans="1:16" x14ac:dyDescent="0.2">
      <c r="A82">
        <v>80</v>
      </c>
      <c r="H82" t="s">
        <v>515</v>
      </c>
      <c r="I82" t="s">
        <v>115</v>
      </c>
      <c r="J82" t="s">
        <v>207</v>
      </c>
      <c r="K82">
        <v>8</v>
      </c>
      <c r="M82" t="s">
        <v>201</v>
      </c>
      <c r="N82" t="s">
        <v>94</v>
      </c>
      <c r="O82" t="s">
        <v>208</v>
      </c>
      <c r="P82">
        <v>9</v>
      </c>
    </row>
    <row r="83" spans="1:16" x14ac:dyDescent="0.2">
      <c r="A83">
        <v>81</v>
      </c>
      <c r="H83" t="s">
        <v>628</v>
      </c>
      <c r="I83" t="s">
        <v>114</v>
      </c>
      <c r="J83" t="s">
        <v>207</v>
      </c>
      <c r="K83">
        <v>8</v>
      </c>
      <c r="M83" t="s">
        <v>53</v>
      </c>
      <c r="N83" t="s">
        <v>96</v>
      </c>
      <c r="O83" t="s">
        <v>208</v>
      </c>
      <c r="P83">
        <v>9</v>
      </c>
    </row>
    <row r="84" spans="1:16" x14ac:dyDescent="0.2">
      <c r="A84">
        <v>82</v>
      </c>
      <c r="H84" t="s">
        <v>689</v>
      </c>
      <c r="I84" t="s">
        <v>94</v>
      </c>
      <c r="J84" t="s">
        <v>207</v>
      </c>
      <c r="K84">
        <v>8</v>
      </c>
      <c r="M84" t="s">
        <v>617</v>
      </c>
      <c r="N84" t="s">
        <v>105</v>
      </c>
      <c r="O84" t="s">
        <v>208</v>
      </c>
      <c r="P84">
        <v>9</v>
      </c>
    </row>
    <row r="85" spans="1:16" x14ac:dyDescent="0.2">
      <c r="A85">
        <v>83</v>
      </c>
      <c r="H85" t="s">
        <v>163</v>
      </c>
      <c r="I85" t="s">
        <v>436</v>
      </c>
      <c r="J85" t="s">
        <v>207</v>
      </c>
      <c r="K85">
        <v>8</v>
      </c>
      <c r="M85" t="s">
        <v>627</v>
      </c>
      <c r="N85" t="s">
        <v>112</v>
      </c>
      <c r="O85" t="s">
        <v>208</v>
      </c>
      <c r="P85">
        <v>9</v>
      </c>
    </row>
    <row r="86" spans="1:16" x14ac:dyDescent="0.2">
      <c r="A86">
        <v>84</v>
      </c>
      <c r="H86" t="s">
        <v>66</v>
      </c>
      <c r="I86" t="s">
        <v>91</v>
      </c>
      <c r="J86" t="s">
        <v>207</v>
      </c>
      <c r="K86">
        <v>8</v>
      </c>
      <c r="M86" t="s">
        <v>600</v>
      </c>
      <c r="N86" t="s">
        <v>93</v>
      </c>
      <c r="O86" t="s">
        <v>208</v>
      </c>
      <c r="P86">
        <v>9</v>
      </c>
    </row>
    <row r="87" spans="1:16" x14ac:dyDescent="0.2">
      <c r="A87">
        <v>85</v>
      </c>
      <c r="H87" t="s">
        <v>703</v>
      </c>
      <c r="I87" t="s">
        <v>94</v>
      </c>
      <c r="J87" t="s">
        <v>207</v>
      </c>
      <c r="K87">
        <v>8</v>
      </c>
      <c r="M87" t="s">
        <v>75</v>
      </c>
      <c r="N87" t="s">
        <v>109</v>
      </c>
      <c r="O87" t="s">
        <v>208</v>
      </c>
      <c r="P87">
        <v>9</v>
      </c>
    </row>
    <row r="88" spans="1:16" x14ac:dyDescent="0.2">
      <c r="A88">
        <v>86</v>
      </c>
      <c r="H88" t="s">
        <v>151</v>
      </c>
      <c r="I88" t="s">
        <v>102</v>
      </c>
      <c r="J88" t="s">
        <v>207</v>
      </c>
      <c r="K88">
        <v>8</v>
      </c>
      <c r="M88" t="s">
        <v>624</v>
      </c>
      <c r="N88" t="s">
        <v>110</v>
      </c>
      <c r="O88" t="s">
        <v>208</v>
      </c>
      <c r="P88">
        <v>9</v>
      </c>
    </row>
    <row r="89" spans="1:16" x14ac:dyDescent="0.2">
      <c r="A89">
        <v>87</v>
      </c>
      <c r="H89" t="s">
        <v>316</v>
      </c>
      <c r="I89" t="s">
        <v>105</v>
      </c>
      <c r="J89" t="s">
        <v>207</v>
      </c>
      <c r="K89">
        <v>8</v>
      </c>
      <c r="M89" t="s">
        <v>153</v>
      </c>
      <c r="N89" t="s">
        <v>112</v>
      </c>
      <c r="O89" t="s">
        <v>208</v>
      </c>
      <c r="P89">
        <v>10</v>
      </c>
    </row>
    <row r="90" spans="1:16" x14ac:dyDescent="0.2">
      <c r="A90">
        <v>88</v>
      </c>
      <c r="H90" t="s">
        <v>694</v>
      </c>
      <c r="I90" t="s">
        <v>98</v>
      </c>
      <c r="J90" t="s">
        <v>207</v>
      </c>
      <c r="K90">
        <v>8</v>
      </c>
      <c r="M90" t="s">
        <v>510</v>
      </c>
      <c r="N90" t="s">
        <v>109</v>
      </c>
      <c r="O90" t="s">
        <v>208</v>
      </c>
      <c r="P90">
        <v>10</v>
      </c>
    </row>
    <row r="91" spans="1:16" x14ac:dyDescent="0.2">
      <c r="A91">
        <v>89</v>
      </c>
      <c r="H91" t="s">
        <v>699</v>
      </c>
      <c r="I91" t="s">
        <v>104</v>
      </c>
      <c r="J91" t="s">
        <v>207</v>
      </c>
      <c r="K91">
        <v>8</v>
      </c>
      <c r="M91" t="s">
        <v>638</v>
      </c>
      <c r="N91" t="s">
        <v>116</v>
      </c>
      <c r="O91" t="s">
        <v>208</v>
      </c>
      <c r="P91">
        <v>10</v>
      </c>
    </row>
    <row r="92" spans="1:16" x14ac:dyDescent="0.2">
      <c r="A92">
        <v>90</v>
      </c>
      <c r="H92" t="s">
        <v>706</v>
      </c>
      <c r="I92" t="s">
        <v>707</v>
      </c>
      <c r="J92" t="s">
        <v>207</v>
      </c>
      <c r="K92">
        <v>8</v>
      </c>
      <c r="M92" t="s">
        <v>386</v>
      </c>
      <c r="N92" t="s">
        <v>107</v>
      </c>
      <c r="O92" t="s">
        <v>208</v>
      </c>
      <c r="P92">
        <v>10</v>
      </c>
    </row>
    <row r="93" spans="1:16" x14ac:dyDescent="0.2">
      <c r="A93">
        <v>91</v>
      </c>
      <c r="H93" t="s">
        <v>483</v>
      </c>
      <c r="I93" t="s">
        <v>95</v>
      </c>
      <c r="J93" t="s">
        <v>207</v>
      </c>
      <c r="K93">
        <v>8</v>
      </c>
      <c r="M93" t="s">
        <v>685</v>
      </c>
      <c r="N93" t="s">
        <v>107</v>
      </c>
      <c r="O93" t="s">
        <v>208</v>
      </c>
      <c r="P93">
        <v>10</v>
      </c>
    </row>
    <row r="94" spans="1:16" x14ac:dyDescent="0.2">
      <c r="A94">
        <v>92</v>
      </c>
      <c r="H94" t="s">
        <v>704</v>
      </c>
      <c r="I94" t="s">
        <v>87</v>
      </c>
      <c r="J94" t="s">
        <v>207</v>
      </c>
      <c r="K94">
        <v>8</v>
      </c>
      <c r="M94" t="s">
        <v>134</v>
      </c>
      <c r="N94" t="s">
        <v>107</v>
      </c>
      <c r="O94" t="s">
        <v>208</v>
      </c>
      <c r="P94">
        <v>10</v>
      </c>
    </row>
    <row r="95" spans="1:16" x14ac:dyDescent="0.2">
      <c r="A95">
        <v>93</v>
      </c>
      <c r="H95" t="s">
        <v>511</v>
      </c>
      <c r="I95" t="s">
        <v>110</v>
      </c>
      <c r="J95" t="s">
        <v>207</v>
      </c>
      <c r="K95">
        <v>8</v>
      </c>
      <c r="M95" t="s">
        <v>574</v>
      </c>
      <c r="N95" t="s">
        <v>432</v>
      </c>
      <c r="O95" t="s">
        <v>208</v>
      </c>
      <c r="P95">
        <v>10</v>
      </c>
    </row>
    <row r="96" spans="1:16" x14ac:dyDescent="0.2">
      <c r="A96">
        <v>94</v>
      </c>
      <c r="M96" t="s">
        <v>645</v>
      </c>
      <c r="N96" t="s">
        <v>103</v>
      </c>
      <c r="O96" t="s">
        <v>208</v>
      </c>
      <c r="P96">
        <v>10</v>
      </c>
    </row>
    <row r="97" spans="1:16" x14ac:dyDescent="0.2">
      <c r="A97">
        <v>95</v>
      </c>
      <c r="M97" t="s">
        <v>395</v>
      </c>
      <c r="N97" t="s">
        <v>111</v>
      </c>
      <c r="O97" t="s">
        <v>208</v>
      </c>
      <c r="P97">
        <v>10</v>
      </c>
    </row>
    <row r="98" spans="1:16" x14ac:dyDescent="0.2">
      <c r="A98">
        <v>96</v>
      </c>
      <c r="M98" t="s">
        <v>441</v>
      </c>
      <c r="N98" t="s">
        <v>106</v>
      </c>
      <c r="O98" t="s">
        <v>208</v>
      </c>
      <c r="P98">
        <v>10</v>
      </c>
    </row>
    <row r="99" spans="1:16" x14ac:dyDescent="0.2">
      <c r="A99">
        <v>97</v>
      </c>
      <c r="M99" t="s">
        <v>705</v>
      </c>
      <c r="N99" t="s">
        <v>432</v>
      </c>
      <c r="O99" t="s">
        <v>208</v>
      </c>
      <c r="P99">
        <v>10</v>
      </c>
    </row>
    <row r="100" spans="1:16" x14ac:dyDescent="0.2">
      <c r="A100">
        <v>98</v>
      </c>
      <c r="M100" t="s">
        <v>615</v>
      </c>
      <c r="N100" t="s">
        <v>104</v>
      </c>
      <c r="O100" t="s">
        <v>208</v>
      </c>
      <c r="P100">
        <v>10</v>
      </c>
    </row>
    <row r="101" spans="1:16" x14ac:dyDescent="0.2">
      <c r="A101">
        <v>99</v>
      </c>
      <c r="M101" t="s">
        <v>585</v>
      </c>
      <c r="N101" t="s">
        <v>114</v>
      </c>
      <c r="O101" t="s">
        <v>208</v>
      </c>
      <c r="P101">
        <v>10</v>
      </c>
    </row>
    <row r="102" spans="1:16" x14ac:dyDescent="0.2">
      <c r="A102">
        <v>100</v>
      </c>
      <c r="M102" t="s">
        <v>501</v>
      </c>
      <c r="N102" t="s">
        <v>162</v>
      </c>
      <c r="O102" t="s">
        <v>208</v>
      </c>
      <c r="P102">
        <v>10</v>
      </c>
    </row>
    <row r="103" spans="1:16" x14ac:dyDescent="0.2">
      <c r="A103">
        <v>101</v>
      </c>
      <c r="M103" t="s">
        <v>613</v>
      </c>
      <c r="N103" t="s">
        <v>103</v>
      </c>
      <c r="O103" t="s">
        <v>208</v>
      </c>
      <c r="P103">
        <v>10</v>
      </c>
    </row>
    <row r="104" spans="1:16" x14ac:dyDescent="0.2">
      <c r="A104">
        <v>102</v>
      </c>
      <c r="M104" t="s">
        <v>549</v>
      </c>
      <c r="N104" t="s">
        <v>88</v>
      </c>
      <c r="O104" t="s">
        <v>208</v>
      </c>
      <c r="P104">
        <v>10</v>
      </c>
    </row>
    <row r="105" spans="1:16" x14ac:dyDescent="0.2">
      <c r="A105">
        <v>103</v>
      </c>
      <c r="M105" t="s">
        <v>557</v>
      </c>
      <c r="N105" t="s">
        <v>97</v>
      </c>
      <c r="O105" t="s">
        <v>208</v>
      </c>
      <c r="P105">
        <v>10</v>
      </c>
    </row>
    <row r="106" spans="1:16" x14ac:dyDescent="0.2">
      <c r="A106">
        <v>104</v>
      </c>
      <c r="M106" t="s">
        <v>67</v>
      </c>
      <c r="N106" t="s">
        <v>89</v>
      </c>
      <c r="O106" t="s">
        <v>208</v>
      </c>
      <c r="P106">
        <v>10</v>
      </c>
    </row>
    <row r="107" spans="1:16" x14ac:dyDescent="0.2">
      <c r="A107">
        <v>105</v>
      </c>
      <c r="M107" t="s">
        <v>604</v>
      </c>
      <c r="N107" t="s">
        <v>96</v>
      </c>
      <c r="O107" t="s">
        <v>208</v>
      </c>
      <c r="P107">
        <v>10</v>
      </c>
    </row>
    <row r="108" spans="1:16" x14ac:dyDescent="0.2">
      <c r="A108">
        <v>106</v>
      </c>
      <c r="M108" t="s">
        <v>478</v>
      </c>
      <c r="N108" t="s">
        <v>91</v>
      </c>
      <c r="O108" t="s">
        <v>208</v>
      </c>
      <c r="P108">
        <v>10</v>
      </c>
    </row>
    <row r="109" spans="1:16" x14ac:dyDescent="0.2">
      <c r="A109">
        <v>107</v>
      </c>
      <c r="M109" t="s">
        <v>688</v>
      </c>
      <c r="N109" t="s">
        <v>102</v>
      </c>
      <c r="O109" t="s">
        <v>208</v>
      </c>
      <c r="P109">
        <v>10</v>
      </c>
    </row>
    <row r="110" spans="1:16" x14ac:dyDescent="0.2">
      <c r="A110">
        <v>108</v>
      </c>
      <c r="M110" t="s">
        <v>503</v>
      </c>
      <c r="N110" t="s">
        <v>103</v>
      </c>
      <c r="O110" t="s">
        <v>208</v>
      </c>
      <c r="P110">
        <v>10</v>
      </c>
    </row>
    <row r="111" spans="1:16" x14ac:dyDescent="0.2">
      <c r="A111">
        <v>109</v>
      </c>
      <c r="M111" t="s">
        <v>618</v>
      </c>
      <c r="N111" t="s">
        <v>107</v>
      </c>
      <c r="O111" t="s">
        <v>208</v>
      </c>
      <c r="P111">
        <v>10</v>
      </c>
    </row>
    <row r="112" spans="1:16" x14ac:dyDescent="0.2">
      <c r="A112">
        <v>110</v>
      </c>
      <c r="M112" t="s">
        <v>196</v>
      </c>
      <c r="N112" t="s">
        <v>108</v>
      </c>
      <c r="O112" t="s">
        <v>208</v>
      </c>
      <c r="P112">
        <v>10</v>
      </c>
    </row>
    <row r="113" spans="1:16" x14ac:dyDescent="0.2">
      <c r="A113">
        <v>111</v>
      </c>
      <c r="M113" t="s">
        <v>383</v>
      </c>
      <c r="N113" t="s">
        <v>114</v>
      </c>
      <c r="O113" t="s">
        <v>208</v>
      </c>
      <c r="P113">
        <v>10</v>
      </c>
    </row>
    <row r="114" spans="1:16" x14ac:dyDescent="0.2">
      <c r="A114">
        <v>112</v>
      </c>
      <c r="M114" t="s">
        <v>413</v>
      </c>
      <c r="N114" t="s">
        <v>112</v>
      </c>
      <c r="O114" t="s">
        <v>208</v>
      </c>
      <c r="P114">
        <v>10</v>
      </c>
    </row>
    <row r="115" spans="1:16" x14ac:dyDescent="0.2">
      <c r="A115">
        <v>113</v>
      </c>
      <c r="M115" t="s">
        <v>516</v>
      </c>
      <c r="N115" t="s">
        <v>115</v>
      </c>
      <c r="O115" t="s">
        <v>208</v>
      </c>
      <c r="P115">
        <v>10</v>
      </c>
    </row>
    <row r="116" spans="1:16" x14ac:dyDescent="0.2">
      <c r="A116">
        <v>114</v>
      </c>
      <c r="M116" t="s">
        <v>508</v>
      </c>
      <c r="N116" t="s">
        <v>108</v>
      </c>
      <c r="O116" t="s">
        <v>208</v>
      </c>
      <c r="P116">
        <v>10</v>
      </c>
    </row>
    <row r="117" spans="1:16" x14ac:dyDescent="0.2">
      <c r="A117">
        <v>115</v>
      </c>
      <c r="M117" t="s">
        <v>470</v>
      </c>
      <c r="N117" t="s">
        <v>105</v>
      </c>
      <c r="O117" t="s">
        <v>208</v>
      </c>
      <c r="P117">
        <v>10</v>
      </c>
    </row>
    <row r="118" spans="1:16" x14ac:dyDescent="0.2">
      <c r="A118">
        <v>116</v>
      </c>
      <c r="M118" t="s">
        <v>482</v>
      </c>
      <c r="N118" t="s">
        <v>94</v>
      </c>
      <c r="O118" t="s">
        <v>208</v>
      </c>
      <c r="P118">
        <v>10</v>
      </c>
    </row>
    <row r="119" spans="1:16" x14ac:dyDescent="0.2">
      <c r="A119">
        <v>117</v>
      </c>
      <c r="M119" t="s">
        <v>641</v>
      </c>
      <c r="N119" t="s">
        <v>87</v>
      </c>
      <c r="O119" t="s">
        <v>208</v>
      </c>
      <c r="P119">
        <v>10</v>
      </c>
    </row>
    <row r="120" spans="1:16" x14ac:dyDescent="0.2">
      <c r="A120">
        <v>118</v>
      </c>
      <c r="M120" t="s">
        <v>147</v>
      </c>
      <c r="N120" t="s">
        <v>110</v>
      </c>
      <c r="O120" t="s">
        <v>208</v>
      </c>
      <c r="P120">
        <v>10</v>
      </c>
    </row>
    <row r="121" spans="1:16" x14ac:dyDescent="0.2">
      <c r="A121">
        <v>119</v>
      </c>
      <c r="M121" t="s">
        <v>400</v>
      </c>
      <c r="N121" t="s">
        <v>89</v>
      </c>
      <c r="O121" t="s">
        <v>208</v>
      </c>
      <c r="P121">
        <v>10</v>
      </c>
    </row>
    <row r="122" spans="1:16" x14ac:dyDescent="0.2">
      <c r="A122">
        <v>120</v>
      </c>
      <c r="M122" t="s">
        <v>546</v>
      </c>
      <c r="N122" t="s">
        <v>113</v>
      </c>
      <c r="O122" t="s">
        <v>208</v>
      </c>
      <c r="P122">
        <v>10</v>
      </c>
    </row>
    <row r="123" spans="1:16" x14ac:dyDescent="0.2">
      <c r="A123">
        <v>121</v>
      </c>
      <c r="M123" t="s">
        <v>396</v>
      </c>
      <c r="N123" t="s">
        <v>116</v>
      </c>
      <c r="O123" t="s">
        <v>208</v>
      </c>
      <c r="P123">
        <v>10</v>
      </c>
    </row>
    <row r="124" spans="1:16" x14ac:dyDescent="0.2">
      <c r="A124">
        <v>122</v>
      </c>
      <c r="M124" t="s">
        <v>199</v>
      </c>
      <c r="N124" t="s">
        <v>104</v>
      </c>
      <c r="O124" t="s">
        <v>208</v>
      </c>
      <c r="P124">
        <v>10</v>
      </c>
    </row>
    <row r="125" spans="1:16" x14ac:dyDescent="0.2">
      <c r="A125">
        <v>123</v>
      </c>
      <c r="M125" t="s">
        <v>387</v>
      </c>
      <c r="N125" t="s">
        <v>90</v>
      </c>
      <c r="O125" t="s">
        <v>208</v>
      </c>
      <c r="P125">
        <v>10</v>
      </c>
    </row>
    <row r="126" spans="1:16" x14ac:dyDescent="0.2">
      <c r="A126">
        <v>124</v>
      </c>
      <c r="M126" t="s">
        <v>423</v>
      </c>
      <c r="N126" t="s">
        <v>99</v>
      </c>
      <c r="O126" t="s">
        <v>208</v>
      </c>
      <c r="P126">
        <v>10</v>
      </c>
    </row>
    <row r="127" spans="1:16" x14ac:dyDescent="0.2">
      <c r="A127">
        <v>125</v>
      </c>
      <c r="M127" t="s">
        <v>562</v>
      </c>
      <c r="N127" t="s">
        <v>102</v>
      </c>
      <c r="O127" t="s">
        <v>208</v>
      </c>
      <c r="P127">
        <v>10</v>
      </c>
    </row>
    <row r="128" spans="1:16" x14ac:dyDescent="0.2">
      <c r="A128">
        <v>126</v>
      </c>
    </row>
    <row r="129" spans="1:1" x14ac:dyDescent="0.2">
      <c r="A129">
        <v>127</v>
      </c>
    </row>
    <row r="130" spans="1:1" x14ac:dyDescent="0.2">
      <c r="A130">
        <v>128</v>
      </c>
    </row>
    <row r="131" spans="1:1" x14ac:dyDescent="0.2">
      <c r="A131">
        <v>129</v>
      </c>
    </row>
    <row r="132" spans="1:1" x14ac:dyDescent="0.2">
      <c r="A132">
        <v>130</v>
      </c>
    </row>
    <row r="133" spans="1:1" x14ac:dyDescent="0.2">
      <c r="A133">
        <v>131</v>
      </c>
    </row>
    <row r="134" spans="1:1" x14ac:dyDescent="0.2">
      <c r="A134">
        <v>132</v>
      </c>
    </row>
    <row r="135" spans="1:1" x14ac:dyDescent="0.2">
      <c r="A135">
        <v>133</v>
      </c>
    </row>
    <row r="136" spans="1:1" x14ac:dyDescent="0.2">
      <c r="A136">
        <v>134</v>
      </c>
    </row>
    <row r="137" spans="1:1" x14ac:dyDescent="0.2">
      <c r="A137">
        <v>135</v>
      </c>
    </row>
    <row r="138" spans="1:1" x14ac:dyDescent="0.2">
      <c r="A138">
        <v>136</v>
      </c>
    </row>
    <row r="139" spans="1:1" x14ac:dyDescent="0.2">
      <c r="A139">
        <v>137</v>
      </c>
    </row>
    <row r="140" spans="1:1" x14ac:dyDescent="0.2">
      <c r="A140">
        <v>138</v>
      </c>
    </row>
    <row r="141" spans="1:1" x14ac:dyDescent="0.2">
      <c r="A141">
        <v>139</v>
      </c>
    </row>
    <row r="142" spans="1:1" x14ac:dyDescent="0.2">
      <c r="A142">
        <v>140</v>
      </c>
    </row>
    <row r="143" spans="1:1" x14ac:dyDescent="0.2">
      <c r="A143">
        <v>141</v>
      </c>
    </row>
    <row r="144" spans="1:1" x14ac:dyDescent="0.2">
      <c r="A144">
        <v>142</v>
      </c>
    </row>
    <row r="145" spans="1:1" x14ac:dyDescent="0.2">
      <c r="A145">
        <v>143</v>
      </c>
    </row>
    <row r="146" spans="1:1" x14ac:dyDescent="0.2">
      <c r="A146">
        <v>144</v>
      </c>
    </row>
    <row r="147" spans="1:1" x14ac:dyDescent="0.2">
      <c r="A147">
        <v>145</v>
      </c>
    </row>
    <row r="148" spans="1:1" x14ac:dyDescent="0.2">
      <c r="A148">
        <v>146</v>
      </c>
    </row>
    <row r="149" spans="1:1" x14ac:dyDescent="0.2">
      <c r="A149">
        <v>147</v>
      </c>
    </row>
    <row r="150" spans="1:1" x14ac:dyDescent="0.2">
      <c r="A150">
        <v>148</v>
      </c>
    </row>
    <row r="151" spans="1:1" x14ac:dyDescent="0.2">
      <c r="A151">
        <v>149</v>
      </c>
    </row>
    <row r="152" spans="1:1" x14ac:dyDescent="0.2">
      <c r="A152">
        <v>150</v>
      </c>
    </row>
    <row r="153" spans="1:1" x14ac:dyDescent="0.2">
      <c r="A153">
        <v>151</v>
      </c>
    </row>
    <row r="154" spans="1:1" x14ac:dyDescent="0.2">
      <c r="A154">
        <v>152</v>
      </c>
    </row>
    <row r="155" spans="1:1" x14ac:dyDescent="0.2">
      <c r="A155">
        <v>153</v>
      </c>
    </row>
    <row r="156" spans="1:1" x14ac:dyDescent="0.2">
      <c r="A156">
        <v>154</v>
      </c>
    </row>
    <row r="157" spans="1:1" x14ac:dyDescent="0.2">
      <c r="A157">
        <v>155</v>
      </c>
    </row>
    <row r="158" spans="1:1" x14ac:dyDescent="0.2">
      <c r="A158">
        <v>156</v>
      </c>
    </row>
    <row r="159" spans="1:1" x14ac:dyDescent="0.2">
      <c r="A159">
        <v>157</v>
      </c>
    </row>
    <row r="160" spans="1:1" x14ac:dyDescent="0.2">
      <c r="A160">
        <v>158</v>
      </c>
    </row>
    <row r="161" spans="1:1" x14ac:dyDescent="0.2">
      <c r="A161">
        <v>159</v>
      </c>
    </row>
    <row r="162" spans="1:1" x14ac:dyDescent="0.2">
      <c r="A162">
        <v>160</v>
      </c>
    </row>
    <row r="163" spans="1:1" x14ac:dyDescent="0.2">
      <c r="A163">
        <v>161</v>
      </c>
    </row>
    <row r="164" spans="1:1" x14ac:dyDescent="0.2">
      <c r="A164">
        <v>162</v>
      </c>
    </row>
    <row r="165" spans="1:1" x14ac:dyDescent="0.2">
      <c r="A165">
        <v>163</v>
      </c>
    </row>
    <row r="166" spans="1:1" x14ac:dyDescent="0.2">
      <c r="A166">
        <v>164</v>
      </c>
    </row>
    <row r="167" spans="1:1" x14ac:dyDescent="0.2">
      <c r="A167">
        <v>165</v>
      </c>
    </row>
    <row r="168" spans="1:1" x14ac:dyDescent="0.2">
      <c r="A168">
        <v>166</v>
      </c>
    </row>
    <row r="169" spans="1:1" x14ac:dyDescent="0.2">
      <c r="A169">
        <v>167</v>
      </c>
    </row>
    <row r="170" spans="1:1" x14ac:dyDescent="0.2">
      <c r="A170">
        <v>168</v>
      </c>
    </row>
    <row r="171" spans="1:1" x14ac:dyDescent="0.2">
      <c r="A171">
        <v>169</v>
      </c>
    </row>
    <row r="172" spans="1:1" x14ac:dyDescent="0.2">
      <c r="A172">
        <v>170</v>
      </c>
    </row>
    <row r="173" spans="1:1" x14ac:dyDescent="0.2">
      <c r="A173">
        <v>171</v>
      </c>
    </row>
    <row r="174" spans="1:1" x14ac:dyDescent="0.2">
      <c r="A174">
        <v>172</v>
      </c>
    </row>
    <row r="175" spans="1:1" x14ac:dyDescent="0.2">
      <c r="A175">
        <v>173</v>
      </c>
    </row>
    <row r="176" spans="1:1" x14ac:dyDescent="0.2">
      <c r="A176">
        <v>174</v>
      </c>
    </row>
    <row r="177" spans="1:1" x14ac:dyDescent="0.2">
      <c r="A177">
        <v>175</v>
      </c>
    </row>
    <row r="178" spans="1:1" x14ac:dyDescent="0.2">
      <c r="A178">
        <v>176</v>
      </c>
    </row>
    <row r="179" spans="1:1" x14ac:dyDescent="0.2">
      <c r="A179">
        <v>177</v>
      </c>
    </row>
    <row r="180" spans="1:1" x14ac:dyDescent="0.2">
      <c r="A180">
        <v>178</v>
      </c>
    </row>
    <row r="181" spans="1:1" x14ac:dyDescent="0.2">
      <c r="A181">
        <v>179</v>
      </c>
    </row>
    <row r="182" spans="1:1" x14ac:dyDescent="0.2">
      <c r="A182">
        <v>180</v>
      </c>
    </row>
    <row r="183" spans="1:1" x14ac:dyDescent="0.2">
      <c r="A183">
        <v>181</v>
      </c>
    </row>
    <row r="184" spans="1:1" x14ac:dyDescent="0.2">
      <c r="A184">
        <v>182</v>
      </c>
    </row>
    <row r="185" spans="1:1" x14ac:dyDescent="0.2">
      <c r="A185">
        <v>183</v>
      </c>
    </row>
    <row r="186" spans="1:1" x14ac:dyDescent="0.2">
      <c r="A186">
        <v>184</v>
      </c>
    </row>
    <row r="187" spans="1:1" x14ac:dyDescent="0.2">
      <c r="A187">
        <v>185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1"/>
  <dimension ref="A1:O74"/>
  <sheetViews>
    <sheetView showGridLines="0" zoomScale="85" zoomScaleNormal="85" workbookViewId="0"/>
  </sheetViews>
  <sheetFormatPr defaultColWidth="9.140625" defaultRowHeight="15" x14ac:dyDescent="0.25"/>
  <cols>
    <col min="1" max="1" width="9.28515625" style="91" bestFit="1" customWidth="1"/>
    <col min="2" max="2" width="27.5703125" style="91" bestFit="1" customWidth="1"/>
    <col min="3" max="3" width="6.5703125" style="92" bestFit="1" customWidth="1"/>
    <col min="4" max="4" width="7" style="92" bestFit="1" customWidth="1"/>
    <col min="5" max="5" width="8" style="92" bestFit="1" customWidth="1"/>
    <col min="6" max="6" width="7.5703125" style="92" bestFit="1" customWidth="1"/>
    <col min="7" max="8" width="8.42578125" style="92" bestFit="1" customWidth="1"/>
    <col min="9" max="9" width="6.7109375" style="92" bestFit="1" customWidth="1"/>
    <col min="10" max="10" width="8.5703125" style="92" bestFit="1" customWidth="1"/>
    <col min="11" max="12" width="8.7109375" style="91" bestFit="1" customWidth="1"/>
    <col min="13" max="13" width="6.85546875" style="91" bestFit="1" customWidth="1"/>
    <col min="14" max="14" width="10" style="91" bestFit="1" customWidth="1"/>
    <col min="15" max="15" width="8.42578125" style="91" bestFit="1" customWidth="1"/>
    <col min="16" max="16384" width="9.140625" style="91"/>
  </cols>
  <sheetData>
    <row r="1" spans="1:15" s="89" customFormat="1" x14ac:dyDescent="0.25">
      <c r="A1" s="87" t="s">
        <v>360</v>
      </c>
      <c r="B1" s="88" t="s">
        <v>325</v>
      </c>
      <c r="C1" s="88" t="s">
        <v>86</v>
      </c>
      <c r="D1" s="88" t="s">
        <v>122</v>
      </c>
      <c r="E1" s="87" t="s">
        <v>124</v>
      </c>
      <c r="F1" s="87" t="s">
        <v>125</v>
      </c>
      <c r="G1" s="87" t="s">
        <v>126</v>
      </c>
      <c r="H1" s="87" t="s">
        <v>127</v>
      </c>
      <c r="I1" s="87" t="s">
        <v>2</v>
      </c>
      <c r="J1" s="87" t="s">
        <v>128</v>
      </c>
      <c r="K1" s="87" t="s">
        <v>129</v>
      </c>
      <c r="L1" s="87" t="s">
        <v>130</v>
      </c>
      <c r="M1" s="88" t="s">
        <v>117</v>
      </c>
      <c r="N1" s="87" t="s">
        <v>321</v>
      </c>
      <c r="O1" s="87" t="s">
        <v>295</v>
      </c>
    </row>
    <row r="2" spans="1:15" x14ac:dyDescent="0.25">
      <c r="A2" s="90">
        <v>1</v>
      </c>
      <c r="B2" s="91" t="str">
        <f>ARI!A$2</f>
        <v>Kyler Murray</v>
      </c>
      <c r="C2" s="91" t="s">
        <v>87</v>
      </c>
      <c r="D2" s="91">
        <f>ARI!C$2</f>
        <v>11</v>
      </c>
      <c r="E2" s="92">
        <f>ARI!D$2</f>
        <v>559.60424999999998</v>
      </c>
      <c r="F2" s="92">
        <f>ARI!E$2</f>
        <v>371.58671883620764</v>
      </c>
      <c r="G2" s="92">
        <f>ARI!F$2</f>
        <v>3930.5007768321898</v>
      </c>
      <c r="H2" s="92">
        <f>ARI!G$2</f>
        <v>23.615299350000001</v>
      </c>
      <c r="I2" s="92">
        <f>ARI!H$2</f>
        <v>7.2136997399817471</v>
      </c>
      <c r="J2" s="92">
        <f>ARI!I$2</f>
        <v>81.721710000000002</v>
      </c>
      <c r="K2" s="92">
        <f>ARI!J$2</f>
        <v>451.92105630000003</v>
      </c>
      <c r="L2" s="92">
        <f>ARI!K$2</f>
        <v>4.2646741716559298</v>
      </c>
      <c r="M2" s="92">
        <f t="shared" ref="M2:M35" si="0">(G2/25)+(H2*4)+(I2*-1.5)+(K2/10)+(L2*6)</f>
        <v>311.64082952325055</v>
      </c>
      <c r="N2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308.03397965325968</v>
      </c>
      <c r="O2" s="94">
        <v>18.908176323604344</v>
      </c>
    </row>
    <row r="3" spans="1:15" x14ac:dyDescent="0.25">
      <c r="A3" s="90">
        <f>IF(TableQBMaster[[#This Row],[Player]]&lt;&gt;0,A2+1,A2)</f>
        <v>2</v>
      </c>
      <c r="B3" s="91" t="str">
        <f>ARI!A$3</f>
        <v>Clayton Tune</v>
      </c>
      <c r="C3" s="91" t="s">
        <v>87</v>
      </c>
      <c r="D3" s="91">
        <f>ARI!C$3</f>
        <v>11</v>
      </c>
      <c r="E3" s="92">
        <f>ARI!D$3</f>
        <v>42.120750000000001</v>
      </c>
      <c r="F3" s="92">
        <f>ARI!E$3</f>
        <v>26.8730385</v>
      </c>
      <c r="G3" s="92">
        <f>ARI!F$3</f>
        <v>280.55452193999997</v>
      </c>
      <c r="H3" s="92">
        <f>ARI!G$3</f>
        <v>1.6326024684650131</v>
      </c>
      <c r="I3" s="92">
        <f>ARI!H$3</f>
        <v>0.64495292400000004</v>
      </c>
      <c r="J3" s="92">
        <f>ARI!I$3</f>
        <v>0</v>
      </c>
      <c r="K3" s="92">
        <f>ARI!J$3</f>
        <v>0</v>
      </c>
      <c r="L3" s="92">
        <f>ARI!K$3</f>
        <v>0</v>
      </c>
      <c r="M3" s="92">
        <f t="shared" si="0"/>
        <v>16.785161365460052</v>
      </c>
      <c r="N3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16.462684903460051</v>
      </c>
      <c r="O3" s="94">
        <v>0</v>
      </c>
    </row>
    <row r="4" spans="1:15" x14ac:dyDescent="0.25">
      <c r="A4" s="90">
        <f>IF(TableQBMaster[[#This Row],[Player]]&lt;&gt;0,A3+1,A3)</f>
        <v>2</v>
      </c>
      <c r="B4" s="91">
        <f>ARI!A$4</f>
        <v>0</v>
      </c>
      <c r="C4" s="91" t="s">
        <v>87</v>
      </c>
      <c r="D4" s="91">
        <f>ARI!C$3</f>
        <v>11</v>
      </c>
      <c r="E4" s="92">
        <f>ARI!D$4</f>
        <v>0</v>
      </c>
      <c r="F4" s="92">
        <f>ARI!E$4</f>
        <v>0</v>
      </c>
      <c r="G4" s="92">
        <f>ARI!F$4</f>
        <v>0</v>
      </c>
      <c r="H4" s="92">
        <f>ARI!G$4</f>
        <v>0</v>
      </c>
      <c r="I4" s="92">
        <f>ARI!H$4</f>
        <v>0</v>
      </c>
      <c r="J4" s="92">
        <f>ARI!I$4</f>
        <v>0</v>
      </c>
      <c r="K4" s="92">
        <f>ARI!J$4</f>
        <v>0</v>
      </c>
      <c r="L4" s="92">
        <f>ARI!K$4</f>
        <v>0</v>
      </c>
      <c r="M4" s="92">
        <f t="shared" ref="M4" si="1">(G4/25)+(H4*4)+(I4*-1.5)+(K4/10)+(L4*6)</f>
        <v>0</v>
      </c>
      <c r="N4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0</v>
      </c>
      <c r="O4" s="94">
        <v>0</v>
      </c>
    </row>
    <row r="5" spans="1:15" x14ac:dyDescent="0.25">
      <c r="A5" s="90">
        <f>IF(TableQBMaster[[#This Row],[Player]]&lt;&gt;0,A4+1,A4)</f>
        <v>3</v>
      </c>
      <c r="B5" s="91" t="str">
        <f>ATL!A$2</f>
        <v>Kirk Cousins</v>
      </c>
      <c r="C5" s="91" t="s">
        <v>88</v>
      </c>
      <c r="D5" s="91">
        <f>ATL!C$2</f>
        <v>12</v>
      </c>
      <c r="E5" s="92">
        <f>ATL!D$2</f>
        <v>575.13455999999996</v>
      </c>
      <c r="F5" s="92">
        <f>ATL!E$2</f>
        <v>378.22168752758637</v>
      </c>
      <c r="G5" s="92">
        <f>ATL!F$2</f>
        <v>4296.5983703133807</v>
      </c>
      <c r="H5" s="92">
        <f>ATL!G$2</f>
        <v>29.504507705665819</v>
      </c>
      <c r="I5" s="92">
        <f>ATL!H$2</f>
        <v>6.1493485989509153</v>
      </c>
      <c r="J5" s="92">
        <f>ATL!I$2</f>
        <v>25.820726400000002</v>
      </c>
      <c r="K5" s="92">
        <f>ATL!J$2</f>
        <v>78.244311871374677</v>
      </c>
      <c r="L5" s="92">
        <f>ATL!K$2</f>
        <v>1.2190807392656713</v>
      </c>
      <c r="M5" s="92">
        <f t="shared" si="0"/>
        <v>295.79685835950363</v>
      </c>
      <c r="N5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292.72218406002816</v>
      </c>
      <c r="O5" s="94">
        <v>4.1586617123562934</v>
      </c>
    </row>
    <row r="6" spans="1:15" x14ac:dyDescent="0.25">
      <c r="A6" s="90">
        <f>IF(TableQBMaster[[#This Row],[Player]]&lt;&gt;0,A5+1,A5)</f>
        <v>4</v>
      </c>
      <c r="B6" s="91" t="str">
        <f>ATL!A$3</f>
        <v>Taylor Heinicke</v>
      </c>
      <c r="C6" s="91" t="s">
        <v>88</v>
      </c>
      <c r="D6" s="91">
        <f>ATL!C$3</f>
        <v>12</v>
      </c>
      <c r="E6" s="92">
        <f>ATL!D$3</f>
        <v>11.737439999999999</v>
      </c>
      <c r="F6" s="92">
        <f>ATL!E$3</f>
        <v>7.3476374399999997</v>
      </c>
      <c r="G6" s="92">
        <f>ATL!F$3</f>
        <v>79.354484352</v>
      </c>
      <c r="H6" s="92">
        <f>ATL!G$3</f>
        <v>0.51644735999999991</v>
      </c>
      <c r="I6" s="92">
        <f>ATL!H$3</f>
        <v>0.114990525936</v>
      </c>
      <c r="J6" s="92">
        <f>ATL!I$3</f>
        <v>2.1517272000000003</v>
      </c>
      <c r="K6" s="92">
        <f>ATL!J$3</f>
        <v>12.221810496000002</v>
      </c>
      <c r="L6" s="92">
        <f>ATL!K$3</f>
        <v>2.3668999200000002E-2</v>
      </c>
      <c r="M6" s="92">
        <f t="shared" si="0"/>
        <v>6.431678069975999</v>
      </c>
      <c r="N6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6.3741828070080002</v>
      </c>
      <c r="O6" s="94">
        <v>0</v>
      </c>
    </row>
    <row r="7" spans="1:15" x14ac:dyDescent="0.25">
      <c r="A7" s="90">
        <f>IF(TableQBMaster[[#This Row],[Player]]&lt;&gt;0,A6+1,A6)</f>
        <v>5</v>
      </c>
      <c r="B7" s="91" t="str">
        <f>BAL!A$2</f>
        <v>Lamar Jackson</v>
      </c>
      <c r="C7" s="91" t="s">
        <v>89</v>
      </c>
      <c r="D7" s="91">
        <f>BAL!C$2</f>
        <v>14</v>
      </c>
      <c r="E7" s="92">
        <f>BAL!D$2</f>
        <v>513.14440000000002</v>
      </c>
      <c r="F7" s="92">
        <f>BAL!E$2</f>
        <v>338.15568117642169</v>
      </c>
      <c r="G7" s="92">
        <f>BAL!F$2</f>
        <v>3938.5025075402932</v>
      </c>
      <c r="H7" s="92">
        <f>BAL!G$2</f>
        <v>27.00731983910633</v>
      </c>
      <c r="I7" s="92">
        <f>BAL!H$2</f>
        <v>6.5285855002725803</v>
      </c>
      <c r="J7" s="92">
        <f>BAL!I$2</f>
        <v>147.03669120000001</v>
      </c>
      <c r="K7" s="92">
        <f>BAL!J$2</f>
        <v>855.45770716797324</v>
      </c>
      <c r="L7" s="92">
        <f>BAL!K$2</f>
        <v>5.464757583408181</v>
      </c>
      <c r="M7" s="92">
        <f t="shared" si="0"/>
        <v>374.11081762487458</v>
      </c>
      <c r="N7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370.84652487473829</v>
      </c>
      <c r="O7" s="94">
        <v>14.529245789940152</v>
      </c>
    </row>
    <row r="8" spans="1:15" x14ac:dyDescent="0.25">
      <c r="A8" s="90">
        <f>IF(TableQBMaster[[#This Row],[Player]]&lt;&gt;0,A7+1,A7)</f>
        <v>6</v>
      </c>
      <c r="B8" s="91" t="str">
        <f>BAL!A$3</f>
        <v>Josh Johnson</v>
      </c>
      <c r="C8" s="91" t="s">
        <v>89</v>
      </c>
      <c r="D8" s="91">
        <f>BAL!C$3</f>
        <v>14</v>
      </c>
      <c r="E8" s="92">
        <f>BAL!D$3</f>
        <v>27.007600000000004</v>
      </c>
      <c r="F8" s="92">
        <f>BAL!E$3</f>
        <v>16.768955016033789</v>
      </c>
      <c r="G8" s="92">
        <f>BAL!F$3</f>
        <v>155.59096621381255</v>
      </c>
      <c r="H8" s="92">
        <f>BAL!G$3</f>
        <v>1.133631850193759</v>
      </c>
      <c r="I8" s="92">
        <f>BAL!H$3</f>
        <v>0.31743578080914431</v>
      </c>
      <c r="J8" s="92">
        <f>BAL!I$3</f>
        <v>2.6256551999999997</v>
      </c>
      <c r="K8" s="92">
        <f>BAL!J$3</f>
        <v>9.9377476512431109</v>
      </c>
      <c r="L8" s="92">
        <f>BAL!K$3</f>
        <v>8.5903673531190453E-2</v>
      </c>
      <c r="M8" s="92">
        <f t="shared" si="0"/>
        <v>11.791209184425277</v>
      </c>
      <c r="N8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11.632491294020705</v>
      </c>
      <c r="O8" s="94">
        <v>0</v>
      </c>
    </row>
    <row r="9" spans="1:15" x14ac:dyDescent="0.25">
      <c r="A9" s="90">
        <f>IF(TableQBMaster[[#This Row],[Player]]&lt;&gt;0,A8+1,A8)</f>
        <v>7</v>
      </c>
      <c r="B9" s="91" t="str">
        <f>BUF!A$2</f>
        <v>Josh Allen</v>
      </c>
      <c r="C9" s="91" t="s">
        <v>90</v>
      </c>
      <c r="D9" s="91">
        <f>BUF!C$2</f>
        <v>12</v>
      </c>
      <c r="E9" s="92">
        <f>BUF!D$2</f>
        <v>613.57823999999994</v>
      </c>
      <c r="F9" s="92">
        <f>BUF!E$2</f>
        <v>397.42344650894228</v>
      </c>
      <c r="G9" s="92">
        <f>BUF!F$2</f>
        <v>4459.0910698303323</v>
      </c>
      <c r="H9" s="92">
        <f>BUF!G$2</f>
        <v>30.678911999999997</v>
      </c>
      <c r="I9" s="92">
        <f>BUF!H$2</f>
        <v>8.2570027479375891</v>
      </c>
      <c r="J9" s="92">
        <f>BUF!I$2</f>
        <v>116.24587520000003</v>
      </c>
      <c r="K9" s="92">
        <f>BUF!J$2</f>
        <v>596.92711573120982</v>
      </c>
      <c r="L9" s="92">
        <f>BUF!K$2</f>
        <v>8.6830743453311445</v>
      </c>
      <c r="M9" s="92">
        <f t="shared" si="0"/>
        <v>400.48494431641478</v>
      </c>
      <c r="N9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396.35644294244599</v>
      </c>
      <c r="O9" s="94">
        <v>23.688618937110689</v>
      </c>
    </row>
    <row r="10" spans="1:15" x14ac:dyDescent="0.25">
      <c r="A10" s="90">
        <f>IF(TableQBMaster[[#This Row],[Player]]&lt;&gt;0,A9+1,A9)</f>
        <v>8</v>
      </c>
      <c r="B10" s="91" t="str">
        <f>BUF!A$3</f>
        <v>Mitch Trubisky</v>
      </c>
      <c r="C10" s="91" t="s">
        <v>90</v>
      </c>
      <c r="D10" s="91">
        <f>BUF!C$3</f>
        <v>12</v>
      </c>
      <c r="E10" s="92">
        <f>BUF!D$3</f>
        <v>6.197760000000005</v>
      </c>
      <c r="F10" s="92">
        <f>BUF!E$3</f>
        <v>3.793029120000003</v>
      </c>
      <c r="G10" s="92">
        <f>BUF!F$3</f>
        <v>36.792382464000028</v>
      </c>
      <c r="H10" s="92">
        <f>BUF!G$3</f>
        <v>0.21072384000000019</v>
      </c>
      <c r="I10" s="92">
        <f>BUF!H$3</f>
        <v>4.6426676428800037E-2</v>
      </c>
      <c r="J10" s="92">
        <f>BUF!I$3</f>
        <v>0</v>
      </c>
      <c r="K10" s="92">
        <f>BUF!J$3</f>
        <v>0</v>
      </c>
      <c r="L10" s="92">
        <f>BUF!K$3</f>
        <v>0</v>
      </c>
      <c r="M10" s="92">
        <f t="shared" si="0"/>
        <v>2.2449506439168019</v>
      </c>
      <c r="N10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2.2217373057024021</v>
      </c>
      <c r="O10" s="94">
        <v>0</v>
      </c>
    </row>
    <row r="11" spans="1:15" x14ac:dyDescent="0.25">
      <c r="A11" s="90">
        <f>IF(TableQBMaster[[#This Row],[Player]]&lt;&gt;0,A10+1,A10)</f>
        <v>9</v>
      </c>
      <c r="B11" s="91" t="str">
        <f>CAR!A$2</f>
        <v>Bryce Young</v>
      </c>
      <c r="C11" s="91" t="s">
        <v>91</v>
      </c>
      <c r="D11" s="91">
        <f>CAR!C$2</f>
        <v>11</v>
      </c>
      <c r="E11" s="92">
        <f>CAR!D$2</f>
        <v>561.44049999999993</v>
      </c>
      <c r="F11" s="92">
        <f>CAR!E$2</f>
        <v>352.48025766677722</v>
      </c>
      <c r="G11" s="92">
        <f>CAR!F$2</f>
        <v>3887.8572420645523</v>
      </c>
      <c r="H11" s="92">
        <f>CAR!G$2</f>
        <v>21.896179499999999</v>
      </c>
      <c r="I11" s="92">
        <f>CAR!H$2</f>
        <v>6.4446070822175274</v>
      </c>
      <c r="J11" s="92">
        <f>CAR!I$2</f>
        <v>55.738725000000002</v>
      </c>
      <c r="K11" s="92">
        <f>CAR!J$2</f>
        <v>321.3935769222453</v>
      </c>
      <c r="L11" s="92">
        <f>CAR!K$2</f>
        <v>2.0065941</v>
      </c>
      <c r="M11" s="92">
        <f t="shared" si="0"/>
        <v>277.61101935148037</v>
      </c>
      <c r="N11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274.38871581037159</v>
      </c>
      <c r="O11" s="94">
        <v>0</v>
      </c>
    </row>
    <row r="12" spans="1:15" x14ac:dyDescent="0.25">
      <c r="A12" s="90">
        <f>IF(TableQBMaster[[#This Row],[Player]]&lt;&gt;0,A11+1,A11)</f>
        <v>10</v>
      </c>
      <c r="B12" s="91" t="str">
        <f>CAR!A$3</f>
        <v>Andy Dalton</v>
      </c>
      <c r="C12" s="91" t="s">
        <v>91</v>
      </c>
      <c r="D12" s="91">
        <f>CAR!C$3</f>
        <v>11</v>
      </c>
      <c r="E12" s="92">
        <f>CAR!D$3</f>
        <v>29.549499999999995</v>
      </c>
      <c r="F12" s="92">
        <f>CAR!E$3</f>
        <v>18.760309080324383</v>
      </c>
      <c r="G12" s="92">
        <f>CAR!F$3</f>
        <v>196.77815340596754</v>
      </c>
      <c r="H12" s="92">
        <f>CAR!G$3</f>
        <v>1.1305911558294797</v>
      </c>
      <c r="I12" s="92">
        <f>CAR!H$3</f>
        <v>0.29855173126554879</v>
      </c>
      <c r="J12" s="92">
        <f>CAR!I$3</f>
        <v>2.229549</v>
      </c>
      <c r="K12" s="92">
        <f>CAR!J$3</f>
        <v>7.644689341958248</v>
      </c>
      <c r="L12" s="92">
        <f>CAR!K$3</f>
        <v>3.8342828255850676E-2</v>
      </c>
      <c r="M12" s="92">
        <f t="shared" si="0"/>
        <v>12.940189066389227</v>
      </c>
      <c r="N12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12.790913200756451</v>
      </c>
      <c r="O12" s="94">
        <v>0</v>
      </c>
    </row>
    <row r="13" spans="1:15" x14ac:dyDescent="0.25">
      <c r="A13" s="90">
        <f>IF(TableQBMaster[[#This Row],[Player]]&lt;&gt;0,A12+1,A12)</f>
        <v>10</v>
      </c>
      <c r="B13" s="91">
        <f>CAR!A$4</f>
        <v>0</v>
      </c>
      <c r="C13" s="91" t="s">
        <v>91</v>
      </c>
      <c r="D13" s="91">
        <f>CAR!C$3</f>
        <v>11</v>
      </c>
      <c r="E13" s="92">
        <f>CAR!D$3</f>
        <v>29.549499999999995</v>
      </c>
      <c r="F13" s="92">
        <f>CAR!E$3</f>
        <v>18.760309080324383</v>
      </c>
      <c r="G13" s="92">
        <f>CAR!F$3</f>
        <v>196.77815340596754</v>
      </c>
      <c r="H13" s="92">
        <f>CAR!G$3</f>
        <v>1.1305911558294797</v>
      </c>
      <c r="I13" s="92">
        <f>CAR!H$3</f>
        <v>0.29855173126554879</v>
      </c>
      <c r="J13" s="92">
        <f>CAR!I$3</f>
        <v>2.229549</v>
      </c>
      <c r="K13" s="92">
        <f>CAR!J$3</f>
        <v>7.644689341958248</v>
      </c>
      <c r="L13" s="92">
        <f>CAR!K$3</f>
        <v>3.8342828255850676E-2</v>
      </c>
      <c r="M13" s="92">
        <f t="shared" ref="M13" si="2">(G13/25)+(H13*4)+(I13*-1.5)+(K13/10)+(L13*6)</f>
        <v>12.940189066389227</v>
      </c>
      <c r="N13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12.790913200756451</v>
      </c>
      <c r="O13" s="94">
        <v>1</v>
      </c>
    </row>
    <row r="14" spans="1:15" x14ac:dyDescent="0.25">
      <c r="A14" s="90">
        <f>IF(TableQBMaster[[#This Row],[Player]]&lt;&gt;0,A13+1,A13)</f>
        <v>11</v>
      </c>
      <c r="B14" s="91" t="str">
        <f>CHI!A$2</f>
        <v>Caleb Williams</v>
      </c>
      <c r="C14" s="91" t="s">
        <v>92</v>
      </c>
      <c r="D14" s="91">
        <f>CHI!C$2</f>
        <v>7</v>
      </c>
      <c r="E14" s="92">
        <f>CHI!D$2</f>
        <v>566.80848000000003</v>
      </c>
      <c r="F14" s="92">
        <f>CHI!E$2</f>
        <v>363.16169234467782</v>
      </c>
      <c r="G14" s="92">
        <f>CHI!F$2</f>
        <v>4041.9896357962643</v>
      </c>
      <c r="H14" s="92">
        <f>CHI!G$2</f>
        <v>26.186551776000002</v>
      </c>
      <c r="I14" s="92">
        <f>CHI!H$2</f>
        <v>7.7279703415300309</v>
      </c>
      <c r="J14" s="92">
        <f>CHI!I$2</f>
        <v>68.446727999999993</v>
      </c>
      <c r="K14" s="92">
        <f>CHI!J$2</f>
        <v>344.97150911999995</v>
      </c>
      <c r="L14" s="92">
        <f>CHI!K$2</f>
        <v>3.6961233119999997</v>
      </c>
      <c r="M14" s="92">
        <f t="shared" si="0"/>
        <v>311.50772780755551</v>
      </c>
      <c r="N14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307.64374263679053</v>
      </c>
      <c r="O14" s="94">
        <v>0</v>
      </c>
    </row>
    <row r="15" spans="1:15" x14ac:dyDescent="0.25">
      <c r="A15" s="90">
        <f>IF(TableQBMaster[[#This Row],[Player]]&lt;&gt;0,A14+1,A14)</f>
        <v>12</v>
      </c>
      <c r="B15" s="91" t="str">
        <f>CHI!A$3</f>
        <v>Tyson Bagent</v>
      </c>
      <c r="C15" s="91" t="s">
        <v>92</v>
      </c>
      <c r="D15" s="91">
        <f>CHI!C$3</f>
        <v>7</v>
      </c>
      <c r="E15" s="92">
        <f>CHI!D$3</f>
        <v>11.567520000000002</v>
      </c>
      <c r="F15" s="92">
        <f>CHI!E$3</f>
        <v>7.4362083752478112</v>
      </c>
      <c r="G15" s="92">
        <f>CHI!F$3</f>
        <v>80.529406705151601</v>
      </c>
      <c r="H15" s="92">
        <f>CHI!G$3</f>
        <v>0.4859973311436821</v>
      </c>
      <c r="I15" s="92">
        <f>CHI!H$3</f>
        <v>0.18065996552588781</v>
      </c>
      <c r="J15" s="92">
        <f>CHI!I$3</f>
        <v>0</v>
      </c>
      <c r="K15" s="92">
        <f>CHI!J$3</f>
        <v>0</v>
      </c>
      <c r="L15" s="92">
        <f>CHI!K$3</f>
        <v>0</v>
      </c>
      <c r="M15" s="92">
        <f t="shared" si="0"/>
        <v>4.8941756444919609</v>
      </c>
      <c r="N15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4.8038456617290173</v>
      </c>
      <c r="O15" s="94">
        <v>0</v>
      </c>
    </row>
    <row r="16" spans="1:15" x14ac:dyDescent="0.25">
      <c r="A16" s="90">
        <f>IF(TableQBMaster[[#This Row],[Player]]&lt;&gt;0,A15+1,A15)</f>
        <v>13</v>
      </c>
      <c r="B16" s="91" t="str">
        <f>CIN!A$2</f>
        <v>Joe Burrow</v>
      </c>
      <c r="C16" s="91" t="s">
        <v>93</v>
      </c>
      <c r="D16" s="91">
        <f>CIN!C$2</f>
        <v>12</v>
      </c>
      <c r="E16" s="92">
        <f>CIN!D$2</f>
        <v>604.47929999999997</v>
      </c>
      <c r="F16" s="92">
        <f>CIN!E$2</f>
        <v>407.60775129211197</v>
      </c>
      <c r="G16" s="92">
        <f>CIN!F$2</f>
        <v>4524.4460393424424</v>
      </c>
      <c r="H16" s="92">
        <f>CIN!G$2</f>
        <v>32.037402899999996</v>
      </c>
      <c r="I16" s="92">
        <f>CIN!H$2</f>
        <v>7.053831499284132</v>
      </c>
      <c r="J16" s="92">
        <f>CIN!I$2</f>
        <v>55.114063200000011</v>
      </c>
      <c r="K16" s="92">
        <f>CIN!J$2</f>
        <v>189.84159137213015</v>
      </c>
      <c r="L16" s="92">
        <f>CIN!K$2</f>
        <v>2.2254943124328137</v>
      </c>
      <c r="M16" s="92">
        <f t="shared" si="0"/>
        <v>330.88383093658138</v>
      </c>
      <c r="N16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327.35691518693926</v>
      </c>
      <c r="O16" s="94">
        <v>11.000501619200461</v>
      </c>
    </row>
    <row r="17" spans="1:15" x14ac:dyDescent="0.25">
      <c r="A17" s="90">
        <f>IF(TableQBMaster[[#This Row],[Player]]&lt;&gt;0,A16+1,A16)</f>
        <v>14</v>
      </c>
      <c r="B17" s="91" t="str">
        <f>CIN!A$3</f>
        <v>Jake Browning</v>
      </c>
      <c r="C17" s="91" t="s">
        <v>93</v>
      </c>
      <c r="D17" s="91">
        <f>CIN!C$3</f>
        <v>12</v>
      </c>
      <c r="E17" s="92">
        <f>CIN!D$3</f>
        <v>31.814700000000027</v>
      </c>
      <c r="F17" s="92">
        <f>CIN!E$3</f>
        <v>20.291968340903775</v>
      </c>
      <c r="G17" s="92">
        <f>CIN!F$3</f>
        <v>221.75122917517385</v>
      </c>
      <c r="H17" s="92">
        <f>CIN!G$3</f>
        <v>1.4634762000000012</v>
      </c>
      <c r="I17" s="92">
        <f>CIN!H$3</f>
        <v>0.45624839654329369</v>
      </c>
      <c r="J17" s="92">
        <f>CIN!I$3</f>
        <v>0</v>
      </c>
      <c r="K17" s="92">
        <f>CIN!J$3</f>
        <v>0</v>
      </c>
      <c r="L17" s="92">
        <f>CIN!K$3</f>
        <v>0</v>
      </c>
      <c r="M17" s="92">
        <f t="shared" si="0"/>
        <v>14.03958137219202</v>
      </c>
      <c r="N17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13.811457173920372</v>
      </c>
      <c r="O17" s="94">
        <v>0</v>
      </c>
    </row>
    <row r="18" spans="1:15" x14ac:dyDescent="0.25">
      <c r="A18" s="90">
        <f>IF(TableQBMaster[[#This Row],[Player]]&lt;&gt;0,A17+1,A17)</f>
        <v>15</v>
      </c>
      <c r="B18" s="91" t="str">
        <f>CLE!A$2</f>
        <v>Deshaun Watson</v>
      </c>
      <c r="C18" s="91" t="s">
        <v>94</v>
      </c>
      <c r="D18" s="91">
        <f>CLE!C$2</f>
        <v>10</v>
      </c>
      <c r="E18" s="92">
        <f>CLE!D$2</f>
        <v>537.65250000000003</v>
      </c>
      <c r="F18" s="92">
        <f>CLE!E$2</f>
        <v>336.40236083227416</v>
      </c>
      <c r="G18" s="92">
        <f>CLE!F$2</f>
        <v>3828.2588662712801</v>
      </c>
      <c r="H18" s="92">
        <f>CLE!G$2</f>
        <v>23.018994227050147</v>
      </c>
      <c r="I18" s="92">
        <f>CLE!H$2</f>
        <v>7.2235246947888987</v>
      </c>
      <c r="J18" s="92">
        <f>CLE!I$2</f>
        <v>82.696074999999993</v>
      </c>
      <c r="K18" s="92">
        <f>CLE!J$2</f>
        <v>420.16003883315818</v>
      </c>
      <c r="L18" s="92">
        <f>CLE!K$2</f>
        <v>3.2251469249999998</v>
      </c>
      <c r="M18" s="92">
        <f t="shared" si="0"/>
        <v>295.73792995018431</v>
      </c>
      <c r="N18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292.12616760278985</v>
      </c>
      <c r="O18" s="94">
        <v>0</v>
      </c>
    </row>
    <row r="19" spans="1:15" x14ac:dyDescent="0.25">
      <c r="A19" s="90">
        <f>IF(TableQBMaster[[#This Row],[Player]]&lt;&gt;0,A18+1,A18)</f>
        <v>16</v>
      </c>
      <c r="B19" s="91" t="str">
        <f>CLE!A$3</f>
        <v>Jameis Winston</v>
      </c>
      <c r="C19" s="91" t="s">
        <v>94</v>
      </c>
      <c r="D19" s="91">
        <f>CLE!C$3</f>
        <v>10</v>
      </c>
      <c r="E19" s="92">
        <f>CLE!D$3</f>
        <v>10.972500000000009</v>
      </c>
      <c r="F19" s="92">
        <f>CLE!E$3</f>
        <v>6.7543698454041987</v>
      </c>
      <c r="G19" s="92">
        <f>CLE!F$3</f>
        <v>75.909460684343799</v>
      </c>
      <c r="H19" s="92">
        <f>CLE!G$3</f>
        <v>0.41878439108182036</v>
      </c>
      <c r="I19" s="92">
        <f>CLE!H$3</f>
        <v>0.21422733386578013</v>
      </c>
      <c r="J19" s="92">
        <f>CLE!I$3</f>
        <v>4.8644749999999997</v>
      </c>
      <c r="K19" s="92">
        <f>CLE!J$3</f>
        <v>16.588640695597348</v>
      </c>
      <c r="L19" s="92">
        <f>CLE!K$3</f>
        <v>8.7076054863993377E-2</v>
      </c>
      <c r="M19" s="92">
        <f t="shared" si="0"/>
        <v>6.5714953896460582</v>
      </c>
      <c r="N19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6.4643817227131688</v>
      </c>
      <c r="O19" s="94">
        <v>0</v>
      </c>
    </row>
    <row r="20" spans="1:15" x14ac:dyDescent="0.25">
      <c r="A20" s="90">
        <f>IF(TableQBMaster[[#This Row],[Player]]&lt;&gt;0,A19+1,A19)</f>
        <v>17</v>
      </c>
      <c r="B20" s="91" t="str">
        <f>DAL!A$2</f>
        <v>Dak Prescott</v>
      </c>
      <c r="C20" s="91" t="s">
        <v>95</v>
      </c>
      <c r="D20" s="91">
        <f>DAL!C$2</f>
        <v>7</v>
      </c>
      <c r="E20" s="92">
        <f>DAL!D$2</f>
        <v>609.83243999999991</v>
      </c>
      <c r="F20" s="92">
        <f>DAL!E$2</f>
        <v>411.99441147158257</v>
      </c>
      <c r="G20" s="92">
        <f>DAL!F$2</f>
        <v>4556.6581908757034</v>
      </c>
      <c r="H20" s="92">
        <f>DAL!G$2</f>
        <v>32.930951759999992</v>
      </c>
      <c r="I20" s="92">
        <f>DAL!H$2</f>
        <v>7.5420368362322785</v>
      </c>
      <c r="J20" s="92">
        <f>DAL!I$2</f>
        <v>46.808098680000001</v>
      </c>
      <c r="K20" s="92">
        <f>DAL!J$2</f>
        <v>209.70028208640002</v>
      </c>
      <c r="L20" s="92">
        <f>DAL!K$2</f>
        <v>1.82551584852</v>
      </c>
      <c r="M20" s="92">
        <f t="shared" si="0"/>
        <v>334.60020272043977</v>
      </c>
      <c r="N20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330.82918430232354</v>
      </c>
      <c r="O20" s="94">
        <v>14.963176810803908</v>
      </c>
    </row>
    <row r="21" spans="1:15" x14ac:dyDescent="0.25">
      <c r="A21" s="90">
        <f>IF(TableQBMaster[[#This Row],[Player]]&lt;&gt;0,A20+1,A20)</f>
        <v>18</v>
      </c>
      <c r="B21" s="91" t="str">
        <f>DAL!A$3</f>
        <v>Trey Lance</v>
      </c>
      <c r="C21" s="91" t="s">
        <v>95</v>
      </c>
      <c r="D21" s="91">
        <f>DAL!C$3</f>
        <v>7</v>
      </c>
      <c r="E21" s="92">
        <f>DAL!D$3</f>
        <v>12.445560000000009</v>
      </c>
      <c r="F21" s="92">
        <f>DAL!E$3</f>
        <v>7.7169749141520727</v>
      </c>
      <c r="G21" s="92">
        <f>DAL!F$3</f>
        <v>82.184950252455806</v>
      </c>
      <c r="H21" s="92">
        <f>DAL!G$3</f>
        <v>0.50404414639701622</v>
      </c>
      <c r="I21" s="92">
        <f>DAL!H$3</f>
        <v>0.27825469245695994</v>
      </c>
      <c r="J21" s="92">
        <f>DAL!I$3</f>
        <v>2.2722378000000001</v>
      </c>
      <c r="K21" s="92">
        <f>DAL!J$3</f>
        <v>7.7130669439256323</v>
      </c>
      <c r="L21" s="92">
        <f>DAL!K$3</f>
        <v>1.6828437336013292E-2</v>
      </c>
      <c r="M21" s="92">
        <f t="shared" si="0"/>
        <v>5.7584698754095003</v>
      </c>
      <c r="N21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5.6193425291810213</v>
      </c>
      <c r="O21" s="94">
        <v>0</v>
      </c>
    </row>
    <row r="22" spans="1:15" x14ac:dyDescent="0.25">
      <c r="A22" s="90">
        <f>IF(TableQBMaster[[#This Row],[Player]]&lt;&gt;0,A21+1,A21)</f>
        <v>19</v>
      </c>
      <c r="B22" s="91" t="str">
        <f>DEN!A$2</f>
        <v>Bo Nix</v>
      </c>
      <c r="C22" s="91" t="s">
        <v>96</v>
      </c>
      <c r="D22" s="91">
        <f>DEN!C$2</f>
        <v>14</v>
      </c>
      <c r="E22" s="92">
        <f>DEN!D$2</f>
        <v>553.38924999999995</v>
      </c>
      <c r="F22" s="92">
        <f>DEN!E$2</f>
        <v>344.97325081961122</v>
      </c>
      <c r="G22" s="92">
        <f>DEN!F$2</f>
        <v>3815.4041540649005</v>
      </c>
      <c r="H22" s="92">
        <f>DEN!G$2</f>
        <v>22.301586775000001</v>
      </c>
      <c r="I22" s="92">
        <f>DEN!H$2</f>
        <v>7.2656029534218431</v>
      </c>
      <c r="J22" s="92">
        <f>DEN!I$2</f>
        <v>65.487779700000004</v>
      </c>
      <c r="K22" s="92">
        <f>DEN!J$2</f>
        <v>273.43925259927005</v>
      </c>
      <c r="L22" s="92">
        <f>DEN!K$2</f>
        <v>3.5363401038000002</v>
      </c>
      <c r="M22" s="92">
        <f t="shared" si="0"/>
        <v>279.48607471519028</v>
      </c>
      <c r="N22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275.85327323847935</v>
      </c>
      <c r="O22" s="94">
        <v>0</v>
      </c>
    </row>
    <row r="23" spans="1:15" x14ac:dyDescent="0.25">
      <c r="A23" s="90">
        <f>IF(TableQBMaster[[#This Row],[Player]]&lt;&gt;0,A22+1,A22)</f>
        <v>20</v>
      </c>
      <c r="B23" s="91" t="str">
        <f>DEN!A$3</f>
        <v>Zach Wilson</v>
      </c>
      <c r="C23" s="91" t="s">
        <v>96</v>
      </c>
      <c r="D23" s="91">
        <f>DEN!C$3</f>
        <v>14</v>
      </c>
      <c r="E23" s="92">
        <f>DEN!D$3</f>
        <v>23.300599999999999</v>
      </c>
      <c r="F23" s="92">
        <f>DEN!E$3</f>
        <v>13.793955199999999</v>
      </c>
      <c r="G23" s="92">
        <f>DEN!F$3</f>
        <v>148.14707884800001</v>
      </c>
      <c r="H23" s="92">
        <f>DEN!G$3</f>
        <v>0.88542279999999995</v>
      </c>
      <c r="I23" s="92">
        <f>DEN!H$3</f>
        <v>0.20415053695999999</v>
      </c>
      <c r="J23" s="92">
        <f>DEN!I$3</f>
        <v>0.87903060000000011</v>
      </c>
      <c r="K23" s="92">
        <f>DEN!J$3</f>
        <v>3.9116861700000007</v>
      </c>
      <c r="L23" s="92">
        <f>DEN!K$3</f>
        <v>2.4612856800000003E-2</v>
      </c>
      <c r="M23" s="92">
        <f t="shared" si="0"/>
        <v>9.7001943062800002</v>
      </c>
      <c r="N23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9.5981190378000001</v>
      </c>
      <c r="O23" s="94">
        <v>0</v>
      </c>
    </row>
    <row r="24" spans="1:15" x14ac:dyDescent="0.25">
      <c r="A24" s="90">
        <f>IF(TableQBMaster[[#This Row],[Player]]&lt;&gt;0,A23+1,A23)</f>
        <v>21</v>
      </c>
      <c r="B24" s="91" t="str">
        <f>DET!A$2</f>
        <v>Jared Goff</v>
      </c>
      <c r="C24" s="91" t="s">
        <v>97</v>
      </c>
      <c r="D24" s="91">
        <f>DET!C$2</f>
        <v>5</v>
      </c>
      <c r="E24" s="92">
        <f>DET!D$2</f>
        <v>592.67459999999994</v>
      </c>
      <c r="F24" s="92">
        <f>DET!E$2</f>
        <v>399.63111327548756</v>
      </c>
      <c r="G24" s="92">
        <f>DET!F$2</f>
        <v>4482.2463890700856</v>
      </c>
      <c r="H24" s="92">
        <f>DET!G$2</f>
        <v>30.819079199999994</v>
      </c>
      <c r="I24" s="92">
        <f>DET!H$2</f>
        <v>6.4239213854865307</v>
      </c>
      <c r="J24" s="92">
        <f>DET!I$2</f>
        <v>31.297378000000009</v>
      </c>
      <c r="K24" s="92">
        <f>DET!J$2</f>
        <v>60.704217478589875</v>
      </c>
      <c r="L24" s="92">
        <f>DET!K$2</f>
        <v>1.23216195363023</v>
      </c>
      <c r="M24" s="92">
        <f t="shared" si="0"/>
        <v>306.39368375421401</v>
      </c>
      <c r="N24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303.18172306147073</v>
      </c>
      <c r="O24" s="94">
        <v>0</v>
      </c>
    </row>
    <row r="25" spans="1:15" x14ac:dyDescent="0.25">
      <c r="A25" s="90">
        <f>IF(TableQBMaster[[#This Row],[Player]]&lt;&gt;0,A24+1,A24)</f>
        <v>22</v>
      </c>
      <c r="B25" s="91" t="str">
        <f>DET!A$3</f>
        <v>Hendon Hooker</v>
      </c>
      <c r="C25" s="91" t="s">
        <v>97</v>
      </c>
      <c r="D25" s="91">
        <f>DET!C$3</f>
        <v>5</v>
      </c>
      <c r="E25" s="92">
        <f>DET!D$3</f>
        <v>12.09540000000001</v>
      </c>
      <c r="F25" s="92">
        <f>DET!E$3</f>
        <v>7.8102907970081281</v>
      </c>
      <c r="G25" s="92">
        <f>DET!F$3</f>
        <v>82.323179939237278</v>
      </c>
      <c r="H25" s="92">
        <f>DET!G$3</f>
        <v>0.51380625560603266</v>
      </c>
      <c r="I25" s="92">
        <f>DET!H$3</f>
        <v>0.18473386771647521</v>
      </c>
      <c r="J25" s="92">
        <f>DET!I$3</f>
        <v>0</v>
      </c>
      <c r="K25" s="92">
        <f>DET!J$3</f>
        <v>0</v>
      </c>
      <c r="L25" s="92">
        <f>DET!K$3</f>
        <v>0</v>
      </c>
      <c r="M25" s="92">
        <f t="shared" si="0"/>
        <v>5.0710514184189091</v>
      </c>
      <c r="N25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4.9786844845606719</v>
      </c>
      <c r="O25" s="94">
        <v>0</v>
      </c>
    </row>
    <row r="26" spans="1:15" x14ac:dyDescent="0.25">
      <c r="A26" s="90">
        <f>IF(TableQBMaster[[#This Row],[Player]]&lt;&gt;0,A25+1,A25)</f>
        <v>23</v>
      </c>
      <c r="B26" s="91" t="str">
        <f>GB!A$2</f>
        <v>Jordan Love</v>
      </c>
      <c r="C26" s="91" t="s">
        <v>98</v>
      </c>
      <c r="D26" s="91">
        <f>GB!C$2</f>
        <v>10</v>
      </c>
      <c r="E26" s="92">
        <f>GB!D$2</f>
        <v>576.02160000000003</v>
      </c>
      <c r="F26" s="92">
        <f>GB!E$2</f>
        <v>378.88504275461366</v>
      </c>
      <c r="G26" s="92">
        <f>GB!F$2</f>
        <v>4322.6213086755724</v>
      </c>
      <c r="H26" s="92">
        <f>GB!G$2</f>
        <v>31.969198800000001</v>
      </c>
      <c r="I26" s="92">
        <f>GB!H$2</f>
        <v>6.8428246578237495</v>
      </c>
      <c r="J26" s="92">
        <f>GB!I$2</f>
        <v>49.281847999999997</v>
      </c>
      <c r="K26" s="92">
        <f>GB!J$2</f>
        <v>217.58067603963559</v>
      </c>
      <c r="L26" s="92">
        <f>GB!K$2</f>
        <v>2.2176831599999995</v>
      </c>
      <c r="M26" s="92">
        <f t="shared" si="0"/>
        <v>325.58157712425083</v>
      </c>
      <c r="N26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322.16016479533897</v>
      </c>
      <c r="O26" s="94">
        <v>16.118099546479993</v>
      </c>
    </row>
    <row r="27" spans="1:15" x14ac:dyDescent="0.25">
      <c r="A27" s="90">
        <f>IF(TableQBMaster[[#This Row],[Player]]&lt;&gt;0,A26+1,A26)</f>
        <v>24</v>
      </c>
      <c r="B27" s="91" t="str">
        <f>GB!A$3</f>
        <v>Sean Clifford</v>
      </c>
      <c r="C27" s="91" t="s">
        <v>98</v>
      </c>
      <c r="D27" s="91">
        <f>GB!C$3</f>
        <v>10</v>
      </c>
      <c r="E27" s="92">
        <f>GB!D$3</f>
        <v>5.8184000000000058</v>
      </c>
      <c r="F27" s="92">
        <f>GB!E$3</f>
        <v>3.6625231036463926</v>
      </c>
      <c r="G27" s="92">
        <f>GB!F$3</f>
        <v>40.486071093469072</v>
      </c>
      <c r="H27" s="92">
        <f>GB!G$3</f>
        <v>0.30377610998709209</v>
      </c>
      <c r="I27" s="92">
        <f>GB!H$3</f>
        <v>9.167665644347156E-2</v>
      </c>
      <c r="J27" s="92">
        <f>GB!I$3</f>
        <v>0</v>
      </c>
      <c r="K27" s="92">
        <f>GB!J$3</f>
        <v>0</v>
      </c>
      <c r="L27" s="92">
        <f>GB!K$3</f>
        <v>0</v>
      </c>
      <c r="M27" s="92">
        <f t="shared" si="0"/>
        <v>2.6970322990219238</v>
      </c>
      <c r="N27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2.6511939708001879</v>
      </c>
      <c r="O27" s="94">
        <v>0</v>
      </c>
    </row>
    <row r="28" spans="1:15" x14ac:dyDescent="0.25">
      <c r="A28" s="90">
        <f>IF(TableQBMaster[[#This Row],[Player]]&lt;&gt;0,A27+1,A27)</f>
        <v>25</v>
      </c>
      <c r="B28" s="91" t="str">
        <f>HOU!A$3</f>
        <v>Case Keenum</v>
      </c>
      <c r="C28" s="91" t="s">
        <v>99</v>
      </c>
      <c r="D28" s="91">
        <f>HOU!C$3</f>
        <v>14</v>
      </c>
      <c r="E28" s="92">
        <f>HOU!D$3</f>
        <v>6.0631999999999993</v>
      </c>
      <c r="F28" s="92">
        <f>HOU!E$3</f>
        <v>3.7760003718600279</v>
      </c>
      <c r="G28" s="92">
        <f>HOU!F$3</f>
        <v>40.8627664792416</v>
      </c>
      <c r="H28" s="92">
        <f>HOU!G$3</f>
        <v>0.29103359999999995</v>
      </c>
      <c r="I28" s="92">
        <f>HOU!H$3</f>
        <v>9.8725444638517984E-2</v>
      </c>
      <c r="J28" s="92">
        <f>HOU!I$3</f>
        <v>0</v>
      </c>
      <c r="K28" s="92">
        <f>HOU!J$3</f>
        <v>0</v>
      </c>
      <c r="L28" s="92">
        <f>HOU!K$3</f>
        <v>0</v>
      </c>
      <c r="M28" s="92">
        <f t="shared" si="0"/>
        <v>2.650556892211887</v>
      </c>
      <c r="N28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2.601194169892628</v>
      </c>
      <c r="O28" s="94">
        <v>0</v>
      </c>
    </row>
    <row r="29" spans="1:15" x14ac:dyDescent="0.25">
      <c r="A29" s="90">
        <f>IF(TableQBMaster[[#This Row],[Player]]&lt;&gt;0,A28+1,A28)</f>
        <v>26</v>
      </c>
      <c r="B29" s="91" t="str">
        <f>HOU!A$2</f>
        <v>C.J. Stroud</v>
      </c>
      <c r="C29" s="91" t="s">
        <v>99</v>
      </c>
      <c r="D29" s="91">
        <f>HOU!C$2</f>
        <v>14</v>
      </c>
      <c r="E29" s="92">
        <f>HOU!D$2</f>
        <v>600.25679999999988</v>
      </c>
      <c r="F29" s="92">
        <f>HOU!E$2</f>
        <v>392.76631066734694</v>
      </c>
      <c r="G29" s="92">
        <f>HOU!F$2</f>
        <v>4705.3404017948169</v>
      </c>
      <c r="H29" s="92">
        <f>HOU!G$2</f>
        <v>31.513481999999993</v>
      </c>
      <c r="I29" s="92">
        <f>HOU!H$2</f>
        <v>5.6543183371276093</v>
      </c>
      <c r="J29" s="92">
        <f>HOU!I$2</f>
        <v>38.250576000000002</v>
      </c>
      <c r="K29" s="92">
        <f>HOU!J$2</f>
        <v>158.51481338402735</v>
      </c>
      <c r="L29" s="92">
        <f>HOU!K$2</f>
        <v>1.9242119760818577</v>
      </c>
      <c r="M29" s="92">
        <f t="shared" si="0"/>
        <v>333.18281976099507</v>
      </c>
      <c r="N29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330.35566059243126</v>
      </c>
      <c r="O29" s="94">
        <v>0</v>
      </c>
    </row>
    <row r="30" spans="1:15" x14ac:dyDescent="0.25">
      <c r="A30" s="90">
        <f>IF(TableQBMaster[[#This Row],[Player]]&lt;&gt;0,A29+1,A29)</f>
        <v>26</v>
      </c>
      <c r="B30" s="91">
        <f>HOU!A$4</f>
        <v>0</v>
      </c>
      <c r="C30" s="91" t="s">
        <v>99</v>
      </c>
      <c r="D30" s="91">
        <f>HOU!C$4</f>
        <v>14</v>
      </c>
      <c r="E30" s="92">
        <f>HOU!D$4</f>
        <v>0</v>
      </c>
      <c r="F30" s="92">
        <f>HOU!E$4</f>
        <v>0</v>
      </c>
      <c r="G30" s="92">
        <f>HOU!F$4</f>
        <v>0</v>
      </c>
      <c r="H30" s="92">
        <f>HOU!G$4</f>
        <v>0</v>
      </c>
      <c r="I30" s="92">
        <f>HOU!H$4</f>
        <v>0</v>
      </c>
      <c r="J30" s="92">
        <f>HOU!I$4</f>
        <v>0</v>
      </c>
      <c r="K30" s="92">
        <f>HOU!J$4</f>
        <v>0</v>
      </c>
      <c r="L30" s="92">
        <f>HOU!K$4</f>
        <v>0</v>
      </c>
      <c r="M30" s="92">
        <f t="shared" si="0"/>
        <v>0</v>
      </c>
      <c r="N30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0</v>
      </c>
      <c r="O30" s="94">
        <v>0</v>
      </c>
    </row>
    <row r="31" spans="1:15" x14ac:dyDescent="0.25">
      <c r="A31" s="90">
        <f>IF(TableQBMaster[[#This Row],[Player]]&lt;&gt;0,A30+1,A30)</f>
        <v>27</v>
      </c>
      <c r="B31" s="91" t="str">
        <f>IND!A$2</f>
        <v>Anthony Richardson</v>
      </c>
      <c r="C31" s="91" t="s">
        <v>100</v>
      </c>
      <c r="D31" s="91">
        <f>IND!C$2</f>
        <v>14</v>
      </c>
      <c r="E31" s="92">
        <f>IND!D$2</f>
        <v>520.20100000000002</v>
      </c>
      <c r="F31" s="92">
        <f>IND!E$2</f>
        <v>326.36403489000071</v>
      </c>
      <c r="G31" s="92">
        <f>IND!F$2</f>
        <v>3655.8084668775996</v>
      </c>
      <c r="H31" s="92">
        <f>IND!G$2</f>
        <v>22.368642999999999</v>
      </c>
      <c r="I31" s="92">
        <f>IND!H$2</f>
        <v>6.0357611036852434</v>
      </c>
      <c r="J31" s="92">
        <f>IND!I$2</f>
        <v>136.49204800000001</v>
      </c>
      <c r="K31" s="92">
        <f>IND!J$2</f>
        <v>686.03471248911717</v>
      </c>
      <c r="L31" s="92">
        <f>IND!K$2</f>
        <v>8.5105514237598872</v>
      </c>
      <c r="M31" s="92">
        <f t="shared" si="0"/>
        <v>346.32004881104717</v>
      </c>
      <c r="N31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343.30216825920456</v>
      </c>
      <c r="O31" s="94">
        <v>0</v>
      </c>
    </row>
    <row r="32" spans="1:15" x14ac:dyDescent="0.25">
      <c r="A32" s="90">
        <f>IF(TableQBMaster[[#This Row],[Player]]&lt;&gt;0,A31+1,A31)</f>
        <v>28</v>
      </c>
      <c r="B32" s="91" t="str">
        <f>IND!A$3</f>
        <v>Joe Flacco</v>
      </c>
      <c r="C32" s="91" t="s">
        <v>100</v>
      </c>
      <c r="D32" s="91">
        <f>IND!C$3</f>
        <v>14</v>
      </c>
      <c r="E32" s="92">
        <f>IND!D$3</f>
        <v>27.379000000000026</v>
      </c>
      <c r="F32" s="92">
        <f>IND!E$3</f>
        <v>17.271477138695317</v>
      </c>
      <c r="G32" s="92">
        <f>IND!F$3</f>
        <v>195.17699964440982</v>
      </c>
      <c r="H32" s="92">
        <f>IND!G$3</f>
        <v>1.1600043658534644</v>
      </c>
      <c r="I32" s="92">
        <f>IND!H$3</f>
        <v>0.38951239763541862</v>
      </c>
      <c r="J32" s="92">
        <f>IND!I$3</f>
        <v>0</v>
      </c>
      <c r="K32" s="92">
        <f>IND!J$3</f>
        <v>0</v>
      </c>
      <c r="L32" s="92">
        <f>IND!K$3</f>
        <v>0</v>
      </c>
      <c r="M32" s="92">
        <f t="shared" si="0"/>
        <v>11.862828852737122</v>
      </c>
      <c r="N32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11.668072653919413</v>
      </c>
      <c r="O32" s="94">
        <v>0</v>
      </c>
    </row>
    <row r="33" spans="1:15" x14ac:dyDescent="0.25">
      <c r="A33" s="90">
        <f>IF(TableQBMaster[[#This Row],[Player]]&lt;&gt;0,A32+1,A32)</f>
        <v>29</v>
      </c>
      <c r="B33" s="91" t="str">
        <f>JAX!A$2</f>
        <v>Trevor Lawrence</v>
      </c>
      <c r="C33" s="91" t="s">
        <v>118</v>
      </c>
      <c r="D33" s="91">
        <f>JAX!C$2</f>
        <v>12</v>
      </c>
      <c r="E33" s="92">
        <f>JAX!D$2</f>
        <v>608.33717999999999</v>
      </c>
      <c r="F33" s="92">
        <f>JAX!E$2</f>
        <v>397.1554754441085</v>
      </c>
      <c r="G33" s="92">
        <f>JAX!F$2</f>
        <v>4420.3404416929279</v>
      </c>
      <c r="H33" s="92">
        <f>JAX!G$2</f>
        <v>26.766835919999998</v>
      </c>
      <c r="I33" s="92">
        <f>JAX!H$2</f>
        <v>7.4530853637280483</v>
      </c>
      <c r="J33" s="92">
        <f>JAX!I$2</f>
        <v>60.301869600000011</v>
      </c>
      <c r="K33" s="92">
        <f>JAX!J$2</f>
        <v>279.35918862580735</v>
      </c>
      <c r="L33" s="92">
        <f>JAX!K$2</f>
        <v>3.0753953496000004</v>
      </c>
      <c r="M33" s="92">
        <f t="shared" si="0"/>
        <v>319.08962426230573</v>
      </c>
      <c r="N33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315.36308158044176</v>
      </c>
      <c r="O33" s="94">
        <v>6.07799409151934</v>
      </c>
    </row>
    <row r="34" spans="1:15" x14ac:dyDescent="0.25">
      <c r="A34" s="90">
        <f>IF(TableQBMaster[[#This Row],[Player]]&lt;&gt;0,A33+1,A33)</f>
        <v>30</v>
      </c>
      <c r="B34" s="91" t="str">
        <f>JAX!A$3</f>
        <v>Mac Jones</v>
      </c>
      <c r="C34" s="91" t="s">
        <v>118</v>
      </c>
      <c r="D34" s="91">
        <f>JAX!C$3</f>
        <v>12</v>
      </c>
      <c r="E34" s="92">
        <f>JAX!D$3</f>
        <v>6.1448200000000055</v>
      </c>
      <c r="F34" s="92">
        <f>JAX!E$3</f>
        <v>4.1265444873741135</v>
      </c>
      <c r="G34" s="92">
        <f>JAX!F$3</f>
        <v>44.106535516988409</v>
      </c>
      <c r="H34" s="92">
        <f>JAX!G$3</f>
        <v>0.25808244000000025</v>
      </c>
      <c r="I34" s="92">
        <f>JAX!H$3</f>
        <v>0.12025715801226826</v>
      </c>
      <c r="J34" s="92">
        <f>JAX!I$3</f>
        <v>0</v>
      </c>
      <c r="K34" s="92">
        <f>JAX!J$3</f>
        <v>0</v>
      </c>
      <c r="L34" s="92">
        <f>JAX!K$3</f>
        <v>0</v>
      </c>
      <c r="M34" s="92">
        <f t="shared" si="0"/>
        <v>2.6162054436611348</v>
      </c>
      <c r="N34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2.5560768646550009</v>
      </c>
      <c r="O34" s="94">
        <v>0</v>
      </c>
    </row>
    <row r="35" spans="1:15" x14ac:dyDescent="0.25">
      <c r="A35" s="90">
        <f>IF(TableQBMaster[[#This Row],[Player]]&lt;&gt;0,A34+1,A34)</f>
        <v>31</v>
      </c>
      <c r="B35" s="91" t="str">
        <f>KC!A$2</f>
        <v>Patrick Mahomes</v>
      </c>
      <c r="C35" s="91" t="s">
        <v>102</v>
      </c>
      <c r="D35" s="91">
        <f>KC!C$2</f>
        <v>6</v>
      </c>
      <c r="E35" s="92">
        <f>KC!D$2</f>
        <v>636.76799999999992</v>
      </c>
      <c r="F35" s="92">
        <f>KC!E$2</f>
        <v>429.18163199999998</v>
      </c>
      <c r="G35" s="92">
        <f>KC!F$2</f>
        <v>4871.2115231999996</v>
      </c>
      <c r="H35" s="92">
        <f>KC!G$2</f>
        <v>35.659007999999993</v>
      </c>
      <c r="I35" s="92">
        <f>KC!H$2</f>
        <v>6.9918730139150211</v>
      </c>
      <c r="J35" s="92">
        <f>KC!I$2</f>
        <v>58.831360000000011</v>
      </c>
      <c r="K35" s="92">
        <f>KC!J$2</f>
        <v>311.80620800000003</v>
      </c>
      <c r="L35" s="92">
        <f>KC!K$2</f>
        <v>2.0002662400000006</v>
      </c>
      <c r="M35" s="92">
        <f t="shared" si="0"/>
        <v>370.17890164712742</v>
      </c>
      <c r="N35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366.68296514016993</v>
      </c>
      <c r="O35" s="94">
        <v>24</v>
      </c>
    </row>
    <row r="36" spans="1:15" x14ac:dyDescent="0.25">
      <c r="A36" s="90">
        <f>IF(TableQBMaster[[#This Row],[Player]]&lt;&gt;0,A35+1,A35)</f>
        <v>32</v>
      </c>
      <c r="B36" s="91" t="str">
        <f>KC!A$3</f>
        <v>Carson Wentz</v>
      </c>
      <c r="C36" s="91" t="s">
        <v>102</v>
      </c>
      <c r="D36" s="91">
        <f>KC!C$3</f>
        <v>6</v>
      </c>
      <c r="E36" s="92">
        <f>KC!D$3</f>
        <v>6.4320000000000048</v>
      </c>
      <c r="F36" s="92">
        <f>KC!E$3</f>
        <v>4.122912000000003</v>
      </c>
      <c r="G36" s="92">
        <f>KC!F$3</f>
        <v>43.690640662688217</v>
      </c>
      <c r="H36" s="92">
        <f>KC!G$3</f>
        <v>0.33696536097145974</v>
      </c>
      <c r="I36" s="92">
        <f>KC!H$3</f>
        <v>0.1147235772256726</v>
      </c>
      <c r="J36" s="92">
        <f>KC!I$3</f>
        <v>0</v>
      </c>
      <c r="K36" s="92">
        <f>KC!J$3</f>
        <v>0</v>
      </c>
      <c r="L36" s="92">
        <f>KC!K$3</f>
        <v>0</v>
      </c>
      <c r="M36" s="92">
        <f t="shared" ref="M36:M69" si="3">(G36/25)+(H36*4)+(I36*-1.5)+(K36/10)+(L36*6)</f>
        <v>2.923401704554859</v>
      </c>
      <c r="N36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2.8660399159420229</v>
      </c>
      <c r="O36" s="94">
        <v>0</v>
      </c>
    </row>
    <row r="37" spans="1:15" x14ac:dyDescent="0.25">
      <c r="A37" s="90">
        <f>IF(TableQBMaster[[#This Row],[Player]]&lt;&gt;0,A36+1,A36)</f>
        <v>33</v>
      </c>
      <c r="B37" s="91" t="str">
        <f>LAC!A$2</f>
        <v>Justin Herbert</v>
      </c>
      <c r="C37" s="91" t="s">
        <v>103</v>
      </c>
      <c r="D37" s="91">
        <f>LAC!C$2</f>
        <v>5</v>
      </c>
      <c r="E37" s="92">
        <f>LAC!D$2</f>
        <v>512.7813000000001</v>
      </c>
      <c r="F37" s="92">
        <f>LAC!E$2</f>
        <v>335.51019957569457</v>
      </c>
      <c r="G37" s="92">
        <f>LAC!F$2</f>
        <v>3740.9387252689944</v>
      </c>
      <c r="H37" s="92">
        <f>LAC!G$2</f>
        <v>24.024284297131754</v>
      </c>
      <c r="I37" s="92">
        <f>LAC!H$2</f>
        <v>5.0361709609782439</v>
      </c>
      <c r="J37" s="92">
        <f>LAC!I$2</f>
        <v>57.770176799999987</v>
      </c>
      <c r="K37" s="92">
        <f>LAC!J$2</f>
        <v>252.48270172272572</v>
      </c>
      <c r="L37" s="92">
        <f>LAC!K$2</f>
        <v>2.3015913562728687</v>
      </c>
      <c r="M37" s="92">
        <f t="shared" si="3"/>
        <v>277.23824806772916</v>
      </c>
      <c r="N37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274.72016258724005</v>
      </c>
      <c r="O37" s="94">
        <v>12.05655843904823</v>
      </c>
    </row>
    <row r="38" spans="1:15" x14ac:dyDescent="0.25">
      <c r="A38" s="90">
        <f>IF(TableQBMaster[[#This Row],[Player]]&lt;&gt;0,A37+1,A37)</f>
        <v>34</v>
      </c>
      <c r="B38" s="91" t="str">
        <f>LAC!A$3</f>
        <v>Easton Stick</v>
      </c>
      <c r="C38" s="91" t="s">
        <v>103</v>
      </c>
      <c r="D38" s="91">
        <f>LAC!C$3</f>
        <v>5</v>
      </c>
      <c r="E38" s="92">
        <f>LAC!D$3</f>
        <v>56.97570000000001</v>
      </c>
      <c r="F38" s="92">
        <f>LAC!E$3</f>
        <v>35.210982600000008</v>
      </c>
      <c r="G38" s="92">
        <f>LAC!F$3</f>
        <v>383.0954906880001</v>
      </c>
      <c r="H38" s="92">
        <f>LAC!G$3</f>
        <v>2.5944222342420766</v>
      </c>
      <c r="I38" s="92">
        <f>LAC!H$3</f>
        <v>0.63816084401494966</v>
      </c>
      <c r="J38" s="92">
        <f>LAC!I$3</f>
        <v>0</v>
      </c>
      <c r="K38" s="92">
        <f>LAC!J$3</f>
        <v>0</v>
      </c>
      <c r="L38" s="92">
        <f>LAC!K$3</f>
        <v>0</v>
      </c>
      <c r="M38" s="92">
        <f t="shared" si="3"/>
        <v>24.744267298465886</v>
      </c>
      <c r="N38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24.425186876458412</v>
      </c>
      <c r="O38" s="94">
        <v>0</v>
      </c>
    </row>
    <row r="39" spans="1:15" x14ac:dyDescent="0.25">
      <c r="A39" s="90">
        <f>IF(TableQBMaster[[#This Row],[Player]]&lt;&gt;0,A38+1,A38)</f>
        <v>35</v>
      </c>
      <c r="B39" s="91" t="str">
        <f>LAR!A$2</f>
        <v>Matthew Stafford</v>
      </c>
      <c r="C39" s="91" t="s">
        <v>104</v>
      </c>
      <c r="D39" s="91">
        <f>LAR!C$2</f>
        <v>6</v>
      </c>
      <c r="E39" s="92">
        <f>LAR!D$2</f>
        <v>591.45023999999989</v>
      </c>
      <c r="F39" s="92">
        <f>LAR!E$2</f>
        <v>379.74343148996815</v>
      </c>
      <c r="G39" s="92">
        <f>LAR!F$2</f>
        <v>4473.3776229518244</v>
      </c>
      <c r="H39" s="92">
        <f>LAR!G$2</f>
        <v>28.567046591999997</v>
      </c>
      <c r="I39" s="92">
        <f>LAR!H$2</f>
        <v>7.1716503458743217</v>
      </c>
      <c r="J39" s="92">
        <f>LAR!I$2</f>
        <v>21.065394000000001</v>
      </c>
      <c r="K39" s="92">
        <f>LAR!J$2</f>
        <v>54.71061728567436</v>
      </c>
      <c r="L39" s="92">
        <f>LAR!K$2</f>
        <v>0.44237327400000004</v>
      </c>
      <c r="M39" s="92">
        <f t="shared" si="3"/>
        <v>290.57111713982897</v>
      </c>
      <c r="N39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286.98529196689174</v>
      </c>
      <c r="O39" s="94">
        <v>1.8629292270178726</v>
      </c>
    </row>
    <row r="40" spans="1:15" x14ac:dyDescent="0.25">
      <c r="A40" s="90">
        <f>IF(TableQBMaster[[#This Row],[Player]]&lt;&gt;0,A39+1,A39)</f>
        <v>36</v>
      </c>
      <c r="B40" s="91" t="str">
        <f>LAR!A$3</f>
        <v>Jimmy Garoppolo</v>
      </c>
      <c r="C40" s="91" t="s">
        <v>104</v>
      </c>
      <c r="D40" s="91">
        <f>LAR!C$3</f>
        <v>6</v>
      </c>
      <c r="E40" s="92">
        <f>LAR!D$3</f>
        <v>24.643760000000018</v>
      </c>
      <c r="F40" s="92">
        <f>LAR!E$3</f>
        <v>15.991886148862717</v>
      </c>
      <c r="G40" s="92">
        <f>LAR!F$3</f>
        <v>184.32597815797246</v>
      </c>
      <c r="H40" s="92">
        <f>LAR!G$3</f>
        <v>1.1488446127976062</v>
      </c>
      <c r="I40" s="92">
        <f>LAR!H$3</f>
        <v>0.40828595440010063</v>
      </c>
      <c r="J40" s="92">
        <f>LAR!I$3</f>
        <v>0</v>
      </c>
      <c r="K40" s="92">
        <f>LAR!J$3</f>
        <v>0</v>
      </c>
      <c r="L40" s="92">
        <f>LAR!K$3</f>
        <v>0</v>
      </c>
      <c r="M40" s="92">
        <f t="shared" si="3"/>
        <v>11.355988645909171</v>
      </c>
      <c r="N40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11.151845668709123</v>
      </c>
      <c r="O40" s="94">
        <v>0</v>
      </c>
    </row>
    <row r="41" spans="1:15" x14ac:dyDescent="0.25">
      <c r="A41" s="90">
        <f>IF(TableQBMaster[[#This Row],[Player]]&lt;&gt;0,A40+1,A40)</f>
        <v>37</v>
      </c>
      <c r="B41" s="91" t="str">
        <f>LV!A$2</f>
        <v>Gardner Minshew</v>
      </c>
      <c r="C41" s="91" t="s">
        <v>162</v>
      </c>
      <c r="D41" s="91">
        <f>LV!C$2</f>
        <v>10</v>
      </c>
      <c r="E41" s="92">
        <f>LV!D$2</f>
        <v>356.7</v>
      </c>
      <c r="F41" s="92">
        <f>LV!E$2</f>
        <v>225.75824425507463</v>
      </c>
      <c r="G41" s="92">
        <f>LV!F$2</f>
        <v>2490.1134341334732</v>
      </c>
      <c r="H41" s="92">
        <f>LV!G$2</f>
        <v>14.151877824588276</v>
      </c>
      <c r="I41" s="92">
        <f>LV!H$2</f>
        <v>4.5128046263222679</v>
      </c>
      <c r="J41" s="92">
        <f>LV!I$2</f>
        <v>16.875600000000002</v>
      </c>
      <c r="K41" s="92">
        <f>LV!J$2</f>
        <v>54.293457007236555</v>
      </c>
      <c r="L41" s="92">
        <f>LV!K$2</f>
        <v>0.7363239903512705</v>
      </c>
      <c r="M41" s="92">
        <f t="shared" si="3"/>
        <v>159.29013136703989</v>
      </c>
      <c r="N41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157.03372905387877</v>
      </c>
      <c r="O41" s="94">
        <v>0</v>
      </c>
    </row>
    <row r="42" spans="1:15" x14ac:dyDescent="0.25">
      <c r="A42" s="90">
        <f>IF(TableQBMaster[[#This Row],[Player]]&lt;&gt;0,A41+1,A41)</f>
        <v>38</v>
      </c>
      <c r="B42" s="91" t="str">
        <f>LV!A$3</f>
        <v>Aidan O'Connell</v>
      </c>
      <c r="C42" s="91" t="s">
        <v>162</v>
      </c>
      <c r="D42" s="91">
        <f>LV!C$3</f>
        <v>10</v>
      </c>
      <c r="E42" s="92">
        <f>LV!D$3</f>
        <v>237.8</v>
      </c>
      <c r="F42" s="92">
        <f>LV!E$3</f>
        <v>149.6689612148231</v>
      </c>
      <c r="G42" s="92">
        <f>LV!F$3</f>
        <v>1619.418160344386</v>
      </c>
      <c r="H42" s="92">
        <f>LV!G$3</f>
        <v>9.0364000000000004</v>
      </c>
      <c r="I42" s="92">
        <f>LV!H$3</f>
        <v>3.3550777682249509</v>
      </c>
      <c r="J42" s="92">
        <f>LV!I$3</f>
        <v>4.2189000000000005</v>
      </c>
      <c r="K42" s="92">
        <f>LV!J$3</f>
        <v>11.564294717776551</v>
      </c>
      <c r="L42" s="92">
        <f>LV!K$3</f>
        <v>0.12144320779311012</v>
      </c>
      <c r="M42" s="92">
        <f t="shared" si="3"/>
        <v>97.774798479974336</v>
      </c>
      <c r="N42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96.097259595861857</v>
      </c>
      <c r="O42" s="94">
        <v>0</v>
      </c>
    </row>
    <row r="43" spans="1:15" x14ac:dyDescent="0.25">
      <c r="A43" s="90">
        <f>IF(TableQBMaster[[#This Row],[Player]]&lt;&gt;0,A42+1,A42)</f>
        <v>39</v>
      </c>
      <c r="B43" s="91" t="str">
        <f>MIA!A$2</f>
        <v>Tua Tagovailoa</v>
      </c>
      <c r="C43" s="91" t="s">
        <v>105</v>
      </c>
      <c r="D43" s="91">
        <f>MIA!C$2</f>
        <v>6</v>
      </c>
      <c r="E43" s="92">
        <f>MIA!D$2</f>
        <v>580.3471199999999</v>
      </c>
      <c r="F43" s="92">
        <f>MIA!E$2</f>
        <v>393.45014189459778</v>
      </c>
      <c r="G43" s="92">
        <f>MIA!F$2</f>
        <v>4620.5862909289335</v>
      </c>
      <c r="H43" s="92">
        <f>MIA!G$2</f>
        <v>29.017355999999996</v>
      </c>
      <c r="I43" s="92">
        <f>MIA!H$2</f>
        <v>7.943681404194515</v>
      </c>
      <c r="J43" s="92">
        <f>MIA!I$2</f>
        <v>33.688793600000004</v>
      </c>
      <c r="K43" s="92">
        <f>MIA!J$2</f>
        <v>92.454583979979532</v>
      </c>
      <c r="L43" s="92">
        <f>MIA!K$2</f>
        <v>0.67377587200000011</v>
      </c>
      <c r="M43" s="92">
        <f t="shared" si="3"/>
        <v>302.26546716086352</v>
      </c>
      <c r="N43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298.29362645876625</v>
      </c>
      <c r="O43" s="94">
        <v>0.7572092175449775</v>
      </c>
    </row>
    <row r="44" spans="1:15" x14ac:dyDescent="0.25">
      <c r="A44" s="90">
        <f>IF(TableQBMaster[[#This Row],[Player]]&lt;&gt;0,A43+1,A43)</f>
        <v>40</v>
      </c>
      <c r="B44" s="91" t="str">
        <f>MIA!A$3</f>
        <v>Mike White</v>
      </c>
      <c r="C44" s="91" t="s">
        <v>105</v>
      </c>
      <c r="D44" s="91">
        <f>MIA!C$3</f>
        <v>6</v>
      </c>
      <c r="E44" s="92">
        <f>MIA!D$3</f>
        <v>17.948880000000013</v>
      </c>
      <c r="F44" s="92">
        <f>MIA!E$3</f>
        <v>11.358146943747206</v>
      </c>
      <c r="G44" s="92">
        <f>MIA!F$3</f>
        <v>123.4619881246482</v>
      </c>
      <c r="H44" s="92">
        <f>MIA!G$3</f>
        <v>0.64068026286198543</v>
      </c>
      <c r="I44" s="92">
        <f>MIA!H$3</f>
        <v>0.34553974779714297</v>
      </c>
      <c r="J44" s="92">
        <f>MIA!I$3</f>
        <v>0</v>
      </c>
      <c r="K44" s="92">
        <f>MIA!J$3</f>
        <v>0</v>
      </c>
      <c r="L44" s="92">
        <f>MIA!K$3</f>
        <v>0</v>
      </c>
      <c r="M44" s="92">
        <f t="shared" si="3"/>
        <v>6.9828909547381546</v>
      </c>
      <c r="N44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6.8101210808395845</v>
      </c>
      <c r="O44" s="94">
        <v>0</v>
      </c>
    </row>
    <row r="45" spans="1:15" x14ac:dyDescent="0.25">
      <c r="A45" s="90">
        <f>IF(TableQBMaster[[#This Row],[Player]]&lt;&gt;0,A44+1,A44)</f>
        <v>41</v>
      </c>
      <c r="B45" s="91" t="str">
        <f>MIN!A$2</f>
        <v>Sam Darnold</v>
      </c>
      <c r="C45" s="91" t="s">
        <v>106</v>
      </c>
      <c r="D45" s="91">
        <f>MIN!C$2</f>
        <v>6</v>
      </c>
      <c r="E45" s="92">
        <f>MIN!D$2</f>
        <v>558.62399999999991</v>
      </c>
      <c r="F45" s="92">
        <f>MIN!E$2</f>
        <v>355.89935602335407</v>
      </c>
      <c r="G45" s="92">
        <f>MIN!F$2</f>
        <v>3954.0418454194637</v>
      </c>
      <c r="H45" s="92">
        <f>MIN!G$2</f>
        <v>22.903583999999999</v>
      </c>
      <c r="I45" s="92">
        <f>MIN!H$2</f>
        <v>10.676980680700622</v>
      </c>
      <c r="J45" s="92">
        <f>MIN!I$2</f>
        <v>45.620960000000004</v>
      </c>
      <c r="K45" s="92">
        <f>MIN!J$2</f>
        <v>163.32030723064193</v>
      </c>
      <c r="L45" s="92">
        <f>MIN!K$2</f>
        <v>2.3266689600000001</v>
      </c>
      <c r="M45" s="92">
        <f t="shared" si="3"/>
        <v>264.05258327879176</v>
      </c>
      <c r="N45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258.71409293844147</v>
      </c>
      <c r="O45" s="94">
        <v>0</v>
      </c>
    </row>
    <row r="46" spans="1:15" x14ac:dyDescent="0.25">
      <c r="A46" s="90">
        <f>IF(TableQBMaster[[#This Row],[Player]]&lt;&gt;0,A45+1,A45)</f>
        <v>42</v>
      </c>
      <c r="B46" s="91" t="str">
        <f>MIN!A$3</f>
        <v>Nick Mullens</v>
      </c>
      <c r="C46" s="91" t="s">
        <v>106</v>
      </c>
      <c r="D46" s="91">
        <f>MIN!C$3</f>
        <v>6</v>
      </c>
      <c r="E46" s="92">
        <f>MIN!D$3</f>
        <v>76.175999999999988</v>
      </c>
      <c r="F46" s="92">
        <f>MIN!E$3</f>
        <v>47.229119999999995</v>
      </c>
      <c r="G46" s="92">
        <f>MIN!F$3</f>
        <v>571.47235199999989</v>
      </c>
      <c r="H46" s="92">
        <f>MIN!G$3</f>
        <v>2.9708639999999997</v>
      </c>
      <c r="I46" s="92">
        <f>MIN!H$3</f>
        <v>1.4641027199999999</v>
      </c>
      <c r="J46" s="92">
        <f>MIN!I$3</f>
        <v>4.1473599999999999</v>
      </c>
      <c r="K46" s="92">
        <f>MIN!J$3</f>
        <v>10.783136000000001</v>
      </c>
      <c r="L46" s="92">
        <f>MIN!K$3</f>
        <v>8.2947199999999999E-2</v>
      </c>
      <c r="M46" s="92">
        <f t="shared" si="3"/>
        <v>34.122192799999993</v>
      </c>
      <c r="N46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33.390141439999994</v>
      </c>
      <c r="O46" s="94">
        <v>0</v>
      </c>
    </row>
    <row r="47" spans="1:15" x14ac:dyDescent="0.25">
      <c r="A47" s="90">
        <f>IF(TableQBMaster[[#This Row],[Player]]&lt;&gt;0,A46+1,A46)</f>
        <v>43</v>
      </c>
      <c r="B47" s="91" t="str">
        <f>NE!A$2</f>
        <v>Drake Maye</v>
      </c>
      <c r="C47" s="91" t="s">
        <v>107</v>
      </c>
      <c r="D47" s="91">
        <f>NE!C$2</f>
        <v>14</v>
      </c>
      <c r="E47" s="92">
        <f>NE!D$2</f>
        <v>390.45510000000002</v>
      </c>
      <c r="F47" s="92">
        <f>NE!E$2</f>
        <v>244.39298900204221</v>
      </c>
      <c r="G47" s="92">
        <f>NE!F$2</f>
        <v>2671.2153697923213</v>
      </c>
      <c r="H47" s="92">
        <f>NE!G$2</f>
        <v>14.49670943766038</v>
      </c>
      <c r="I47" s="92">
        <f>NE!H$2</f>
        <v>5.0295265899631598</v>
      </c>
      <c r="J47" s="92">
        <f>NE!I$2</f>
        <v>60.854785600000014</v>
      </c>
      <c r="K47" s="92">
        <f>NE!J$2</f>
        <v>283.10063132322045</v>
      </c>
      <c r="L47" s="92">
        <f>NE!K$2</f>
        <v>2.3124818528000004</v>
      </c>
      <c r="M47" s="92">
        <f t="shared" si="3"/>
        <v>199.47611690651169</v>
      </c>
      <c r="N47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196.96135361153011</v>
      </c>
      <c r="O47" s="94">
        <v>0</v>
      </c>
    </row>
    <row r="48" spans="1:15" x14ac:dyDescent="0.25">
      <c r="A48" s="90">
        <f>IF(TableQBMaster[[#This Row],[Player]]&lt;&gt;0,A47+1,A47)</f>
        <v>44</v>
      </c>
      <c r="B48" s="91" t="str">
        <f>NE!A$3</f>
        <v>Jacoby Brissett</v>
      </c>
      <c r="C48" s="91" t="s">
        <v>107</v>
      </c>
      <c r="D48" s="91">
        <f>NE!C$3</f>
        <v>14</v>
      </c>
      <c r="E48" s="92">
        <f>NE!D$3</f>
        <v>187.99690000000001</v>
      </c>
      <c r="F48" s="92">
        <f>NE!E$3</f>
        <v>120.23684050871024</v>
      </c>
      <c r="G48" s="92">
        <f>NE!F$3</f>
        <v>1260.8779406569522</v>
      </c>
      <c r="H48" s="92">
        <f>NE!G$3</f>
        <v>6.5798915000000013</v>
      </c>
      <c r="I48" s="92">
        <f>NE!H$3</f>
        <v>2.4981379886509005</v>
      </c>
      <c r="J48" s="92">
        <f>NE!I$3</f>
        <v>0</v>
      </c>
      <c r="K48" s="92">
        <f>NE!J$3</f>
        <v>0</v>
      </c>
      <c r="L48" s="92">
        <f>NE!K$3</f>
        <v>0</v>
      </c>
      <c r="M48" s="92">
        <f t="shared" si="3"/>
        <v>73.007476643301743</v>
      </c>
      <c r="N48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71.758407648976288</v>
      </c>
      <c r="O48" s="94">
        <v>0</v>
      </c>
    </row>
    <row r="49" spans="1:15" x14ac:dyDescent="0.25">
      <c r="A49" s="90">
        <f>IF(TableQBMaster[[#This Row],[Player]]&lt;&gt;0,A48+1,A48)</f>
        <v>45</v>
      </c>
      <c r="B49" s="91" t="str">
        <f>NO!A$2</f>
        <v>Derek Carr</v>
      </c>
      <c r="C49" s="91" t="s">
        <v>108</v>
      </c>
      <c r="D49" s="91">
        <f>NO!C$2</f>
        <v>12</v>
      </c>
      <c r="E49" s="92">
        <f>NO!D$2</f>
        <v>555.98179999999991</v>
      </c>
      <c r="F49" s="92">
        <f>NO!E$2</f>
        <v>370.27865528890595</v>
      </c>
      <c r="G49" s="92">
        <f>NO!F$2</f>
        <v>4006.9905147315835</v>
      </c>
      <c r="H49" s="92">
        <f>NO!G$2</f>
        <v>25.274877634063259</v>
      </c>
      <c r="I49" s="92">
        <f>NO!H$2</f>
        <v>6.4497544319124875</v>
      </c>
      <c r="J49" s="92">
        <f>NO!I$2</f>
        <v>21.989044000000003</v>
      </c>
      <c r="K49" s="92">
        <f>NO!J$2</f>
        <v>62.031989982224346</v>
      </c>
      <c r="L49" s="92">
        <f>NO!K$2</f>
        <v>0.21989044000000005</v>
      </c>
      <c r="M49" s="92">
        <f t="shared" si="3"/>
        <v>259.22704111587012</v>
      </c>
      <c r="N49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256.00216389991385</v>
      </c>
      <c r="O49" s="94">
        <v>0</v>
      </c>
    </row>
    <row r="50" spans="1:15" x14ac:dyDescent="0.25">
      <c r="A50" s="90">
        <f>IF(TableQBMaster[[#This Row],[Player]]&lt;&gt;0,A49+1,A49)</f>
        <v>46</v>
      </c>
      <c r="B50" s="91" t="str">
        <f>NO!A$3</f>
        <v>Spencer Rattler</v>
      </c>
      <c r="C50" s="91" t="s">
        <v>108</v>
      </c>
      <c r="D50" s="91">
        <f>NO!C$3</f>
        <v>12</v>
      </c>
      <c r="E50" s="92">
        <f>NO!D$3</f>
        <v>11.704879999999999</v>
      </c>
      <c r="F50" s="92">
        <f>NO!E$3</f>
        <v>7.3389597599999998</v>
      </c>
      <c r="G50" s="92">
        <f>NO!F$3</f>
        <v>80.068050981599995</v>
      </c>
      <c r="H50" s="92">
        <f>NO!G$3</f>
        <v>0.47990008000000001</v>
      </c>
      <c r="I50" s="92">
        <f>NO!H$3</f>
        <v>0.14677919519999999</v>
      </c>
      <c r="J50" s="92">
        <f>NO!I$3</f>
        <v>2.1989044</v>
      </c>
      <c r="K50" s="92">
        <f>NO!J$3</f>
        <v>6.6406912880000002</v>
      </c>
      <c r="L50" s="92">
        <f>NO!K$3</f>
        <v>4.3978087999999999E-2</v>
      </c>
      <c r="M50" s="92">
        <f t="shared" si="3"/>
        <v>5.8300912232639988</v>
      </c>
      <c r="N50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5.7567016256639985</v>
      </c>
      <c r="O50" s="94">
        <v>0</v>
      </c>
    </row>
    <row r="51" spans="1:15" x14ac:dyDescent="0.25">
      <c r="A51" s="90">
        <f>IF(TableQBMaster[[#This Row],[Player]]&lt;&gt;0,A50+1,A50)</f>
        <v>46</v>
      </c>
      <c r="B51" s="91">
        <f>NO!A$4</f>
        <v>0</v>
      </c>
      <c r="C51" s="91" t="s">
        <v>108</v>
      </c>
      <c r="D51" s="91">
        <f>NO!C$4</f>
        <v>12</v>
      </c>
      <c r="E51" s="92">
        <f>NO!D$4</f>
        <v>0</v>
      </c>
      <c r="F51" s="92">
        <f>NO!E$4</f>
        <v>0</v>
      </c>
      <c r="G51" s="92">
        <f>NO!F$4</f>
        <v>0</v>
      </c>
      <c r="H51" s="92">
        <f>NO!G$4</f>
        <v>0</v>
      </c>
      <c r="I51" s="92">
        <f>NO!H$4</f>
        <v>0</v>
      </c>
      <c r="J51" s="92">
        <f>NO!I$4</f>
        <v>0</v>
      </c>
      <c r="K51" s="92">
        <f>NO!J$4</f>
        <v>0</v>
      </c>
      <c r="L51" s="92">
        <f>NO!K$4</f>
        <v>0</v>
      </c>
      <c r="M51" s="92">
        <f t="shared" si="3"/>
        <v>0</v>
      </c>
      <c r="N51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0</v>
      </c>
      <c r="O51" s="94">
        <v>0</v>
      </c>
    </row>
    <row r="52" spans="1:15" x14ac:dyDescent="0.25">
      <c r="A52" s="90">
        <f>IF(TableQBMaster[[#This Row],[Player]]&lt;&gt;0,A51+1,A51)</f>
        <v>47</v>
      </c>
      <c r="B52" s="91" t="str">
        <f>NYG!A$2</f>
        <v>Daniel Jones</v>
      </c>
      <c r="C52" s="91" t="s">
        <v>109</v>
      </c>
      <c r="D52" s="91">
        <f>NYG!C$2</f>
        <v>11</v>
      </c>
      <c r="E52" s="92">
        <f>NYG!D$2</f>
        <v>450.37799999999993</v>
      </c>
      <c r="F52" s="92">
        <f>NYG!E$2</f>
        <v>295.49875556346564</v>
      </c>
      <c r="G52" s="92">
        <f>NYG!F$2</f>
        <v>3022.9522694142538</v>
      </c>
      <c r="H52" s="92">
        <f>NYG!G$2</f>
        <v>15.248493414589323</v>
      </c>
      <c r="I52" s="92">
        <f>NYG!H$2</f>
        <v>5.8884208901017745</v>
      </c>
      <c r="J52" s="92">
        <f>NYG!I$2</f>
        <v>65.781912000000005</v>
      </c>
      <c r="K52" s="92">
        <f>NYG!J$2</f>
        <v>334.76764807714903</v>
      </c>
      <c r="L52" s="92">
        <f>NYG!K$2</f>
        <v>3.2233136880000002</v>
      </c>
      <c r="M52" s="92">
        <f t="shared" si="3"/>
        <v>225.89608003548972</v>
      </c>
      <c r="N52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222.95186959043883</v>
      </c>
      <c r="O52" s="94">
        <v>2.2131778336992549</v>
      </c>
    </row>
    <row r="53" spans="1:15" x14ac:dyDescent="0.25">
      <c r="A53" s="90">
        <f>IF(TableQBMaster[[#This Row],[Player]]&lt;&gt;0,A52+1,A52)</f>
        <v>48</v>
      </c>
      <c r="B53" s="91" t="str">
        <f>NYG!A$3</f>
        <v>Drew Lock</v>
      </c>
      <c r="C53" s="91" t="s">
        <v>109</v>
      </c>
      <c r="D53" s="91">
        <f>NYG!C$3</f>
        <v>11</v>
      </c>
      <c r="E53" s="92">
        <f>NYG!D$3</f>
        <v>150.12599999999998</v>
      </c>
      <c r="F53" s="92">
        <f>NYG!E$3</f>
        <v>92.927993999999984</v>
      </c>
      <c r="G53" s="92">
        <f>NYG!F$3</f>
        <v>1032.7073406171248</v>
      </c>
      <c r="H53" s="92">
        <f>NYG!G$3</f>
        <v>5.6997721937945549</v>
      </c>
      <c r="I53" s="92">
        <f>NYG!H$3</f>
        <v>1.5225259845351338</v>
      </c>
      <c r="J53" s="92">
        <f>NYG!I$3</f>
        <v>8.7709216000000012</v>
      </c>
      <c r="K53" s="92">
        <f>NYG!J$3</f>
        <v>32.349426792818555</v>
      </c>
      <c r="L53" s="92">
        <f>NYG!K$3</f>
        <v>0.30698225600000006</v>
      </c>
      <c r="M53" s="92">
        <f t="shared" si="3"/>
        <v>66.900429638342374</v>
      </c>
      <c r="N53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66.139166646074798</v>
      </c>
      <c r="O53" s="94">
        <v>0</v>
      </c>
    </row>
    <row r="54" spans="1:15" x14ac:dyDescent="0.25">
      <c r="A54" s="90">
        <f>IF(TableQBMaster[[#This Row],[Player]]&lt;&gt;0,A53+1,A53)</f>
        <v>49</v>
      </c>
      <c r="B54" s="91" t="str">
        <f>NYJ!A$2</f>
        <v>Aaron Rodgers</v>
      </c>
      <c r="C54" s="91" t="s">
        <v>110</v>
      </c>
      <c r="D54" s="91">
        <f>NYJ!C$2</f>
        <v>12</v>
      </c>
      <c r="E54" s="92">
        <f>NYJ!D$2</f>
        <v>592.51191999999992</v>
      </c>
      <c r="F54" s="92">
        <f>NYJ!E$2</f>
        <v>385.17892700200605</v>
      </c>
      <c r="G54" s="92">
        <f>NYJ!F$2</f>
        <v>4261.1253103919335</v>
      </c>
      <c r="H54" s="92">
        <f>NYJ!G$2</f>
        <v>29.625595999999998</v>
      </c>
      <c r="I54" s="92">
        <f>NYJ!H$2</f>
        <v>5.4561566113858548</v>
      </c>
      <c r="J54" s="92">
        <f>NYJ!I$2</f>
        <v>31.034365600000008</v>
      </c>
      <c r="K54" s="92">
        <f>NYJ!J$2</f>
        <v>101.92927358707342</v>
      </c>
      <c r="L54" s="92">
        <f>NYJ!K$2</f>
        <v>1.1587367853837653</v>
      </c>
      <c r="M54" s="92">
        <f t="shared" si="3"/>
        <v>297.90850956960838</v>
      </c>
      <c r="N54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295.18043126391552</v>
      </c>
      <c r="O54" s="94">
        <v>0</v>
      </c>
    </row>
    <row r="55" spans="1:15" x14ac:dyDescent="0.25">
      <c r="A55" s="90">
        <f>IF(TableQBMaster[[#This Row],[Player]]&lt;&gt;0,A54+1,A54)</f>
        <v>50</v>
      </c>
      <c r="B55" s="91" t="str">
        <f>NYJ!A$3</f>
        <v>Tyrod Taylor</v>
      </c>
      <c r="C55" s="91" t="s">
        <v>110</v>
      </c>
      <c r="D55" s="91">
        <f>NYJ!C$3</f>
        <v>12</v>
      </c>
      <c r="E55" s="92">
        <f>NYJ!D$3</f>
        <v>12.092079999999999</v>
      </c>
      <c r="F55" s="92">
        <f>NYJ!E$3</f>
        <v>7.546333683580567</v>
      </c>
      <c r="G55" s="92">
        <f>NYJ!F$3</f>
        <v>79.927391228270267</v>
      </c>
      <c r="H55" s="92">
        <f>NYJ!G$3</f>
        <v>0.55818400774813781</v>
      </c>
      <c r="I55" s="92">
        <f>NYJ!H$3</f>
        <v>0.14707058056687605</v>
      </c>
      <c r="J55" s="92">
        <f>NYJ!I$3</f>
        <v>2.2167404000000004</v>
      </c>
      <c r="K55" s="92">
        <f>NYJ!J$3</f>
        <v>8.9692498645265637</v>
      </c>
      <c r="L55" s="92">
        <f>NYJ!K$3</f>
        <v>3.3544434299398067E-2</v>
      </c>
      <c r="M55" s="92">
        <f t="shared" si="3"/>
        <v>6.307417401522093</v>
      </c>
      <c r="N55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6.2338821112386551</v>
      </c>
      <c r="O55" s="94">
        <v>0</v>
      </c>
    </row>
    <row r="56" spans="1:15" x14ac:dyDescent="0.25">
      <c r="A56" s="90">
        <f>IF(TableQBMaster[[#This Row],[Player]]&lt;&gt;0,A55+1,A55)</f>
        <v>50</v>
      </c>
      <c r="B56" s="91">
        <f>NYJ!A$4</f>
        <v>0</v>
      </c>
      <c r="C56" s="91" t="s">
        <v>110</v>
      </c>
      <c r="D56" s="91">
        <f>NYJ!C$4</f>
        <v>12</v>
      </c>
      <c r="E56" s="92">
        <f>NYJ!D$4</f>
        <v>0</v>
      </c>
      <c r="F56" s="92">
        <f>NYJ!E$4</f>
        <v>0</v>
      </c>
      <c r="G56" s="92">
        <f>NYJ!F$4</f>
        <v>0</v>
      </c>
      <c r="H56" s="92">
        <f>NYJ!G$4</f>
        <v>0</v>
      </c>
      <c r="I56" s="92">
        <f>NYJ!H$4</f>
        <v>0</v>
      </c>
      <c r="J56" s="92">
        <f>NYJ!I$4</f>
        <v>0</v>
      </c>
      <c r="K56" s="92">
        <f>NYJ!J$4</f>
        <v>0</v>
      </c>
      <c r="L56" s="92">
        <f>NYJ!K$4</f>
        <v>0</v>
      </c>
      <c r="M56" s="92">
        <f t="shared" ref="M56" si="4">(G56/25)+(H56*4)+(I56*-1.5)+(K56/10)+(L56*6)</f>
        <v>0</v>
      </c>
      <c r="N56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0</v>
      </c>
      <c r="O56" s="94">
        <v>1</v>
      </c>
    </row>
    <row r="57" spans="1:15" x14ac:dyDescent="0.25">
      <c r="A57" s="90">
        <f>IF(TableQBMaster[[#This Row],[Player]]&lt;&gt;0,A56+1,A56)</f>
        <v>51</v>
      </c>
      <c r="B57" s="91" t="str">
        <f>PHI!A$2</f>
        <v>Jalen Hurts</v>
      </c>
      <c r="C57" s="91" t="s">
        <v>111</v>
      </c>
      <c r="D57" s="91">
        <f>PHI!C$2</f>
        <v>5</v>
      </c>
      <c r="E57" s="92">
        <f>PHI!D$2</f>
        <v>557.84736000000009</v>
      </c>
      <c r="F57" s="92">
        <f>PHI!E$2</f>
        <v>366.20220121605729</v>
      </c>
      <c r="G57" s="92">
        <f>PHI!F$2</f>
        <v>4243.8447920510216</v>
      </c>
      <c r="H57" s="92">
        <f>PHI!G$2</f>
        <v>25.64723704164253</v>
      </c>
      <c r="I57" s="92">
        <f>PHI!H$2</f>
        <v>7.2849514790596315</v>
      </c>
      <c r="J57" s="92">
        <f>PHI!I$2</f>
        <v>127.97184959999998</v>
      </c>
      <c r="K57" s="92">
        <f>PHI!J$2</f>
        <v>563.07613823999998</v>
      </c>
      <c r="L57" s="92">
        <f>PHI!K$2</f>
        <v>9.7258605695999982</v>
      </c>
      <c r="M57" s="92">
        <f t="shared" si="3"/>
        <v>376.0780898716215</v>
      </c>
      <c r="N57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372.4356141320917</v>
      </c>
      <c r="O57" s="94">
        <v>10.245470930481673</v>
      </c>
    </row>
    <row r="58" spans="1:15" x14ac:dyDescent="0.25">
      <c r="A58" s="90">
        <f>IF(TableQBMaster[[#This Row],[Player]]&lt;&gt;0,A57+1,A57)</f>
        <v>52</v>
      </c>
      <c r="B58" s="91" t="str">
        <f>PHI!A$3</f>
        <v>Kenny Pickett</v>
      </c>
      <c r="C58" s="91" t="s">
        <v>111</v>
      </c>
      <c r="D58" s="91">
        <f>PHI!C$3</f>
        <v>5</v>
      </c>
      <c r="E58" s="92">
        <f>PHI!D$3</f>
        <v>11.384640000000012</v>
      </c>
      <c r="F58" s="92">
        <f>PHI!E$3</f>
        <v>7.3964416896480492</v>
      </c>
      <c r="G58" s="92">
        <f>PHI!F$3</f>
        <v>80.704324055045902</v>
      </c>
      <c r="H58" s="92">
        <f>PHI!G$3</f>
        <v>0.49671990302767033</v>
      </c>
      <c r="I58" s="92">
        <f>PHI!H$3</f>
        <v>0.19025843666186737</v>
      </c>
      <c r="J58" s="92">
        <f>PHI!I$3</f>
        <v>2.4145631999999999</v>
      </c>
      <c r="K58" s="92">
        <f>PHI!J$3</f>
        <v>8.416841661163053</v>
      </c>
      <c r="L58" s="92">
        <f>PHI!K$3</f>
        <v>6.9360172784886431E-2</v>
      </c>
      <c r="M58" s="92">
        <f t="shared" si="3"/>
        <v>6.1875101221453406</v>
      </c>
      <c r="N58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6.0923809038144068</v>
      </c>
      <c r="O58" s="94">
        <v>0</v>
      </c>
    </row>
    <row r="59" spans="1:15" x14ac:dyDescent="0.25">
      <c r="A59" s="90">
        <f>IF(TableQBMaster[[#This Row],[Player]]&lt;&gt;0,A58+1,A58)</f>
        <v>53</v>
      </c>
      <c r="B59" s="91" t="str">
        <f>PIT!A$2</f>
        <v>Russell Wilson</v>
      </c>
      <c r="C59" s="91" t="s">
        <v>112</v>
      </c>
      <c r="D59" s="91">
        <f>PIT!C$2</f>
        <v>9</v>
      </c>
      <c r="E59" s="92">
        <f>PIT!D$2</f>
        <v>421.3125</v>
      </c>
      <c r="F59" s="92">
        <f>PIT!E$2</f>
        <v>271.46074052052955</v>
      </c>
      <c r="G59" s="92">
        <f>PIT!F$2</f>
        <v>2933.1413931963207</v>
      </c>
      <c r="H59" s="92">
        <f>PIT!G$2</f>
        <v>18.038640733677362</v>
      </c>
      <c r="I59" s="92">
        <f>PIT!H$2</f>
        <v>4.9216194853696491</v>
      </c>
      <c r="J59" s="92">
        <f>PIT!I$2</f>
        <v>43.063650000000003</v>
      </c>
      <c r="K59" s="92">
        <f>PIT!J$2</f>
        <v>197.74346573314693</v>
      </c>
      <c r="L59" s="92">
        <f>PIT!K$2</f>
        <v>1.6176543938223806</v>
      </c>
      <c r="M59" s="92">
        <f t="shared" si="3"/>
        <v>211.57806237075678</v>
      </c>
      <c r="N59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209.11725262807195</v>
      </c>
      <c r="O59" s="94">
        <v>0</v>
      </c>
    </row>
    <row r="60" spans="1:15" x14ac:dyDescent="0.25">
      <c r="A60" s="90">
        <f>IF(TableQBMaster[[#This Row],[Player]]&lt;&gt;0,A59+1,A59)</f>
        <v>54</v>
      </c>
      <c r="B60" s="91" t="str">
        <f>PIT!A$3</f>
        <v>Justin Fields</v>
      </c>
      <c r="C60" s="91" t="s">
        <v>112</v>
      </c>
      <c r="D60" s="91">
        <f>PIT!C$3</f>
        <v>9</v>
      </c>
      <c r="E60" s="92">
        <f>PIT!D$3</f>
        <v>140.4375</v>
      </c>
      <c r="F60" s="92">
        <f>PIT!E$3</f>
        <v>86.930812500000002</v>
      </c>
      <c r="G60" s="92">
        <f>PIT!F$3</f>
        <v>982.31818125000007</v>
      </c>
      <c r="H60" s="92">
        <f>PIT!G$3</f>
        <v>5.7579375000000006</v>
      </c>
      <c r="I60" s="92">
        <f>PIT!H$3</f>
        <v>2.3471319374999999</v>
      </c>
      <c r="J60" s="92">
        <f>PIT!I$3</f>
        <v>34.450920000000004</v>
      </c>
      <c r="K60" s="92">
        <f>PIT!J$3</f>
        <v>188.57125338129816</v>
      </c>
      <c r="L60" s="92">
        <f>PIT!K$3</f>
        <v>1.4124877200000001</v>
      </c>
      <c r="M60" s="92">
        <f t="shared" si="3"/>
        <v>86.135831001879836</v>
      </c>
      <c r="N60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84.962265033129825</v>
      </c>
      <c r="O60" s="94">
        <v>0</v>
      </c>
    </row>
    <row r="61" spans="1:15" x14ac:dyDescent="0.25">
      <c r="A61" s="90">
        <f>IF(TableQBMaster[[#This Row],[Player]]&lt;&gt;0,A60+1,A60)</f>
        <v>54</v>
      </c>
      <c r="B61" s="91">
        <f>PIT!A$4</f>
        <v>0</v>
      </c>
      <c r="C61" s="91" t="s">
        <v>112</v>
      </c>
      <c r="D61" s="91">
        <f>PIT!C$4</f>
        <v>9</v>
      </c>
      <c r="E61" s="92">
        <f>PIT!D$4</f>
        <v>0</v>
      </c>
      <c r="F61" s="92">
        <f>PIT!E$4</f>
        <v>0</v>
      </c>
      <c r="G61" s="92">
        <f>PIT!F$4</f>
        <v>0</v>
      </c>
      <c r="H61" s="92">
        <f>PIT!G$4</f>
        <v>0</v>
      </c>
      <c r="I61" s="92">
        <f>PIT!H$4</f>
        <v>0</v>
      </c>
      <c r="J61" s="92">
        <f>PIT!I$4</f>
        <v>0</v>
      </c>
      <c r="K61" s="92">
        <f>PIT!J$4</f>
        <v>0</v>
      </c>
      <c r="L61" s="92">
        <f>PIT!K$4</f>
        <v>0</v>
      </c>
      <c r="M61" s="92">
        <f t="shared" si="3"/>
        <v>0</v>
      </c>
      <c r="N61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0</v>
      </c>
      <c r="O61" s="94">
        <v>0</v>
      </c>
    </row>
    <row r="62" spans="1:15" x14ac:dyDescent="0.25">
      <c r="A62" s="90">
        <f>IF(TableQBMaster[[#This Row],[Player]]&lt;&gt;0,A61+1,A61)</f>
        <v>55</v>
      </c>
      <c r="B62" s="91" t="str">
        <f>SEA!A$2</f>
        <v>Geno Smith</v>
      </c>
      <c r="C62" s="91" t="s">
        <v>113</v>
      </c>
      <c r="D62" s="91">
        <f>SEA!C$2</f>
        <v>10</v>
      </c>
      <c r="E62" s="92">
        <f>SEA!D$2</f>
        <v>533.09609999999998</v>
      </c>
      <c r="F62" s="92">
        <f>SEA!E$2</f>
        <v>351.78113362458947</v>
      </c>
      <c r="G62" s="92">
        <f>SEA!F$2</f>
        <v>3905.2688817822068</v>
      </c>
      <c r="H62" s="92">
        <f>SEA!G$2</f>
        <v>24.547322032075023</v>
      </c>
      <c r="I62" s="92">
        <f>SEA!H$2</f>
        <v>6.9770339945520314</v>
      </c>
      <c r="J62" s="92">
        <f>SEA!I$2</f>
        <v>39.133084619999998</v>
      </c>
      <c r="K62" s="92">
        <f>SEA!J$2</f>
        <v>171.10632306721794</v>
      </c>
      <c r="L62" s="92">
        <f>SEA!K$2</f>
        <v>1.2131256232199998</v>
      </c>
      <c r="M62" s="92">
        <f t="shared" si="3"/>
        <v>268.32387845380208</v>
      </c>
      <c r="N62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264.83536145652607</v>
      </c>
      <c r="O62" s="94">
        <v>12.340934137474003</v>
      </c>
    </row>
    <row r="63" spans="1:15" x14ac:dyDescent="0.25">
      <c r="A63" s="90">
        <f>IF(TableQBMaster[[#This Row],[Player]]&lt;&gt;0,A62+1,A62)</f>
        <v>56</v>
      </c>
      <c r="B63" s="91" t="str">
        <f>SEA!A$3</f>
        <v>Sam Howell</v>
      </c>
      <c r="C63" s="91" t="s">
        <v>113</v>
      </c>
      <c r="D63" s="91">
        <f>SEA!C$3</f>
        <v>10</v>
      </c>
      <c r="E63" s="92">
        <f>SEA!D$3</f>
        <v>59.232900000000001</v>
      </c>
      <c r="F63" s="92">
        <f>SEA!E$3</f>
        <v>37.896985495522486</v>
      </c>
      <c r="G63" s="92">
        <f>SEA!F$3</f>
        <v>410.07288672727765</v>
      </c>
      <c r="H63" s="92">
        <f>SEA!G$3</f>
        <v>2.5049663933148976</v>
      </c>
      <c r="I63" s="92">
        <f>SEA!H$3</f>
        <v>1.0350363508504383</v>
      </c>
      <c r="J63" s="92">
        <f>SEA!I$3</f>
        <v>5.2763709600000004</v>
      </c>
      <c r="K63" s="92">
        <f>SEA!J$3</f>
        <v>25.781551494869269</v>
      </c>
      <c r="L63" s="92">
        <f>SEA!K$3</f>
        <v>0.12622213791413409</v>
      </c>
      <c r="M63" s="92">
        <f t="shared" si="3"/>
        <v>28.205714493046774</v>
      </c>
      <c r="N63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27.688196317621554</v>
      </c>
      <c r="O63" s="94">
        <v>0</v>
      </c>
    </row>
    <row r="64" spans="1:15" x14ac:dyDescent="0.25">
      <c r="A64" s="90">
        <f>IF(TableQBMaster[[#This Row],[Player]]&lt;&gt;0,A63+1,A63)</f>
        <v>57</v>
      </c>
      <c r="B64" s="91" t="str">
        <f>SF!A$2</f>
        <v>Brock Purdy</v>
      </c>
      <c r="C64" s="91" t="s">
        <v>114</v>
      </c>
      <c r="D64" s="91">
        <f>SF!C$2</f>
        <v>9</v>
      </c>
      <c r="E64" s="92">
        <f>SF!D$2</f>
        <v>532.53395999999998</v>
      </c>
      <c r="F64" s="92">
        <f>SF!E$2</f>
        <v>361.59619112464406</v>
      </c>
      <c r="G64" s="92">
        <f>SF!F$2</f>
        <v>4552.496046259269</v>
      </c>
      <c r="H64" s="92">
        <f>SF!G$2</f>
        <v>30.88696968</v>
      </c>
      <c r="I64" s="92">
        <f>SF!H$2</f>
        <v>6.933358669694722</v>
      </c>
      <c r="J64" s="92">
        <f>SF!I$2</f>
        <v>38.036391119999998</v>
      </c>
      <c r="K64" s="92">
        <f>SF!J$2</f>
        <v>133.43717465042084</v>
      </c>
      <c r="L64" s="92">
        <f>SF!K$2</f>
        <v>1.437584181966457</v>
      </c>
      <c r="M64" s="92">
        <f t="shared" si="3"/>
        <v>317.21690512266952</v>
      </c>
      <c r="N64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313.75022578782216</v>
      </c>
      <c r="O64" s="94">
        <v>0</v>
      </c>
    </row>
    <row r="65" spans="1:15" x14ac:dyDescent="0.25">
      <c r="A65" s="90">
        <f>IF(TableQBMaster[[#This Row],[Player]]&lt;&gt;0,A64+1,A64)</f>
        <v>58</v>
      </c>
      <c r="B65" s="91" t="str">
        <f>SF!A$3</f>
        <v>Josh Dobbs</v>
      </c>
      <c r="C65" s="91" t="s">
        <v>114</v>
      </c>
      <c r="D65" s="91">
        <f>SF!C$3</f>
        <v>9</v>
      </c>
      <c r="E65" s="92">
        <f>SF!D$3</f>
        <v>10.868040000000001</v>
      </c>
      <c r="F65" s="92">
        <f>SF!E$3</f>
        <v>6.5969002799999998</v>
      </c>
      <c r="G65" s="92">
        <f>SF!F$3</f>
        <v>71.70830604359999</v>
      </c>
      <c r="H65" s="92">
        <f>SF!G$3</f>
        <v>0.36951336000000007</v>
      </c>
      <c r="I65" s="92">
        <f>SF!H$3</f>
        <v>8.0086369399199983E-2</v>
      </c>
      <c r="J65" s="92">
        <f>SF!I$3</f>
        <v>0</v>
      </c>
      <c r="K65" s="92">
        <f>SF!J$3</f>
        <v>0</v>
      </c>
      <c r="L65" s="92">
        <f>SF!K$3</f>
        <v>0</v>
      </c>
      <c r="M65" s="92">
        <f t="shared" si="3"/>
        <v>4.2262561276451995</v>
      </c>
      <c r="N65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4.1862129429456001</v>
      </c>
      <c r="O65" s="94">
        <v>0</v>
      </c>
    </row>
    <row r="66" spans="1:15" x14ac:dyDescent="0.25">
      <c r="A66" s="90">
        <f>IF(TableQBMaster[[#This Row],[Player]]&lt;&gt;0,A65+1,A65)</f>
        <v>58</v>
      </c>
      <c r="B66" s="91">
        <f>SF!A$4</f>
        <v>0</v>
      </c>
      <c r="C66" s="91" t="s">
        <v>114</v>
      </c>
      <c r="D66" s="91">
        <f>SF!C$3</f>
        <v>9</v>
      </c>
      <c r="E66" s="92">
        <f>SF!D$4</f>
        <v>0</v>
      </c>
      <c r="F66" s="92">
        <f>SF!E$4</f>
        <v>0</v>
      </c>
      <c r="G66" s="92">
        <f>SF!F$4</f>
        <v>0</v>
      </c>
      <c r="H66" s="92">
        <f>SF!G$4</f>
        <v>0</v>
      </c>
      <c r="I66" s="92">
        <f>SF!H$4</f>
        <v>0</v>
      </c>
      <c r="J66" s="92">
        <f>SF!I$4</f>
        <v>0</v>
      </c>
      <c r="K66" s="92">
        <f>SF!J$4</f>
        <v>0</v>
      </c>
      <c r="L66" s="92">
        <f>SF!K$4</f>
        <v>0</v>
      </c>
      <c r="M66" s="92">
        <f t="shared" ref="M66" si="5">(G66/25)+(H66*4)+(I66*-1.5)+(K66/10)+(L66*6)</f>
        <v>0</v>
      </c>
      <c r="N66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0</v>
      </c>
      <c r="O66" s="94">
        <v>1</v>
      </c>
    </row>
    <row r="67" spans="1:15" x14ac:dyDescent="0.25">
      <c r="A67" s="90">
        <f>IF(TableQBMaster[[#This Row],[Player]]&lt;&gt;0,A66+1,A66)</f>
        <v>59</v>
      </c>
      <c r="B67" s="91" t="str">
        <f>TB!A$2</f>
        <v>Baker Mayfield</v>
      </c>
      <c r="C67" s="91" t="s">
        <v>115</v>
      </c>
      <c r="D67" s="91">
        <f>TB!C$2</f>
        <v>11</v>
      </c>
      <c r="E67" s="92">
        <f>TB!D$2</f>
        <v>574.8963</v>
      </c>
      <c r="F67" s="92">
        <f>TB!E$2</f>
        <v>365.75749830423888</v>
      </c>
      <c r="G67" s="92">
        <f>TB!F$2</f>
        <v>4151.3904426181143</v>
      </c>
      <c r="H67" s="92">
        <f>TB!G$2</f>
        <v>26.562103720590617</v>
      </c>
      <c r="I67" s="92">
        <f>TB!H$2</f>
        <v>6.6527377498817559</v>
      </c>
      <c r="J67" s="92">
        <f>TB!I$2</f>
        <v>46.660798800000002</v>
      </c>
      <c r="K67" s="92">
        <f>TB!J$2</f>
        <v>145.32301606830376</v>
      </c>
      <c r="L67" s="92">
        <f>TB!K$2</f>
        <v>0.97987677480000013</v>
      </c>
      <c r="M67" s="92">
        <f t="shared" si="3"/>
        <v>282.73648821789482</v>
      </c>
      <c r="N67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279.41011934295392</v>
      </c>
      <c r="O67" s="94">
        <v>10.125962691548789</v>
      </c>
    </row>
    <row r="68" spans="1:15" x14ac:dyDescent="0.25">
      <c r="A68" s="90">
        <f>IF(TableQBMaster[[#This Row],[Player]]&lt;&gt;0,A67+1,A67)</f>
        <v>60</v>
      </c>
      <c r="B68" s="91" t="str">
        <f>TB!A$3</f>
        <v>Kyle Trask</v>
      </c>
      <c r="C68" s="91" t="s">
        <v>115</v>
      </c>
      <c r="D68" s="91">
        <f>TB!C$3</f>
        <v>11</v>
      </c>
      <c r="E68" s="92">
        <f>TB!D$3</f>
        <v>30.2577</v>
      </c>
      <c r="F68" s="92">
        <f>TB!E$3</f>
        <v>18.279242523265864</v>
      </c>
      <c r="G68" s="92">
        <f>TB!F$3</f>
        <v>195.47625204549624</v>
      </c>
      <c r="H68" s="92">
        <f>TB!G$3</f>
        <v>1.3221907651230136</v>
      </c>
      <c r="I68" s="92">
        <f>TB!H$3</f>
        <v>0.33145689666325179</v>
      </c>
      <c r="J68" s="92">
        <f>TB!I$3</f>
        <v>0</v>
      </c>
      <c r="K68" s="92">
        <f>TB!J$3</f>
        <v>0</v>
      </c>
      <c r="L68" s="92">
        <f>TB!K$3</f>
        <v>0</v>
      </c>
      <c r="M68" s="92">
        <f t="shared" si="3"/>
        <v>12.610627797317028</v>
      </c>
      <c r="N68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12.444899348985402</v>
      </c>
      <c r="O68" s="94">
        <v>0</v>
      </c>
    </row>
    <row r="69" spans="1:15" x14ac:dyDescent="0.25">
      <c r="A69" s="90">
        <f>IF(TableQBMaster[[#This Row],[Player]]&lt;&gt;0,A68+1,A68)</f>
        <v>61</v>
      </c>
      <c r="B69" s="91" t="str">
        <f>TEN!A$2</f>
        <v>Will Levis</v>
      </c>
      <c r="C69" s="91" t="s">
        <v>116</v>
      </c>
      <c r="D69" s="91">
        <f>TEN!C$2</f>
        <v>5</v>
      </c>
      <c r="E69" s="92">
        <f>TEN!D$2</f>
        <v>560.75744999999995</v>
      </c>
      <c r="F69" s="92">
        <f>TEN!E$2</f>
        <v>348.98979724909157</v>
      </c>
      <c r="G69" s="92">
        <f>TEN!F$2</f>
        <v>4037.8119541719893</v>
      </c>
      <c r="H69" s="92">
        <f>TEN!G$2</f>
        <v>24.112570349999995</v>
      </c>
      <c r="I69" s="92">
        <f>TEN!H$2</f>
        <v>6.6374964967695069</v>
      </c>
      <c r="J69" s="92">
        <f>TEN!I$2</f>
        <v>42.407442000000003</v>
      </c>
      <c r="K69" s="92">
        <f>TEN!J$2</f>
        <v>148.26717505603435</v>
      </c>
      <c r="L69" s="92">
        <f>TEN!K$2</f>
        <v>1.7873073197129588</v>
      </c>
      <c r="M69" s="92">
        <f t="shared" si="3"/>
        <v>273.55707624560642</v>
      </c>
      <c r="N69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270.23832799722175</v>
      </c>
      <c r="O69" s="94">
        <v>4.8245524484709676</v>
      </c>
    </row>
    <row r="70" spans="1:15" x14ac:dyDescent="0.25">
      <c r="A70" s="90">
        <f>IF(TableQBMaster[[#This Row],[Player]]&lt;&gt;0,A69+1,A69)</f>
        <v>62</v>
      </c>
      <c r="B70" s="91" t="str">
        <f>TEN!A$3</f>
        <v>Mason Rudolph</v>
      </c>
      <c r="C70" s="91" t="s">
        <v>116</v>
      </c>
      <c r="D70" s="91">
        <f>TEN!C$3</f>
        <v>5</v>
      </c>
      <c r="E70" s="92">
        <f>TEN!D$3</f>
        <v>29.513549999999999</v>
      </c>
      <c r="F70" s="92">
        <f>TEN!E$3</f>
        <v>17.938462494703408</v>
      </c>
      <c r="G70" s="92">
        <f>TEN!F$3</f>
        <v>195.53891869097635</v>
      </c>
      <c r="H70" s="92">
        <f>TEN!G$3</f>
        <v>1.1577646694624721</v>
      </c>
      <c r="I70" s="92">
        <f>TEN!H$3</f>
        <v>0.39208804466841635</v>
      </c>
      <c r="J70" s="92">
        <f>TEN!I$3</f>
        <v>0</v>
      </c>
      <c r="K70" s="92">
        <f>TEN!J$3</f>
        <v>0</v>
      </c>
      <c r="L70" s="92">
        <f>TEN!K$3</f>
        <v>0</v>
      </c>
      <c r="M70" s="92">
        <f t="shared" ref="M70:M73" si="6">(G70/25)+(H70*4)+(I70*-1.5)+(K70/10)+(L70*6)</f>
        <v>11.86448335848632</v>
      </c>
      <c r="N70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11.66843933615211</v>
      </c>
      <c r="O70" s="94">
        <v>0</v>
      </c>
    </row>
    <row r="71" spans="1:15" x14ac:dyDescent="0.25">
      <c r="A71" s="90">
        <f>IF(TableQBMaster[[#This Row],[Player]]&lt;&gt;0,A70+1,A70)</f>
        <v>62</v>
      </c>
      <c r="B71" s="91">
        <f>TEN!A$4</f>
        <v>0</v>
      </c>
      <c r="C71" s="91" t="s">
        <v>116</v>
      </c>
      <c r="D71" s="91">
        <f>TEN!C$4</f>
        <v>5</v>
      </c>
      <c r="E71" s="92">
        <f>TEN!D$4</f>
        <v>0</v>
      </c>
      <c r="F71" s="92">
        <f>TEN!E$4</f>
        <v>0</v>
      </c>
      <c r="G71" s="92">
        <f>TEN!F$4</f>
        <v>0</v>
      </c>
      <c r="H71" s="92">
        <f>TEN!G$4</f>
        <v>0</v>
      </c>
      <c r="I71" s="92">
        <f>TEN!H$4</f>
        <v>0</v>
      </c>
      <c r="J71" s="92">
        <f>TEN!I$4</f>
        <v>0</v>
      </c>
      <c r="K71" s="92">
        <f>TEN!J$4</f>
        <v>0</v>
      </c>
      <c r="L71" s="92">
        <f>TEN!K$4</f>
        <v>0</v>
      </c>
      <c r="M71" s="92">
        <f t="shared" si="6"/>
        <v>0</v>
      </c>
      <c r="N71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0</v>
      </c>
      <c r="O71" s="94">
        <v>0</v>
      </c>
    </row>
    <row r="72" spans="1:15" x14ac:dyDescent="0.25">
      <c r="A72" s="90">
        <f>IF(TableQBMaster[[#This Row],[Player]]&lt;&gt;0,A71+1,A71)</f>
        <v>63</v>
      </c>
      <c r="B72" s="91" t="str">
        <f>WSH!A$2</f>
        <v>Jayden Daniels</v>
      </c>
      <c r="C72" s="91" t="s">
        <v>119</v>
      </c>
      <c r="D72" s="91">
        <f>WSH!C$2</f>
        <v>14</v>
      </c>
      <c r="E72" s="92">
        <f>WSH!D$2</f>
        <v>549.23300000000006</v>
      </c>
      <c r="F72" s="92">
        <f>WSH!E$2</f>
        <v>345.9729880268273</v>
      </c>
      <c r="G72" s="92">
        <f>WSH!F$2</f>
        <v>3836.8404372175146</v>
      </c>
      <c r="H72" s="92">
        <f>WSH!G$2</f>
        <v>24.276098600000005</v>
      </c>
      <c r="I72" s="92">
        <f>WSH!H$2</f>
        <v>7.8683544631080684</v>
      </c>
      <c r="J72" s="92">
        <f>WSH!I$2</f>
        <v>121.503928</v>
      </c>
      <c r="K72" s="92">
        <f>WSH!J$2</f>
        <v>721.73333232000005</v>
      </c>
      <c r="L72" s="92">
        <f>WSH!K$2</f>
        <v>5.6134814736000003</v>
      </c>
      <c r="M72" s="92">
        <f t="shared" si="6"/>
        <v>344.62970226763855</v>
      </c>
      <c r="N72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340.69552503608452</v>
      </c>
      <c r="O72" s="94">
        <v>0</v>
      </c>
    </row>
    <row r="73" spans="1:15" x14ac:dyDescent="0.25">
      <c r="A73" s="90">
        <f>IF(TableQBMaster[[#This Row],[Player]]&lt;&gt;0,A72+1,A72)</f>
        <v>64</v>
      </c>
      <c r="B73" s="91" t="str">
        <f>WSH!A$3</f>
        <v>Marcus Mariota</v>
      </c>
      <c r="C73" s="91" t="s">
        <v>119</v>
      </c>
      <c r="D73" s="91">
        <f>WSH!C$3</f>
        <v>14</v>
      </c>
      <c r="E73" s="92">
        <f>WSH!D$3</f>
        <v>28.907000000000007</v>
      </c>
      <c r="F73" s="92">
        <f>WSH!E$3</f>
        <v>17.869970931708892</v>
      </c>
      <c r="G73" s="92">
        <f>WSH!F$3</f>
        <v>192.98012616920033</v>
      </c>
      <c r="H73" s="92">
        <f>WSH!G$3</f>
        <v>1.0816178234964848</v>
      </c>
      <c r="I73" s="92">
        <f>WSH!H$3</f>
        <v>0.43381455056679014</v>
      </c>
      <c r="J73" s="92">
        <f>WSH!I$3</f>
        <v>0</v>
      </c>
      <c r="K73" s="92">
        <f>WSH!J$3</f>
        <v>0</v>
      </c>
      <c r="L73" s="92">
        <f>WSH!K$3</f>
        <v>0</v>
      </c>
      <c r="M73" s="92">
        <f t="shared" si="6"/>
        <v>11.394954514903768</v>
      </c>
      <c r="N73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11.178047239620373</v>
      </c>
      <c r="O73" s="94">
        <v>0</v>
      </c>
    </row>
    <row r="74" spans="1:15" x14ac:dyDescent="0.25">
      <c r="A74" s="90">
        <f>IF(TableQBMaster[[#This Row],[Player]]&lt;&gt;0,A73+1,A73)</f>
        <v>64</v>
      </c>
      <c r="B74" s="91">
        <f>WSH!A$4</f>
        <v>0</v>
      </c>
      <c r="C74" s="91" t="s">
        <v>119</v>
      </c>
      <c r="D74" s="91">
        <f>WSH!C$4</f>
        <v>14</v>
      </c>
      <c r="E74" s="92">
        <f>WSH!D$4</f>
        <v>0</v>
      </c>
      <c r="F74" s="92">
        <f>WSH!E$4</f>
        <v>0</v>
      </c>
      <c r="G74" s="92">
        <f>WSH!F$4</f>
        <v>0</v>
      </c>
      <c r="H74" s="92">
        <f>WSH!G$4</f>
        <v>0</v>
      </c>
      <c r="I74" s="92">
        <f>WSH!H$4</f>
        <v>0</v>
      </c>
      <c r="J74" s="92">
        <f>WSH!I$4</f>
        <v>0</v>
      </c>
      <c r="K74" s="92">
        <f>WSH!J$4</f>
        <v>0</v>
      </c>
      <c r="L74" s="92">
        <f>WSH!K$4</f>
        <v>0</v>
      </c>
      <c r="M74" s="92">
        <f t="shared" ref="M74" si="7">(G74/25)+(H74*4)+(I74*-1.5)+(K74/10)+(L74*6)</f>
        <v>0</v>
      </c>
      <c r="N74" s="93">
        <f>(TableQBMaster[[#This Row],[PATT]]*PASS_ATTEMPTS)+(TableQBMaster[[#This Row],[CMP]]*COMPLETIONS)+(TableQBMaster[[#This Row],[PAYD]]*PASS_YARDS)+(TableQBMaster[[#This Row],[PATD]]*PASS_TDS)+(TableQBMaster[[#This Row],[INT]]*INTERCEPTIONS)+(TableQBMaster[[#This Row],[RUAT]]*RUSH_ATTEMPTS)+(TableQBMaster[[#This Row],[RUYD]]*RUSH_YARDS)+(TableQBMaster[[#This Row],[RUTD]]*RUSH_TDS)</f>
        <v>0</v>
      </c>
      <c r="O74" s="94">
        <v>1</v>
      </c>
    </row>
  </sheetData>
  <phoneticPr fontId="19" type="noConversion"/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2"/>
  <dimension ref="A1:P161"/>
  <sheetViews>
    <sheetView showGridLines="0" zoomScale="85" zoomScaleNormal="85" workbookViewId="0">
      <selection activeCell="K101" sqref="K101:M101"/>
    </sheetView>
  </sheetViews>
  <sheetFormatPr defaultColWidth="9.140625" defaultRowHeight="15" x14ac:dyDescent="0.25"/>
  <cols>
    <col min="1" max="1" width="9" style="59" bestFit="1" customWidth="1"/>
    <col min="2" max="2" width="22.28515625" style="59" bestFit="1" customWidth="1"/>
    <col min="3" max="3" width="6.5703125" style="59" bestFit="1" customWidth="1"/>
    <col min="4" max="4" width="7" style="60" bestFit="1" customWidth="1"/>
    <col min="5" max="5" width="8.5703125" style="60" bestFit="1" customWidth="1"/>
    <col min="6" max="7" width="8.7109375" style="60" bestFit="1" customWidth="1"/>
    <col min="8" max="8" width="7.140625" style="60" bestFit="1" customWidth="1"/>
    <col min="9" max="9" width="7" style="60" bestFit="1" customWidth="1"/>
    <col min="10" max="10" width="8.42578125" style="60" bestFit="1" customWidth="1"/>
    <col min="11" max="11" width="8.42578125" style="59" bestFit="1" customWidth="1"/>
    <col min="12" max="12" width="6.85546875" style="59" bestFit="1" customWidth="1"/>
    <col min="13" max="13" width="8.140625" style="59" bestFit="1" customWidth="1"/>
    <col min="14" max="14" width="7" style="59" bestFit="1" customWidth="1"/>
    <col min="15" max="15" width="10" style="59" bestFit="1" customWidth="1"/>
    <col min="16" max="16" width="8.42578125" style="59" bestFit="1" customWidth="1"/>
    <col min="17" max="16384" width="9.140625" style="59"/>
  </cols>
  <sheetData>
    <row r="1" spans="1:16" s="97" customFormat="1" x14ac:dyDescent="0.25">
      <c r="A1" s="88" t="s">
        <v>361</v>
      </c>
      <c r="B1" s="88" t="s">
        <v>325</v>
      </c>
      <c r="C1" s="88" t="s">
        <v>86</v>
      </c>
      <c r="D1" s="88" t="s">
        <v>122</v>
      </c>
      <c r="E1" s="87" t="s">
        <v>128</v>
      </c>
      <c r="F1" s="87" t="s">
        <v>129</v>
      </c>
      <c r="G1" s="87" t="s">
        <v>130</v>
      </c>
      <c r="H1" s="87" t="s">
        <v>3</v>
      </c>
      <c r="I1" s="87" t="s">
        <v>4</v>
      </c>
      <c r="J1" s="87" t="s">
        <v>138</v>
      </c>
      <c r="K1" s="87" t="s">
        <v>139</v>
      </c>
      <c r="L1" s="88" t="s">
        <v>117</v>
      </c>
      <c r="M1" s="88" t="s">
        <v>120</v>
      </c>
      <c r="N1" s="88" t="s">
        <v>121</v>
      </c>
      <c r="O1" s="88" t="s">
        <v>321</v>
      </c>
      <c r="P1" s="88" t="s">
        <v>295</v>
      </c>
    </row>
    <row r="2" spans="1:16" x14ac:dyDescent="0.25">
      <c r="A2" s="59">
        <v>1</v>
      </c>
      <c r="B2" s="59" t="str">
        <f>ARI!A6</f>
        <v>James Conner</v>
      </c>
      <c r="C2" s="59" t="s">
        <v>87</v>
      </c>
      <c r="D2" s="59">
        <f>ARI!C6</f>
        <v>11</v>
      </c>
      <c r="E2" s="60">
        <f>ARI!I6</f>
        <v>204.30427500000002</v>
      </c>
      <c r="F2" s="60">
        <f>ARI!J6</f>
        <v>907.11098100000015</v>
      </c>
      <c r="G2" s="60">
        <f>ARI!K6</f>
        <v>7.2119409074999998</v>
      </c>
      <c r="H2" s="60">
        <f>ARI!L6</f>
        <v>50.123692500000004</v>
      </c>
      <c r="I2" s="60">
        <f>ARI!M6</f>
        <v>40.499943540000004</v>
      </c>
      <c r="J2" s="60">
        <f>ARI!N6</f>
        <v>275.47818585613362</v>
      </c>
      <c r="K2" s="60">
        <f>ARI!O6</f>
        <v>1.6604976851400002</v>
      </c>
      <c r="L2" s="60">
        <f t="shared" ref="L2" si="0">(F2/10)+(G2*6)+(J2/10)+(K2*6)</f>
        <v>171.49354824145337</v>
      </c>
      <c r="M2" s="60">
        <f t="shared" ref="M2" si="1">L2+(I2*0.5)</f>
        <v>191.74352001145337</v>
      </c>
      <c r="N2" s="60">
        <f t="shared" ref="N2" si="2">L2+I2</f>
        <v>211.99349178145337</v>
      </c>
      <c r="O2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191.74352001145337</v>
      </c>
      <c r="P2" s="96">
        <v>21.355435170779902</v>
      </c>
    </row>
    <row r="3" spans="1:16" x14ac:dyDescent="0.25">
      <c r="A3" s="59">
        <f>IF(TableRBMaster[[#This Row],[Player]]&lt;&gt;0,A2+1,A2)</f>
        <v>2</v>
      </c>
      <c r="B3" s="59" t="str">
        <f>ARI!A7</f>
        <v>Trey Benson</v>
      </c>
      <c r="C3" s="59" t="s">
        <v>87</v>
      </c>
      <c r="D3" s="59">
        <f>ARI!C7</f>
        <v>11</v>
      </c>
      <c r="E3" s="60">
        <f>ARI!I7</f>
        <v>147.09907800000002</v>
      </c>
      <c r="F3" s="60">
        <f>ARI!J7</f>
        <v>647.23594320000018</v>
      </c>
      <c r="G3" s="60">
        <f>ARI!K7</f>
        <v>4.898399297400001</v>
      </c>
      <c r="H3" s="60">
        <f>ARI!L7</f>
        <v>23.587620000000001</v>
      </c>
      <c r="I3" s="60">
        <f>ARI!M7</f>
        <v>17.619952140000002</v>
      </c>
      <c r="J3" s="60">
        <f>ARI!N7</f>
        <v>128.09008415144487</v>
      </c>
      <c r="K3" s="60">
        <f>ARI!O7</f>
        <v>0.69665028805866713</v>
      </c>
      <c r="L3" s="60">
        <f t="shared" ref="L3:L11" si="3">(F3/10)+(G3*6)+(J3/10)+(K3*6)</f>
        <v>111.10290024789651</v>
      </c>
      <c r="M3" s="60">
        <f t="shared" ref="M3:M11" si="4">L3+(I3*0.5)</f>
        <v>119.91287631789652</v>
      </c>
      <c r="N3" s="60">
        <f t="shared" ref="N3:N11" si="5">L3+I3</f>
        <v>128.72285238789652</v>
      </c>
      <c r="O3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119.91287631789652</v>
      </c>
      <c r="P3" s="96">
        <v>13.809396324367668</v>
      </c>
    </row>
    <row r="4" spans="1:16" x14ac:dyDescent="0.25">
      <c r="A4" s="59">
        <f>IF(TableRBMaster[[#This Row],[Player]]&lt;&gt;0,A3+1,A3)</f>
        <v>3</v>
      </c>
      <c r="B4" s="59" t="str">
        <f>ARI!A8</f>
        <v>DeeJay Dallas</v>
      </c>
      <c r="C4" s="59" t="s">
        <v>87</v>
      </c>
      <c r="D4" s="59">
        <f>ARI!C8</f>
        <v>11</v>
      </c>
      <c r="E4" s="60">
        <f>ARI!I8</f>
        <v>9.5341995000000015</v>
      </c>
      <c r="F4" s="60">
        <f>ARI!J8</f>
        <v>39.259643773836316</v>
      </c>
      <c r="G4" s="60">
        <f>ARI!K8</f>
        <v>0.28602598500000004</v>
      </c>
      <c r="H4" s="60">
        <f>ARI!L8</f>
        <v>5.8969050000000003</v>
      </c>
      <c r="I4" s="60">
        <f>ARI!M8</f>
        <v>4.4226787500000002</v>
      </c>
      <c r="J4" s="60">
        <f>ARI!N8</f>
        <v>29.094790592495798</v>
      </c>
      <c r="K4" s="60">
        <f>ARI!O8</f>
        <v>0.17690715000000001</v>
      </c>
      <c r="L4" s="60">
        <f t="shared" si="3"/>
        <v>9.6130422466332099</v>
      </c>
      <c r="M4" s="60">
        <f t="shared" si="4"/>
        <v>11.82438162163321</v>
      </c>
      <c r="N4" s="60">
        <f t="shared" si="5"/>
        <v>14.035720996633209</v>
      </c>
      <c r="O4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11.824381621633211</v>
      </c>
      <c r="P4" s="96">
        <v>0</v>
      </c>
    </row>
    <row r="5" spans="1:16" x14ac:dyDescent="0.25">
      <c r="A5" s="59">
        <f>IF(TableRBMaster[[#This Row],[Player]]&lt;&gt;0,A4+1,A4)</f>
        <v>4</v>
      </c>
      <c r="B5" s="59" t="str">
        <f>ARI!A9</f>
        <v>Emari Demercado</v>
      </c>
      <c r="C5" s="59" t="s">
        <v>87</v>
      </c>
      <c r="D5" s="59">
        <f>ARI!C9</f>
        <v>11</v>
      </c>
      <c r="E5" s="60">
        <f>ARI!I9</f>
        <v>6.8101425000000004</v>
      </c>
      <c r="F5" s="60">
        <f>ARI!J9</f>
        <v>27.989685675000004</v>
      </c>
      <c r="G5" s="60">
        <f>ARI!K9</f>
        <v>0.20430427500000001</v>
      </c>
      <c r="H5" s="60">
        <f>ARI!L9</f>
        <v>5.8969050000000003</v>
      </c>
      <c r="I5" s="60">
        <f>ARI!M9</f>
        <v>4.5406168500000001</v>
      </c>
      <c r="J5" s="60">
        <f>ARI!N9</f>
        <v>30.694569906000002</v>
      </c>
      <c r="K5" s="60">
        <f>ARI!O9</f>
        <v>0.18162467400000001</v>
      </c>
      <c r="L5" s="60">
        <f t="shared" si="3"/>
        <v>8.1839992520999996</v>
      </c>
      <c r="M5" s="60">
        <f t="shared" si="4"/>
        <v>10.454307677099999</v>
      </c>
      <c r="N5" s="60">
        <f t="shared" si="5"/>
        <v>12.724616102100001</v>
      </c>
      <c r="O5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10.454307677100001</v>
      </c>
      <c r="P5" s="96">
        <v>0</v>
      </c>
    </row>
    <row r="6" spans="1:16" x14ac:dyDescent="0.25">
      <c r="A6" s="59">
        <f>IF(TableRBMaster[[#This Row],[Player]]&lt;&gt;0,A5+1,A5)</f>
        <v>4</v>
      </c>
      <c r="B6" s="59">
        <f>ARI!A10</f>
        <v>0</v>
      </c>
      <c r="C6" s="59" t="s">
        <v>87</v>
      </c>
      <c r="D6" s="59">
        <f>ARI!C10</f>
        <v>11</v>
      </c>
      <c r="E6" s="60">
        <f>ARI!I10</f>
        <v>0</v>
      </c>
      <c r="F6" s="60">
        <f>ARI!J10</f>
        <v>0</v>
      </c>
      <c r="G6" s="60">
        <f>ARI!K10</f>
        <v>0</v>
      </c>
      <c r="H6" s="60">
        <f>ARI!L10</f>
        <v>0</v>
      </c>
      <c r="I6" s="60">
        <f>ARI!M10</f>
        <v>0</v>
      </c>
      <c r="J6" s="60">
        <f>ARI!N10</f>
        <v>0</v>
      </c>
      <c r="K6" s="60">
        <f>ARI!O10</f>
        <v>0</v>
      </c>
      <c r="L6" s="103">
        <f>(F6/10)+(G6*6)+(J6/10)+(K6*6)</f>
        <v>0</v>
      </c>
      <c r="M6" s="103">
        <f>L6+(I6*0.5)</f>
        <v>0</v>
      </c>
      <c r="N6" s="103">
        <f>L6+I6</f>
        <v>0</v>
      </c>
      <c r="O6" s="104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6" s="96">
        <v>0</v>
      </c>
    </row>
    <row r="7" spans="1:16" x14ac:dyDescent="0.25">
      <c r="A7" s="59">
        <f>IF(TableRBMaster[[#This Row],[Player]]&lt;&gt;0,A6+1,A6)</f>
        <v>5</v>
      </c>
      <c r="B7" s="59" t="str">
        <f>ATL!A$6</f>
        <v>Bijan Robinson</v>
      </c>
      <c r="C7" s="59" t="s">
        <v>88</v>
      </c>
      <c r="D7" s="59">
        <f>ATL!C$6</f>
        <v>12</v>
      </c>
      <c r="E7" s="60">
        <f>ATL!I$6</f>
        <v>262.51071840000003</v>
      </c>
      <c r="F7" s="60">
        <f>ATL!J$6</f>
        <v>1198.3646580486595</v>
      </c>
      <c r="G7" s="60">
        <f>ATL!K$6</f>
        <v>9.7128965808000007</v>
      </c>
      <c r="H7" s="60">
        <f>ATL!L$6</f>
        <v>51.762110399999997</v>
      </c>
      <c r="I7" s="60">
        <f>ATL!M$6</f>
        <v>38.562772247999987</v>
      </c>
      <c r="J7" s="60">
        <f>ATL!N$6</f>
        <v>320.68214668517703</v>
      </c>
      <c r="K7" s="60">
        <f>ATL!O$6</f>
        <v>2.6969384384134791</v>
      </c>
      <c r="L7" s="60">
        <f t="shared" si="3"/>
        <v>226.36369058866453</v>
      </c>
      <c r="M7" s="60">
        <f t="shared" si="4"/>
        <v>245.64507671266452</v>
      </c>
      <c r="N7" s="60">
        <f t="shared" si="5"/>
        <v>264.92646283666454</v>
      </c>
      <c r="O7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245.64507671266452</v>
      </c>
      <c r="P7" s="96">
        <v>29.621674125076801</v>
      </c>
    </row>
    <row r="8" spans="1:16" x14ac:dyDescent="0.25">
      <c r="A8" s="59">
        <f>IF(TableRBMaster[[#This Row],[Player]]&lt;&gt;0,A7+1,A7)</f>
        <v>6</v>
      </c>
      <c r="B8" s="59" t="str">
        <f>ATL!A$7</f>
        <v>Tyler Allgeier</v>
      </c>
      <c r="C8" s="59" t="s">
        <v>88</v>
      </c>
      <c r="D8" s="59">
        <f>ATL!C$8</f>
        <v>12</v>
      </c>
      <c r="E8" s="60">
        <f>ATL!I$7</f>
        <v>116.19326880000001</v>
      </c>
      <c r="F8" s="60">
        <f>ATL!J$7</f>
        <v>493.82139240000004</v>
      </c>
      <c r="G8" s="60">
        <f>ATL!K$7</f>
        <v>4.0667644080000009</v>
      </c>
      <c r="H8" s="60">
        <f>ATL!L$7</f>
        <v>32.782669919999996</v>
      </c>
      <c r="I8" s="60">
        <f>ATL!M$7</f>
        <v>26.193353266079999</v>
      </c>
      <c r="J8" s="60">
        <f>ATL!N$7</f>
        <v>210.51857801746371</v>
      </c>
      <c r="K8" s="60">
        <f>ATL!O$7</f>
        <v>1.3485057381283587</v>
      </c>
      <c r="L8" s="60">
        <f t="shared" si="3"/>
        <v>102.92561791851652</v>
      </c>
      <c r="M8" s="60">
        <f t="shared" si="4"/>
        <v>116.02229455155653</v>
      </c>
      <c r="N8" s="60">
        <f t="shared" si="5"/>
        <v>129.11897118459652</v>
      </c>
      <c r="O8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116.02229455155656</v>
      </c>
      <c r="P8" s="96">
        <v>0</v>
      </c>
    </row>
    <row r="9" spans="1:16" x14ac:dyDescent="0.25">
      <c r="A9" s="59">
        <f>IF(TableRBMaster[[#This Row],[Player]]&lt;&gt;0,A8+1,A8)</f>
        <v>7</v>
      </c>
      <c r="B9" s="59" t="str">
        <f>ATL!A$8</f>
        <v>Jase McClellan</v>
      </c>
      <c r="C9" s="59" t="s">
        <v>88</v>
      </c>
      <c r="D9" s="59">
        <f>ATL!C$7</f>
        <v>12</v>
      </c>
      <c r="E9" s="60">
        <f>ATL!I$8</f>
        <v>23.668999200000002</v>
      </c>
      <c r="F9" s="60">
        <f>ATL!J$8</f>
        <v>99.40979664000001</v>
      </c>
      <c r="G9" s="60">
        <f>ATL!K$8</f>
        <v>0.75740797440000007</v>
      </c>
      <c r="H9" s="60">
        <f>ATL!L$8</f>
        <v>9.2021529599999994</v>
      </c>
      <c r="I9" s="60">
        <f>ATL!M$8</f>
        <v>7.6653934156800005</v>
      </c>
      <c r="J9" s="60">
        <f>ATL!N$8</f>
        <v>58.141832834291641</v>
      </c>
      <c r="K9" s="60">
        <f>ATL!O$8</f>
        <v>0.29701834920485048</v>
      </c>
      <c r="L9" s="60">
        <f t="shared" si="3"/>
        <v>22.081720889058271</v>
      </c>
      <c r="M9" s="60">
        <f t="shared" si="4"/>
        <v>25.914417596898272</v>
      </c>
      <c r="N9" s="60">
        <f t="shared" si="5"/>
        <v>29.747114304738272</v>
      </c>
      <c r="O9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25.914417596898272</v>
      </c>
      <c r="P9" s="96">
        <v>0</v>
      </c>
    </row>
    <row r="10" spans="1:16" x14ac:dyDescent="0.25">
      <c r="A10" s="59">
        <f>IF(TableRBMaster[[#This Row],[Player]]&lt;&gt;0,A9+1,A9)</f>
        <v>7</v>
      </c>
      <c r="B10" s="59">
        <f>ATL!A$9</f>
        <v>0</v>
      </c>
      <c r="C10" s="59" t="s">
        <v>88</v>
      </c>
      <c r="D10" s="59">
        <f>ATL!C$9</f>
        <v>12</v>
      </c>
      <c r="E10" s="60">
        <f>ATL!I$9</f>
        <v>0</v>
      </c>
      <c r="F10" s="60">
        <f>ATL!J$9</f>
        <v>0</v>
      </c>
      <c r="G10" s="60">
        <f>ATL!K$9</f>
        <v>0</v>
      </c>
      <c r="H10" s="60">
        <f>ATL!L$9</f>
        <v>0</v>
      </c>
      <c r="I10" s="60">
        <f>ATL!M$9</f>
        <v>0</v>
      </c>
      <c r="J10" s="60">
        <f>ATL!N$9</f>
        <v>0</v>
      </c>
      <c r="K10" s="60">
        <f>ATL!O$9</f>
        <v>0</v>
      </c>
      <c r="L10" s="60">
        <f t="shared" si="3"/>
        <v>0</v>
      </c>
      <c r="M10" s="60">
        <f t="shared" si="4"/>
        <v>0</v>
      </c>
      <c r="N10" s="60">
        <f t="shared" si="5"/>
        <v>0</v>
      </c>
      <c r="O10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0" s="96">
        <v>0</v>
      </c>
    </row>
    <row r="11" spans="1:16" x14ac:dyDescent="0.25">
      <c r="A11" s="59">
        <f>IF(TableRBMaster[[#This Row],[Player]]&lt;&gt;0,A10+1,A10)</f>
        <v>7</v>
      </c>
      <c r="B11" s="59">
        <f>ATL!A$10</f>
        <v>0</v>
      </c>
      <c r="C11" s="59" t="s">
        <v>88</v>
      </c>
      <c r="D11" s="59">
        <f>ATL!C$10</f>
        <v>12</v>
      </c>
      <c r="E11" s="60">
        <f>ATL!I$10</f>
        <v>0</v>
      </c>
      <c r="F11" s="60">
        <f>ATL!J$10</f>
        <v>0</v>
      </c>
      <c r="G11" s="60">
        <f>ATL!K$10</f>
        <v>0</v>
      </c>
      <c r="H11" s="60">
        <f>ATL!L$10</f>
        <v>0</v>
      </c>
      <c r="I11" s="60">
        <f>ATL!M$10</f>
        <v>0</v>
      </c>
      <c r="J11" s="60">
        <f>ATL!N$10</f>
        <v>0</v>
      </c>
      <c r="K11" s="60">
        <f>ATL!O$10</f>
        <v>0</v>
      </c>
      <c r="L11" s="60">
        <f t="shared" si="3"/>
        <v>0</v>
      </c>
      <c r="M11" s="60">
        <f t="shared" si="4"/>
        <v>0</v>
      </c>
      <c r="N11" s="60">
        <f t="shared" si="5"/>
        <v>0</v>
      </c>
      <c r="O11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1" s="96">
        <v>0</v>
      </c>
    </row>
    <row r="12" spans="1:16" x14ac:dyDescent="0.25">
      <c r="A12" s="59">
        <f>IF(TableRBMaster[[#This Row],[Player]]&lt;&gt;0,A11+1,A11)</f>
        <v>8</v>
      </c>
      <c r="B12" s="59" t="str">
        <f>BAL!A$6</f>
        <v>Derrick Henry</v>
      </c>
      <c r="C12" s="59" t="s">
        <v>89</v>
      </c>
      <c r="D12" s="59">
        <f>BAL!C$6</f>
        <v>14</v>
      </c>
      <c r="E12" s="60">
        <f>BAL!I$6</f>
        <v>259.41473375999999</v>
      </c>
      <c r="F12" s="60">
        <f>BAL!J$6</f>
        <v>1168.9415810283683</v>
      </c>
      <c r="G12" s="60">
        <f>BAL!K$6</f>
        <v>13.723039415904001</v>
      </c>
      <c r="H12" s="60">
        <f>BAL!L$6</f>
        <v>31.760937600000002</v>
      </c>
      <c r="I12" s="60">
        <f>BAL!M$6</f>
        <v>23.820703200000001</v>
      </c>
      <c r="J12" s="60">
        <f>BAL!N$6</f>
        <v>192.46229869443019</v>
      </c>
      <c r="K12" s="60">
        <f>BAL!O$6</f>
        <v>0.86370982678436103</v>
      </c>
      <c r="L12" s="60">
        <f t="shared" ref="L12:L16" si="6">(F12/10)+(G12*6)+(J12/10)+(K12*6)</f>
        <v>223.66088342841005</v>
      </c>
      <c r="M12" s="60">
        <f t="shared" ref="M12:M16" si="7">L12+(I12*0.5)</f>
        <v>235.57123502841006</v>
      </c>
      <c r="N12" s="60">
        <f t="shared" ref="N12:N16" si="8">L12+I12</f>
        <v>247.48158662841004</v>
      </c>
      <c r="O12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235.57123502841006</v>
      </c>
      <c r="P12" s="96">
        <v>31.804706892865251</v>
      </c>
    </row>
    <row r="13" spans="1:16" x14ac:dyDescent="0.25">
      <c r="A13" s="59">
        <f>IF(TableRBMaster[[#This Row],[Player]]&lt;&gt;0,A12+1,A12)</f>
        <v>9</v>
      </c>
      <c r="B13" s="59" t="str">
        <f>BAL!A$7</f>
        <v>Rasheen Ali</v>
      </c>
      <c r="C13" s="59" t="s">
        <v>89</v>
      </c>
      <c r="D13" s="59">
        <f>BAL!C$8</f>
        <v>14</v>
      </c>
      <c r="E13" s="60">
        <f>BAL!I$7</f>
        <v>50.412579839999992</v>
      </c>
      <c r="F13" s="60">
        <f>BAL!J$7</f>
        <v>229.37850225896884</v>
      </c>
      <c r="G13" s="60">
        <f>BAL!K$7</f>
        <v>2.2685660927999995</v>
      </c>
      <c r="H13" s="60">
        <f>BAL!L$7</f>
        <v>5.2934896</v>
      </c>
      <c r="I13" s="60">
        <f>BAL!M$7</f>
        <v>3.9701171999999998</v>
      </c>
      <c r="J13" s="60">
        <f>BAL!N$7</f>
        <v>32.043357909012151</v>
      </c>
      <c r="K13" s="60">
        <f>BAL!O$7</f>
        <v>0.15086445359999998</v>
      </c>
      <c r="L13" s="60">
        <f t="shared" si="6"/>
        <v>40.658769295198098</v>
      </c>
      <c r="M13" s="60">
        <f t="shared" si="7"/>
        <v>42.6438278951981</v>
      </c>
      <c r="N13" s="60">
        <f t="shared" si="8"/>
        <v>44.628886495198095</v>
      </c>
      <c r="O13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42.6438278951981</v>
      </c>
      <c r="P13" s="96">
        <v>6.63008926973718</v>
      </c>
    </row>
    <row r="14" spans="1:16" x14ac:dyDescent="0.25">
      <c r="A14" s="59">
        <f>IF(TableRBMaster[[#This Row],[Player]]&lt;&gt;0,A13+1,A13)</f>
        <v>10</v>
      </c>
      <c r="B14" s="59" t="str">
        <f>BAL!A$8</f>
        <v>Keaton Mitchell</v>
      </c>
      <c r="C14" s="59" t="s">
        <v>89</v>
      </c>
      <c r="D14" s="59">
        <f>BAL!C$7</f>
        <v>14</v>
      </c>
      <c r="E14" s="60">
        <f>BAL!I$8</f>
        <v>31.507862399999997</v>
      </c>
      <c r="F14" s="60">
        <f>BAL!J$8</f>
        <v>158.71783172949858</v>
      </c>
      <c r="G14" s="60">
        <f>BAL!K$8</f>
        <v>1.3548380831999998</v>
      </c>
      <c r="H14" s="60">
        <f>BAL!L$8</f>
        <v>13.233724000000002</v>
      </c>
      <c r="I14" s="60">
        <f>BAL!M$8</f>
        <v>10.282603548000003</v>
      </c>
      <c r="J14" s="60">
        <f>BAL!N$8</f>
        <v>85.253322478722666</v>
      </c>
      <c r="K14" s="60">
        <f>BAL!O$8</f>
        <v>0.43656218640058941</v>
      </c>
      <c r="L14" s="60">
        <f t="shared" si="6"/>
        <v>35.145517038425659</v>
      </c>
      <c r="M14" s="60">
        <f t="shared" si="7"/>
        <v>40.286818812425658</v>
      </c>
      <c r="N14" s="60">
        <f t="shared" si="8"/>
        <v>45.428120586425663</v>
      </c>
      <c r="O14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40.286818812425665</v>
      </c>
      <c r="P14" s="96">
        <v>0</v>
      </c>
    </row>
    <row r="15" spans="1:16" x14ac:dyDescent="0.25">
      <c r="A15" s="59">
        <f>IF(TableRBMaster[[#This Row],[Player]]&lt;&gt;0,A14+1,A14)</f>
        <v>11</v>
      </c>
      <c r="B15" s="59" t="str">
        <f>BAL!A$9</f>
        <v>Justice Hill</v>
      </c>
      <c r="C15" s="59" t="s">
        <v>89</v>
      </c>
      <c r="D15" s="59">
        <f>BAL!C$9</f>
        <v>14</v>
      </c>
      <c r="E15" s="60">
        <f>BAL!I$9</f>
        <v>26.256551999999999</v>
      </c>
      <c r="F15" s="60">
        <f>BAL!J$9</f>
        <v>120.1320346716457</v>
      </c>
      <c r="G15" s="60">
        <f>BAL!K$9</f>
        <v>1.076518632</v>
      </c>
      <c r="H15" s="60">
        <f>BAL!L$9</f>
        <v>10.5869792</v>
      </c>
      <c r="I15" s="60">
        <f>BAL!M$9</f>
        <v>8.1413870047999986</v>
      </c>
      <c r="J15" s="60">
        <f>BAL!N$9</f>
        <v>61.793127366431989</v>
      </c>
      <c r="K15" s="60">
        <f>BAL!O$9</f>
        <v>0.28464897499032138</v>
      </c>
      <c r="L15" s="60">
        <f t="shared" si="6"/>
        <v>26.359521845749693</v>
      </c>
      <c r="M15" s="60">
        <f t="shared" si="7"/>
        <v>30.430215348149694</v>
      </c>
      <c r="N15" s="60">
        <f t="shared" si="8"/>
        <v>34.500908850549692</v>
      </c>
      <c r="O15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30.430215348149698</v>
      </c>
      <c r="P15" s="96">
        <v>0</v>
      </c>
    </row>
    <row r="16" spans="1:16" x14ac:dyDescent="0.25">
      <c r="A16" s="59">
        <f>IF(TableRBMaster[[#This Row],[Player]]&lt;&gt;0,A15+1,A15)</f>
        <v>11</v>
      </c>
      <c r="B16" s="59">
        <f>BAL!A$10</f>
        <v>0</v>
      </c>
      <c r="C16" s="59" t="s">
        <v>89</v>
      </c>
      <c r="D16" s="59">
        <f>BAL!C$10</f>
        <v>14</v>
      </c>
      <c r="E16" s="60">
        <f>BAL!I$10</f>
        <v>0</v>
      </c>
      <c r="F16" s="60">
        <f>BAL!J$10</f>
        <v>0</v>
      </c>
      <c r="G16" s="60">
        <f>BAL!K$10</f>
        <v>0</v>
      </c>
      <c r="H16" s="60">
        <f>BAL!L$10</f>
        <v>0</v>
      </c>
      <c r="I16" s="60">
        <f>BAL!M$10</f>
        <v>0</v>
      </c>
      <c r="J16" s="60">
        <f>BAL!N$10</f>
        <v>0</v>
      </c>
      <c r="K16" s="60">
        <f>BAL!O$10</f>
        <v>0</v>
      </c>
      <c r="L16" s="60">
        <f t="shared" si="6"/>
        <v>0</v>
      </c>
      <c r="M16" s="60">
        <f t="shared" si="7"/>
        <v>0</v>
      </c>
      <c r="N16" s="60">
        <f t="shared" si="8"/>
        <v>0</v>
      </c>
      <c r="O16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6" s="96">
        <v>0</v>
      </c>
    </row>
    <row r="17" spans="1:16" x14ac:dyDescent="0.25">
      <c r="A17" s="59">
        <f>IF(TableRBMaster[[#This Row],[Player]]&lt;&gt;0,A16+1,A16)</f>
        <v>12</v>
      </c>
      <c r="B17" s="59" t="str">
        <f>BUF!A$6</f>
        <v>James Cook</v>
      </c>
      <c r="C17" s="59" t="s">
        <v>90</v>
      </c>
      <c r="D17" s="59">
        <f>BUF!C$6</f>
        <v>12</v>
      </c>
      <c r="E17" s="60">
        <f>BUF!I$6</f>
        <v>210.58387392000003</v>
      </c>
      <c r="F17" s="60">
        <f>BUF!J$6</f>
        <v>947.62743264000017</v>
      </c>
      <c r="G17" s="60">
        <f>BUF!K$6</f>
        <v>5.1440328083671965</v>
      </c>
      <c r="H17" s="60">
        <f>BUF!L$6</f>
        <v>53.449482239999995</v>
      </c>
      <c r="I17" s="60">
        <f>BUF!M$6</f>
        <v>39.873313751040008</v>
      </c>
      <c r="J17" s="60">
        <f>BUF!N$6</f>
        <v>343.25346832816842</v>
      </c>
      <c r="K17" s="60">
        <f>BUF!O$6</f>
        <v>2.3008943159581885</v>
      </c>
      <c r="L17" s="60">
        <f t="shared" ref="L17:L21" si="9">(F17/10)+(G17*6)+(J17/10)+(K17*6)</f>
        <v>173.75765284276918</v>
      </c>
      <c r="M17" s="60">
        <f t="shared" ref="M17:M21" si="10">L17+(I17*0.5)</f>
        <v>193.69430971828919</v>
      </c>
      <c r="N17" s="60">
        <f t="shared" ref="N17:N21" si="11">L17+I17</f>
        <v>213.63096659380918</v>
      </c>
      <c r="O17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193.69430971828919</v>
      </c>
      <c r="P17" s="96">
        <v>10.879633166263982</v>
      </c>
    </row>
    <row r="18" spans="1:16" x14ac:dyDescent="0.25">
      <c r="A18" s="59">
        <f>IF(TableRBMaster[[#This Row],[Player]]&lt;&gt;0,A17+1,A17)</f>
        <v>13</v>
      </c>
      <c r="B18" s="59" t="str">
        <f>BUF!A$7</f>
        <v>Ty Johnson</v>
      </c>
      <c r="C18" s="59" t="s">
        <v>90</v>
      </c>
      <c r="D18" s="59">
        <f>BUF!C$8</f>
        <v>12</v>
      </c>
      <c r="E18" s="60">
        <f>BUF!I$7</f>
        <v>11.177488000000002</v>
      </c>
      <c r="F18" s="60">
        <f>BUF!J$7</f>
        <v>47.608422314384725</v>
      </c>
      <c r="G18" s="60">
        <f>BUF!K$7</f>
        <v>0.33532464000000006</v>
      </c>
      <c r="H18" s="60">
        <f>BUF!L$7</f>
        <v>6.0738047999999996</v>
      </c>
      <c r="I18" s="60">
        <f>BUF!M$7</f>
        <v>4.2516633599999984</v>
      </c>
      <c r="J18" s="60">
        <f>BUF!N$7</f>
        <v>39.165183795385452</v>
      </c>
      <c r="K18" s="60">
        <f>BUF!O$7</f>
        <v>0.15731154431999994</v>
      </c>
      <c r="L18" s="60">
        <f t="shared" si="9"/>
        <v>11.633177716897018</v>
      </c>
      <c r="M18" s="60">
        <f t="shared" si="10"/>
        <v>13.759009396897017</v>
      </c>
      <c r="N18" s="60">
        <f t="shared" si="11"/>
        <v>15.884841076897017</v>
      </c>
      <c r="O18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13.759009396897017</v>
      </c>
      <c r="P18" s="96">
        <v>0.6085987694078856</v>
      </c>
    </row>
    <row r="19" spans="1:16" x14ac:dyDescent="0.25">
      <c r="A19" s="59">
        <f>IF(TableRBMaster[[#This Row],[Player]]&lt;&gt;0,A18+1,A18)</f>
        <v>14</v>
      </c>
      <c r="B19" s="59" t="str">
        <f>BUF!A$8</f>
        <v>Ray Davis</v>
      </c>
      <c r="C19" s="59" t="s">
        <v>90</v>
      </c>
      <c r="D19" s="59">
        <f>BUF!C$7</f>
        <v>12</v>
      </c>
      <c r="E19" s="60">
        <f>BUF!I$8</f>
        <v>91.20830208000001</v>
      </c>
      <c r="F19" s="60">
        <f>BUF!J$8</f>
        <v>388.19179678162135</v>
      </c>
      <c r="G19" s="60">
        <f>BUF!K$8</f>
        <v>3.1418739197821406</v>
      </c>
      <c r="H19" s="60">
        <f>BUF!L$8</f>
        <v>18.221414399999997</v>
      </c>
      <c r="I19" s="60">
        <f>BUF!M$8</f>
        <v>13.319853926399999</v>
      </c>
      <c r="J19" s="60">
        <f>BUF!N$8</f>
        <v>109.47065962537322</v>
      </c>
      <c r="K19" s="60">
        <f>BUF!O$8</f>
        <v>0.53279415705599997</v>
      </c>
      <c r="L19" s="60">
        <f t="shared" si="9"/>
        <v>71.814254101728309</v>
      </c>
      <c r="M19" s="60">
        <f t="shared" si="10"/>
        <v>78.474181064928302</v>
      </c>
      <c r="N19" s="60">
        <f t="shared" si="11"/>
        <v>85.13410802812831</v>
      </c>
      <c r="O19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78.474181064928302</v>
      </c>
      <c r="P19" s="96">
        <v>0</v>
      </c>
    </row>
    <row r="20" spans="1:16" x14ac:dyDescent="0.25">
      <c r="A20" s="59">
        <f>IF(TableRBMaster[[#This Row],[Player]]&lt;&gt;0,A19+1,A19)</f>
        <v>14</v>
      </c>
      <c r="B20" s="59">
        <f>BUF!A$9</f>
        <v>0</v>
      </c>
      <c r="C20" s="59" t="s">
        <v>90</v>
      </c>
      <c r="D20" s="59">
        <f>BUF!C$9</f>
        <v>12</v>
      </c>
      <c r="E20" s="60">
        <f>BUF!I$9</f>
        <v>0</v>
      </c>
      <c r="F20" s="60">
        <f>BUF!J$9</f>
        <v>0</v>
      </c>
      <c r="G20" s="60">
        <f>BUF!K$9</f>
        <v>0</v>
      </c>
      <c r="H20" s="60">
        <f>BUF!L$9</f>
        <v>0</v>
      </c>
      <c r="I20" s="60">
        <f>BUF!M$9</f>
        <v>0</v>
      </c>
      <c r="J20" s="60">
        <f>BUF!N$9</f>
        <v>0</v>
      </c>
      <c r="K20" s="60">
        <f>BUF!O$9</f>
        <v>0</v>
      </c>
      <c r="L20" s="60">
        <f t="shared" si="9"/>
        <v>0</v>
      </c>
      <c r="M20" s="60">
        <f t="shared" si="10"/>
        <v>0</v>
      </c>
      <c r="N20" s="60">
        <f t="shared" si="11"/>
        <v>0</v>
      </c>
      <c r="O20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20" s="96">
        <v>0</v>
      </c>
    </row>
    <row r="21" spans="1:16" x14ac:dyDescent="0.25">
      <c r="A21" s="59">
        <f>IF(TableRBMaster[[#This Row],[Player]]&lt;&gt;0,A20+1,A20)</f>
        <v>14</v>
      </c>
      <c r="B21" s="59">
        <f>BUF!A$10</f>
        <v>0</v>
      </c>
      <c r="C21" s="59" t="s">
        <v>90</v>
      </c>
      <c r="D21" s="59">
        <f>BUF!C$10</f>
        <v>12</v>
      </c>
      <c r="E21" s="60">
        <f>BUF!I$10</f>
        <v>0</v>
      </c>
      <c r="F21" s="60">
        <f>BUF!J$10</f>
        <v>0</v>
      </c>
      <c r="G21" s="60">
        <f>BUF!K$10</f>
        <v>0</v>
      </c>
      <c r="H21" s="60">
        <f>BUF!L$10</f>
        <v>0</v>
      </c>
      <c r="I21" s="60">
        <f>BUF!M$10</f>
        <v>0</v>
      </c>
      <c r="J21" s="60">
        <f>BUF!N$10</f>
        <v>0</v>
      </c>
      <c r="K21" s="60">
        <f>BUF!O$10</f>
        <v>0</v>
      </c>
      <c r="L21" s="60">
        <f t="shared" si="9"/>
        <v>0</v>
      </c>
      <c r="M21" s="60">
        <f t="shared" si="10"/>
        <v>0</v>
      </c>
      <c r="N21" s="60">
        <f t="shared" si="11"/>
        <v>0</v>
      </c>
      <c r="O21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21" s="96">
        <v>0</v>
      </c>
    </row>
    <row r="22" spans="1:16" x14ac:dyDescent="0.25">
      <c r="A22" s="59">
        <f>IF(TableRBMaster[[#This Row],[Player]]&lt;&gt;0,A21+1,A21)</f>
        <v>15</v>
      </c>
      <c r="B22" s="59" t="str">
        <f>CAR!A$6</f>
        <v>Chuba Hubbard</v>
      </c>
      <c r="C22" s="59" t="s">
        <v>91</v>
      </c>
      <c r="D22" s="59">
        <f>CAR!C$6</f>
        <v>11</v>
      </c>
      <c r="E22" s="60">
        <f>CAR!I$6</f>
        <v>160.52752800000002</v>
      </c>
      <c r="F22" s="60">
        <f>CAR!J$6</f>
        <v>662.97869064000008</v>
      </c>
      <c r="G22" s="60">
        <f>CAR!K$6</f>
        <v>5.136880896000001</v>
      </c>
      <c r="H22" s="60">
        <f>CAR!L$6</f>
        <v>46.333615999999992</v>
      </c>
      <c r="I22" s="60">
        <f>CAR!M$6</f>
        <v>35.445216239999993</v>
      </c>
      <c r="J22" s="60">
        <f>CAR!N$6</f>
        <v>262.29460017599996</v>
      </c>
      <c r="K22" s="60">
        <f>CAR!O$6</f>
        <v>0.91127208415161154</v>
      </c>
      <c r="L22" s="60">
        <f t="shared" ref="L22:L26" si="12">(F22/10)+(G22*6)+(J22/10)+(K22*6)</f>
        <v>128.81624696250967</v>
      </c>
      <c r="M22" s="60">
        <f t="shared" ref="M22:M26" si="13">L22+(I22*0.5)</f>
        <v>146.53885508250966</v>
      </c>
      <c r="N22" s="60">
        <f t="shared" ref="N22:N26" si="14">L22+I22</f>
        <v>164.26146320250967</v>
      </c>
      <c r="O22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146.53885508250966</v>
      </c>
      <c r="P22" s="96">
        <v>60</v>
      </c>
    </row>
    <row r="23" spans="1:16" x14ac:dyDescent="0.25">
      <c r="A23" s="59">
        <f>IF(TableRBMaster[[#This Row],[Player]]&lt;&gt;0,A22+1,A22)</f>
        <v>16</v>
      </c>
      <c r="B23" s="59" t="str">
        <f>CAR!A$7</f>
        <v>Jonathon Brooks</v>
      </c>
      <c r="C23" s="59" t="s">
        <v>91</v>
      </c>
      <c r="D23" s="59">
        <f>CAR!C$8</f>
        <v>11</v>
      </c>
      <c r="E23" s="60">
        <f>CAR!I$7</f>
        <v>180.59346900000003</v>
      </c>
      <c r="F23" s="60">
        <f>CAR!J$7</f>
        <v>785.58159015000001</v>
      </c>
      <c r="G23" s="60">
        <f>CAR!K$7</f>
        <v>6.1401779460000014</v>
      </c>
      <c r="H23" s="60">
        <f>CAR!L$7</f>
        <v>23.166807999999996</v>
      </c>
      <c r="I23" s="60">
        <f>CAR!M$7</f>
        <v>17.027603879999997</v>
      </c>
      <c r="J23" s="60">
        <f>CAR!N$7</f>
        <v>132.13420610879999</v>
      </c>
      <c r="K23" s="60">
        <f>CAR!O$7</f>
        <v>0.61181323087015183</v>
      </c>
      <c r="L23" s="60">
        <f t="shared" si="12"/>
        <v>132.2835266871009</v>
      </c>
      <c r="M23" s="60">
        <f t="shared" si="13"/>
        <v>140.79732862710091</v>
      </c>
      <c r="N23" s="60">
        <f t="shared" si="14"/>
        <v>149.31113056710089</v>
      </c>
      <c r="O23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140.79732862710091</v>
      </c>
      <c r="P23" s="96">
        <v>0</v>
      </c>
    </row>
    <row r="24" spans="1:16" x14ac:dyDescent="0.25">
      <c r="A24" s="59">
        <f>IF(TableRBMaster[[#This Row],[Player]]&lt;&gt;0,A23+1,A23)</f>
        <v>17</v>
      </c>
      <c r="B24" s="59" t="str">
        <f>CAR!A$8</f>
        <v>Miles Sanders</v>
      </c>
      <c r="C24" s="59" t="s">
        <v>91</v>
      </c>
      <c r="D24" s="59">
        <f>CAR!C$7</f>
        <v>11</v>
      </c>
      <c r="E24" s="60">
        <f>CAR!I$8</f>
        <v>28.984137000000008</v>
      </c>
      <c r="F24" s="60">
        <f>CAR!J$8</f>
        <v>118.74336172150061</v>
      </c>
      <c r="G24" s="60">
        <f>CAR!K$8</f>
        <v>0.60122870827012775</v>
      </c>
      <c r="H24" s="60">
        <f>CAR!L$8</f>
        <v>8.6875529999999976</v>
      </c>
      <c r="I24" s="60">
        <f>CAR!M$8</f>
        <v>5.8380356159999982</v>
      </c>
      <c r="J24" s="60">
        <f>CAR!N$8</f>
        <v>35.673317986073414</v>
      </c>
      <c r="K24" s="60">
        <f>CAR!O$8</f>
        <v>4.767883485033541E-2</v>
      </c>
      <c r="L24" s="60">
        <f t="shared" si="12"/>
        <v>19.335113229480179</v>
      </c>
      <c r="M24" s="60">
        <f t="shared" si="13"/>
        <v>22.254131037480178</v>
      </c>
      <c r="N24" s="60">
        <f t="shared" si="14"/>
        <v>25.173148845480178</v>
      </c>
      <c r="O24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22.254131037480178</v>
      </c>
      <c r="P24" s="96">
        <v>0</v>
      </c>
    </row>
    <row r="25" spans="1:16" x14ac:dyDescent="0.25">
      <c r="A25" s="59">
        <f>IF(TableRBMaster[[#This Row],[Player]]&lt;&gt;0,A24+1,A24)</f>
        <v>18</v>
      </c>
      <c r="B25" s="59" t="str">
        <f>CAR!A$9</f>
        <v>Raheem Blackshear</v>
      </c>
      <c r="C25" s="59" t="s">
        <v>91</v>
      </c>
      <c r="D25" s="59">
        <f>CAR!C$9</f>
        <v>11</v>
      </c>
      <c r="E25" s="60">
        <f>CAR!I$9</f>
        <v>13.377294000000001</v>
      </c>
      <c r="F25" s="60">
        <f>CAR!J$9</f>
        <v>53.397753170723668</v>
      </c>
      <c r="G25" s="60">
        <f>CAR!K$9</f>
        <v>0.33299916821033004</v>
      </c>
      <c r="H25" s="60">
        <f>CAR!L$9</f>
        <v>5.791701999999999</v>
      </c>
      <c r="I25" s="60">
        <f>CAR!M$9</f>
        <v>4.1005250159999989</v>
      </c>
      <c r="J25" s="60">
        <f>CAR!N$9</f>
        <v>31.238003412631166</v>
      </c>
      <c r="K25" s="60">
        <f>CAR!O$9</f>
        <v>8.2414581607268181E-2</v>
      </c>
      <c r="L25" s="60">
        <f t="shared" si="12"/>
        <v>10.956058157241072</v>
      </c>
      <c r="M25" s="60">
        <f t="shared" si="13"/>
        <v>13.006320665241072</v>
      </c>
      <c r="N25" s="60">
        <f t="shared" si="14"/>
        <v>15.056583173241071</v>
      </c>
      <c r="O25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13.006320665241072</v>
      </c>
      <c r="P25" s="96">
        <v>0</v>
      </c>
    </row>
    <row r="26" spans="1:16" x14ac:dyDescent="0.25">
      <c r="A26" s="59">
        <f>IF(TableRBMaster[[#This Row],[Player]]&lt;&gt;0,A25+1,A25)</f>
        <v>18</v>
      </c>
      <c r="B26" s="59">
        <f>CAR!A$10</f>
        <v>0</v>
      </c>
      <c r="C26" s="59" t="s">
        <v>91</v>
      </c>
      <c r="D26" s="59">
        <f>CAR!C$10</f>
        <v>11</v>
      </c>
      <c r="E26" s="60">
        <f>CAR!I$10</f>
        <v>0</v>
      </c>
      <c r="F26" s="60">
        <f>CAR!J$10</f>
        <v>0</v>
      </c>
      <c r="G26" s="60">
        <f>CAR!K$10</f>
        <v>0</v>
      </c>
      <c r="H26" s="60">
        <f>CAR!L$10</f>
        <v>0</v>
      </c>
      <c r="I26" s="60">
        <f>CAR!M$10</f>
        <v>0</v>
      </c>
      <c r="J26" s="60">
        <f>CAR!N$10</f>
        <v>0</v>
      </c>
      <c r="K26" s="60">
        <f>CAR!O$10</f>
        <v>0</v>
      </c>
      <c r="L26" s="60">
        <f t="shared" si="12"/>
        <v>0</v>
      </c>
      <c r="M26" s="60">
        <f t="shared" si="13"/>
        <v>0</v>
      </c>
      <c r="N26" s="60">
        <f t="shared" si="14"/>
        <v>0</v>
      </c>
      <c r="O26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26" s="96">
        <v>0</v>
      </c>
    </row>
    <row r="27" spans="1:16" x14ac:dyDescent="0.25">
      <c r="A27" s="59">
        <f>IF(TableRBMaster[[#This Row],[Player]]&lt;&gt;0,A26+1,A26)</f>
        <v>19</v>
      </c>
      <c r="B27" s="59" t="str">
        <f>CHI!A$6</f>
        <v>D'Andre Swift</v>
      </c>
      <c r="C27" s="59" t="s">
        <v>92</v>
      </c>
      <c r="D27" s="59">
        <f>CHI!C$6</f>
        <v>7</v>
      </c>
      <c r="E27" s="60">
        <f>CHI!I$6</f>
        <v>214.46641439999996</v>
      </c>
      <c r="F27" s="60">
        <f>CHI!J$6</f>
        <v>951.50264952455905</v>
      </c>
      <c r="G27" s="60">
        <f>CHI!K$6</f>
        <v>7.0773916751999995</v>
      </c>
      <c r="H27" s="60">
        <f>CHI!L$6</f>
        <v>45.344678399999999</v>
      </c>
      <c r="I27" s="60">
        <f>CHI!M$6</f>
        <v>34.008508800000001</v>
      </c>
      <c r="J27" s="60">
        <f>CHI!N$6</f>
        <v>246.22160371200002</v>
      </c>
      <c r="K27" s="60">
        <f>CHI!O$6</f>
        <v>1.5889175963929081</v>
      </c>
      <c r="L27" s="60">
        <f t="shared" ref="L27:L31" si="15">(F27/10)+(G27*6)+(J27/10)+(K27*6)</f>
        <v>171.77028095321336</v>
      </c>
      <c r="M27" s="60">
        <f t="shared" ref="M27:M31" si="16">L27+(I27*0.5)</f>
        <v>188.77453535321337</v>
      </c>
      <c r="N27" s="60">
        <f t="shared" ref="N27:N31" si="17">L27+I27</f>
        <v>205.77878975321335</v>
      </c>
      <c r="O27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188.77453535321337</v>
      </c>
      <c r="P27" s="96">
        <v>25.021068661451302</v>
      </c>
    </row>
    <row r="28" spans="1:16" x14ac:dyDescent="0.25">
      <c r="A28" s="59">
        <f>IF(TableRBMaster[[#This Row],[Player]]&lt;&gt;0,A27+1,A27)</f>
        <v>20</v>
      </c>
      <c r="B28" s="59" t="str">
        <f>CHI!A$7</f>
        <v>Khalil Herbert</v>
      </c>
      <c r="C28" s="59" t="s">
        <v>92</v>
      </c>
      <c r="D28" s="59">
        <f>CHI!C$8</f>
        <v>7</v>
      </c>
      <c r="E28" s="60">
        <f>CHI!I$7</f>
        <v>87.611811839999987</v>
      </c>
      <c r="F28" s="60">
        <f>CHI!J$7</f>
        <v>391.75948324736351</v>
      </c>
      <c r="G28" s="60">
        <f>CHI!K$7</f>
        <v>2.9788016025599999</v>
      </c>
      <c r="H28" s="60">
        <f>CHI!L$7</f>
        <v>13.036595039999998</v>
      </c>
      <c r="I28" s="60">
        <f>CHI!M$7</f>
        <v>9.1907995031999974</v>
      </c>
      <c r="J28" s="60">
        <f>CHI!N$7</f>
        <v>63.876056547239983</v>
      </c>
      <c r="K28" s="60">
        <f>CHI!O$7</f>
        <v>0.38379518014963382</v>
      </c>
      <c r="L28" s="60">
        <f t="shared" si="15"/>
        <v>65.739134675718148</v>
      </c>
      <c r="M28" s="60">
        <f t="shared" si="16"/>
        <v>70.334534427318147</v>
      </c>
      <c r="N28" s="60">
        <f t="shared" si="17"/>
        <v>74.929934178918145</v>
      </c>
      <c r="O28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70.334534427318147</v>
      </c>
      <c r="P28" s="96">
        <v>0</v>
      </c>
    </row>
    <row r="29" spans="1:16" x14ac:dyDescent="0.25">
      <c r="A29" s="59">
        <f>IF(TableRBMaster[[#This Row],[Player]]&lt;&gt;0,A28+1,A28)</f>
        <v>21</v>
      </c>
      <c r="B29" s="59" t="str">
        <f>CHI!A$8</f>
        <v>Roschon Johnson</v>
      </c>
      <c r="C29" s="59" t="s">
        <v>92</v>
      </c>
      <c r="D29" s="59">
        <f>CHI!C$7</f>
        <v>7</v>
      </c>
      <c r="E29" s="60">
        <f>CHI!I$8</f>
        <v>81.223450559999989</v>
      </c>
      <c r="F29" s="60">
        <f>CHI!J$8</f>
        <v>357.38318246399996</v>
      </c>
      <c r="G29" s="60">
        <f>CHI!K$8</f>
        <v>2.8428207695999999</v>
      </c>
      <c r="H29" s="60">
        <f>CHI!L$8</f>
        <v>28.340423999999999</v>
      </c>
      <c r="I29" s="60">
        <f>CHI!M$8</f>
        <v>20.971913759999996</v>
      </c>
      <c r="J29" s="60">
        <f>CHI!N$8</f>
        <v>151.20749820959998</v>
      </c>
      <c r="K29" s="60">
        <f>CHI!O$8</f>
        <v>0.7652672484924139</v>
      </c>
      <c r="L29" s="60">
        <f t="shared" si="15"/>
        <v>72.507596175914486</v>
      </c>
      <c r="M29" s="60">
        <f t="shared" si="16"/>
        <v>82.993553055914489</v>
      </c>
      <c r="N29" s="60">
        <f t="shared" si="17"/>
        <v>93.479509935914479</v>
      </c>
      <c r="O29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82.993553055914475</v>
      </c>
      <c r="P29" s="96">
        <v>0</v>
      </c>
    </row>
    <row r="30" spans="1:16" x14ac:dyDescent="0.25">
      <c r="A30" s="59">
        <f>IF(TableRBMaster[[#This Row],[Player]]&lt;&gt;0,A29+1,A29)</f>
        <v>21</v>
      </c>
      <c r="B30" s="59">
        <f>CHI!A$9</f>
        <v>0</v>
      </c>
      <c r="C30" s="59" t="s">
        <v>92</v>
      </c>
      <c r="D30" s="59">
        <f>CHI!C$9</f>
        <v>7</v>
      </c>
      <c r="E30" s="60">
        <f>CHI!I$9</f>
        <v>0</v>
      </c>
      <c r="F30" s="60">
        <f>CHI!J$9</f>
        <v>0</v>
      </c>
      <c r="G30" s="60">
        <f>CHI!K$9</f>
        <v>0</v>
      </c>
      <c r="H30" s="60">
        <f>CHI!L$9</f>
        <v>0</v>
      </c>
      <c r="I30" s="60">
        <f>CHI!M$9</f>
        <v>0</v>
      </c>
      <c r="J30" s="60">
        <f>CHI!N$9</f>
        <v>0</v>
      </c>
      <c r="K30" s="60">
        <f>CHI!O$9</f>
        <v>0</v>
      </c>
      <c r="L30" s="60">
        <f t="shared" si="15"/>
        <v>0</v>
      </c>
      <c r="M30" s="60">
        <f t="shared" si="16"/>
        <v>0</v>
      </c>
      <c r="N30" s="60">
        <f t="shared" si="17"/>
        <v>0</v>
      </c>
      <c r="O30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30" s="96">
        <v>0</v>
      </c>
    </row>
    <row r="31" spans="1:16" x14ac:dyDescent="0.25">
      <c r="A31" s="59">
        <f>IF(TableRBMaster[[#This Row],[Player]]&lt;&gt;0,A30+1,A30)</f>
        <v>21</v>
      </c>
      <c r="B31" s="59">
        <f>CHI!A$10</f>
        <v>0</v>
      </c>
      <c r="C31" s="59" t="s">
        <v>92</v>
      </c>
      <c r="D31" s="59">
        <f>CHI!C$10</f>
        <v>7</v>
      </c>
      <c r="E31" s="60">
        <f>CHI!I$10</f>
        <v>0</v>
      </c>
      <c r="F31" s="60">
        <f>CHI!J$10</f>
        <v>0</v>
      </c>
      <c r="G31" s="60">
        <f>CHI!K$10</f>
        <v>0</v>
      </c>
      <c r="H31" s="60">
        <f>CHI!L$10</f>
        <v>0</v>
      </c>
      <c r="I31" s="60">
        <f>CHI!M$10</f>
        <v>0</v>
      </c>
      <c r="J31" s="60">
        <f>CHI!N$10</f>
        <v>0</v>
      </c>
      <c r="K31" s="60">
        <f>CHI!O$10</f>
        <v>0</v>
      </c>
      <c r="L31" s="60">
        <f t="shared" si="15"/>
        <v>0</v>
      </c>
      <c r="M31" s="60">
        <f t="shared" si="16"/>
        <v>0</v>
      </c>
      <c r="N31" s="60">
        <f t="shared" si="17"/>
        <v>0</v>
      </c>
      <c r="O31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31" s="96">
        <v>0</v>
      </c>
    </row>
    <row r="32" spans="1:16" x14ac:dyDescent="0.25">
      <c r="A32" s="59">
        <f>IF(TableRBMaster[[#This Row],[Player]]&lt;&gt;0,A31+1,A31)</f>
        <v>22</v>
      </c>
      <c r="B32" s="59" t="str">
        <f>CIN!A$6</f>
        <v>Zack Moss</v>
      </c>
      <c r="C32" s="59" t="s">
        <v>93</v>
      </c>
      <c r="D32" s="59">
        <f>CIN!C$6</f>
        <v>12</v>
      </c>
      <c r="E32" s="60">
        <f>CIN!I$6</f>
        <v>203.52836196000001</v>
      </c>
      <c r="F32" s="60">
        <f>CIN!J$6</f>
        <v>862.96025471040014</v>
      </c>
      <c r="G32" s="60">
        <f>CIN!K$6</f>
        <v>7.6119607373040008</v>
      </c>
      <c r="H32" s="60">
        <f>CIN!L$6</f>
        <v>40.531927800000005</v>
      </c>
      <c r="I32" s="60">
        <f>CIN!M$6</f>
        <v>32.101286817599998</v>
      </c>
      <c r="J32" s="60">
        <f>CIN!N$6</f>
        <v>216.25152106147826</v>
      </c>
      <c r="K32" s="60">
        <f>CIN!O$6</f>
        <v>1.4124566199743998</v>
      </c>
      <c r="L32" s="60">
        <f t="shared" ref="L32:L36" si="18">(F32/10)+(G32*6)+(J32/10)+(K32*6)</f>
        <v>162.06768172085825</v>
      </c>
      <c r="M32" s="60">
        <f t="shared" ref="M32:M36" si="19">L32+(I32*0.5)</f>
        <v>178.11832512965825</v>
      </c>
      <c r="N32" s="60">
        <f t="shared" ref="N32:N36" si="20">L32+I32</f>
        <v>194.16896853845824</v>
      </c>
      <c r="O32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178.11832512965827</v>
      </c>
      <c r="P32" s="96">
        <v>39.467218909506279</v>
      </c>
    </row>
    <row r="33" spans="1:16" x14ac:dyDescent="0.25">
      <c r="A33" s="59">
        <f>IF(TableRBMaster[[#This Row],[Player]]&lt;&gt;0,A32+1,A32)</f>
        <v>23</v>
      </c>
      <c r="B33" s="59" t="str">
        <f>CIN!A$7</f>
        <v>Chase Brown</v>
      </c>
      <c r="C33" s="59" t="s">
        <v>93</v>
      </c>
      <c r="D33" s="59">
        <f>CIN!C$8</f>
        <v>12</v>
      </c>
      <c r="E33" s="60">
        <f>CIN!I$7</f>
        <v>121.64461091999999</v>
      </c>
      <c r="F33" s="60">
        <f>CIN!J$7</f>
        <v>533.71801245632651</v>
      </c>
      <c r="G33" s="60">
        <f>CIN!K$7</f>
        <v>4.3913704542119998</v>
      </c>
      <c r="H33" s="60">
        <f>CIN!L$7</f>
        <v>24.942724799999997</v>
      </c>
      <c r="I33" s="60">
        <f>CIN!M$7</f>
        <v>19.629924417599998</v>
      </c>
      <c r="J33" s="60">
        <f>CIN!N$7</f>
        <v>148.00963010870399</v>
      </c>
      <c r="K33" s="60">
        <f>CIN!O$7</f>
        <v>0.90297652320959987</v>
      </c>
      <c r="L33" s="60">
        <f t="shared" si="18"/>
        <v>99.938846121032654</v>
      </c>
      <c r="M33" s="60">
        <f t="shared" si="19"/>
        <v>109.75380832983265</v>
      </c>
      <c r="N33" s="60">
        <f t="shared" si="20"/>
        <v>119.56877053863265</v>
      </c>
      <c r="O33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109.75380832983265</v>
      </c>
      <c r="P33" s="96">
        <v>0</v>
      </c>
    </row>
    <row r="34" spans="1:16" x14ac:dyDescent="0.25">
      <c r="A34" s="59">
        <f>IF(TableRBMaster[[#This Row],[Player]]&lt;&gt;0,A33+1,A33)</f>
        <v>24</v>
      </c>
      <c r="B34" s="59" t="str">
        <f>CIN!A$8</f>
        <v>Trayveon Williams</v>
      </c>
      <c r="C34" s="59" t="s">
        <v>93</v>
      </c>
      <c r="D34" s="59">
        <f>CIN!C$7</f>
        <v>12</v>
      </c>
      <c r="E34" s="60">
        <f>CIN!I$8</f>
        <v>13.384843920000002</v>
      </c>
      <c r="F34" s="60">
        <f>CIN!J$8</f>
        <v>57.117666607577085</v>
      </c>
      <c r="G34" s="60">
        <f>CIN!K$8</f>
        <v>0.40154531760000001</v>
      </c>
      <c r="H34" s="60">
        <f>CIN!L$8</f>
        <v>6.2356811999999993</v>
      </c>
      <c r="I34" s="60">
        <f>CIN!M$8</f>
        <v>4.3649768399999989</v>
      </c>
      <c r="J34" s="60">
        <f>CIN!N$8</f>
        <v>27.714019948893263</v>
      </c>
      <c r="K34" s="60">
        <f>CIN!O$8</f>
        <v>0.11839988502176813</v>
      </c>
      <c r="L34" s="60">
        <f t="shared" si="18"/>
        <v>11.602839871377643</v>
      </c>
      <c r="M34" s="60">
        <f t="shared" si="19"/>
        <v>13.785328291377642</v>
      </c>
      <c r="N34" s="60">
        <f t="shared" si="20"/>
        <v>15.967816711377642</v>
      </c>
      <c r="O34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13.785328291377642</v>
      </c>
      <c r="P34" s="96">
        <v>0</v>
      </c>
    </row>
    <row r="35" spans="1:16" x14ac:dyDescent="0.25">
      <c r="A35" s="59">
        <f>IF(TableRBMaster[[#This Row],[Player]]&lt;&gt;0,A34+1,A34)</f>
        <v>24</v>
      </c>
      <c r="B35" s="59">
        <f>CIN!A$9</f>
        <v>0</v>
      </c>
      <c r="C35" s="59" t="s">
        <v>93</v>
      </c>
      <c r="D35" s="59">
        <f>CIN!C$9</f>
        <v>12</v>
      </c>
      <c r="E35" s="60">
        <f>CIN!I$9</f>
        <v>0</v>
      </c>
      <c r="F35" s="60">
        <f>CIN!J$9</f>
        <v>0</v>
      </c>
      <c r="G35" s="60">
        <f>CIN!K$9</f>
        <v>0</v>
      </c>
      <c r="H35" s="60">
        <f>CIN!L$9</f>
        <v>0</v>
      </c>
      <c r="I35" s="60">
        <f>CIN!M$9</f>
        <v>0</v>
      </c>
      <c r="J35" s="60">
        <f>CIN!N$9</f>
        <v>0</v>
      </c>
      <c r="K35" s="60">
        <f>CIN!O$9</f>
        <v>0</v>
      </c>
      <c r="L35" s="60">
        <f t="shared" si="18"/>
        <v>0</v>
      </c>
      <c r="M35" s="60">
        <f t="shared" si="19"/>
        <v>0</v>
      </c>
      <c r="N35" s="60">
        <f t="shared" si="20"/>
        <v>0</v>
      </c>
      <c r="O35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35" s="96">
        <v>0</v>
      </c>
    </row>
    <row r="36" spans="1:16" x14ac:dyDescent="0.25">
      <c r="A36" s="59">
        <f>IF(TableRBMaster[[#This Row],[Player]]&lt;&gt;0,A35+1,A35)</f>
        <v>24</v>
      </c>
      <c r="B36" s="59">
        <f>CIN!A$10</f>
        <v>0</v>
      </c>
      <c r="C36" s="59" t="s">
        <v>93</v>
      </c>
      <c r="D36" s="59">
        <f>CIN!C$10</f>
        <v>12</v>
      </c>
      <c r="E36" s="60">
        <f>CIN!I$10</f>
        <v>0</v>
      </c>
      <c r="F36" s="60">
        <f>CIN!J$10</f>
        <v>0</v>
      </c>
      <c r="G36" s="60">
        <f>CIN!K$10</f>
        <v>0</v>
      </c>
      <c r="H36" s="60">
        <f>CIN!L$10</f>
        <v>0</v>
      </c>
      <c r="I36" s="60">
        <f>CIN!M$10</f>
        <v>0</v>
      </c>
      <c r="J36" s="60">
        <f>CIN!N$10</f>
        <v>0</v>
      </c>
      <c r="K36" s="60">
        <f>CIN!O$10</f>
        <v>0</v>
      </c>
      <c r="L36" s="60">
        <f t="shared" si="18"/>
        <v>0</v>
      </c>
      <c r="M36" s="60">
        <f t="shared" si="19"/>
        <v>0</v>
      </c>
      <c r="N36" s="60">
        <f t="shared" si="20"/>
        <v>0</v>
      </c>
      <c r="O36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36" s="96">
        <v>0</v>
      </c>
    </row>
    <row r="37" spans="1:16" x14ac:dyDescent="0.25">
      <c r="A37" s="59">
        <f>IF(TableRBMaster[[#This Row],[Player]]&lt;&gt;0,A36+1,A36)</f>
        <v>25</v>
      </c>
      <c r="B37" s="59" t="str">
        <f>CLE!A$6</f>
        <v>Nick Chubb</v>
      </c>
      <c r="C37" s="59" t="s">
        <v>94</v>
      </c>
      <c r="D37" s="59">
        <f>CLE!C$6</f>
        <v>10</v>
      </c>
      <c r="E37" s="60">
        <f>CLE!I$6</f>
        <v>170.25662499999999</v>
      </c>
      <c r="F37" s="60">
        <f>CLE!J$6</f>
        <v>783.18047499999989</v>
      </c>
      <c r="G37" s="60">
        <f>CLE!K$6</f>
        <v>6.9805216249999997</v>
      </c>
      <c r="H37" s="60">
        <f>CLE!L$6</f>
        <v>25.26966749999999</v>
      </c>
      <c r="I37" s="60">
        <f>CLE!M$6</f>
        <v>19.634531647499994</v>
      </c>
      <c r="J37" s="60">
        <f>CLE!N$6</f>
        <v>149.22244052099995</v>
      </c>
      <c r="K37" s="60">
        <f>CLE!O$6</f>
        <v>0.70672948145814851</v>
      </c>
      <c r="L37" s="60">
        <f t="shared" ref="L37:L41" si="21">(F37/10)+(G37*6)+(J37/10)+(K37*6)</f>
        <v>139.36379819084888</v>
      </c>
      <c r="M37" s="60">
        <f t="shared" ref="M37:M41" si="22">L37+(I37*0.5)</f>
        <v>149.18106401459889</v>
      </c>
      <c r="N37" s="60">
        <f t="shared" ref="N37:N41" si="23">L37+I37</f>
        <v>158.99832983834887</v>
      </c>
      <c r="O37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149.18106401459886</v>
      </c>
      <c r="P37" s="96">
        <v>33.158464281356899</v>
      </c>
    </row>
    <row r="38" spans="1:16" x14ac:dyDescent="0.25">
      <c r="A38" s="59">
        <f>IF(TableRBMaster[[#This Row],[Player]]&lt;&gt;0,A37+1,A37)</f>
        <v>26</v>
      </c>
      <c r="B38" s="59" t="str">
        <f>CLE!A$7</f>
        <v>Jerome Ford</v>
      </c>
      <c r="C38" s="59" t="s">
        <v>94</v>
      </c>
      <c r="D38" s="59">
        <f>CLE!C$8</f>
        <v>10</v>
      </c>
      <c r="E38" s="60">
        <f>CLE!I$7</f>
        <v>211.60466250000002</v>
      </c>
      <c r="F38" s="60">
        <f>CLE!J$7</f>
        <v>931.06051500000012</v>
      </c>
      <c r="G38" s="60">
        <f>CLE!K$7</f>
        <v>7.7024097150000008</v>
      </c>
      <c r="H38" s="60">
        <f>CLE!L$7</f>
        <v>26.882624999999994</v>
      </c>
      <c r="I38" s="60">
        <f>CLE!M$7</f>
        <v>19.489903124999998</v>
      </c>
      <c r="J38" s="60">
        <f>CLE!N$7</f>
        <v>143.64058603125</v>
      </c>
      <c r="K38" s="60">
        <f>CLE!O$7</f>
        <v>0.8770456406249999</v>
      </c>
      <c r="L38" s="60">
        <f t="shared" si="21"/>
        <v>158.946842236875</v>
      </c>
      <c r="M38" s="60">
        <f t="shared" si="22"/>
        <v>168.69179379937501</v>
      </c>
      <c r="N38" s="60">
        <f t="shared" si="23"/>
        <v>178.43674536187501</v>
      </c>
      <c r="O38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168.69179379937501</v>
      </c>
      <c r="P38" s="96">
        <v>23.675137270027953</v>
      </c>
    </row>
    <row r="39" spans="1:16" x14ac:dyDescent="0.25">
      <c r="A39" s="59">
        <f>IF(TableRBMaster[[#This Row],[Player]]&lt;&gt;0,A38+1,A38)</f>
        <v>27</v>
      </c>
      <c r="B39" s="59" t="str">
        <f>CLE!A$8</f>
        <v>Pierre Strong</v>
      </c>
      <c r="C39" s="59" t="s">
        <v>94</v>
      </c>
      <c r="D39" s="59">
        <f>CLE!C$7</f>
        <v>10</v>
      </c>
      <c r="E39" s="60">
        <f>CLE!I$8</f>
        <v>12.1611875</v>
      </c>
      <c r="F39" s="60">
        <f>CLE!J$8</f>
        <v>50.833763749999996</v>
      </c>
      <c r="G39" s="60">
        <f>CLE!K$8</f>
        <v>0.42564156250000007</v>
      </c>
      <c r="H39" s="60">
        <f>CLE!L$8</f>
        <v>10.215397499999996</v>
      </c>
      <c r="I39" s="60">
        <f>CLE!M$8</f>
        <v>7.3550861999999997</v>
      </c>
      <c r="J39" s="60">
        <f>CLE!N$8</f>
        <v>53.986332707999999</v>
      </c>
      <c r="K39" s="60">
        <f>CLE!O$8</f>
        <v>0.27213818939999995</v>
      </c>
      <c r="L39" s="60">
        <f t="shared" si="21"/>
        <v>14.6686881572</v>
      </c>
      <c r="M39" s="60">
        <f t="shared" si="22"/>
        <v>18.346231257199999</v>
      </c>
      <c r="N39" s="60">
        <f t="shared" si="23"/>
        <v>22.023774357200001</v>
      </c>
      <c r="O39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18.346231257200003</v>
      </c>
      <c r="P39" s="96">
        <v>0</v>
      </c>
    </row>
    <row r="40" spans="1:16" x14ac:dyDescent="0.25">
      <c r="A40" s="59">
        <f>IF(TableRBMaster[[#This Row],[Player]]&lt;&gt;0,A39+1,A39)</f>
        <v>28</v>
      </c>
      <c r="B40" s="59" t="str">
        <f>CLE!A$9</f>
        <v>D'Onta Foreman</v>
      </c>
      <c r="C40" s="59" t="s">
        <v>94</v>
      </c>
      <c r="D40" s="59">
        <f>CLE!C$9</f>
        <v>10</v>
      </c>
      <c r="E40" s="60">
        <f>CLE!I$9</f>
        <v>4.8644749999999997</v>
      </c>
      <c r="F40" s="60">
        <f>CLE!J$9</f>
        <v>19.99299225</v>
      </c>
      <c r="G40" s="60">
        <f>CLE!K$9</f>
        <v>0.17998557499999998</v>
      </c>
      <c r="H40" s="60">
        <f>CLE!L$9</f>
        <v>5.3765249999999991</v>
      </c>
      <c r="I40" s="60">
        <f>CLE!M$9</f>
        <v>3.9840050249999992</v>
      </c>
      <c r="J40" s="60">
        <f>CLE!N$9</f>
        <v>29.840197637249997</v>
      </c>
      <c r="K40" s="60">
        <f>CLE!O$9</f>
        <v>0.15936020099999998</v>
      </c>
      <c r="L40" s="60">
        <f t="shared" si="21"/>
        <v>7.0193936447249996</v>
      </c>
      <c r="M40" s="60">
        <f t="shared" si="22"/>
        <v>9.0113961572249988</v>
      </c>
      <c r="N40" s="60">
        <f t="shared" si="23"/>
        <v>11.003398669724998</v>
      </c>
      <c r="O40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9.0113961572249988</v>
      </c>
      <c r="P40" s="96">
        <v>0</v>
      </c>
    </row>
    <row r="41" spans="1:16" x14ac:dyDescent="0.25">
      <c r="A41" s="59">
        <f>IF(TableRBMaster[[#This Row],[Player]]&lt;&gt;0,A40+1,A40)</f>
        <v>28</v>
      </c>
      <c r="B41" s="59">
        <f>CLE!A$10</f>
        <v>0</v>
      </c>
      <c r="C41" s="59" t="s">
        <v>94</v>
      </c>
      <c r="D41" s="59">
        <f>CLE!C$10</f>
        <v>10</v>
      </c>
      <c r="E41" s="60">
        <f>CLE!I$10</f>
        <v>0</v>
      </c>
      <c r="F41" s="60">
        <f>CLE!J$10</f>
        <v>0</v>
      </c>
      <c r="G41" s="60">
        <f>CLE!K$10</f>
        <v>0</v>
      </c>
      <c r="H41" s="60">
        <f>CLE!L$10</f>
        <v>0</v>
      </c>
      <c r="I41" s="60">
        <f>CLE!M$10</f>
        <v>0</v>
      </c>
      <c r="J41" s="60">
        <f>CLE!N$10</f>
        <v>0</v>
      </c>
      <c r="K41" s="60">
        <f>CLE!O$10</f>
        <v>0</v>
      </c>
      <c r="L41" s="60">
        <f t="shared" si="21"/>
        <v>0</v>
      </c>
      <c r="M41" s="60">
        <f t="shared" si="22"/>
        <v>0</v>
      </c>
      <c r="N41" s="60">
        <f t="shared" si="23"/>
        <v>0</v>
      </c>
      <c r="O41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41" s="96">
        <v>0</v>
      </c>
    </row>
    <row r="42" spans="1:16" x14ac:dyDescent="0.25">
      <c r="A42" s="59">
        <f>IF(TableRBMaster[[#This Row],[Player]]&lt;&gt;0,A41+1,A41)</f>
        <v>29</v>
      </c>
      <c r="B42" s="59" t="str">
        <f>DAL!A$6</f>
        <v>Ezekiel Elliott</v>
      </c>
      <c r="C42" s="59" t="s">
        <v>95</v>
      </c>
      <c r="D42" s="59">
        <f>DAL!C$6</f>
        <v>7</v>
      </c>
      <c r="E42" s="60">
        <f>DAL!I$6</f>
        <v>157.23885576000001</v>
      </c>
      <c r="F42" s="60">
        <f>DAL!J$6</f>
        <v>638.38975438559999</v>
      </c>
      <c r="G42" s="60">
        <f>DAL!K$6</f>
        <v>5.8178376631199997</v>
      </c>
      <c r="H42" s="60">
        <f>DAL!L$6</f>
        <v>38.419443719999983</v>
      </c>
      <c r="I42" s="60">
        <f>DAL!M$6</f>
        <v>29.006680008599986</v>
      </c>
      <c r="J42" s="60">
        <f>DAL!N$6</f>
        <v>203.59727080790125</v>
      </c>
      <c r="K42" s="60">
        <f>DAL!O$6</f>
        <v>1.1718579151996169</v>
      </c>
      <c r="L42" s="60">
        <f t="shared" ref="L42:L46" si="24">(F42/10)+(G42*6)+(J42/10)+(K42*6)</f>
        <v>126.13687598926782</v>
      </c>
      <c r="M42" s="60">
        <f t="shared" ref="M42:M46" si="25">L42+(I42*0.5)</f>
        <v>140.64021599356781</v>
      </c>
      <c r="N42" s="60">
        <f t="shared" ref="N42:N46" si="26">L42+I42</f>
        <v>155.14355599786779</v>
      </c>
      <c r="O42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140.64021599356784</v>
      </c>
      <c r="P42" s="96">
        <v>44.776221588356584</v>
      </c>
    </row>
    <row r="43" spans="1:16" x14ac:dyDescent="0.25">
      <c r="A43" s="59">
        <f>IF(TableRBMaster[[#This Row],[Player]]&lt;&gt;0,A42+1,A42)</f>
        <v>30</v>
      </c>
      <c r="B43" s="59" t="str">
        <f>DAL!A$7</f>
        <v>Rico Dowdle</v>
      </c>
      <c r="C43" s="59" t="s">
        <v>95</v>
      </c>
      <c r="D43" s="59">
        <f>DAL!C$8</f>
        <v>7</v>
      </c>
      <c r="E43" s="60">
        <f>DAL!I$7</f>
        <v>109.52186196000001</v>
      </c>
      <c r="F43" s="60">
        <f>DAL!J$7</f>
        <v>463.27747609080006</v>
      </c>
      <c r="G43" s="60">
        <f>DAL!K$7</f>
        <v>3.8332651686000005</v>
      </c>
      <c r="H43" s="60">
        <f>DAL!L$7</f>
        <v>35.980113959999983</v>
      </c>
      <c r="I43" s="60">
        <f>DAL!M$7</f>
        <v>26.445383760599984</v>
      </c>
      <c r="J43" s="60">
        <f>DAL!N$7</f>
        <v>206.27399333267988</v>
      </c>
      <c r="K43" s="60">
        <f>DAL!O$7</f>
        <v>1.3222691880299993</v>
      </c>
      <c r="L43" s="60">
        <f t="shared" si="24"/>
        <v>97.888353082127992</v>
      </c>
      <c r="M43" s="60">
        <f t="shared" si="25"/>
        <v>111.11104496242798</v>
      </c>
      <c r="N43" s="60">
        <f t="shared" si="26"/>
        <v>124.33373684272797</v>
      </c>
      <c r="O43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111.11104496242798</v>
      </c>
      <c r="P43" s="96">
        <v>0</v>
      </c>
    </row>
    <row r="44" spans="1:16" x14ac:dyDescent="0.25">
      <c r="A44" s="59">
        <f>IF(TableRBMaster[[#This Row],[Player]]&lt;&gt;0,A43+1,A43)</f>
        <v>31</v>
      </c>
      <c r="B44" s="59" t="str">
        <f>DAL!A$8</f>
        <v>Dalvin Cook</v>
      </c>
      <c r="C44" s="59" t="s">
        <v>95</v>
      </c>
      <c r="D44" s="59">
        <f>DAL!C$7</f>
        <v>7</v>
      </c>
      <c r="E44" s="60">
        <f>DAL!I$8</f>
        <v>119.51970828000002</v>
      </c>
      <c r="F44" s="60">
        <f>DAL!J$8</f>
        <v>474.49324187160011</v>
      </c>
      <c r="G44" s="60">
        <f>DAL!K$8</f>
        <v>4.3027094980800005</v>
      </c>
      <c r="H44" s="60">
        <f>DAL!L$8</f>
        <v>10.976983919999995</v>
      </c>
      <c r="I44" s="60">
        <f>DAL!M$8</f>
        <v>8.2217609560799971</v>
      </c>
      <c r="J44" s="60">
        <f>DAL!N$8</f>
        <v>58.950026055093581</v>
      </c>
      <c r="K44" s="60">
        <f>DAL!O$8</f>
        <v>0.32887043824319989</v>
      </c>
      <c r="L44" s="60">
        <f t="shared" si="24"/>
        <v>81.133806410608571</v>
      </c>
      <c r="M44" s="60">
        <f t="shared" si="25"/>
        <v>85.244686888648573</v>
      </c>
      <c r="N44" s="60">
        <f t="shared" si="26"/>
        <v>89.355567366688575</v>
      </c>
      <c r="O44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85.244686888648587</v>
      </c>
      <c r="P44" s="96">
        <v>0</v>
      </c>
    </row>
    <row r="45" spans="1:16" x14ac:dyDescent="0.25">
      <c r="A45" s="59">
        <f>IF(TableRBMaster[[#This Row],[Player]]&lt;&gt;0,A44+1,A44)</f>
        <v>32</v>
      </c>
      <c r="B45" s="59" t="str">
        <f>DAL!A$9</f>
        <v>Deuce Vaughn</v>
      </c>
      <c r="C45" s="59" t="s">
        <v>95</v>
      </c>
      <c r="D45" s="59">
        <f>DAL!C$9</f>
        <v>7</v>
      </c>
      <c r="E45" s="60">
        <f>DAL!I$9</f>
        <v>9.9978463200000007</v>
      </c>
      <c r="F45" s="60">
        <f>DAL!J$9</f>
        <v>40.091363743199999</v>
      </c>
      <c r="G45" s="60">
        <f>DAL!K$9</f>
        <v>0.26994185064000004</v>
      </c>
      <c r="H45" s="60">
        <f>DAL!L$9</f>
        <v>6.0983243999999974</v>
      </c>
      <c r="I45" s="60">
        <f>DAL!M$9</f>
        <v>5.0250193055999972</v>
      </c>
      <c r="J45" s="60">
        <f>DAL!N$9</f>
        <v>38.455220301033812</v>
      </c>
      <c r="K45" s="60">
        <f>DAL!O$9</f>
        <v>0.19095073361279988</v>
      </c>
      <c r="L45" s="60">
        <f t="shared" si="24"/>
        <v>10.62001390994018</v>
      </c>
      <c r="M45" s="60">
        <f t="shared" si="25"/>
        <v>13.132523562740179</v>
      </c>
      <c r="N45" s="60">
        <f t="shared" si="26"/>
        <v>15.645033215540177</v>
      </c>
      <c r="O45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13.132523562740179</v>
      </c>
      <c r="P45" s="96">
        <v>0</v>
      </c>
    </row>
    <row r="46" spans="1:16" x14ac:dyDescent="0.25">
      <c r="A46" s="59">
        <f>IF(TableRBMaster[[#This Row],[Player]]&lt;&gt;0,A45+1,A45)</f>
        <v>32</v>
      </c>
      <c r="B46" s="59">
        <f>DAL!A$10</f>
        <v>0</v>
      </c>
      <c r="C46" s="59" t="s">
        <v>95</v>
      </c>
      <c r="D46" s="59">
        <f>DAL!C$10</f>
        <v>7</v>
      </c>
      <c r="E46" s="60">
        <f>DAL!I$10</f>
        <v>0</v>
      </c>
      <c r="F46" s="60">
        <f>DAL!J$10</f>
        <v>0</v>
      </c>
      <c r="G46" s="60">
        <f>DAL!K$10</f>
        <v>0</v>
      </c>
      <c r="H46" s="60">
        <f>DAL!L$10</f>
        <v>0</v>
      </c>
      <c r="I46" s="60">
        <f>DAL!M$10</f>
        <v>0</v>
      </c>
      <c r="J46" s="60">
        <f>DAL!N$10</f>
        <v>0</v>
      </c>
      <c r="K46" s="60">
        <f>DAL!O$10</f>
        <v>0</v>
      </c>
      <c r="L46" s="60">
        <f t="shared" si="24"/>
        <v>0</v>
      </c>
      <c r="M46" s="60">
        <f t="shared" si="25"/>
        <v>0</v>
      </c>
      <c r="N46" s="60">
        <f t="shared" si="26"/>
        <v>0</v>
      </c>
      <c r="O46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46" s="96">
        <v>0</v>
      </c>
    </row>
    <row r="47" spans="1:16" x14ac:dyDescent="0.25">
      <c r="A47" s="59">
        <f>IF(TableRBMaster[[#This Row],[Player]]&lt;&gt;0,A46+1,A46)</f>
        <v>33</v>
      </c>
      <c r="B47" s="59" t="str">
        <f>DEN!A$6</f>
        <v>Javonte Williams</v>
      </c>
      <c r="C47" s="59" t="s">
        <v>96</v>
      </c>
      <c r="D47" s="59">
        <f>DEN!C$6</f>
        <v>14</v>
      </c>
      <c r="E47" s="60">
        <f>DEN!I$6</f>
        <v>210.52782870000001</v>
      </c>
      <c r="F47" s="60">
        <f>DEN!J$6</f>
        <v>863.16409766999993</v>
      </c>
      <c r="G47" s="60">
        <f>DEN!K$6</f>
        <v>6.5263626897</v>
      </c>
      <c r="H47" s="60">
        <f>DEN!L$6</f>
        <v>52.783469748743713</v>
      </c>
      <c r="I47" s="60">
        <f>DEN!M$6</f>
        <v>38.795850265326628</v>
      </c>
      <c r="J47" s="60">
        <f>DEN!N$6</f>
        <v>266.52749132279394</v>
      </c>
      <c r="K47" s="60">
        <f>DEN!O$6</f>
        <v>1.3966506095517586</v>
      </c>
      <c r="L47" s="60">
        <f t="shared" ref="L47:L51" si="27">(F47/10)+(G47*6)+(J47/10)+(K47*6)</f>
        <v>160.50723869478995</v>
      </c>
      <c r="M47" s="60">
        <f t="shared" ref="M47:M51" si="28">L47+(I47*0.5)</f>
        <v>179.90516382745326</v>
      </c>
      <c r="N47" s="60">
        <f t="shared" ref="N47:N51" si="29">L47+I47</f>
        <v>199.30308896011658</v>
      </c>
      <c r="O47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179.90516382745326</v>
      </c>
      <c r="P47" s="96">
        <v>20.028772470953456</v>
      </c>
    </row>
    <row r="48" spans="1:16" x14ac:dyDescent="0.25">
      <c r="A48" s="59">
        <f>IF(TableRBMaster[[#This Row],[Player]]&lt;&gt;0,A47+1,A47)</f>
        <v>34</v>
      </c>
      <c r="B48" s="59" t="str">
        <f>DEN!A$7</f>
        <v>Audric Estime</v>
      </c>
      <c r="C48" s="59" t="s">
        <v>96</v>
      </c>
      <c r="D48" s="59">
        <f>DEN!C$8</f>
        <v>14</v>
      </c>
      <c r="E48" s="60">
        <f>DEN!I$7</f>
        <v>93.616758900000008</v>
      </c>
      <c r="F48" s="60">
        <f>DEN!J$7</f>
        <v>401.77053929659263</v>
      </c>
      <c r="G48" s="60">
        <f>DEN!K$7</f>
        <v>2.9957362848000004</v>
      </c>
      <c r="H48" s="60">
        <f>DEN!L$7</f>
        <v>6.3110670351758786</v>
      </c>
      <c r="I48" s="60">
        <f>DEN!M$7</f>
        <v>4.6070789356783921</v>
      </c>
      <c r="J48" s="60">
        <f>DEN!N$7</f>
        <v>31.512419920040202</v>
      </c>
      <c r="K48" s="60">
        <f>DEN!O$7</f>
        <v>0.11978405232763818</v>
      </c>
      <c r="L48" s="60">
        <f t="shared" si="27"/>
        <v>62.021417944429118</v>
      </c>
      <c r="M48" s="60">
        <f t="shared" si="28"/>
        <v>64.324957412268319</v>
      </c>
      <c r="N48" s="60">
        <f t="shared" si="29"/>
        <v>66.628496880107505</v>
      </c>
      <c r="O48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64.324957412268304</v>
      </c>
      <c r="P48" s="96">
        <v>10.939920184371568</v>
      </c>
    </row>
    <row r="49" spans="1:16" x14ac:dyDescent="0.25">
      <c r="A49" s="59">
        <f>IF(TableRBMaster[[#This Row],[Player]]&lt;&gt;0,A48+1,A48)</f>
        <v>35</v>
      </c>
      <c r="B49" s="59" t="str">
        <f>DEN!A$8</f>
        <v>Jaleel McLaughlin</v>
      </c>
      <c r="C49" s="59" t="s">
        <v>96</v>
      </c>
      <c r="D49" s="59">
        <f>DEN!C$7</f>
        <v>14</v>
      </c>
      <c r="E49" s="60">
        <f>DEN!I$8</f>
        <v>69.003902100000005</v>
      </c>
      <c r="F49" s="60">
        <f>DEN!J$8</f>
        <v>308.44744238700002</v>
      </c>
      <c r="G49" s="60">
        <f>DEN!K$8</f>
        <v>2.1391209651</v>
      </c>
      <c r="H49" s="60">
        <f>DEN!L$8</f>
        <v>52.209736381909536</v>
      </c>
      <c r="I49" s="60">
        <f>DEN!M$8</f>
        <v>39.679399650251241</v>
      </c>
      <c r="J49" s="60">
        <f>DEN!N$8</f>
        <v>298.78587936639184</v>
      </c>
      <c r="K49" s="60">
        <f>DEN!O$8</f>
        <v>1.4284583874090446</v>
      </c>
      <c r="L49" s="60">
        <f t="shared" si="27"/>
        <v>82.128808290393451</v>
      </c>
      <c r="M49" s="60">
        <f t="shared" si="28"/>
        <v>101.96850811551907</v>
      </c>
      <c r="N49" s="60">
        <f t="shared" si="29"/>
        <v>121.80820794064469</v>
      </c>
      <c r="O49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101.96850811551907</v>
      </c>
      <c r="P49" s="96">
        <v>0</v>
      </c>
    </row>
    <row r="50" spans="1:16" x14ac:dyDescent="0.25">
      <c r="A50" s="59">
        <f>IF(TableRBMaster[[#This Row],[Player]]&lt;&gt;0,A49+1,A49)</f>
        <v>35</v>
      </c>
      <c r="B50" s="59">
        <f>DEN!A$9</f>
        <v>0</v>
      </c>
      <c r="C50" s="59" t="s">
        <v>96</v>
      </c>
      <c r="D50" s="59">
        <f>DEN!C$9</f>
        <v>14</v>
      </c>
      <c r="E50" s="60">
        <f>DEN!I$9</f>
        <v>0</v>
      </c>
      <c r="F50" s="60">
        <f>DEN!J$9</f>
        <v>0</v>
      </c>
      <c r="G50" s="60">
        <f>DEN!K$9</f>
        <v>0</v>
      </c>
      <c r="H50" s="60">
        <f>DEN!L$9</f>
        <v>0</v>
      </c>
      <c r="I50" s="60">
        <f>DEN!M$9</f>
        <v>0</v>
      </c>
      <c r="J50" s="60">
        <f>DEN!N$9</f>
        <v>0</v>
      </c>
      <c r="K50" s="60">
        <f>DEN!O$9</f>
        <v>0</v>
      </c>
      <c r="L50" s="60">
        <f t="shared" si="27"/>
        <v>0</v>
      </c>
      <c r="M50" s="60">
        <f t="shared" si="28"/>
        <v>0</v>
      </c>
      <c r="N50" s="60">
        <f t="shared" si="29"/>
        <v>0</v>
      </c>
      <c r="O50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50" s="96">
        <v>0</v>
      </c>
    </row>
    <row r="51" spans="1:16" x14ac:dyDescent="0.25">
      <c r="A51" s="59">
        <f>IF(TableRBMaster[[#This Row],[Player]]&lt;&gt;0,A50+1,A50)</f>
        <v>35</v>
      </c>
      <c r="B51" s="59">
        <f>DEN!A$10</f>
        <v>0</v>
      </c>
      <c r="C51" s="59" t="s">
        <v>96</v>
      </c>
      <c r="D51" s="59">
        <f>DEN!C$10</f>
        <v>14</v>
      </c>
      <c r="E51" s="60">
        <f>DEN!I$10</f>
        <v>0</v>
      </c>
      <c r="F51" s="60">
        <f>DEN!J$10</f>
        <v>0</v>
      </c>
      <c r="G51" s="60">
        <f>DEN!K$10</f>
        <v>0</v>
      </c>
      <c r="H51" s="60">
        <f>DEN!L$10</f>
        <v>0</v>
      </c>
      <c r="I51" s="60">
        <f>DEN!M$10</f>
        <v>0</v>
      </c>
      <c r="J51" s="60">
        <f>DEN!N$10</f>
        <v>0</v>
      </c>
      <c r="K51" s="60">
        <f>DEN!O$10</f>
        <v>0</v>
      </c>
      <c r="L51" s="60">
        <f t="shared" si="27"/>
        <v>0</v>
      </c>
      <c r="M51" s="60">
        <f t="shared" si="28"/>
        <v>0</v>
      </c>
      <c r="N51" s="60">
        <f t="shared" si="29"/>
        <v>0</v>
      </c>
      <c r="O51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51" s="96">
        <v>0</v>
      </c>
    </row>
    <row r="52" spans="1:16" x14ac:dyDescent="0.25">
      <c r="A52" s="59">
        <f>IF(TableRBMaster[[#This Row],[Player]]&lt;&gt;0,A51+1,A51)</f>
        <v>36</v>
      </c>
      <c r="B52" s="59" t="str">
        <f>DET!A$6</f>
        <v>Jahmyr Gibbs</v>
      </c>
      <c r="C52" s="59" t="s">
        <v>97</v>
      </c>
      <c r="D52" s="59">
        <f>DET!C$6</f>
        <v>5</v>
      </c>
      <c r="E52" s="60">
        <f>DET!I$6</f>
        <v>179.73637080000003</v>
      </c>
      <c r="F52" s="60">
        <f>DET!J$6</f>
        <v>850.94060222053542</v>
      </c>
      <c r="G52" s="60">
        <f>DET!K$6</f>
        <v>7.8443413727628721</v>
      </c>
      <c r="H52" s="60">
        <f>DET!L$6</f>
        <v>71.120952000000003</v>
      </c>
      <c r="I52" s="60">
        <f>DET!M$6</f>
        <v>53.340714000000006</v>
      </c>
      <c r="J52" s="60">
        <f>DET!N$6</f>
        <v>383.88051025592694</v>
      </c>
      <c r="K52" s="60">
        <f>DET!O$6</f>
        <v>2.4003321300000002</v>
      </c>
      <c r="L52" s="60">
        <f t="shared" ref="L52:L56" si="30">(F52/10)+(G52*6)+(J52/10)+(K52*6)</f>
        <v>184.95015226422345</v>
      </c>
      <c r="M52" s="60">
        <f t="shared" ref="M52:M56" si="31">L52+(I52*0.5)</f>
        <v>211.62050926422344</v>
      </c>
      <c r="N52" s="60">
        <f t="shared" ref="N52:N56" si="32">L52+I52</f>
        <v>238.29086626422344</v>
      </c>
      <c r="O52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211.62050926422344</v>
      </c>
      <c r="P52" s="96">
        <v>29.543461763955655</v>
      </c>
    </row>
    <row r="53" spans="1:16" x14ac:dyDescent="0.25">
      <c r="A53" s="59">
        <f>IF(TableRBMaster[[#This Row],[Player]]&lt;&gt;0,A52+1,A52)</f>
        <v>37</v>
      </c>
      <c r="B53" s="59" t="str">
        <f>DET!A$7</f>
        <v>David Montgomery</v>
      </c>
      <c r="C53" s="59" t="s">
        <v>97</v>
      </c>
      <c r="D53" s="59">
        <f>DET!C$8</f>
        <v>5</v>
      </c>
      <c r="E53" s="60">
        <f>DET!I$7</f>
        <v>200.30321920000003</v>
      </c>
      <c r="F53" s="60">
        <f>DET!J$7</f>
        <v>889.34629324800017</v>
      </c>
      <c r="G53" s="60">
        <f>DET!K$7</f>
        <v>10.135342891520001</v>
      </c>
      <c r="H53" s="60">
        <f>DET!L$7</f>
        <v>23.706983999999999</v>
      </c>
      <c r="I53" s="60">
        <f>DET!M$7</f>
        <v>17.377219271999998</v>
      </c>
      <c r="J53" s="60">
        <f>DET!N$7</f>
        <v>129.2344336827511</v>
      </c>
      <c r="K53" s="60">
        <f>DET!O$7</f>
        <v>0.69508877087999987</v>
      </c>
      <c r="L53" s="60">
        <f t="shared" si="30"/>
        <v>166.84066266747513</v>
      </c>
      <c r="M53" s="60">
        <f t="shared" si="31"/>
        <v>175.52927230347512</v>
      </c>
      <c r="N53" s="60">
        <f t="shared" si="32"/>
        <v>184.21788193947512</v>
      </c>
      <c r="O53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175.52927230347515</v>
      </c>
      <c r="P53" s="96">
        <v>8.7678044290027124</v>
      </c>
    </row>
    <row r="54" spans="1:16" x14ac:dyDescent="0.25">
      <c r="A54" s="59">
        <f>IF(TableRBMaster[[#This Row],[Player]]&lt;&gt;0,A53+1,A53)</f>
        <v>38</v>
      </c>
      <c r="B54" s="59" t="str">
        <f>DET!A$8</f>
        <v>Craig Reynolds</v>
      </c>
      <c r="C54" s="59" t="s">
        <v>97</v>
      </c>
      <c r="D54" s="59">
        <f>DET!C$7</f>
        <v>5</v>
      </c>
      <c r="E54" s="60">
        <f>DET!I$8</f>
        <v>22.355270000000004</v>
      </c>
      <c r="F54" s="60">
        <f>DET!J$8</f>
        <v>91.301901101870072</v>
      </c>
      <c r="G54" s="60">
        <f>DET!K$8</f>
        <v>0.77862843475032495</v>
      </c>
      <c r="H54" s="60">
        <f>DET!L$8</f>
        <v>5.9267459999999996</v>
      </c>
      <c r="I54" s="60">
        <f>DET!M$8</f>
        <v>4.1487221999999999</v>
      </c>
      <c r="J54" s="60">
        <f>DET!N$8</f>
        <v>31.22544280265268</v>
      </c>
      <c r="K54" s="60">
        <f>DET!O$8</f>
        <v>0.124461666</v>
      </c>
      <c r="L54" s="60">
        <f t="shared" si="30"/>
        <v>17.671274994954224</v>
      </c>
      <c r="M54" s="60">
        <f t="shared" si="31"/>
        <v>19.745636094954225</v>
      </c>
      <c r="N54" s="60">
        <f t="shared" si="32"/>
        <v>21.819997194954226</v>
      </c>
      <c r="O54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19.745636094954225</v>
      </c>
      <c r="P54" s="96">
        <v>0</v>
      </c>
    </row>
    <row r="55" spans="1:16" x14ac:dyDescent="0.25">
      <c r="A55" s="59">
        <f>IF(TableRBMaster[[#This Row],[Player]]&lt;&gt;0,A54+1,A54)</f>
        <v>38</v>
      </c>
      <c r="B55" s="59">
        <f>DET!A$9</f>
        <v>0</v>
      </c>
      <c r="C55" s="59" t="s">
        <v>97</v>
      </c>
      <c r="D55" s="59">
        <f>DET!C$9</f>
        <v>5</v>
      </c>
      <c r="E55" s="60">
        <f>DET!I$9</f>
        <v>0</v>
      </c>
      <c r="F55" s="60">
        <f>DET!J$9</f>
        <v>0</v>
      </c>
      <c r="G55" s="60">
        <f>DET!K$9</f>
        <v>0</v>
      </c>
      <c r="H55" s="60">
        <f>DET!L$9</f>
        <v>0</v>
      </c>
      <c r="I55" s="60">
        <f>DET!M$9</f>
        <v>0</v>
      </c>
      <c r="J55" s="60">
        <f>DET!N$9</f>
        <v>0</v>
      </c>
      <c r="K55" s="60">
        <f>DET!O$9</f>
        <v>0</v>
      </c>
      <c r="L55" s="60">
        <f t="shared" si="30"/>
        <v>0</v>
      </c>
      <c r="M55" s="60">
        <f t="shared" si="31"/>
        <v>0</v>
      </c>
      <c r="N55" s="60">
        <f t="shared" si="32"/>
        <v>0</v>
      </c>
      <c r="O55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55" s="96">
        <v>0</v>
      </c>
    </row>
    <row r="56" spans="1:16" x14ac:dyDescent="0.25">
      <c r="A56" s="59">
        <f>IF(TableRBMaster[[#This Row],[Player]]&lt;&gt;0,A55+1,A55)</f>
        <v>38</v>
      </c>
      <c r="B56" s="59">
        <f>DET!A$10</f>
        <v>0</v>
      </c>
      <c r="C56" s="59" t="s">
        <v>97</v>
      </c>
      <c r="D56" s="59">
        <f>DET!C$10</f>
        <v>5</v>
      </c>
      <c r="E56" s="60">
        <f>DET!I$10</f>
        <v>0</v>
      </c>
      <c r="F56" s="60">
        <f>DET!J$10</f>
        <v>0</v>
      </c>
      <c r="G56" s="60">
        <f>DET!K$10</f>
        <v>0</v>
      </c>
      <c r="H56" s="60">
        <f>DET!L$10</f>
        <v>0</v>
      </c>
      <c r="I56" s="60">
        <f>DET!M$10</f>
        <v>0</v>
      </c>
      <c r="J56" s="60">
        <f>DET!N$10</f>
        <v>0</v>
      </c>
      <c r="K56" s="60">
        <f>DET!O$10</f>
        <v>0</v>
      </c>
      <c r="L56" s="60">
        <f t="shared" si="30"/>
        <v>0</v>
      </c>
      <c r="M56" s="60">
        <f t="shared" si="31"/>
        <v>0</v>
      </c>
      <c r="N56" s="60">
        <f t="shared" si="32"/>
        <v>0</v>
      </c>
      <c r="O56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56" s="96">
        <v>0</v>
      </c>
    </row>
    <row r="57" spans="1:16" x14ac:dyDescent="0.25">
      <c r="A57" s="59">
        <f>IF(TableRBMaster[[#This Row],[Player]]&lt;&gt;0,A56+1,A56)</f>
        <v>39</v>
      </c>
      <c r="B57" s="59" t="str">
        <f>GB!A$6</f>
        <v>Josh Jacobs</v>
      </c>
      <c r="C57" s="59" t="s">
        <v>98</v>
      </c>
      <c r="D57" s="59">
        <f>GB!C$6</f>
        <v>10</v>
      </c>
      <c r="E57" s="60">
        <f>GB!I$6</f>
        <v>244.16915599999999</v>
      </c>
      <c r="F57" s="60">
        <f>GB!J$6</f>
        <v>1020.6270720799998</v>
      </c>
      <c r="G57" s="60">
        <f>GB!K$6</f>
        <v>8.5459204599999996</v>
      </c>
      <c r="H57" s="60">
        <f>GB!L$6</f>
        <v>54.169304000000004</v>
      </c>
      <c r="I57" s="60">
        <f>GB!M$6</f>
        <v>41.331178952000002</v>
      </c>
      <c r="J57" s="60">
        <f>GB!N$6</f>
        <v>313.83158277264693</v>
      </c>
      <c r="K57" s="60">
        <f>GB!O$6</f>
        <v>1.4756245863746227</v>
      </c>
      <c r="L57" s="60">
        <f t="shared" ref="L57:L61" si="33">(F57/10)+(G57*6)+(J57/10)+(K57*6)</f>
        <v>193.57513576351241</v>
      </c>
      <c r="M57" s="60">
        <f t="shared" ref="M57:M61" si="34">L57+(I57*0.5)</f>
        <v>214.24072523951241</v>
      </c>
      <c r="N57" s="60">
        <f t="shared" ref="N57:N61" si="35">L57+I57</f>
        <v>234.90631471551239</v>
      </c>
      <c r="O57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214.24072523951244</v>
      </c>
      <c r="P57" s="96">
        <v>40.289314661508477</v>
      </c>
    </row>
    <row r="58" spans="1:16" x14ac:dyDescent="0.25">
      <c r="A58" s="59">
        <f>IF(TableRBMaster[[#This Row],[Player]]&lt;&gt;0,A57+1,A57)</f>
        <v>40</v>
      </c>
      <c r="B58" s="59" t="str">
        <f>GB!A$7</f>
        <v>Emanuel Wilson</v>
      </c>
      <c r="C58" s="59" t="s">
        <v>98</v>
      </c>
      <c r="D58" s="59">
        <f>GB!C$8</f>
        <v>10</v>
      </c>
      <c r="E58" s="60">
        <f>GB!I$7</f>
        <v>13.8885208</v>
      </c>
      <c r="F58" s="60">
        <f>GB!J$7</f>
        <v>56.109624031999999</v>
      </c>
      <c r="G58" s="60">
        <f>GB!K$7</f>
        <v>0.43054414480000003</v>
      </c>
      <c r="H58" s="60">
        <f>GB!L$7</f>
        <v>5.702032</v>
      </c>
      <c r="I58" s="60">
        <f>GB!M$7</f>
        <v>4.4589890240000001</v>
      </c>
      <c r="J58" s="60">
        <f>GB!N$7</f>
        <v>31.525052399680003</v>
      </c>
      <c r="K58" s="60">
        <f>GB!O$7</f>
        <v>0.13376967072000001</v>
      </c>
      <c r="L58" s="60">
        <f t="shared" si="33"/>
        <v>12.149350536288001</v>
      </c>
      <c r="M58" s="60">
        <f t="shared" si="34"/>
        <v>14.378845048288001</v>
      </c>
      <c r="N58" s="60">
        <f t="shared" si="35"/>
        <v>16.608339560288002</v>
      </c>
      <c r="O58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14.378845048288003</v>
      </c>
      <c r="P58" s="96">
        <v>2.090203818393999</v>
      </c>
    </row>
    <row r="59" spans="1:16" x14ac:dyDescent="0.25">
      <c r="A59" s="59">
        <f>IF(TableRBMaster[[#This Row],[Player]]&lt;&gt;0,A58+1,A58)</f>
        <v>41</v>
      </c>
      <c r="B59" s="59" t="str">
        <f>GB!A$8</f>
        <v>MarShawn Lloyd</v>
      </c>
      <c r="C59" s="59" t="s">
        <v>98</v>
      </c>
      <c r="D59" s="59">
        <f>GB!C$7</f>
        <v>10</v>
      </c>
      <c r="E59" s="60">
        <f>GB!I$8</f>
        <v>122.75660320000001</v>
      </c>
      <c r="F59" s="60">
        <f>GB!J$8</f>
        <v>522.74098110395937</v>
      </c>
      <c r="G59" s="60">
        <f>GB!K$8</f>
        <v>4.1737245088000012</v>
      </c>
      <c r="H59" s="60">
        <f>GB!L$8</f>
        <v>17.676299200000003</v>
      </c>
      <c r="I59" s="60">
        <f>GB!M$8</f>
        <v>12.514819833600001</v>
      </c>
      <c r="J59" s="60">
        <f>GB!N$8</f>
        <v>99.611614967870196</v>
      </c>
      <c r="K59" s="60">
        <f>GB!O$8</f>
        <v>0.47556315367680002</v>
      </c>
      <c r="L59" s="60">
        <f t="shared" si="33"/>
        <v>90.130985582043763</v>
      </c>
      <c r="M59" s="60">
        <f t="shared" si="34"/>
        <v>96.388395498843764</v>
      </c>
      <c r="N59" s="60">
        <f t="shared" si="35"/>
        <v>102.64580541564376</v>
      </c>
      <c r="O59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96.388395498843764</v>
      </c>
      <c r="P59" s="96">
        <v>0</v>
      </c>
    </row>
    <row r="60" spans="1:16" x14ac:dyDescent="0.25">
      <c r="A60" s="59">
        <f>IF(TableRBMaster[[#This Row],[Player]]&lt;&gt;0,A59+1,A59)</f>
        <v>41</v>
      </c>
      <c r="B60" s="59">
        <f>GB!A$9</f>
        <v>0</v>
      </c>
      <c r="C60" s="59" t="s">
        <v>98</v>
      </c>
      <c r="D60" s="59">
        <f>GB!C$9</f>
        <v>10</v>
      </c>
      <c r="E60" s="60">
        <f>GB!I$9</f>
        <v>0</v>
      </c>
      <c r="F60" s="60">
        <f>GB!J$9</f>
        <v>0</v>
      </c>
      <c r="G60" s="60">
        <f>GB!K$9</f>
        <v>0</v>
      </c>
      <c r="H60" s="60">
        <f>GB!L$9</f>
        <v>0</v>
      </c>
      <c r="I60" s="60">
        <f>GB!M$9</f>
        <v>0</v>
      </c>
      <c r="J60" s="60">
        <f>GB!N$9</f>
        <v>0</v>
      </c>
      <c r="K60" s="60">
        <f>GB!O$9</f>
        <v>0</v>
      </c>
      <c r="L60" s="60">
        <f t="shared" si="33"/>
        <v>0</v>
      </c>
      <c r="M60" s="60">
        <f t="shared" si="34"/>
        <v>0</v>
      </c>
      <c r="N60" s="60">
        <f t="shared" si="35"/>
        <v>0</v>
      </c>
      <c r="O60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60" s="96">
        <v>0</v>
      </c>
    </row>
    <row r="61" spans="1:16" x14ac:dyDescent="0.25">
      <c r="A61" s="59">
        <f>IF(TableRBMaster[[#This Row],[Player]]&lt;&gt;0,A60+1,A60)</f>
        <v>41</v>
      </c>
      <c r="B61" s="59">
        <f>GB!A$10</f>
        <v>0</v>
      </c>
      <c r="C61" s="59" t="s">
        <v>98</v>
      </c>
      <c r="D61" s="59">
        <f>GB!C$10</f>
        <v>10</v>
      </c>
      <c r="E61" s="60">
        <f>GB!I$10</f>
        <v>0</v>
      </c>
      <c r="F61" s="60">
        <f>GB!J$10</f>
        <v>0</v>
      </c>
      <c r="G61" s="60">
        <f>GB!K$10</f>
        <v>0</v>
      </c>
      <c r="H61" s="60">
        <f>GB!L$10</f>
        <v>0</v>
      </c>
      <c r="I61" s="60">
        <f>GB!M$10</f>
        <v>0</v>
      </c>
      <c r="J61" s="60">
        <f>GB!N$10</f>
        <v>0</v>
      </c>
      <c r="K61" s="60">
        <f>GB!O$10</f>
        <v>0</v>
      </c>
      <c r="L61" s="60">
        <f t="shared" si="33"/>
        <v>0</v>
      </c>
      <c r="M61" s="60">
        <f t="shared" si="34"/>
        <v>0</v>
      </c>
      <c r="N61" s="60">
        <f t="shared" si="35"/>
        <v>0</v>
      </c>
      <c r="O61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61" s="96">
        <v>0</v>
      </c>
    </row>
    <row r="62" spans="1:16" x14ac:dyDescent="0.25">
      <c r="A62" s="59">
        <f>IF(TableRBMaster[[#This Row],[Player]]&lt;&gt;0,A61+1,A61)</f>
        <v>42</v>
      </c>
      <c r="B62" s="59" t="str">
        <f>HOU!A$6</f>
        <v>Joe Mixon</v>
      </c>
      <c r="C62" s="59" t="s">
        <v>99</v>
      </c>
      <c r="D62" s="59">
        <f>HOU!C$6</f>
        <v>14</v>
      </c>
      <c r="E62" s="60">
        <f>HOU!I$6</f>
        <v>255.00384000000003</v>
      </c>
      <c r="F62" s="60">
        <f>HOU!J$6</f>
        <v>1081.2162816000002</v>
      </c>
      <c r="G62" s="60">
        <f>HOU!K$6</f>
        <v>9.6901459200000009</v>
      </c>
      <c r="H62" s="60">
        <f>HOU!L$6</f>
        <v>46.347100799999993</v>
      </c>
      <c r="I62" s="60">
        <f>HOU!M$6</f>
        <v>35.733614716799998</v>
      </c>
      <c r="J62" s="60">
        <f>HOU!N$6</f>
        <v>267.39757649316999</v>
      </c>
      <c r="K62" s="60">
        <f>HOU!O$6</f>
        <v>1.7866807358400001</v>
      </c>
      <c r="L62" s="60">
        <f t="shared" ref="L62:L66" si="36">(F62/10)+(G62*6)+(J62/10)+(K62*6)</f>
        <v>203.72234574435703</v>
      </c>
      <c r="M62" s="60">
        <f t="shared" ref="M62:M66" si="37">L62+(I62*0.5)</f>
        <v>221.58915310275702</v>
      </c>
      <c r="N62" s="60">
        <f t="shared" ref="N62:N66" si="38">L62+I62</f>
        <v>239.45596046115702</v>
      </c>
      <c r="O62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221.58915310275702</v>
      </c>
      <c r="P62" s="96">
        <v>12.571330568704457</v>
      </c>
    </row>
    <row r="63" spans="1:16" x14ac:dyDescent="0.25">
      <c r="A63" s="59">
        <f>IF(TableRBMaster[[#This Row],[Player]]&lt;&gt;0,A62+1,A62)</f>
        <v>43</v>
      </c>
      <c r="B63" s="59" t="str">
        <f>HOU!A$7</f>
        <v>Dameon Pierce</v>
      </c>
      <c r="C63" s="59" t="s">
        <v>99</v>
      </c>
      <c r="D63" s="59">
        <f>HOU!C$8</f>
        <v>14</v>
      </c>
      <c r="E63" s="60">
        <f>HOU!I$7</f>
        <v>64.600972800000008</v>
      </c>
      <c r="F63" s="60">
        <f>HOU!J$7</f>
        <v>260.34192038400005</v>
      </c>
      <c r="G63" s="60">
        <f>HOU!K$7</f>
        <v>1.9380291840000001</v>
      </c>
      <c r="H63" s="60">
        <f>HOU!L$7</f>
        <v>5.9419359999999992</v>
      </c>
      <c r="I63" s="60">
        <f>HOU!M$7</f>
        <v>4.2306584319999994</v>
      </c>
      <c r="J63" s="60">
        <f>HOU!N$7</f>
        <v>30.550307876084961</v>
      </c>
      <c r="K63" s="60">
        <f>HOU!O$7</f>
        <v>0.10198107656411776</v>
      </c>
      <c r="L63" s="60">
        <f t="shared" si="36"/>
        <v>41.329284389393202</v>
      </c>
      <c r="M63" s="60">
        <f t="shared" si="37"/>
        <v>43.444613605393201</v>
      </c>
      <c r="N63" s="60">
        <f t="shared" si="38"/>
        <v>45.5599428213932</v>
      </c>
      <c r="O63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43.444613605393208</v>
      </c>
      <c r="P63" s="96">
        <v>0</v>
      </c>
    </row>
    <row r="64" spans="1:16" x14ac:dyDescent="0.25">
      <c r="A64" s="59">
        <f>IF(TableRBMaster[[#This Row],[Player]]&lt;&gt;0,A63+1,A63)</f>
        <v>44</v>
      </c>
      <c r="B64" s="59" t="str">
        <f>HOU!A$8</f>
        <v>Cam Akers</v>
      </c>
      <c r="C64" s="59" t="s">
        <v>99</v>
      </c>
      <c r="D64" s="59">
        <f>HOU!C$7</f>
        <v>14</v>
      </c>
      <c r="E64" s="60">
        <f>HOU!I$8</f>
        <v>50.150755200000006</v>
      </c>
      <c r="F64" s="60">
        <f>HOU!J$8</f>
        <v>206.62111142400002</v>
      </c>
      <c r="G64" s="60">
        <f>HOU!K$8</f>
        <v>1.4543719008000002</v>
      </c>
      <c r="H64" s="60">
        <f>HOU!L$8</f>
        <v>23.767743999999997</v>
      </c>
      <c r="I64" s="60">
        <f>HOU!M$8</f>
        <v>18.420001599999999</v>
      </c>
      <c r="J64" s="60">
        <f>HOU!N$8</f>
        <v>133.54501159999998</v>
      </c>
      <c r="K64" s="60">
        <f>HOU!O$8</f>
        <v>0.64470005600000002</v>
      </c>
      <c r="L64" s="60">
        <f t="shared" si="36"/>
        <v>46.611044043200003</v>
      </c>
      <c r="M64" s="60">
        <f t="shared" si="37"/>
        <v>55.821044843199999</v>
      </c>
      <c r="N64" s="60">
        <f t="shared" si="38"/>
        <v>65.031045643200002</v>
      </c>
      <c r="O64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55.821044843199999</v>
      </c>
      <c r="P64" s="96">
        <v>0</v>
      </c>
    </row>
    <row r="65" spans="1:16" x14ac:dyDescent="0.25">
      <c r="A65" s="59">
        <f>IF(TableRBMaster[[#This Row],[Player]]&lt;&gt;0,A64+1,A64)</f>
        <v>44</v>
      </c>
      <c r="B65" s="59">
        <f>HOU!A$9</f>
        <v>0</v>
      </c>
      <c r="C65" s="59" t="s">
        <v>99</v>
      </c>
      <c r="D65" s="59">
        <f>HOU!C$9</f>
        <v>14</v>
      </c>
      <c r="E65" s="60">
        <f>HOU!I$9</f>
        <v>0</v>
      </c>
      <c r="F65" s="60">
        <f>HOU!J$9</f>
        <v>0</v>
      </c>
      <c r="G65" s="60">
        <f>HOU!K$9</f>
        <v>0</v>
      </c>
      <c r="H65" s="60">
        <f>HOU!L$9</f>
        <v>0</v>
      </c>
      <c r="I65" s="60">
        <f>HOU!M$9</f>
        <v>0</v>
      </c>
      <c r="J65" s="60">
        <f>HOU!N$9</f>
        <v>0</v>
      </c>
      <c r="K65" s="60">
        <f>HOU!O$9</f>
        <v>0</v>
      </c>
      <c r="L65" s="60">
        <f t="shared" si="36"/>
        <v>0</v>
      </c>
      <c r="M65" s="60">
        <f t="shared" si="37"/>
        <v>0</v>
      </c>
      <c r="N65" s="60">
        <f t="shared" si="38"/>
        <v>0</v>
      </c>
      <c r="O65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65" s="96">
        <v>0</v>
      </c>
    </row>
    <row r="66" spans="1:16" x14ac:dyDescent="0.25">
      <c r="A66" s="59">
        <f>IF(TableRBMaster[[#This Row],[Player]]&lt;&gt;0,A65+1,A65)</f>
        <v>44</v>
      </c>
      <c r="B66" s="59">
        <f>HOU!A$10</f>
        <v>0</v>
      </c>
      <c r="C66" s="59" t="s">
        <v>99</v>
      </c>
      <c r="D66" s="59">
        <f>HOU!C$10</f>
        <v>14</v>
      </c>
      <c r="E66" s="60">
        <f>HOU!I$10</f>
        <v>0</v>
      </c>
      <c r="F66" s="60">
        <f>HOU!J$10</f>
        <v>0</v>
      </c>
      <c r="G66" s="60">
        <f>HOU!K$10</f>
        <v>0</v>
      </c>
      <c r="H66" s="60">
        <f>HOU!L$10</f>
        <v>0</v>
      </c>
      <c r="I66" s="60">
        <f>HOU!M$10</f>
        <v>0</v>
      </c>
      <c r="J66" s="60">
        <f>HOU!N$10</f>
        <v>0</v>
      </c>
      <c r="K66" s="60">
        <f>HOU!O$10</f>
        <v>0</v>
      </c>
      <c r="L66" s="60">
        <f t="shared" si="36"/>
        <v>0</v>
      </c>
      <c r="M66" s="60">
        <f t="shared" si="37"/>
        <v>0</v>
      </c>
      <c r="N66" s="60">
        <f t="shared" si="38"/>
        <v>0</v>
      </c>
      <c r="O66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66" s="96">
        <v>0</v>
      </c>
    </row>
    <row r="67" spans="1:16" x14ac:dyDescent="0.25">
      <c r="A67" s="59">
        <f>IF(TableRBMaster[[#This Row],[Player]]&lt;&gt;0,A66+1,A66)</f>
        <v>45</v>
      </c>
      <c r="B67" s="59" t="str">
        <f>IND!A$6</f>
        <v>Jonathan Taylor</v>
      </c>
      <c r="C67" s="59" t="s">
        <v>100</v>
      </c>
      <c r="D67" s="59">
        <f>IND!C$6</f>
        <v>14</v>
      </c>
      <c r="E67" s="60">
        <f>IND!I$6</f>
        <v>292.48295999999993</v>
      </c>
      <c r="F67" s="60">
        <f>IND!J$6</f>
        <v>1318.4647511290004</v>
      </c>
      <c r="G67" s="60">
        <f>IND!K$6</f>
        <v>11.114352479999997</v>
      </c>
      <c r="H67" s="60">
        <f>IND!L$6</f>
        <v>54.199468400000001</v>
      </c>
      <c r="I67" s="60">
        <f>IND!M$6</f>
        <v>39.782409805599997</v>
      </c>
      <c r="J67" s="60">
        <f>IND!N$6</f>
        <v>313.48538926812796</v>
      </c>
      <c r="K67" s="60">
        <f>IND!O$6</f>
        <v>1.9891204902799999</v>
      </c>
      <c r="L67" s="60">
        <f t="shared" ref="L67:L71" si="39">(F67/10)+(G67*6)+(J67/10)+(K67*6)</f>
        <v>241.81585186139284</v>
      </c>
      <c r="M67" s="60">
        <f t="shared" ref="M67:M71" si="40">L67+(I67*0.5)</f>
        <v>261.70705676419283</v>
      </c>
      <c r="N67" s="60">
        <f t="shared" ref="N67:N71" si="41">L67+I67</f>
        <v>281.59826166699281</v>
      </c>
      <c r="O67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261.70705676419283</v>
      </c>
      <c r="P67" s="96">
        <v>38.399399452045216</v>
      </c>
    </row>
    <row r="68" spans="1:16" x14ac:dyDescent="0.25">
      <c r="A68" s="59">
        <f>IF(TableRBMaster[[#This Row],[Player]]&lt;&gt;0,A67+1,A67)</f>
        <v>46</v>
      </c>
      <c r="B68" s="59" t="str">
        <f>IND!A$7</f>
        <v>Trey Sermon</v>
      </c>
      <c r="C68" s="59" t="s">
        <v>100</v>
      </c>
      <c r="D68" s="59">
        <f>IND!C$8</f>
        <v>14</v>
      </c>
      <c r="E68" s="60">
        <f>IND!I$7</f>
        <v>41.435085999999998</v>
      </c>
      <c r="F68" s="60">
        <f>IND!J$7</f>
        <v>179.16653108141364</v>
      </c>
      <c r="G68" s="60">
        <f>IND!K$7</f>
        <v>1.2430525799999999</v>
      </c>
      <c r="H68" s="60">
        <f>IND!L$7</f>
        <v>16.098852000000001</v>
      </c>
      <c r="I68" s="60">
        <f>IND!M$7</f>
        <v>11.2691964</v>
      </c>
      <c r="J68" s="60">
        <f>IND!N$7</f>
        <v>82.265133719999994</v>
      </c>
      <c r="K68" s="60">
        <f>IND!O$7</f>
        <v>0.33807589199999999</v>
      </c>
      <c r="L68" s="60">
        <f t="shared" si="39"/>
        <v>35.629937312141365</v>
      </c>
      <c r="M68" s="60">
        <f t="shared" si="40"/>
        <v>41.264535512141364</v>
      </c>
      <c r="N68" s="60">
        <f t="shared" si="41"/>
        <v>46.899133712141364</v>
      </c>
      <c r="O68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41.264535512141364</v>
      </c>
      <c r="P68" s="96">
        <v>3.3686105886370039</v>
      </c>
    </row>
    <row r="69" spans="1:16" x14ac:dyDescent="0.25">
      <c r="A69" s="59">
        <f>IF(TableRBMaster[[#This Row],[Player]]&lt;&gt;0,A68+1,A68)</f>
        <v>47</v>
      </c>
      <c r="B69" s="59" t="str">
        <f>IND!A$8</f>
        <v>Tyler Goodson</v>
      </c>
      <c r="C69" s="59" t="s">
        <v>100</v>
      </c>
      <c r="D69" s="59">
        <f>IND!C$7</f>
        <v>14</v>
      </c>
      <c r="E69" s="60">
        <f>IND!I$8</f>
        <v>17.061506000000001</v>
      </c>
      <c r="F69" s="60">
        <f>IND!J$8</f>
        <v>71.645545261300398</v>
      </c>
      <c r="G69" s="60">
        <f>IND!K$8</f>
        <v>0.51184518000000001</v>
      </c>
      <c r="H69" s="60">
        <f>IND!L$8</f>
        <v>10.732568000000001</v>
      </c>
      <c r="I69" s="60">
        <f>IND!M$8</f>
        <v>7.652320984000001</v>
      </c>
      <c r="J69" s="60">
        <f>IND!N$8</f>
        <v>57.460332163281961</v>
      </c>
      <c r="K69" s="60">
        <f>IND!O$8</f>
        <v>0.27068250890800621</v>
      </c>
      <c r="L69" s="60">
        <f t="shared" si="39"/>
        <v>17.605753875906274</v>
      </c>
      <c r="M69" s="60">
        <f t="shared" si="40"/>
        <v>21.431914367906273</v>
      </c>
      <c r="N69" s="60">
        <f t="shared" si="41"/>
        <v>25.258074859906273</v>
      </c>
      <c r="O69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21.431914367906273</v>
      </c>
      <c r="P69" s="96">
        <v>0</v>
      </c>
    </row>
    <row r="70" spans="1:16" x14ac:dyDescent="0.25">
      <c r="A70" s="59">
        <f>IF(TableRBMaster[[#This Row],[Player]]&lt;&gt;0,A69+1,A69)</f>
        <v>47</v>
      </c>
      <c r="B70" s="59">
        <f>IND!A$9</f>
        <v>0</v>
      </c>
      <c r="C70" s="59" t="s">
        <v>100</v>
      </c>
      <c r="D70" s="59">
        <f>IND!C$9</f>
        <v>14</v>
      </c>
      <c r="E70" s="60">
        <f>IND!I$9</f>
        <v>0</v>
      </c>
      <c r="F70" s="60">
        <f>IND!J$9</f>
        <v>0</v>
      </c>
      <c r="G70" s="60">
        <f>IND!K$9</f>
        <v>0</v>
      </c>
      <c r="H70" s="60">
        <f>IND!L$9</f>
        <v>0</v>
      </c>
      <c r="I70" s="60">
        <f>IND!M$9</f>
        <v>0</v>
      </c>
      <c r="J70" s="60">
        <f>IND!N$9</f>
        <v>0</v>
      </c>
      <c r="K70" s="60">
        <f>IND!O$9</f>
        <v>0</v>
      </c>
      <c r="L70" s="60">
        <f t="shared" si="39"/>
        <v>0</v>
      </c>
      <c r="M70" s="60">
        <f t="shared" si="40"/>
        <v>0</v>
      </c>
      <c r="N70" s="60">
        <f t="shared" si="41"/>
        <v>0</v>
      </c>
      <c r="O70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70" s="96">
        <v>0</v>
      </c>
    </row>
    <row r="71" spans="1:16" x14ac:dyDescent="0.25">
      <c r="A71" s="59">
        <f>IF(TableRBMaster[[#This Row],[Player]]&lt;&gt;0,A70+1,A70)</f>
        <v>47</v>
      </c>
      <c r="B71" s="59">
        <f>IND!A$10</f>
        <v>0</v>
      </c>
      <c r="C71" s="59" t="s">
        <v>100</v>
      </c>
      <c r="D71" s="59">
        <f>IND!C$10</f>
        <v>14</v>
      </c>
      <c r="E71" s="60">
        <f>IND!I$10</f>
        <v>0</v>
      </c>
      <c r="F71" s="60">
        <f>IND!J$10</f>
        <v>0</v>
      </c>
      <c r="G71" s="60">
        <f>IND!K$10</f>
        <v>0</v>
      </c>
      <c r="H71" s="60">
        <f>IND!L$10</f>
        <v>0</v>
      </c>
      <c r="I71" s="60">
        <f>IND!M$10</f>
        <v>0</v>
      </c>
      <c r="J71" s="60">
        <f>IND!N$10</f>
        <v>0</v>
      </c>
      <c r="K71" s="60">
        <f>IND!O$10</f>
        <v>0</v>
      </c>
      <c r="L71" s="60">
        <f t="shared" si="39"/>
        <v>0</v>
      </c>
      <c r="M71" s="60">
        <f t="shared" si="40"/>
        <v>0</v>
      </c>
      <c r="N71" s="60">
        <f t="shared" si="41"/>
        <v>0</v>
      </c>
      <c r="O71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71" s="96">
        <v>23.386905058570072</v>
      </c>
    </row>
    <row r="72" spans="1:16" x14ac:dyDescent="0.25">
      <c r="A72" s="59">
        <f>IF(TableRBMaster[[#This Row],[Player]]&lt;&gt;0,A71+1,A71)</f>
        <v>48</v>
      </c>
      <c r="B72" s="59" t="str">
        <f>JAX!A$6</f>
        <v>Travis Etienne</v>
      </c>
      <c r="C72" s="59" t="s">
        <v>118</v>
      </c>
      <c r="D72" s="59">
        <f>JAX!C$6</f>
        <v>12</v>
      </c>
      <c r="E72" s="60">
        <f>JAX!I$6</f>
        <v>232.59292560000003</v>
      </c>
      <c r="F72" s="60">
        <f>JAX!J$6</f>
        <v>976.89028752000013</v>
      </c>
      <c r="G72" s="60">
        <f>JAX!K$6</f>
        <v>8.4855596084532596</v>
      </c>
      <c r="H72" s="60">
        <f>JAX!L$6</f>
        <v>42.153465200000007</v>
      </c>
      <c r="I72" s="60">
        <f>JAX!M$6</f>
        <v>32.879702856000009</v>
      </c>
      <c r="J72" s="60">
        <f>JAX!N$6</f>
        <v>252.51611793408006</v>
      </c>
      <c r="K72" s="60">
        <f>JAX!O$6</f>
        <v>0.93979127108425942</v>
      </c>
      <c r="L72" s="60">
        <f t="shared" ref="L72:L76" si="42">(F72/10)+(G72*6)+(J72/10)+(K72*6)</f>
        <v>179.49274582263314</v>
      </c>
      <c r="M72" s="60">
        <f t="shared" ref="M72:M76" si="43">L72+(I72*0.5)</f>
        <v>195.93259725063314</v>
      </c>
      <c r="N72" s="60">
        <f t="shared" ref="N72:N76" si="44">L72+I72</f>
        <v>212.37244867863313</v>
      </c>
      <c r="O72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195.93259725063314</v>
      </c>
      <c r="P72" s="96">
        <v>11.255396975211928</v>
      </c>
    </row>
    <row r="73" spans="1:16" x14ac:dyDescent="0.25">
      <c r="A73" s="59">
        <f>IF(TableRBMaster[[#This Row],[Player]]&lt;&gt;0,A72+1,A72)</f>
        <v>49</v>
      </c>
      <c r="B73" s="59" t="str">
        <f>JAX!A$7</f>
        <v>Tank Bigsby</v>
      </c>
      <c r="C73" s="59" t="s">
        <v>118</v>
      </c>
      <c r="D73" s="59">
        <f>JAX!C$8</f>
        <v>12</v>
      </c>
      <c r="E73" s="60">
        <f>JAX!I$7</f>
        <v>93.467897879999995</v>
      </c>
      <c r="F73" s="60">
        <f>JAX!J$7</f>
        <v>382.28370232919997</v>
      </c>
      <c r="G73" s="60">
        <f>JAX!K$7</f>
        <v>3.1779085279200001</v>
      </c>
      <c r="H73" s="60">
        <f>JAX!L$7</f>
        <v>6.0219235999999992</v>
      </c>
      <c r="I73" s="60">
        <f>JAX!M$7</f>
        <v>4.2334122907999996</v>
      </c>
      <c r="J73" s="60">
        <f>JAX!N$7</f>
        <v>30.495338068351781</v>
      </c>
      <c r="K73" s="60">
        <f>JAX!O$7</f>
        <v>0.13123578101479999</v>
      </c>
      <c r="L73" s="60">
        <f t="shared" si="42"/>
        <v>61.132769893363985</v>
      </c>
      <c r="M73" s="60">
        <f t="shared" si="43"/>
        <v>63.249476038763987</v>
      </c>
      <c r="N73" s="60">
        <f t="shared" si="44"/>
        <v>65.366182184163989</v>
      </c>
      <c r="O73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63.249476038763987</v>
      </c>
      <c r="P73" s="96">
        <v>0</v>
      </c>
    </row>
    <row r="74" spans="1:16" x14ac:dyDescent="0.25">
      <c r="A74" s="59">
        <f>IF(TableRBMaster[[#This Row],[Player]]&lt;&gt;0,A73+1,A73)</f>
        <v>50</v>
      </c>
      <c r="B74" s="59" t="str">
        <f>JAX!A$8</f>
        <v>D'Ernest Johnson</v>
      </c>
      <c r="C74" s="59" t="s">
        <v>118</v>
      </c>
      <c r="D74" s="59">
        <f>JAX!C$7</f>
        <v>12</v>
      </c>
      <c r="E74" s="60">
        <f>JAX!I$8</f>
        <v>31.44311772</v>
      </c>
      <c r="F74" s="60">
        <f>JAX!J$8</f>
        <v>130.04767663581285</v>
      </c>
      <c r="G74" s="60">
        <f>JAX!K$8</f>
        <v>1.0061797670400001</v>
      </c>
      <c r="H74" s="60">
        <f>JAX!L$8</f>
        <v>6.0219235999999992</v>
      </c>
      <c r="I74" s="60">
        <f>JAX!M$8</f>
        <v>4.6007496303999993</v>
      </c>
      <c r="J74" s="60">
        <f>JAX!N$8</f>
        <v>32.751415648943748</v>
      </c>
      <c r="K74" s="60">
        <f>JAX!O$8</f>
        <v>0.13751176359983391</v>
      </c>
      <c r="L74" s="60">
        <f t="shared" si="42"/>
        <v>23.142058412314665</v>
      </c>
      <c r="M74" s="60">
        <f t="shared" si="43"/>
        <v>25.442433227514663</v>
      </c>
      <c r="N74" s="60">
        <f t="shared" si="44"/>
        <v>27.742808042714664</v>
      </c>
      <c r="O74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25.442433227514666</v>
      </c>
      <c r="P74" s="96">
        <v>0</v>
      </c>
    </row>
    <row r="75" spans="1:16" x14ac:dyDescent="0.25">
      <c r="A75" s="59">
        <f>IF(TableRBMaster[[#This Row],[Player]]&lt;&gt;0,A74+1,A74)</f>
        <v>51</v>
      </c>
      <c r="B75" s="59" t="str">
        <f>JAX!A$9</f>
        <v>Keillan Robinson</v>
      </c>
      <c r="C75" s="59" t="s">
        <v>118</v>
      </c>
      <c r="D75" s="59">
        <f>JAX!C$9</f>
        <v>12</v>
      </c>
      <c r="E75" s="60">
        <f>JAX!I$9</f>
        <v>8.6145528000000002</v>
      </c>
      <c r="F75" s="60">
        <f>JAX!J$9</f>
        <v>34.716647784000003</v>
      </c>
      <c r="G75" s="60">
        <f>JAX!K$9</f>
        <v>0.26705113680000003</v>
      </c>
      <c r="H75" s="60">
        <f>JAX!L$9</f>
        <v>11.441654839999998</v>
      </c>
      <c r="I75" s="60">
        <f>JAX!M$9</f>
        <v>8.4668245815999992</v>
      </c>
      <c r="J75" s="60">
        <f>JAX!N$9</f>
        <v>59.860449791911996</v>
      </c>
      <c r="K75" s="60">
        <f>JAX!O$9</f>
        <v>0.25400473744799995</v>
      </c>
      <c r="L75" s="60">
        <f t="shared" si="42"/>
        <v>12.584045003079199</v>
      </c>
      <c r="M75" s="60">
        <f t="shared" si="43"/>
        <v>16.817457293879198</v>
      </c>
      <c r="N75" s="60">
        <f t="shared" si="44"/>
        <v>21.050869584679198</v>
      </c>
      <c r="O75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16.817457293879201</v>
      </c>
      <c r="P75" s="96">
        <v>0</v>
      </c>
    </row>
    <row r="76" spans="1:16" x14ac:dyDescent="0.25">
      <c r="A76" s="59">
        <f>IF(TableRBMaster[[#This Row],[Player]]&lt;&gt;0,A75+1,A75)</f>
        <v>51</v>
      </c>
      <c r="B76" s="59">
        <f>JAX!A$10</f>
        <v>0</v>
      </c>
      <c r="C76" s="59" t="s">
        <v>118</v>
      </c>
      <c r="D76" s="59">
        <f>JAX!C$10</f>
        <v>12</v>
      </c>
      <c r="E76" s="60">
        <f>JAX!I$10</f>
        <v>0</v>
      </c>
      <c r="F76" s="60">
        <f>JAX!J$10</f>
        <v>0</v>
      </c>
      <c r="G76" s="60">
        <f>JAX!K$10</f>
        <v>0</v>
      </c>
      <c r="H76" s="60">
        <f>JAX!L$10</f>
        <v>0</v>
      </c>
      <c r="I76" s="60">
        <f>JAX!M$10</f>
        <v>0</v>
      </c>
      <c r="J76" s="60">
        <f>JAX!N$10</f>
        <v>0</v>
      </c>
      <c r="K76" s="60">
        <f>JAX!O$10</f>
        <v>0</v>
      </c>
      <c r="L76" s="60">
        <f t="shared" si="42"/>
        <v>0</v>
      </c>
      <c r="M76" s="60">
        <f t="shared" si="43"/>
        <v>0</v>
      </c>
      <c r="N76" s="60">
        <f t="shared" si="44"/>
        <v>0</v>
      </c>
      <c r="O76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76" s="96">
        <v>0</v>
      </c>
    </row>
    <row r="77" spans="1:16" x14ac:dyDescent="0.25">
      <c r="A77" s="59">
        <f>IF(TableRBMaster[[#This Row],[Player]]&lt;&gt;0,A76+1,A76)</f>
        <v>52</v>
      </c>
      <c r="B77" s="59" t="str">
        <f>KC!A$6</f>
        <v>Isiah Pacheco</v>
      </c>
      <c r="C77" s="59" t="s">
        <v>102</v>
      </c>
      <c r="D77" s="59">
        <f>KC!C$6</f>
        <v>6</v>
      </c>
      <c r="E77" s="60">
        <f>KC!I$6</f>
        <v>247.93215999999998</v>
      </c>
      <c r="F77" s="60">
        <f>KC!J$6</f>
        <v>1115.69472</v>
      </c>
      <c r="G77" s="60">
        <f>KC!K$6</f>
        <v>8.9242082202101223</v>
      </c>
      <c r="H77" s="60">
        <f>KC!L$6</f>
        <v>39.711167999999994</v>
      </c>
      <c r="I77" s="60">
        <f>KC!M$6</f>
        <v>32.761713599999993</v>
      </c>
      <c r="J77" s="60">
        <f>KC!N$6</f>
        <v>223.43488675199995</v>
      </c>
      <c r="K77" s="60">
        <f>KC!O$6</f>
        <v>1.7036091071999995</v>
      </c>
      <c r="L77" s="60">
        <f t="shared" ref="L77:L140" si="45">(F77/10)+(G77*6)+(J77/10)+(K77*6)</f>
        <v>197.67986463966074</v>
      </c>
      <c r="M77" s="60">
        <f t="shared" ref="M77:M140" si="46">L77+(I77*0.5)</f>
        <v>214.06072143966074</v>
      </c>
      <c r="N77" s="60">
        <f t="shared" ref="N77:N140" si="47">L77+I77</f>
        <v>230.44157823966071</v>
      </c>
      <c r="O77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214.06072143966074</v>
      </c>
      <c r="P77" s="96">
        <v>28.211098127412054</v>
      </c>
    </row>
    <row r="78" spans="1:16" x14ac:dyDescent="0.25">
      <c r="A78" s="59">
        <f>IF(TableRBMaster[[#This Row],[Player]]&lt;&gt;0,A77+1,A77)</f>
        <v>53</v>
      </c>
      <c r="B78" s="59" t="str">
        <f>KC!A$7</f>
        <v>Clyde Edwards-Helaire</v>
      </c>
      <c r="C78" s="59" t="s">
        <v>102</v>
      </c>
      <c r="D78" s="59">
        <f>KC!C$8</f>
        <v>6</v>
      </c>
      <c r="E78" s="60">
        <f>KC!I$7</f>
        <v>19.750527999999999</v>
      </c>
      <c r="F78" s="60">
        <f>KC!J$7</f>
        <v>80.661667049375268</v>
      </c>
      <c r="G78" s="60">
        <f>KC!K$7</f>
        <v>0.61224123248061002</v>
      </c>
      <c r="H78" s="60">
        <f>KC!L$7</f>
        <v>7.5640319999999992</v>
      </c>
      <c r="I78" s="60">
        <f>KC!M$7</f>
        <v>5.3931548159999991</v>
      </c>
      <c r="J78" s="60">
        <f>KC!N$7</f>
        <v>39.639687897599991</v>
      </c>
      <c r="K78" s="60">
        <f>KC!O$7</f>
        <v>0.25887143116799999</v>
      </c>
      <c r="L78" s="60">
        <f t="shared" si="45"/>
        <v>17.256811476589185</v>
      </c>
      <c r="M78" s="60">
        <f t="shared" si="46"/>
        <v>19.953388884589184</v>
      </c>
      <c r="N78" s="60">
        <f t="shared" si="47"/>
        <v>22.649966292589184</v>
      </c>
      <c r="O78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19.953388884589188</v>
      </c>
      <c r="P78" s="96">
        <v>0</v>
      </c>
    </row>
    <row r="79" spans="1:16" x14ac:dyDescent="0.25">
      <c r="A79" s="59">
        <f>IF(TableRBMaster[[#This Row],[Player]]&lt;&gt;0,A78+1,A78)</f>
        <v>54</v>
      </c>
      <c r="B79" s="59" t="str">
        <f>KC!A$8</f>
        <v>Carson Steele</v>
      </c>
      <c r="C79" s="59" t="s">
        <v>102</v>
      </c>
      <c r="D79" s="59">
        <f>KC!C$7</f>
        <v>6</v>
      </c>
      <c r="E79" s="60">
        <f>KC!I$8</f>
        <v>5.4629120000000002</v>
      </c>
      <c r="F79" s="60">
        <f>KC!J$8</f>
        <v>22.83497216</v>
      </c>
      <c r="G79" s="60">
        <f>KC!K$8</f>
        <v>0.15932459105706268</v>
      </c>
      <c r="H79" s="60">
        <f>KC!L$8</f>
        <v>6.3033599999999987</v>
      </c>
      <c r="I79" s="60">
        <f>KC!M$8</f>
        <v>4.4123519999999985</v>
      </c>
      <c r="J79" s="60">
        <f>KC!N$8</f>
        <v>30.77728973892112</v>
      </c>
      <c r="K79" s="60">
        <f>KC!O$8</f>
        <v>0.24267935999999993</v>
      </c>
      <c r="L79" s="60">
        <f t="shared" si="45"/>
        <v>7.7732498962344865</v>
      </c>
      <c r="M79" s="60">
        <f t="shared" si="46"/>
        <v>9.9794258962344848</v>
      </c>
      <c r="N79" s="60">
        <f t="shared" si="47"/>
        <v>12.185601896234484</v>
      </c>
      <c r="O79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9.9794258962344884</v>
      </c>
      <c r="P79" s="96">
        <v>0</v>
      </c>
    </row>
    <row r="80" spans="1:16" x14ac:dyDescent="0.25">
      <c r="A80" s="59">
        <f>IF(TableRBMaster[[#This Row],[Player]]&lt;&gt;0,A79+1,A79)</f>
        <v>55</v>
      </c>
      <c r="B80" s="59" t="str">
        <f>KC!A$9</f>
        <v>Samaje Perine</v>
      </c>
      <c r="C80" s="59" t="s">
        <v>102</v>
      </c>
      <c r="D80" s="59">
        <f>KC!C$9</f>
        <v>6</v>
      </c>
      <c r="E80" s="60">
        <f>KC!I$9</f>
        <v>71.438079999999999</v>
      </c>
      <c r="F80" s="60">
        <f>KC!J$9</f>
        <v>307.18374399999999</v>
      </c>
      <c r="G80" s="60">
        <f>KC!K$9</f>
        <v>2.3574566400000001</v>
      </c>
      <c r="H80" s="60">
        <f>KC!L$9</f>
        <v>20.170751999999997</v>
      </c>
      <c r="I80" s="60">
        <f>KC!M$9</f>
        <v>17.084626943999996</v>
      </c>
      <c r="J80" s="60">
        <f>KC!N$9</f>
        <v>133.26009016319998</v>
      </c>
      <c r="K80" s="60">
        <f>KC!O$9</f>
        <v>0.82006209331199986</v>
      </c>
      <c r="L80" s="60">
        <f t="shared" si="45"/>
        <v>63.109495816192002</v>
      </c>
      <c r="M80" s="60">
        <f t="shared" si="46"/>
        <v>71.651809288191998</v>
      </c>
      <c r="N80" s="60">
        <f t="shared" si="47"/>
        <v>80.194122760192002</v>
      </c>
      <c r="O80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71.651809288191984</v>
      </c>
      <c r="P80" s="96">
        <v>0</v>
      </c>
    </row>
    <row r="81" spans="1:16" x14ac:dyDescent="0.25">
      <c r="A81" s="59">
        <f>IF(TableRBMaster[[#This Row],[Player]]&lt;&gt;0,A80+1,A80)</f>
        <v>55</v>
      </c>
      <c r="B81" s="59">
        <f>KC!A$10</f>
        <v>0</v>
      </c>
      <c r="C81" s="59" t="s">
        <v>102</v>
      </c>
      <c r="D81" s="59">
        <f>KC!C$10</f>
        <v>6</v>
      </c>
      <c r="E81" s="60">
        <f>KC!I$10</f>
        <v>0</v>
      </c>
      <c r="F81" s="60">
        <f>KC!J$10</f>
        <v>0</v>
      </c>
      <c r="G81" s="60">
        <f>KC!K$10</f>
        <v>0</v>
      </c>
      <c r="H81" s="60">
        <f>KC!L$10</f>
        <v>0</v>
      </c>
      <c r="I81" s="60">
        <f>KC!M$10</f>
        <v>0</v>
      </c>
      <c r="J81" s="60">
        <f>KC!N$10</f>
        <v>0</v>
      </c>
      <c r="K81" s="60">
        <f>KC!O$10</f>
        <v>0</v>
      </c>
      <c r="L81" s="60">
        <f t="shared" si="45"/>
        <v>0</v>
      </c>
      <c r="M81" s="60">
        <f t="shared" si="46"/>
        <v>0</v>
      </c>
      <c r="N81" s="60">
        <f t="shared" si="47"/>
        <v>0</v>
      </c>
      <c r="O81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81" s="96">
        <v>0</v>
      </c>
    </row>
    <row r="82" spans="1:16" x14ac:dyDescent="0.25">
      <c r="A82" s="59">
        <f>IF(TableRBMaster[[#This Row],[Player]]&lt;&gt;0,A81+1,A81)</f>
        <v>56</v>
      </c>
      <c r="B82" s="59" t="str">
        <f>LAC!A$6</f>
        <v>Gus Edwards</v>
      </c>
      <c r="C82" s="59" t="s">
        <v>103</v>
      </c>
      <c r="D82" s="59">
        <f>LAC!C$6</f>
        <v>5</v>
      </c>
      <c r="E82" s="60">
        <f>LAC!I$6</f>
        <v>212.78681787999997</v>
      </c>
      <c r="F82" s="60">
        <f>LAC!J$6</f>
        <v>900.12899906563632</v>
      </c>
      <c r="G82" s="60">
        <f>LAC!K$6</f>
        <v>8.4263579880480002</v>
      </c>
      <c r="H82" s="60">
        <f>LAC!L$6</f>
        <v>16.750855800000004</v>
      </c>
      <c r="I82" s="60">
        <f>LAC!M$6</f>
        <v>13.216425226200004</v>
      </c>
      <c r="J82" s="60">
        <f>LAC!N$6</f>
        <v>94.893933124116018</v>
      </c>
      <c r="K82" s="60">
        <f>LAC!O$6</f>
        <v>0.41680217789813334</v>
      </c>
      <c r="L82" s="60">
        <f t="shared" si="45"/>
        <v>152.56125421465205</v>
      </c>
      <c r="M82" s="60">
        <f t="shared" si="46"/>
        <v>159.16946682775205</v>
      </c>
      <c r="N82" s="60">
        <f t="shared" si="47"/>
        <v>165.77767944085207</v>
      </c>
      <c r="O82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159.16946682775205</v>
      </c>
      <c r="P82" s="96">
        <v>40.577336371080563</v>
      </c>
    </row>
    <row r="83" spans="1:16" x14ac:dyDescent="0.25">
      <c r="A83" s="59">
        <f>IF(TableRBMaster[[#This Row],[Player]]&lt;&gt;0,A82+1,A82)</f>
        <v>57</v>
      </c>
      <c r="B83" s="59" t="str">
        <f>LAC!A$7</f>
        <v>J.K. Dobbins</v>
      </c>
      <c r="C83" s="59" t="s">
        <v>103</v>
      </c>
      <c r="D83" s="59">
        <f>LAC!C$8</f>
        <v>5</v>
      </c>
      <c r="E83" s="60">
        <f>LAC!I$7</f>
        <v>154.53522293999998</v>
      </c>
      <c r="F83" s="60">
        <f>LAC!J$7</f>
        <v>696.49226956733742</v>
      </c>
      <c r="G83" s="60">
        <f>LAC!K$7</f>
        <v>5.2541975799599996</v>
      </c>
      <c r="H83" s="60">
        <f>LAC!L$7</f>
        <v>35.176797180000008</v>
      </c>
      <c r="I83" s="60">
        <f>LAC!M$7</f>
        <v>25.5031779555</v>
      </c>
      <c r="J83" s="60">
        <f>LAC!N$7</f>
        <v>188.8264622042818</v>
      </c>
      <c r="K83" s="60">
        <f>LAC!O$7</f>
        <v>1.3682910997514572</v>
      </c>
      <c r="L83" s="60">
        <f t="shared" si="45"/>
        <v>128.26680525543065</v>
      </c>
      <c r="M83" s="60">
        <f t="shared" si="46"/>
        <v>141.01839423318066</v>
      </c>
      <c r="N83" s="60">
        <f t="shared" si="47"/>
        <v>153.76998321093066</v>
      </c>
      <c r="O83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141.01839423318069</v>
      </c>
      <c r="P83" s="96">
        <v>0</v>
      </c>
    </row>
    <row r="84" spans="1:16" x14ac:dyDescent="0.25">
      <c r="A84" s="59">
        <f>IF(TableRBMaster[[#This Row],[Player]]&lt;&gt;0,A83+1,A83)</f>
        <v>58</v>
      </c>
      <c r="B84" s="59" t="str">
        <f>LAC!A$8</f>
        <v>Kimani Vidal</v>
      </c>
      <c r="C84" s="59" t="s">
        <v>103</v>
      </c>
      <c r="D84" s="59">
        <f>LAC!C$7</f>
        <v>5</v>
      </c>
      <c r="E84" s="60">
        <f>LAC!I$8</f>
        <v>17.812471179999999</v>
      </c>
      <c r="F84" s="60">
        <f>LAC!J$8</f>
        <v>76.140238921537929</v>
      </c>
      <c r="G84" s="60">
        <f>LAC!K$8</f>
        <v>0.53437413540000001</v>
      </c>
      <c r="H84" s="60">
        <f>LAC!L$8</f>
        <v>11.725599060000004</v>
      </c>
      <c r="I84" s="60">
        <f>LAC!M$8</f>
        <v>8.5831385119200032</v>
      </c>
      <c r="J84" s="60">
        <f>LAC!N$8</f>
        <v>61.191609459499986</v>
      </c>
      <c r="K84" s="60">
        <f>LAC!O$8</f>
        <v>0.27332862039213984</v>
      </c>
      <c r="L84" s="60">
        <f t="shared" si="45"/>
        <v>18.57940137285663</v>
      </c>
      <c r="M84" s="60">
        <f t="shared" si="46"/>
        <v>22.870970628816632</v>
      </c>
      <c r="N84" s="60">
        <f t="shared" si="47"/>
        <v>27.162539884776635</v>
      </c>
      <c r="O84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22.870970628816636</v>
      </c>
      <c r="P84" s="96">
        <v>0</v>
      </c>
    </row>
    <row r="85" spans="1:16" x14ac:dyDescent="0.25">
      <c r="A85" s="59">
        <f>IF(TableRBMaster[[#This Row],[Player]]&lt;&gt;0,A84+1,A84)</f>
        <v>59</v>
      </c>
      <c r="B85" s="59" t="str">
        <f>LAC!A$9</f>
        <v>Jaret Patterson</v>
      </c>
      <c r="C85" s="59" t="s">
        <v>103</v>
      </c>
      <c r="D85" s="59">
        <f>LAC!C$9</f>
        <v>5</v>
      </c>
      <c r="E85" s="60">
        <f>LAC!I$9</f>
        <v>38.513451199999992</v>
      </c>
      <c r="F85" s="60">
        <f>LAC!J$9</f>
        <v>154.43893931199995</v>
      </c>
      <c r="G85" s="60">
        <f>LAC!K$9</f>
        <v>1.1554035359999997</v>
      </c>
      <c r="H85" s="60">
        <f>LAC!L$9</f>
        <v>7.2587041800000023</v>
      </c>
      <c r="I85" s="60">
        <f>LAC!M$9</f>
        <v>5.2190083054200018</v>
      </c>
      <c r="J85" s="60">
        <f>LAC!N$9</f>
        <v>36.637438304048409</v>
      </c>
      <c r="K85" s="60">
        <f>LAC!O$9</f>
        <v>0.15657024916260004</v>
      </c>
      <c r="L85" s="60">
        <f t="shared" si="45"/>
        <v>26.979480472580434</v>
      </c>
      <c r="M85" s="60">
        <f t="shared" si="46"/>
        <v>29.588984625290436</v>
      </c>
      <c r="N85" s="60">
        <f t="shared" si="47"/>
        <v>32.198488778000439</v>
      </c>
      <c r="O85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29.588984625290436</v>
      </c>
      <c r="P85" s="96">
        <v>0</v>
      </c>
    </row>
    <row r="86" spans="1:16" x14ac:dyDescent="0.25">
      <c r="A86" s="59">
        <f>IF(TableRBMaster[[#This Row],[Player]]&lt;&gt;0,A85+1,A85)</f>
        <v>59</v>
      </c>
      <c r="B86" s="59">
        <f>LAC!A$10</f>
        <v>0</v>
      </c>
      <c r="C86" s="59" t="s">
        <v>103</v>
      </c>
      <c r="D86" s="59">
        <f>LAC!C$10</f>
        <v>5</v>
      </c>
      <c r="E86" s="60">
        <f>LAC!I$10</f>
        <v>0</v>
      </c>
      <c r="F86" s="60">
        <f>LAC!J$10</f>
        <v>0</v>
      </c>
      <c r="G86" s="60">
        <f>LAC!K$10</f>
        <v>0</v>
      </c>
      <c r="H86" s="60">
        <f>LAC!L$10</f>
        <v>0</v>
      </c>
      <c r="I86" s="60">
        <f>LAC!M$10</f>
        <v>0</v>
      </c>
      <c r="J86" s="60">
        <f>LAC!N$10</f>
        <v>0</v>
      </c>
      <c r="K86" s="60">
        <f>LAC!O$10</f>
        <v>0</v>
      </c>
      <c r="L86" s="60">
        <f t="shared" si="45"/>
        <v>0</v>
      </c>
      <c r="M86" s="60">
        <f t="shared" si="46"/>
        <v>0</v>
      </c>
      <c r="N86" s="60">
        <f t="shared" si="47"/>
        <v>0</v>
      </c>
      <c r="O86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86" s="96">
        <v>0</v>
      </c>
    </row>
    <row r="87" spans="1:16" x14ac:dyDescent="0.25">
      <c r="A87" s="59">
        <f>IF(TableRBMaster[[#This Row],[Player]]&lt;&gt;0,A86+1,A86)</f>
        <v>60</v>
      </c>
      <c r="B87" s="59" t="str">
        <f>LAR!A$6</f>
        <v>Kyren Williams</v>
      </c>
      <c r="C87" s="59" t="s">
        <v>104</v>
      </c>
      <c r="D87" s="59">
        <f>LAR!C$6</f>
        <v>6</v>
      </c>
      <c r="E87" s="60">
        <f>LAR!I$6</f>
        <v>220.34402123999999</v>
      </c>
      <c r="F87" s="60">
        <f>LAR!J$6</f>
        <v>1002.5652966419999</v>
      </c>
      <c r="G87" s="60">
        <f>LAR!K$6</f>
        <v>9.7392057388079998</v>
      </c>
      <c r="H87" s="60">
        <f>LAR!L$6</f>
        <v>50.716858079999994</v>
      </c>
      <c r="I87" s="60">
        <f>LAR!M$6</f>
        <v>36.110402952959987</v>
      </c>
      <c r="J87" s="60">
        <f>LAR!N$6</f>
        <v>264.23875923441426</v>
      </c>
      <c r="K87" s="60">
        <f>LAR!O$6</f>
        <v>1.8777409535539193</v>
      </c>
      <c r="L87" s="60">
        <f t="shared" si="45"/>
        <v>196.38208574181292</v>
      </c>
      <c r="M87" s="60">
        <f t="shared" si="46"/>
        <v>214.43728721829291</v>
      </c>
      <c r="N87" s="60">
        <f t="shared" si="47"/>
        <v>232.4924886947729</v>
      </c>
      <c r="O87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214.43728721829297</v>
      </c>
      <c r="P87" s="96">
        <v>36.440729570389564</v>
      </c>
    </row>
    <row r="88" spans="1:16" x14ac:dyDescent="0.25">
      <c r="A88" s="59">
        <f>IF(TableRBMaster[[#This Row],[Player]]&lt;&gt;0,A87+1,A87)</f>
        <v>61</v>
      </c>
      <c r="B88" s="59" t="str">
        <f>LAR!A$7</f>
        <v>Blake Corum</v>
      </c>
      <c r="C88" s="59" t="s">
        <v>104</v>
      </c>
      <c r="D88" s="59">
        <f>LAR!C$8</f>
        <v>6</v>
      </c>
      <c r="E88" s="60">
        <f>LAR!I$7</f>
        <v>150.40691316000002</v>
      </c>
      <c r="F88" s="60">
        <f>LAR!J$7</f>
        <v>646.59073959269938</v>
      </c>
      <c r="G88" s="60">
        <f>LAR!K$7</f>
        <v>6.1666834395600008</v>
      </c>
      <c r="H88" s="60">
        <f>LAR!L$7</f>
        <v>18.113163599999996</v>
      </c>
      <c r="I88" s="60">
        <f>LAR!M$7</f>
        <v>12.570535538399996</v>
      </c>
      <c r="J88" s="60">
        <f>LAR!N$7</f>
        <v>95.748526766904803</v>
      </c>
      <c r="K88" s="60">
        <f>LAR!O$7</f>
        <v>0.4467674951301272</v>
      </c>
      <c r="L88" s="60">
        <f t="shared" si="45"/>
        <v>113.91463224410118</v>
      </c>
      <c r="M88" s="60">
        <f t="shared" si="46"/>
        <v>120.19990001330119</v>
      </c>
      <c r="N88" s="60">
        <f t="shared" si="47"/>
        <v>126.48516778250118</v>
      </c>
      <c r="O88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120.1999000133012</v>
      </c>
      <c r="P88" s="96">
        <v>0</v>
      </c>
    </row>
    <row r="89" spans="1:16" x14ac:dyDescent="0.25">
      <c r="A89" s="59">
        <f>IF(TableRBMaster[[#This Row],[Player]]&lt;&gt;0,A88+1,A88)</f>
        <v>62</v>
      </c>
      <c r="B89" s="59" t="str">
        <f>LAR!A$8</f>
        <v>Ronnie Rivers</v>
      </c>
      <c r="C89" s="59" t="s">
        <v>104</v>
      </c>
      <c r="D89" s="59">
        <f>LAR!C$7</f>
        <v>6</v>
      </c>
      <c r="E89" s="60">
        <f>LAR!I$8</f>
        <v>12.6392364</v>
      </c>
      <c r="F89" s="60">
        <f>LAR!J$8</f>
        <v>52.068719752558565</v>
      </c>
      <c r="G89" s="60">
        <f>LAR!K$8</f>
        <v>0.48029098319999997</v>
      </c>
      <c r="H89" s="60">
        <f>LAR!L$8</f>
        <v>6.0377211999999991</v>
      </c>
      <c r="I89" s="60">
        <f>LAR!M$8</f>
        <v>4.2626311671999995</v>
      </c>
      <c r="J89" s="60">
        <f>LAR!N$8</f>
        <v>28.390117552926728</v>
      </c>
      <c r="K89" s="60">
        <f>LAR!O$8</f>
        <v>0.15920449553378238</v>
      </c>
      <c r="L89" s="60">
        <f t="shared" si="45"/>
        <v>11.882856602951225</v>
      </c>
      <c r="M89" s="60">
        <f t="shared" si="46"/>
        <v>14.014172186551225</v>
      </c>
      <c r="N89" s="60">
        <f t="shared" si="47"/>
        <v>16.145487770151224</v>
      </c>
      <c r="O89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14.014172186551225</v>
      </c>
      <c r="P89" s="96">
        <v>0</v>
      </c>
    </row>
    <row r="90" spans="1:16" x14ac:dyDescent="0.25">
      <c r="A90" s="59">
        <f>IF(TableRBMaster[[#This Row],[Player]]&lt;&gt;0,A89+1,A89)</f>
        <v>62</v>
      </c>
      <c r="B90" s="59">
        <f>LAR!A$9</f>
        <v>0</v>
      </c>
      <c r="C90" s="59" t="s">
        <v>104</v>
      </c>
      <c r="D90" s="59">
        <f>LAR!C$9</f>
        <v>6</v>
      </c>
      <c r="E90" s="60">
        <f>LAR!I$9</f>
        <v>0</v>
      </c>
      <c r="F90" s="60">
        <f>LAR!J$9</f>
        <v>0</v>
      </c>
      <c r="G90" s="60">
        <f>LAR!K$9</f>
        <v>0</v>
      </c>
      <c r="H90" s="60">
        <f>LAR!L$9</f>
        <v>0</v>
      </c>
      <c r="I90" s="60">
        <f>LAR!M$9</f>
        <v>0</v>
      </c>
      <c r="J90" s="60">
        <f>LAR!N$9</f>
        <v>0</v>
      </c>
      <c r="K90" s="60">
        <f>LAR!O$9</f>
        <v>0</v>
      </c>
      <c r="L90" s="60">
        <f t="shared" si="45"/>
        <v>0</v>
      </c>
      <c r="M90" s="60">
        <f t="shared" si="46"/>
        <v>0</v>
      </c>
      <c r="N90" s="60">
        <f t="shared" si="47"/>
        <v>0</v>
      </c>
      <c r="O90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90" s="96">
        <v>0</v>
      </c>
    </row>
    <row r="91" spans="1:16" x14ac:dyDescent="0.25">
      <c r="A91" s="59">
        <f>IF(TableRBMaster[[#This Row],[Player]]&lt;&gt;0,A90+1,A90)</f>
        <v>62</v>
      </c>
      <c r="B91" s="59">
        <f>LAR!A$10</f>
        <v>0</v>
      </c>
      <c r="C91" s="59" t="s">
        <v>104</v>
      </c>
      <c r="D91" s="59">
        <f>LAR!C$10</f>
        <v>6</v>
      </c>
      <c r="E91" s="60">
        <f>LAR!I$10</f>
        <v>0</v>
      </c>
      <c r="F91" s="60">
        <f>LAR!J$10</f>
        <v>0</v>
      </c>
      <c r="G91" s="60">
        <f>LAR!K$10</f>
        <v>0</v>
      </c>
      <c r="H91" s="60">
        <f>LAR!L$10</f>
        <v>0</v>
      </c>
      <c r="I91" s="60">
        <f>LAR!M$10</f>
        <v>0</v>
      </c>
      <c r="J91" s="60">
        <f>LAR!N$10</f>
        <v>0</v>
      </c>
      <c r="K91" s="60">
        <f>LAR!O$10</f>
        <v>0</v>
      </c>
      <c r="L91" s="60">
        <f t="shared" si="45"/>
        <v>0</v>
      </c>
      <c r="M91" s="60">
        <f t="shared" si="46"/>
        <v>0</v>
      </c>
      <c r="N91" s="60">
        <f t="shared" si="47"/>
        <v>0</v>
      </c>
      <c r="O91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91" s="96">
        <v>0</v>
      </c>
    </row>
    <row r="92" spans="1:16" x14ac:dyDescent="0.25">
      <c r="A92" s="59">
        <f>IF(TableRBMaster[[#This Row],[Player]]&lt;&gt;0,A91+1,A91)</f>
        <v>63</v>
      </c>
      <c r="B92" s="59" t="str">
        <f>LV!A$6</f>
        <v>Zamir White</v>
      </c>
      <c r="C92" s="59" t="s">
        <v>162</v>
      </c>
      <c r="D92" s="59">
        <f>LV!C$6</f>
        <v>10</v>
      </c>
      <c r="E92" s="60">
        <f>LV!I$6</f>
        <v>253.13400000000001</v>
      </c>
      <c r="F92" s="60">
        <f>LV!J$6</f>
        <v>1088.4762000000001</v>
      </c>
      <c r="G92" s="60">
        <f>LV!K$6</f>
        <v>8.1002880000000008</v>
      </c>
      <c r="H92" s="60">
        <f>LV!L$6</f>
        <v>34.956600000000002</v>
      </c>
      <c r="I92" s="60">
        <f>LV!M$6</f>
        <v>25.518318000000001</v>
      </c>
      <c r="J92" s="60">
        <f>LV!N$6</f>
        <v>182.45474291871378</v>
      </c>
      <c r="K92" s="60">
        <f>LV!O$6</f>
        <v>0.62991635152821857</v>
      </c>
      <c r="L92" s="60">
        <f t="shared" si="45"/>
        <v>179.4743204010407</v>
      </c>
      <c r="M92" s="60">
        <f t="shared" si="46"/>
        <v>192.23347940104071</v>
      </c>
      <c r="N92" s="60">
        <f t="shared" si="47"/>
        <v>204.99263840104069</v>
      </c>
      <c r="O92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192.23347940104071</v>
      </c>
      <c r="P92" s="96">
        <v>26.712974459123956</v>
      </c>
    </row>
    <row r="93" spans="1:16" x14ac:dyDescent="0.25">
      <c r="A93" s="59">
        <f>IF(TableRBMaster[[#This Row],[Player]]&lt;&gt;0,A92+1,A92)</f>
        <v>64</v>
      </c>
      <c r="B93" s="59" t="str">
        <f>LV!A$7</f>
        <v>Alexander Mattison</v>
      </c>
      <c r="C93" s="59" t="s">
        <v>162</v>
      </c>
      <c r="D93" s="59">
        <f>LV!C$8</f>
        <v>10</v>
      </c>
      <c r="E93" s="60">
        <f>LV!I$7</f>
        <v>97.034700000000015</v>
      </c>
      <c r="F93" s="60">
        <f>LV!J$7</f>
        <v>384.91243466048115</v>
      </c>
      <c r="G93" s="60">
        <f>LV!K$7</f>
        <v>2.6199369000000003</v>
      </c>
      <c r="H93" s="60">
        <f>LV!L$7</f>
        <v>29.130500000000001</v>
      </c>
      <c r="I93" s="60">
        <f>LV!M$7</f>
        <v>20.449611000000008</v>
      </c>
      <c r="J93" s="60">
        <f>LV!N$7</f>
        <v>142.84275470573382</v>
      </c>
      <c r="K93" s="60">
        <f>LV!O$7</f>
        <v>0.90727212057443829</v>
      </c>
      <c r="L93" s="60">
        <f t="shared" si="45"/>
        <v>73.938773060068129</v>
      </c>
      <c r="M93" s="60">
        <f t="shared" si="46"/>
        <v>84.163578560068132</v>
      </c>
      <c r="N93" s="60">
        <f t="shared" si="47"/>
        <v>94.388384060068134</v>
      </c>
      <c r="O93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84.163578560068146</v>
      </c>
      <c r="P93" s="96">
        <v>10.012353442884301</v>
      </c>
    </row>
    <row r="94" spans="1:16" x14ac:dyDescent="0.25">
      <c r="A94" s="59">
        <f>IF(TableRBMaster[[#This Row],[Player]]&lt;&gt;0,A93+1,A93)</f>
        <v>65</v>
      </c>
      <c r="B94" s="59" t="str">
        <f>LV!A$8</f>
        <v>Dylan Laube</v>
      </c>
      <c r="C94" s="59" t="s">
        <v>162</v>
      </c>
      <c r="D94" s="59">
        <f>LV!C$7</f>
        <v>10</v>
      </c>
      <c r="E94" s="60">
        <f>LV!I$8</f>
        <v>46.407900000000005</v>
      </c>
      <c r="F94" s="60">
        <f>LV!J$8</f>
        <v>198.69206506604641</v>
      </c>
      <c r="G94" s="60">
        <f>LV!K$8</f>
        <v>1.4850528000000003</v>
      </c>
      <c r="H94" s="60">
        <f>LV!L$8</f>
        <v>23.304399999999998</v>
      </c>
      <c r="I94" s="60">
        <f>LV!M$8</f>
        <v>17.105429599999994</v>
      </c>
      <c r="J94" s="60">
        <f>LV!N$8</f>
        <v>132.31325108910247</v>
      </c>
      <c r="K94" s="60">
        <f>LV!O$8</f>
        <v>0.48073023317946967</v>
      </c>
      <c r="L94" s="60">
        <f t="shared" si="45"/>
        <v>44.895229814591708</v>
      </c>
      <c r="M94" s="60">
        <f t="shared" si="46"/>
        <v>53.447944614591705</v>
      </c>
      <c r="N94" s="60">
        <f t="shared" si="47"/>
        <v>62.000659414591702</v>
      </c>
      <c r="O94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53.447944614591705</v>
      </c>
      <c r="P94" s="96">
        <v>0</v>
      </c>
    </row>
    <row r="95" spans="1:16" x14ac:dyDescent="0.25">
      <c r="A95" s="59">
        <f>IF(TableRBMaster[[#This Row],[Player]]&lt;&gt;0,A94+1,A94)</f>
        <v>65</v>
      </c>
      <c r="B95" s="59">
        <f>LV!A$9</f>
        <v>0</v>
      </c>
      <c r="C95" s="59" t="s">
        <v>162</v>
      </c>
      <c r="D95" s="59">
        <f>LV!C$9</f>
        <v>10</v>
      </c>
      <c r="E95" s="60">
        <f>LV!I$9</f>
        <v>0</v>
      </c>
      <c r="F95" s="60">
        <f>LV!J$9</f>
        <v>0</v>
      </c>
      <c r="G95" s="60">
        <f>LV!K$9</f>
        <v>0</v>
      </c>
      <c r="H95" s="60">
        <f>LV!L$9</f>
        <v>0</v>
      </c>
      <c r="I95" s="60">
        <f>LV!M$9</f>
        <v>0</v>
      </c>
      <c r="J95" s="60">
        <f>LV!N$9</f>
        <v>0</v>
      </c>
      <c r="K95" s="60">
        <f>LV!O$9</f>
        <v>0</v>
      </c>
      <c r="L95" s="60">
        <f t="shared" si="45"/>
        <v>0</v>
      </c>
      <c r="M95" s="60">
        <f t="shared" si="46"/>
        <v>0</v>
      </c>
      <c r="N95" s="60">
        <f t="shared" si="47"/>
        <v>0</v>
      </c>
      <c r="O95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95" s="96">
        <v>0</v>
      </c>
    </row>
    <row r="96" spans="1:16" x14ac:dyDescent="0.25">
      <c r="A96" s="59">
        <f>IF(TableRBMaster[[#This Row],[Player]]&lt;&gt;0,A95+1,A95)</f>
        <v>65</v>
      </c>
      <c r="B96" s="59">
        <f>LV!A$10</f>
        <v>0</v>
      </c>
      <c r="C96" s="59" t="s">
        <v>162</v>
      </c>
      <c r="D96" s="59">
        <f>LV!C$10</f>
        <v>10</v>
      </c>
      <c r="E96" s="60">
        <f>LV!I$10</f>
        <v>0</v>
      </c>
      <c r="F96" s="60">
        <f>LV!J$10</f>
        <v>0</v>
      </c>
      <c r="G96" s="60">
        <f>LV!K$10</f>
        <v>0</v>
      </c>
      <c r="H96" s="60">
        <f>LV!L$10</f>
        <v>0</v>
      </c>
      <c r="I96" s="60">
        <f>LV!M$10</f>
        <v>0</v>
      </c>
      <c r="J96" s="60">
        <f>LV!N$10</f>
        <v>0</v>
      </c>
      <c r="K96" s="60">
        <f>LV!O$10</f>
        <v>0</v>
      </c>
      <c r="L96" s="60">
        <f t="shared" si="45"/>
        <v>0</v>
      </c>
      <c r="M96" s="60">
        <f t="shared" si="46"/>
        <v>0</v>
      </c>
      <c r="N96" s="60">
        <f t="shared" si="47"/>
        <v>0</v>
      </c>
      <c r="O96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96" s="96">
        <v>0</v>
      </c>
    </row>
    <row r="97" spans="1:16" x14ac:dyDescent="0.25">
      <c r="A97" s="59">
        <f>IF(TableRBMaster[[#This Row],[Player]]&lt;&gt;0,A96+1,A96)</f>
        <v>66</v>
      </c>
      <c r="B97" s="59" t="str">
        <f>MIA!A$6</f>
        <v>Raheem Mostert</v>
      </c>
      <c r="C97" s="59" t="s">
        <v>105</v>
      </c>
      <c r="D97" s="59">
        <f>MIA!C$6</f>
        <v>6</v>
      </c>
      <c r="E97" s="60">
        <f>MIA!I$6</f>
        <v>175.18172672000003</v>
      </c>
      <c r="F97" s="60">
        <f>MIA!J$6</f>
        <v>827.88836383838679</v>
      </c>
      <c r="G97" s="60">
        <f>MIA!K$6</f>
        <v>9.8276948689920012</v>
      </c>
      <c r="H97" s="60">
        <f>MIA!L$6</f>
        <v>23.453203199999994</v>
      </c>
      <c r="I97" s="60">
        <f>MIA!M$6</f>
        <v>17.542995993599991</v>
      </c>
      <c r="J97" s="60">
        <f>MIA!N$6</f>
        <v>123.10984222257677</v>
      </c>
      <c r="K97" s="60">
        <f>MIA!O$6</f>
        <v>1.0666255945375045</v>
      </c>
      <c r="L97" s="60">
        <f t="shared" si="45"/>
        <v>160.46574338727339</v>
      </c>
      <c r="M97" s="60">
        <f t="shared" si="46"/>
        <v>169.2372413840734</v>
      </c>
      <c r="N97" s="60">
        <f t="shared" si="47"/>
        <v>178.00873938087338</v>
      </c>
      <c r="O97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169.2372413840734</v>
      </c>
      <c r="P97" s="96">
        <v>21.962355357853792</v>
      </c>
    </row>
    <row r="98" spans="1:16" x14ac:dyDescent="0.25">
      <c r="A98" s="59">
        <f>IF(TableRBMaster[[#This Row],[Player]]&lt;&gt;0,A97+1,A97)</f>
        <v>67</v>
      </c>
      <c r="B98" s="59" t="str">
        <f>MIA!A$7</f>
        <v>De'Von Achane</v>
      </c>
      <c r="C98" s="59" t="s">
        <v>105</v>
      </c>
      <c r="D98" s="59">
        <f>MIA!C$8</f>
        <v>6</v>
      </c>
      <c r="E98" s="60">
        <f>MIA!I$7</f>
        <v>144.86181248</v>
      </c>
      <c r="F98" s="60">
        <f>MIA!J$7</f>
        <v>730.10353489919999</v>
      </c>
      <c r="G98" s="60">
        <f>MIA!K$7</f>
        <v>7.2430906240000006</v>
      </c>
      <c r="H98" s="60">
        <f>MIA!L$7</f>
        <v>73.29125999999998</v>
      </c>
      <c r="I98" s="60">
        <f>MIA!M$7</f>
        <v>53.502619799999977</v>
      </c>
      <c r="J98" s="60">
        <f>MIA!N$7</f>
        <v>422.6217051571997</v>
      </c>
      <c r="K98" s="60">
        <f>MIA!O$7</f>
        <v>3.5846755265999986</v>
      </c>
      <c r="L98" s="60">
        <f t="shared" si="45"/>
        <v>180.23912090923997</v>
      </c>
      <c r="M98" s="60">
        <f t="shared" si="46"/>
        <v>206.99043080923997</v>
      </c>
      <c r="N98" s="60">
        <f t="shared" si="47"/>
        <v>233.74174070923993</v>
      </c>
      <c r="O98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206.99043080924</v>
      </c>
      <c r="P98" s="96">
        <v>0</v>
      </c>
    </row>
    <row r="99" spans="1:16" x14ac:dyDescent="0.25">
      <c r="A99" s="59">
        <f>IF(TableRBMaster[[#This Row],[Player]]&lt;&gt;0,A98+1,A98)</f>
        <v>68</v>
      </c>
      <c r="B99" s="59" t="str">
        <f>MIA!A$8</f>
        <v>Jaylen Wright</v>
      </c>
      <c r="C99" s="59" t="s">
        <v>105</v>
      </c>
      <c r="D99" s="59">
        <f>MIA!C$7</f>
        <v>6</v>
      </c>
      <c r="E99" s="60">
        <f>MIA!I$8</f>
        <v>51.796520160000007</v>
      </c>
      <c r="F99" s="60">
        <f>MIA!J$8</f>
        <v>242.49294226543481</v>
      </c>
      <c r="G99" s="60">
        <f>MIA!K$8</f>
        <v>2.3857305637087038</v>
      </c>
      <c r="H99" s="60">
        <f>MIA!L$8</f>
        <v>29.316503999999991</v>
      </c>
      <c r="I99" s="60">
        <f>MIA!M$8</f>
        <v>21.459680928000001</v>
      </c>
      <c r="J99" s="60">
        <f>MIA!N$8</f>
        <v>180.37396931468604</v>
      </c>
      <c r="K99" s="60">
        <f>MIA!O$8</f>
        <v>1.1729359641013992</v>
      </c>
      <c r="L99" s="60">
        <f t="shared" si="45"/>
        <v>63.638690324872698</v>
      </c>
      <c r="M99" s="60">
        <f t="shared" si="46"/>
        <v>74.368530788872704</v>
      </c>
      <c r="N99" s="60">
        <f t="shared" si="47"/>
        <v>85.098371252872695</v>
      </c>
      <c r="O99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74.368530788872704</v>
      </c>
      <c r="P99" s="96">
        <v>0</v>
      </c>
    </row>
    <row r="100" spans="1:16" x14ac:dyDescent="0.25">
      <c r="A100" s="59">
        <f>IF(TableRBMaster[[#This Row],[Player]]&lt;&gt;0,A99+1,A99)</f>
        <v>69</v>
      </c>
      <c r="B100" s="59" t="str">
        <f>MIA!A$9</f>
        <v>Jeff Wilson</v>
      </c>
      <c r="C100" s="59" t="s">
        <v>105</v>
      </c>
      <c r="D100" s="59">
        <f>MIA!C$9</f>
        <v>6</v>
      </c>
      <c r="E100" s="60">
        <f>MIA!I$9</f>
        <v>7.1588686400000014</v>
      </c>
      <c r="F100" s="60">
        <f>MIA!J$9</f>
        <v>34.628368944029127</v>
      </c>
      <c r="G100" s="60">
        <f>MIA!K$9</f>
        <v>0.28635474560000007</v>
      </c>
      <c r="H100" s="60">
        <f>MIA!L$9</f>
        <v>5.8633007999999984</v>
      </c>
      <c r="I100" s="60">
        <f>MIA!M$9</f>
        <v>4.1043105599999983</v>
      </c>
      <c r="J100" s="60">
        <f>MIA!N$9</f>
        <v>28.69220135611388</v>
      </c>
      <c r="K100" s="60">
        <f>MIA!O$9</f>
        <v>0.19382375883416578</v>
      </c>
      <c r="L100" s="60">
        <f t="shared" si="45"/>
        <v>9.2131280566192952</v>
      </c>
      <c r="M100" s="60">
        <f t="shared" si="46"/>
        <v>11.265283336619294</v>
      </c>
      <c r="N100" s="60">
        <f t="shared" si="47"/>
        <v>13.317438616619294</v>
      </c>
      <c r="O100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11.265283336619294</v>
      </c>
      <c r="P100" s="96">
        <v>0</v>
      </c>
    </row>
    <row r="101" spans="1:16" x14ac:dyDescent="0.25">
      <c r="A101" s="59">
        <f>IF(TableRBMaster[[#This Row],[Player]]&lt;&gt;0,A100+1,A100)</f>
        <v>69</v>
      </c>
      <c r="B101" s="59">
        <f>MIA!A$10</f>
        <v>0</v>
      </c>
      <c r="C101" s="59" t="s">
        <v>105</v>
      </c>
      <c r="D101" s="59">
        <f>MIA!C$10</f>
        <v>6</v>
      </c>
      <c r="E101" s="60">
        <f>MIA!I$10</f>
        <v>0</v>
      </c>
      <c r="F101" s="60">
        <f>MIA!J$10</f>
        <v>0</v>
      </c>
      <c r="G101" s="60">
        <f>MIA!K$10</f>
        <v>0</v>
      </c>
      <c r="H101" s="60">
        <f>MIA!L$10</f>
        <v>0</v>
      </c>
      <c r="I101" s="60">
        <f>MIA!M$10</f>
        <v>0</v>
      </c>
      <c r="J101" s="60">
        <f>MIA!N$10</f>
        <v>0</v>
      </c>
      <c r="K101" s="60">
        <f>MIA!O$10</f>
        <v>0</v>
      </c>
      <c r="L101" s="60">
        <f t="shared" si="45"/>
        <v>0</v>
      </c>
      <c r="M101" s="60">
        <f t="shared" si="46"/>
        <v>0</v>
      </c>
      <c r="N101" s="60">
        <f t="shared" si="47"/>
        <v>0</v>
      </c>
      <c r="O101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01" s="96">
        <v>0</v>
      </c>
    </row>
    <row r="102" spans="1:16" x14ac:dyDescent="0.25">
      <c r="A102" s="59">
        <f>IF(TableRBMaster[[#This Row],[Player]]&lt;&gt;0,A101+1,A101)</f>
        <v>70</v>
      </c>
      <c r="B102" s="59" t="str">
        <f>MIN!A$6</f>
        <v>Aaron Jones</v>
      </c>
      <c r="C102" s="59" t="s">
        <v>106</v>
      </c>
      <c r="D102" s="59">
        <f>MIN!C$6</f>
        <v>6</v>
      </c>
      <c r="E102" s="60">
        <f>MIN!I$6</f>
        <v>215.247984</v>
      </c>
      <c r="F102" s="60">
        <f>MIN!J$6</f>
        <v>973.65533697333387</v>
      </c>
      <c r="G102" s="60">
        <f>MIN!K$6</f>
        <v>7.3184314560000008</v>
      </c>
      <c r="H102" s="60">
        <f>MIN!L$6</f>
        <v>62.832503999999993</v>
      </c>
      <c r="I102" s="60">
        <f>MIN!M$6</f>
        <v>46.056225431999991</v>
      </c>
      <c r="J102" s="60">
        <f>MIN!N$6</f>
        <v>352.15321318809708</v>
      </c>
      <c r="K102" s="60">
        <f>MIN!O$6</f>
        <v>1.981899982003265</v>
      </c>
      <c r="L102" s="60">
        <f t="shared" si="45"/>
        <v>188.3828436441627</v>
      </c>
      <c r="M102" s="60">
        <f t="shared" si="46"/>
        <v>211.41095636016269</v>
      </c>
      <c r="N102" s="60">
        <f t="shared" si="47"/>
        <v>234.4390690761627</v>
      </c>
      <c r="O102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211.41095636016271</v>
      </c>
      <c r="P102" s="96">
        <v>52.319014609527478</v>
      </c>
    </row>
    <row r="103" spans="1:16" x14ac:dyDescent="0.25">
      <c r="A103" s="59">
        <f>IF(TableRBMaster[[#This Row],[Player]]&lt;&gt;0,A102+1,A102)</f>
        <v>71</v>
      </c>
      <c r="B103" s="59" t="str">
        <f>MIN!A$7</f>
        <v>Ty Chandler</v>
      </c>
      <c r="C103" s="59" t="s">
        <v>106</v>
      </c>
      <c r="D103" s="59">
        <f>MIN!C$8</f>
        <v>6</v>
      </c>
      <c r="E103" s="60">
        <f>MIN!I$7</f>
        <v>145.57233600000001</v>
      </c>
      <c r="F103" s="60">
        <f>MIN!J$7</f>
        <v>627.07265185673066</v>
      </c>
      <c r="G103" s="60">
        <f>MIN!K$7</f>
        <v>4.6292002848000005</v>
      </c>
      <c r="H103" s="60">
        <f>MIN!L$7</f>
        <v>26.750471999999995</v>
      </c>
      <c r="I103" s="60">
        <f>MIN!M$7</f>
        <v>19.955852111999999</v>
      </c>
      <c r="J103" s="60">
        <f>MIN!N$7</f>
        <v>146.23790344906081</v>
      </c>
      <c r="K103" s="60">
        <f>MIN!O$7</f>
        <v>0.61863141547199996</v>
      </c>
      <c r="L103" s="60">
        <f t="shared" si="45"/>
        <v>108.81804573221116</v>
      </c>
      <c r="M103" s="60">
        <f t="shared" si="46"/>
        <v>118.79597178821116</v>
      </c>
      <c r="N103" s="60">
        <f t="shared" si="47"/>
        <v>128.77389784421115</v>
      </c>
      <c r="O103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118.79597178821116</v>
      </c>
      <c r="P103" s="96">
        <v>0</v>
      </c>
    </row>
    <row r="104" spans="1:16" x14ac:dyDescent="0.25">
      <c r="A104" s="59">
        <f>IF(TableRBMaster[[#This Row],[Player]]&lt;&gt;0,A103+1,A103)</f>
        <v>71</v>
      </c>
      <c r="B104" s="59">
        <f>MIN!A$8</f>
        <v>0</v>
      </c>
      <c r="C104" s="59" t="s">
        <v>106</v>
      </c>
      <c r="D104" s="59">
        <f>MIN!C$7</f>
        <v>6</v>
      </c>
      <c r="E104" s="60">
        <f>MIN!I$8</f>
        <v>0</v>
      </c>
      <c r="F104" s="60">
        <f>MIN!J$8</f>
        <v>0</v>
      </c>
      <c r="G104" s="60">
        <f>MIN!K$8</f>
        <v>0</v>
      </c>
      <c r="H104" s="60">
        <f>MIN!L$8</f>
        <v>0</v>
      </c>
      <c r="I104" s="60">
        <f>MIN!M$8</f>
        <v>0</v>
      </c>
      <c r="J104" s="60">
        <f>MIN!N$8</f>
        <v>0</v>
      </c>
      <c r="K104" s="60">
        <f>MIN!O$8</f>
        <v>0</v>
      </c>
      <c r="L104" s="60">
        <f t="shared" si="45"/>
        <v>0</v>
      </c>
      <c r="M104" s="60">
        <f t="shared" si="46"/>
        <v>0</v>
      </c>
      <c r="N104" s="60">
        <f t="shared" si="47"/>
        <v>0</v>
      </c>
      <c r="O104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04" s="96">
        <v>0</v>
      </c>
    </row>
    <row r="105" spans="1:16" x14ac:dyDescent="0.25">
      <c r="A105" s="59">
        <f>IF(TableRBMaster[[#This Row],[Player]]&lt;&gt;0,A104+1,A104)</f>
        <v>71</v>
      </c>
      <c r="B105" s="59">
        <f>MIN!A$9</f>
        <v>0</v>
      </c>
      <c r="C105" s="59" t="s">
        <v>106</v>
      </c>
      <c r="D105" s="59">
        <f>MIN!C$9</f>
        <v>6</v>
      </c>
      <c r="E105" s="60">
        <f>MIN!I$9</f>
        <v>0</v>
      </c>
      <c r="F105" s="60">
        <f>MIN!J$9</f>
        <v>0</v>
      </c>
      <c r="G105" s="60">
        <f>MIN!K$9</f>
        <v>0</v>
      </c>
      <c r="H105" s="60">
        <f>MIN!L$9</f>
        <v>0</v>
      </c>
      <c r="I105" s="60">
        <f>MIN!M$9</f>
        <v>0</v>
      </c>
      <c r="J105" s="60">
        <f>MIN!N$9</f>
        <v>0</v>
      </c>
      <c r="K105" s="60">
        <f>MIN!O$9</f>
        <v>0</v>
      </c>
      <c r="L105" s="60">
        <f t="shared" si="45"/>
        <v>0</v>
      </c>
      <c r="M105" s="60">
        <f t="shared" si="46"/>
        <v>0</v>
      </c>
      <c r="N105" s="60">
        <f t="shared" si="47"/>
        <v>0</v>
      </c>
      <c r="O105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05" s="96">
        <v>0</v>
      </c>
    </row>
    <row r="106" spans="1:16" x14ac:dyDescent="0.25">
      <c r="A106" s="59">
        <f>IF(TableRBMaster[[#This Row],[Player]]&lt;&gt;0,A105+1,A105)</f>
        <v>71</v>
      </c>
      <c r="B106" s="59">
        <f>MIN!A$10</f>
        <v>0</v>
      </c>
      <c r="C106" s="59" t="s">
        <v>106</v>
      </c>
      <c r="D106" s="59">
        <f>MIN!C$10</f>
        <v>6</v>
      </c>
      <c r="E106" s="60">
        <f>MIN!I$10</f>
        <v>0</v>
      </c>
      <c r="F106" s="60">
        <f>MIN!J$10</f>
        <v>0</v>
      </c>
      <c r="G106" s="60">
        <f>MIN!K$10</f>
        <v>0</v>
      </c>
      <c r="H106" s="60">
        <f>MIN!L$10</f>
        <v>0</v>
      </c>
      <c r="I106" s="60">
        <f>MIN!M$10</f>
        <v>0</v>
      </c>
      <c r="J106" s="60">
        <f>MIN!N$10</f>
        <v>0</v>
      </c>
      <c r="K106" s="60">
        <f>MIN!O$10</f>
        <v>0</v>
      </c>
      <c r="L106" s="60">
        <f t="shared" si="45"/>
        <v>0</v>
      </c>
      <c r="M106" s="60">
        <f t="shared" si="46"/>
        <v>0</v>
      </c>
      <c r="N106" s="60">
        <f t="shared" si="47"/>
        <v>0</v>
      </c>
      <c r="O106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06" s="96">
        <v>0</v>
      </c>
    </row>
    <row r="107" spans="1:16" x14ac:dyDescent="0.25">
      <c r="A107" s="59">
        <f>IF(TableRBMaster[[#This Row],[Player]]&lt;&gt;0,A106+1,A106)</f>
        <v>72</v>
      </c>
      <c r="B107" s="59" t="str">
        <f>NE!A$6</f>
        <v>Rhamondre Stevenson</v>
      </c>
      <c r="C107" s="59" t="s">
        <v>107</v>
      </c>
      <c r="D107" s="59">
        <f>NE!C$6</f>
        <v>14</v>
      </c>
      <c r="E107" s="60">
        <f>NE!I$6</f>
        <v>229.94415416000004</v>
      </c>
      <c r="F107" s="60">
        <f>NE!J$6</f>
        <v>996.63663478500939</v>
      </c>
      <c r="G107" s="60">
        <f>NE!K$6</f>
        <v>7.1282687789600008</v>
      </c>
      <c r="H107" s="60">
        <f>NE!L$6</f>
        <v>34.012977599999999</v>
      </c>
      <c r="I107" s="60">
        <f>NE!M$6</f>
        <v>24.829473648</v>
      </c>
      <c r="J107" s="60">
        <f>NE!N$6</f>
        <v>172.52057180513003</v>
      </c>
      <c r="K107" s="60">
        <f>NE!O$6</f>
        <v>0.69666165989364393</v>
      </c>
      <c r="L107" s="60">
        <f t="shared" si="45"/>
        <v>163.86530329213579</v>
      </c>
      <c r="M107" s="60">
        <f t="shared" si="46"/>
        <v>176.28004011613578</v>
      </c>
      <c r="N107" s="60">
        <f t="shared" si="47"/>
        <v>188.6947769401358</v>
      </c>
      <c r="O107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176.28004011613581</v>
      </c>
      <c r="P107" s="96">
        <v>16.241836919688957</v>
      </c>
    </row>
    <row r="108" spans="1:16" x14ac:dyDescent="0.25">
      <c r="A108" s="59">
        <f>IF(TableRBMaster[[#This Row],[Player]]&lt;&gt;0,A107+1,A107)</f>
        <v>73</v>
      </c>
      <c r="B108" s="59" t="str">
        <f>NE!A$7</f>
        <v>Antonio Gibson</v>
      </c>
      <c r="C108" s="59" t="s">
        <v>107</v>
      </c>
      <c r="D108" s="59">
        <f>NE!C$8</f>
        <v>14</v>
      </c>
      <c r="E108" s="60">
        <f>NE!I$7</f>
        <v>119.10150896000003</v>
      </c>
      <c r="F108" s="60">
        <f>NE!J$7</f>
        <v>500.22633763200014</v>
      </c>
      <c r="G108" s="60">
        <f>NE!K$7</f>
        <v>3.2157407419200008</v>
      </c>
      <c r="H108" s="60">
        <f>NE!L$7</f>
        <v>52.153232319999994</v>
      </c>
      <c r="I108" s="60">
        <f>NE!M$7</f>
        <v>39.219230704639997</v>
      </c>
      <c r="J108" s="60">
        <f>NE!N$7</f>
        <v>297.9215333019979</v>
      </c>
      <c r="K108" s="60">
        <f>NE!O$7</f>
        <v>1.3334538439577601</v>
      </c>
      <c r="L108" s="60">
        <f t="shared" si="45"/>
        <v>107.10995460866636</v>
      </c>
      <c r="M108" s="60">
        <f t="shared" si="46"/>
        <v>126.71956996098635</v>
      </c>
      <c r="N108" s="60">
        <f t="shared" si="47"/>
        <v>146.32918531330637</v>
      </c>
      <c r="O108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126.71956996098638</v>
      </c>
      <c r="P108" s="96">
        <v>0.42055879671300284</v>
      </c>
    </row>
    <row r="109" spans="1:16" x14ac:dyDescent="0.25">
      <c r="A109" s="59">
        <f>IF(TableRBMaster[[#This Row],[Player]]&lt;&gt;0,A108+1,A108)</f>
        <v>74</v>
      </c>
      <c r="B109" s="59" t="str">
        <f>NE!A$8</f>
        <v>JaMycal Hasty</v>
      </c>
      <c r="C109" s="59" t="s">
        <v>107</v>
      </c>
      <c r="D109" s="59">
        <f>NE!C$7</f>
        <v>14</v>
      </c>
      <c r="E109" s="60">
        <f>NE!I$8</f>
        <v>24.776591280000002</v>
      </c>
      <c r="F109" s="60">
        <f>NE!J$8</f>
        <v>102.29767373781746</v>
      </c>
      <c r="G109" s="60">
        <f>NE!K$8</f>
        <v>0.64419137327999998</v>
      </c>
      <c r="H109" s="60">
        <f>NE!L$8</f>
        <v>5.6688295999999996</v>
      </c>
      <c r="I109" s="60">
        <f>NE!M$8</f>
        <v>3.8377976391999993</v>
      </c>
      <c r="J109" s="60">
        <f>NE!N$8</f>
        <v>30.333603042931895</v>
      </c>
      <c r="K109" s="60">
        <f>NE!O$8</f>
        <v>0.11513392917599997</v>
      </c>
      <c r="L109" s="60">
        <f t="shared" si="45"/>
        <v>17.819079492810932</v>
      </c>
      <c r="M109" s="60">
        <f t="shared" si="46"/>
        <v>19.737978312410931</v>
      </c>
      <c r="N109" s="60">
        <f t="shared" si="47"/>
        <v>21.65687713201093</v>
      </c>
      <c r="O109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19.737978312410934</v>
      </c>
      <c r="P109" s="96">
        <v>0</v>
      </c>
    </row>
    <row r="110" spans="1:16" x14ac:dyDescent="0.25">
      <c r="A110" s="59">
        <f>IF(TableRBMaster[[#This Row],[Player]]&lt;&gt;0,A109+1,A109)</f>
        <v>74</v>
      </c>
      <c r="B110" s="59">
        <f>NE!A$9</f>
        <v>0</v>
      </c>
      <c r="C110" s="59" t="s">
        <v>107</v>
      </c>
      <c r="D110" s="59">
        <f>NE!C$9</f>
        <v>14</v>
      </c>
      <c r="E110" s="60">
        <f>NE!I$9</f>
        <v>0</v>
      </c>
      <c r="F110" s="60">
        <f>NE!J$9</f>
        <v>0</v>
      </c>
      <c r="G110" s="60">
        <f>NE!K$9</f>
        <v>0</v>
      </c>
      <c r="H110" s="60">
        <f>NE!L$9</f>
        <v>0</v>
      </c>
      <c r="I110" s="60">
        <f>NE!M$9</f>
        <v>0</v>
      </c>
      <c r="J110" s="60">
        <f>NE!N$9</f>
        <v>0</v>
      </c>
      <c r="K110" s="60">
        <f>NE!O$9</f>
        <v>0</v>
      </c>
      <c r="L110" s="60">
        <f t="shared" si="45"/>
        <v>0</v>
      </c>
      <c r="M110" s="60">
        <f t="shared" si="46"/>
        <v>0</v>
      </c>
      <c r="N110" s="60">
        <f t="shared" si="47"/>
        <v>0</v>
      </c>
      <c r="O110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10" s="96">
        <v>0</v>
      </c>
    </row>
    <row r="111" spans="1:16" x14ac:dyDescent="0.25">
      <c r="A111" s="59">
        <f>IF(TableRBMaster[[#This Row],[Player]]&lt;&gt;0,A110+1,A110)</f>
        <v>74</v>
      </c>
      <c r="B111" s="59">
        <f>NE!A$10</f>
        <v>0</v>
      </c>
      <c r="C111" s="59" t="s">
        <v>107</v>
      </c>
      <c r="D111" s="59">
        <f>NE!C$10</f>
        <v>14</v>
      </c>
      <c r="E111" s="60">
        <f>NE!I$10</f>
        <v>0</v>
      </c>
      <c r="F111" s="60">
        <f>NE!J$10</f>
        <v>0</v>
      </c>
      <c r="G111" s="60">
        <f>NE!K$10</f>
        <v>0</v>
      </c>
      <c r="H111" s="60">
        <f>NE!L$10</f>
        <v>0</v>
      </c>
      <c r="I111" s="60">
        <f>NE!M$10</f>
        <v>0</v>
      </c>
      <c r="J111" s="60">
        <f>NE!N$10</f>
        <v>0</v>
      </c>
      <c r="K111" s="60">
        <f>NE!O$10</f>
        <v>0</v>
      </c>
      <c r="L111" s="60">
        <f t="shared" si="45"/>
        <v>0</v>
      </c>
      <c r="M111" s="60">
        <f t="shared" si="46"/>
        <v>0</v>
      </c>
      <c r="N111" s="60">
        <f t="shared" si="47"/>
        <v>0</v>
      </c>
      <c r="O111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11" s="96">
        <v>0</v>
      </c>
    </row>
    <row r="112" spans="1:16" x14ac:dyDescent="0.25">
      <c r="A112" s="59">
        <f>IF(TableRBMaster[[#This Row],[Player]]&lt;&gt;0,A111+1,A111)</f>
        <v>75</v>
      </c>
      <c r="B112" s="59" t="str">
        <f>NO!A$6</f>
        <v>Alvin Kamara</v>
      </c>
      <c r="C112" s="59" t="s">
        <v>108</v>
      </c>
      <c r="D112" s="59">
        <f>NO!C$6</f>
        <v>12</v>
      </c>
      <c r="E112" s="60">
        <f>NO!I$6</f>
        <v>197.46161512000003</v>
      </c>
      <c r="F112" s="60">
        <f>NO!J$6</f>
        <v>831.3133996552001</v>
      </c>
      <c r="G112" s="60">
        <f>NO!K$6</f>
        <v>6.1213100687200006</v>
      </c>
      <c r="H112" s="60">
        <f>NO!L$6</f>
        <v>74.548614817599983</v>
      </c>
      <c r="I112" s="60">
        <f>NO!M$6</f>
        <v>61.129864150431985</v>
      </c>
      <c r="J112" s="60">
        <f>NO!N$6</f>
        <v>441.35761916611892</v>
      </c>
      <c r="K112" s="60">
        <f>NO!O$6</f>
        <v>2.3229348377164154</v>
      </c>
      <c r="L112" s="60">
        <f t="shared" si="45"/>
        <v>177.93257132075041</v>
      </c>
      <c r="M112" s="60">
        <f t="shared" si="46"/>
        <v>208.49750339596642</v>
      </c>
      <c r="N112" s="60">
        <f t="shared" si="47"/>
        <v>239.0624354711824</v>
      </c>
      <c r="O112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208.49750339596642</v>
      </c>
      <c r="P112" s="96">
        <v>46.235196286398271</v>
      </c>
    </row>
    <row r="113" spans="1:16" x14ac:dyDescent="0.25">
      <c r="A113" s="59">
        <f>IF(TableRBMaster[[#This Row],[Player]]&lt;&gt;0,A112+1,A112)</f>
        <v>76</v>
      </c>
      <c r="B113" s="59" t="str">
        <f>NO!A$7</f>
        <v>Kendre Miller</v>
      </c>
      <c r="C113" s="59" t="s">
        <v>108</v>
      </c>
      <c r="D113" s="59">
        <f>NO!C$8</f>
        <v>12</v>
      </c>
      <c r="E113" s="60">
        <f>NO!I$7</f>
        <v>36.941593920000003</v>
      </c>
      <c r="F113" s="60">
        <f>NO!J$7</f>
        <v>149.24403943680002</v>
      </c>
      <c r="G113" s="60">
        <f>NO!K$7</f>
        <v>1.0713062236800002</v>
      </c>
      <c r="H113" s="60">
        <f>NO!L$7</f>
        <v>27.816647319999998</v>
      </c>
      <c r="I113" s="60">
        <f>NO!M$7</f>
        <v>21.001568726599999</v>
      </c>
      <c r="J113" s="60">
        <f>NO!N$7</f>
        <v>142.81066734087997</v>
      </c>
      <c r="K113" s="60">
        <f>NO!O$7</f>
        <v>0.71405333670439997</v>
      </c>
      <c r="L113" s="60">
        <f t="shared" si="45"/>
        <v>39.917628040074405</v>
      </c>
      <c r="M113" s="60">
        <f t="shared" si="46"/>
        <v>50.418412403374404</v>
      </c>
      <c r="N113" s="60">
        <f t="shared" si="47"/>
        <v>60.919196766674403</v>
      </c>
      <c r="O113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50.418412403374404</v>
      </c>
      <c r="P113" s="96">
        <v>5.4452613993322192</v>
      </c>
    </row>
    <row r="114" spans="1:16" x14ac:dyDescent="0.25">
      <c r="A114" s="59">
        <f>IF(TableRBMaster[[#This Row],[Player]]&lt;&gt;0,A113+1,A113)</f>
        <v>77</v>
      </c>
      <c r="B114" s="59" t="str">
        <f>NO!A$8</f>
        <v>Jamaal Williams</v>
      </c>
      <c r="C114" s="59" t="s">
        <v>108</v>
      </c>
      <c r="D114" s="59">
        <f>NO!C$7</f>
        <v>12</v>
      </c>
      <c r="E114" s="60">
        <f>NO!I$8</f>
        <v>125.3375508</v>
      </c>
      <c r="F114" s="60">
        <f>NO!J$8</f>
        <v>501.35020320000001</v>
      </c>
      <c r="G114" s="60">
        <f>NO!K$8</f>
        <v>3.8854640748000002</v>
      </c>
      <c r="H114" s="60">
        <f>NO!L$8</f>
        <v>8.3449941959999983</v>
      </c>
      <c r="I114" s="60">
        <f>NO!M$8</f>
        <v>6.6175803974279992</v>
      </c>
      <c r="J114" s="60">
        <f>NO!N$8</f>
        <v>39.308427560722315</v>
      </c>
      <c r="K114" s="60">
        <f>NO!O$8</f>
        <v>0.19852741192283996</v>
      </c>
      <c r="L114" s="60">
        <f t="shared" si="45"/>
        <v>78.569811996409285</v>
      </c>
      <c r="M114" s="60">
        <f t="shared" si="46"/>
        <v>81.878602195123278</v>
      </c>
      <c r="N114" s="60">
        <f t="shared" si="47"/>
        <v>85.187392393837285</v>
      </c>
      <c r="O114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81.878602195123278</v>
      </c>
      <c r="P114" s="96">
        <v>0</v>
      </c>
    </row>
    <row r="115" spans="1:16" x14ac:dyDescent="0.25">
      <c r="A115" s="59">
        <f>IF(TableRBMaster[[#This Row],[Player]]&lt;&gt;0,A114+1,A114)</f>
        <v>78</v>
      </c>
      <c r="B115" s="59" t="str">
        <f>NO!A$9</f>
        <v>Jordan Mims</v>
      </c>
      <c r="C115" s="59" t="s">
        <v>108</v>
      </c>
      <c r="D115" s="59">
        <f>NO!C$9</f>
        <v>12</v>
      </c>
      <c r="E115" s="60">
        <f>NO!I$9</f>
        <v>5.2773705600000005</v>
      </c>
      <c r="F115" s="60">
        <f>NO!J$9</f>
        <v>21.162255945600002</v>
      </c>
      <c r="G115" s="60">
        <f>NO!K$9</f>
        <v>0.14776637568000001</v>
      </c>
      <c r="H115" s="60">
        <f>NO!L$9</f>
        <v>6.1196624103999993</v>
      </c>
      <c r="I115" s="60">
        <f>NO!M$9</f>
        <v>4.5652681581583998</v>
      </c>
      <c r="J115" s="60">
        <f>NO!N$9</f>
        <v>28.259009899000496</v>
      </c>
      <c r="K115" s="60">
        <f>NO!O$9</f>
        <v>0.13695804474475198</v>
      </c>
      <c r="L115" s="60">
        <f t="shared" si="45"/>
        <v>6.6504731070085619</v>
      </c>
      <c r="M115" s="60">
        <f t="shared" si="46"/>
        <v>8.9331071860877618</v>
      </c>
      <c r="N115" s="60">
        <f t="shared" si="47"/>
        <v>11.215741265166962</v>
      </c>
      <c r="O115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8.9331071860877618</v>
      </c>
      <c r="P115" s="96">
        <v>0</v>
      </c>
    </row>
    <row r="116" spans="1:16" x14ac:dyDescent="0.25">
      <c r="A116" s="59">
        <f>IF(TableRBMaster[[#This Row],[Player]]&lt;&gt;0,A115+1,A115)</f>
        <v>78</v>
      </c>
      <c r="B116" s="59">
        <f>NO!A$10</f>
        <v>0</v>
      </c>
      <c r="C116" s="59" t="s">
        <v>108</v>
      </c>
      <c r="D116" s="59">
        <f>NO!C$10</f>
        <v>12</v>
      </c>
      <c r="E116" s="60">
        <f>NO!I$10</f>
        <v>0</v>
      </c>
      <c r="F116" s="60">
        <f>NO!J$10</f>
        <v>0</v>
      </c>
      <c r="G116" s="60">
        <f>NO!K$10</f>
        <v>0</v>
      </c>
      <c r="H116" s="60">
        <f>NO!L$10</f>
        <v>0</v>
      </c>
      <c r="I116" s="60">
        <f>NO!M$10</f>
        <v>0</v>
      </c>
      <c r="J116" s="60">
        <f>NO!N$10</f>
        <v>0</v>
      </c>
      <c r="K116" s="60">
        <f>NO!O$10</f>
        <v>0</v>
      </c>
      <c r="L116" s="60">
        <f t="shared" si="45"/>
        <v>0</v>
      </c>
      <c r="M116" s="60">
        <f t="shared" si="46"/>
        <v>0</v>
      </c>
      <c r="N116" s="60">
        <f t="shared" si="47"/>
        <v>0</v>
      </c>
      <c r="O116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16" s="96">
        <v>0</v>
      </c>
    </row>
    <row r="117" spans="1:16" x14ac:dyDescent="0.25">
      <c r="A117" s="59">
        <f>IF(TableRBMaster[[#This Row],[Player]]&lt;&gt;0,A116+1,A116)</f>
        <v>79</v>
      </c>
      <c r="B117" s="59" t="str">
        <f>NYG!A$6</f>
        <v>Devin Singletary</v>
      </c>
      <c r="C117" s="59" t="s">
        <v>109</v>
      </c>
      <c r="D117" s="59">
        <f>NYG!C$6</f>
        <v>11</v>
      </c>
      <c r="E117" s="60">
        <f>NYG!I$6</f>
        <v>235.49924496000006</v>
      </c>
      <c r="F117" s="60">
        <f>NYG!J$6</f>
        <v>992.98233536136365</v>
      </c>
      <c r="G117" s="60">
        <f>NYG!K$6</f>
        <v>6.5939788588800017</v>
      </c>
      <c r="H117" s="60">
        <f>NYG!L$6</f>
        <v>44.725537919999987</v>
      </c>
      <c r="I117" s="60">
        <f>NYG!M$6</f>
        <v>32.739093757439989</v>
      </c>
      <c r="J117" s="60">
        <f>NYG!N$6</f>
        <v>215.11835732454028</v>
      </c>
      <c r="K117" s="60">
        <f>NYG!O$6</f>
        <v>0.83764048718697603</v>
      </c>
      <c r="L117" s="60">
        <f t="shared" si="45"/>
        <v>165.39978534499224</v>
      </c>
      <c r="M117" s="60">
        <f t="shared" si="46"/>
        <v>181.76933222371224</v>
      </c>
      <c r="N117" s="60">
        <f t="shared" si="47"/>
        <v>198.13887910243221</v>
      </c>
      <c r="O117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181.76933222371224</v>
      </c>
      <c r="P117" s="96">
        <v>43.954818451247363</v>
      </c>
    </row>
    <row r="118" spans="1:16" x14ac:dyDescent="0.25">
      <c r="A118" s="59">
        <f>IF(TableRBMaster[[#This Row],[Player]]&lt;&gt;0,A117+1,A117)</f>
        <v>80</v>
      </c>
      <c r="B118" s="59" t="str">
        <f>NYG!A$7</f>
        <v>Eric Gray</v>
      </c>
      <c r="C118" s="59" t="s">
        <v>109</v>
      </c>
      <c r="D118" s="59">
        <f>NYG!C$8</f>
        <v>11</v>
      </c>
      <c r="E118" s="60">
        <f>NYG!I$7</f>
        <v>64.027727679999998</v>
      </c>
      <c r="F118" s="60">
        <f>NYG!J$7</f>
        <v>267.63590170239996</v>
      </c>
      <c r="G118" s="60">
        <f>NYG!K$7</f>
        <v>2.1129150134399999</v>
      </c>
      <c r="H118" s="60">
        <f>NYG!L$7</f>
        <v>16.477829759999995</v>
      </c>
      <c r="I118" s="60">
        <f>NYG!M$7</f>
        <v>11.864037427199996</v>
      </c>
      <c r="J118" s="60">
        <f>NYG!N$7</f>
        <v>83.443313080964188</v>
      </c>
      <c r="K118" s="60">
        <f>NYG!O$7</f>
        <v>0.39362498111725314</v>
      </c>
      <c r="L118" s="60">
        <f t="shared" si="45"/>
        <v>50.147161445679927</v>
      </c>
      <c r="M118" s="60">
        <f t="shared" si="46"/>
        <v>56.079180159279929</v>
      </c>
      <c r="N118" s="60">
        <f t="shared" si="47"/>
        <v>62.011198872879923</v>
      </c>
      <c r="O118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56.079180159279936</v>
      </c>
      <c r="P118" s="96">
        <v>0</v>
      </c>
    </row>
    <row r="119" spans="1:16" x14ac:dyDescent="0.25">
      <c r="A119" s="59">
        <f>IF(TableRBMaster[[#This Row],[Player]]&lt;&gt;0,A118+1,A118)</f>
        <v>81</v>
      </c>
      <c r="B119" s="59" t="str">
        <f>NYG!A$8</f>
        <v>Tyrone Tracy</v>
      </c>
      <c r="C119" s="59" t="s">
        <v>109</v>
      </c>
      <c r="D119" s="59">
        <f>NYG!C$7</f>
        <v>11</v>
      </c>
      <c r="E119" s="60">
        <f>NYG!I$8</f>
        <v>55.695352160000006</v>
      </c>
      <c r="F119" s="60">
        <f>NYG!J$8</f>
        <v>237.8191537232</v>
      </c>
      <c r="G119" s="60">
        <f>NYG!K$8</f>
        <v>1.7265559169600002</v>
      </c>
      <c r="H119" s="60">
        <f>NYG!L$8</f>
        <v>28.247708159999995</v>
      </c>
      <c r="I119" s="60">
        <f>NYG!M$8</f>
        <v>21.383515077119995</v>
      </c>
      <c r="J119" s="60">
        <f>NYG!N$8</f>
        <v>156.92584693461001</v>
      </c>
      <c r="K119" s="60">
        <f>NYG!O$8</f>
        <v>0.95629493294192869</v>
      </c>
      <c r="L119" s="60">
        <f t="shared" si="45"/>
        <v>55.571605165192572</v>
      </c>
      <c r="M119" s="60">
        <f t="shared" si="46"/>
        <v>66.263362703752563</v>
      </c>
      <c r="N119" s="60">
        <f t="shared" si="47"/>
        <v>76.955120242312574</v>
      </c>
      <c r="O119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66.263362703752577</v>
      </c>
      <c r="P119" s="96">
        <v>0</v>
      </c>
    </row>
    <row r="120" spans="1:16" x14ac:dyDescent="0.25">
      <c r="A120" s="59">
        <f>IF(TableRBMaster[[#This Row],[Player]]&lt;&gt;0,A119+1,A119)</f>
        <v>81</v>
      </c>
      <c r="B120" s="59">
        <f>NYG!A$9</f>
        <v>0</v>
      </c>
      <c r="C120" s="59" t="s">
        <v>109</v>
      </c>
      <c r="D120" s="59">
        <f>NYG!C$9</f>
        <v>11</v>
      </c>
      <c r="E120" s="60">
        <f>NYG!I$9</f>
        <v>0</v>
      </c>
      <c r="F120" s="60">
        <f>NYG!J$9</f>
        <v>0</v>
      </c>
      <c r="G120" s="60">
        <f>NYG!K$9</f>
        <v>0</v>
      </c>
      <c r="H120" s="60">
        <f>NYG!L$9</f>
        <v>0</v>
      </c>
      <c r="I120" s="60">
        <f>NYG!M$9</f>
        <v>0</v>
      </c>
      <c r="J120" s="60">
        <f>NYG!N$9</f>
        <v>0</v>
      </c>
      <c r="K120" s="60">
        <f>NYG!O$9</f>
        <v>0</v>
      </c>
      <c r="L120" s="60">
        <f t="shared" si="45"/>
        <v>0</v>
      </c>
      <c r="M120" s="60">
        <f t="shared" si="46"/>
        <v>0</v>
      </c>
      <c r="N120" s="60">
        <f t="shared" si="47"/>
        <v>0</v>
      </c>
      <c r="O120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20" s="96">
        <v>0</v>
      </c>
    </row>
    <row r="121" spans="1:16" x14ac:dyDescent="0.25">
      <c r="A121" s="59">
        <f>IF(TableRBMaster[[#This Row],[Player]]&lt;&gt;0,A120+1,A120)</f>
        <v>81</v>
      </c>
      <c r="B121" s="59">
        <f>NYG!A$10</f>
        <v>0</v>
      </c>
      <c r="C121" s="59" t="s">
        <v>109</v>
      </c>
      <c r="D121" s="59">
        <f>NYG!C$10</f>
        <v>11</v>
      </c>
      <c r="E121" s="60">
        <f>NYG!I$10</f>
        <v>0</v>
      </c>
      <c r="F121" s="60">
        <f>NYG!J$10</f>
        <v>0</v>
      </c>
      <c r="G121" s="60">
        <f>NYG!K$10</f>
        <v>0</v>
      </c>
      <c r="H121" s="60">
        <f>NYG!L$10</f>
        <v>0</v>
      </c>
      <c r="I121" s="60">
        <f>NYG!M$10</f>
        <v>0</v>
      </c>
      <c r="J121" s="60">
        <f>NYG!N$10</f>
        <v>0</v>
      </c>
      <c r="K121" s="60">
        <f>NYG!O$10</f>
        <v>0</v>
      </c>
      <c r="L121" s="60">
        <f t="shared" si="45"/>
        <v>0</v>
      </c>
      <c r="M121" s="60">
        <f t="shared" si="46"/>
        <v>0</v>
      </c>
      <c r="N121" s="60">
        <f t="shared" si="47"/>
        <v>0</v>
      </c>
      <c r="O121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21" s="96">
        <v>0</v>
      </c>
    </row>
    <row r="122" spans="1:16" x14ac:dyDescent="0.25">
      <c r="A122" s="59">
        <f>IF(TableRBMaster[[#This Row],[Player]]&lt;&gt;0,A121+1,A121)</f>
        <v>82</v>
      </c>
      <c r="B122" s="59" t="str">
        <f>NYJ!A$6</f>
        <v>Breece Hall</v>
      </c>
      <c r="C122" s="59" t="s">
        <v>110</v>
      </c>
      <c r="D122" s="59">
        <f>NYJ!C$6</f>
        <v>12</v>
      </c>
      <c r="E122" s="60">
        <f>NYJ!I$6</f>
        <v>241.62470360000006</v>
      </c>
      <c r="F122" s="60">
        <f>NYJ!J$6</f>
        <v>1081.152639879771</v>
      </c>
      <c r="G122" s="60">
        <f>NYJ!K$6</f>
        <v>9.1817387368000016</v>
      </c>
      <c r="H122" s="60">
        <f>NYJ!L$6</f>
        <v>72.878966159999976</v>
      </c>
      <c r="I122" s="60">
        <f>NYJ!M$6</f>
        <v>57.137109469439984</v>
      </c>
      <c r="J122" s="60">
        <f>NYJ!N$6</f>
        <v>453.72342684389395</v>
      </c>
      <c r="K122" s="60">
        <f>NYJ!O$6</f>
        <v>3.2576542327528428</v>
      </c>
      <c r="L122" s="60">
        <f t="shared" si="45"/>
        <v>228.12396448968354</v>
      </c>
      <c r="M122" s="60">
        <f t="shared" si="46"/>
        <v>256.69251922440355</v>
      </c>
      <c r="N122" s="60">
        <f t="shared" si="47"/>
        <v>285.26107395912351</v>
      </c>
      <c r="O122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256.69251922440355</v>
      </c>
      <c r="P122" s="96">
        <v>18.18702898521515</v>
      </c>
    </row>
    <row r="123" spans="1:16" x14ac:dyDescent="0.25">
      <c r="A123" s="59">
        <f>IF(TableRBMaster[[#This Row],[Player]]&lt;&gt;0,A122+1,A122)</f>
        <v>83</v>
      </c>
      <c r="B123" s="59" t="str">
        <f>NYJ!A$7</f>
        <v>Braelon Allen</v>
      </c>
      <c r="C123" s="59" t="s">
        <v>110</v>
      </c>
      <c r="D123" s="59">
        <f>NYJ!C$8</f>
        <v>12</v>
      </c>
      <c r="E123" s="60">
        <f>NYJ!I$7</f>
        <v>97.536577600000015</v>
      </c>
      <c r="F123" s="60">
        <f>NYJ!J$7</f>
        <v>416.60229871605276</v>
      </c>
      <c r="G123" s="60">
        <f>NYJ!K$7</f>
        <v>3.6088533712000004</v>
      </c>
      <c r="H123" s="60">
        <f>NYJ!L$7</f>
        <v>5.9251191999999984</v>
      </c>
      <c r="I123" s="60">
        <f>NYJ!M$7</f>
        <v>4.337187254399999</v>
      </c>
      <c r="J123" s="60">
        <f>NYJ!N$7</f>
        <v>33.910559698509715</v>
      </c>
      <c r="K123" s="60">
        <f>NYJ!O$7</f>
        <v>0.22999599728590189</v>
      </c>
      <c r="L123" s="60">
        <f t="shared" si="45"/>
        <v>68.084382052371652</v>
      </c>
      <c r="M123" s="60">
        <f t="shared" si="46"/>
        <v>70.252975679571648</v>
      </c>
      <c r="N123" s="60">
        <f t="shared" si="47"/>
        <v>72.421569306771644</v>
      </c>
      <c r="O123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70.252975679571662</v>
      </c>
      <c r="P123" s="96">
        <v>0</v>
      </c>
    </row>
    <row r="124" spans="1:16" x14ac:dyDescent="0.25">
      <c r="A124" s="59">
        <f>IF(TableRBMaster[[#This Row],[Player]]&lt;&gt;0,A123+1,A123)</f>
        <v>84</v>
      </c>
      <c r="B124" s="59" t="str">
        <f>NYJ!A$8</f>
        <v>Isaiah Davis</v>
      </c>
      <c r="C124" s="59" t="s">
        <v>110</v>
      </c>
      <c r="D124" s="59">
        <f>NYJ!C$7</f>
        <v>12</v>
      </c>
      <c r="E124" s="60">
        <f>NYJ!I$8</f>
        <v>61.182035040000009</v>
      </c>
      <c r="F124" s="60">
        <f>NYJ!J$8</f>
        <v>258.10674757674207</v>
      </c>
      <c r="G124" s="60">
        <f>NYJ!K$8</f>
        <v>2.0801891913600006</v>
      </c>
      <c r="H124" s="60">
        <f>NYJ!L$8</f>
        <v>20.737917199999995</v>
      </c>
      <c r="I124" s="60">
        <f>NYJ!M$8</f>
        <v>16.382954587999993</v>
      </c>
      <c r="J124" s="60">
        <f>NYJ!N$8</f>
        <v>121.65533652850371</v>
      </c>
      <c r="K124" s="60">
        <f>NYJ!O$8</f>
        <v>0.70446704728399967</v>
      </c>
      <c r="L124" s="60">
        <f t="shared" si="45"/>
        <v>54.684145842388581</v>
      </c>
      <c r="M124" s="60">
        <f t="shared" si="46"/>
        <v>62.875623136388576</v>
      </c>
      <c r="N124" s="60">
        <f t="shared" si="47"/>
        <v>71.067100430388578</v>
      </c>
      <c r="O124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62.875623136388576</v>
      </c>
      <c r="P124" s="96">
        <v>0</v>
      </c>
    </row>
    <row r="125" spans="1:16" x14ac:dyDescent="0.25">
      <c r="A125" s="59">
        <f>IF(TableRBMaster[[#This Row],[Player]]&lt;&gt;0,A124+1,A124)</f>
        <v>85</v>
      </c>
      <c r="B125" s="59" t="str">
        <f>NYJ!A$9</f>
        <v>Israel Abanikanda</v>
      </c>
      <c r="C125" s="59" t="s">
        <v>110</v>
      </c>
      <c r="D125" s="59">
        <f>NYJ!C$9</f>
        <v>12</v>
      </c>
      <c r="E125" s="60">
        <f>NYJ!I$9</f>
        <v>5.3201769600000004</v>
      </c>
      <c r="F125" s="60">
        <f>NYJ!J$9</f>
        <v>22.368904886622271</v>
      </c>
      <c r="G125" s="60">
        <f>NYJ!K$9</f>
        <v>0.17102881786759588</v>
      </c>
      <c r="H125" s="60">
        <f>NYJ!L$9</f>
        <v>11.850238399999997</v>
      </c>
      <c r="I125" s="60">
        <f>NYJ!M$9</f>
        <v>9.5157414351999936</v>
      </c>
      <c r="J125" s="60">
        <f>NYJ!N$9</f>
        <v>69.138545913661048</v>
      </c>
      <c r="K125" s="60">
        <f>NYJ!O$9</f>
        <v>0.41330692324283663</v>
      </c>
      <c r="L125" s="60">
        <f t="shared" si="45"/>
        <v>12.656759526690927</v>
      </c>
      <c r="M125" s="60">
        <f t="shared" si="46"/>
        <v>17.414630244290922</v>
      </c>
      <c r="N125" s="60">
        <f t="shared" si="47"/>
        <v>22.172500961890918</v>
      </c>
      <c r="O125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17.414630244290926</v>
      </c>
      <c r="P125" s="96">
        <v>0</v>
      </c>
    </row>
    <row r="126" spans="1:16" x14ac:dyDescent="0.25">
      <c r="A126" s="59">
        <f>IF(TableRBMaster[[#This Row],[Player]]&lt;&gt;0,A125+1,A125)</f>
        <v>85</v>
      </c>
      <c r="B126" s="59">
        <f>NYJ!A$10</f>
        <v>0</v>
      </c>
      <c r="C126" s="59" t="s">
        <v>110</v>
      </c>
      <c r="D126" s="59">
        <f>NYJ!C$10</f>
        <v>12</v>
      </c>
      <c r="E126" s="60">
        <f>NYJ!I$10</f>
        <v>0</v>
      </c>
      <c r="F126" s="60">
        <f>NYJ!J$10</f>
        <v>0</v>
      </c>
      <c r="G126" s="60">
        <f>NYJ!K$10</f>
        <v>0</v>
      </c>
      <c r="H126" s="60">
        <f>NYJ!L$10</f>
        <v>0</v>
      </c>
      <c r="I126" s="60">
        <f>NYJ!M$10</f>
        <v>0</v>
      </c>
      <c r="J126" s="60">
        <f>NYJ!N$10</f>
        <v>0</v>
      </c>
      <c r="K126" s="60">
        <f>NYJ!O$10</f>
        <v>0</v>
      </c>
      <c r="L126" s="60">
        <f t="shared" si="45"/>
        <v>0</v>
      </c>
      <c r="M126" s="60">
        <f t="shared" si="46"/>
        <v>0</v>
      </c>
      <c r="N126" s="60">
        <f t="shared" si="47"/>
        <v>0</v>
      </c>
      <c r="O126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26" s="96">
        <v>0</v>
      </c>
    </row>
    <row r="127" spans="1:16" x14ac:dyDescent="0.25">
      <c r="A127" s="59">
        <f>IF(TableRBMaster[[#This Row],[Player]]&lt;&gt;0,A126+1,A126)</f>
        <v>86</v>
      </c>
      <c r="B127" s="59" t="str">
        <f>PHI!A$6</f>
        <v>Saquon Barkley</v>
      </c>
      <c r="C127" s="59" t="s">
        <v>111</v>
      </c>
      <c r="D127" s="59">
        <f>PHI!C$6</f>
        <v>5</v>
      </c>
      <c r="E127" s="60">
        <f>PHI!I$6</f>
        <v>251.11457280000002</v>
      </c>
      <c r="F127" s="60">
        <f>PHI!J$6</f>
        <v>1107.4152660480001</v>
      </c>
      <c r="G127" s="60">
        <f>PHI!K$6</f>
        <v>9.5423537663999998</v>
      </c>
      <c r="H127" s="60">
        <f>PHI!L$6</f>
        <v>63.594599040000013</v>
      </c>
      <c r="I127" s="60">
        <f>PHI!M$6</f>
        <v>48.459084468479993</v>
      </c>
      <c r="J127" s="60">
        <f>PHI!N$6</f>
        <v>358.54282797919461</v>
      </c>
      <c r="K127" s="60">
        <f>PHI!O$6</f>
        <v>2.2775769700185595</v>
      </c>
      <c r="L127" s="60">
        <f t="shared" si="45"/>
        <v>217.51539382123082</v>
      </c>
      <c r="M127" s="60">
        <f t="shared" si="46"/>
        <v>241.74493605547082</v>
      </c>
      <c r="N127" s="60">
        <f t="shared" si="47"/>
        <v>265.97447828971082</v>
      </c>
      <c r="O127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241.74493605547082</v>
      </c>
      <c r="P127" s="96">
        <v>22.128522326878127</v>
      </c>
    </row>
    <row r="128" spans="1:16" x14ac:dyDescent="0.25">
      <c r="A128" s="59">
        <f>IF(TableRBMaster[[#This Row],[Player]]&lt;&gt;0,A127+1,A127)</f>
        <v>87</v>
      </c>
      <c r="B128" s="59" t="str">
        <f>PHI!A$7</f>
        <v>Kenneth Gainwell</v>
      </c>
      <c r="C128" s="59" t="s">
        <v>111</v>
      </c>
      <c r="D128" s="59">
        <f>PHI!C$8</f>
        <v>5</v>
      </c>
      <c r="E128" s="60">
        <f>PHI!I$7</f>
        <v>62.778643200000005</v>
      </c>
      <c r="F128" s="60">
        <f>PHI!J$7</f>
        <v>267.74646120413456</v>
      </c>
      <c r="G128" s="60">
        <f>PHI!K$7</f>
        <v>2.1972525120000004</v>
      </c>
      <c r="H128" s="60">
        <f>PHI!L$7</f>
        <v>28.450215360000001</v>
      </c>
      <c r="I128" s="60">
        <f>PHI!M$7</f>
        <v>21.166960227840001</v>
      </c>
      <c r="J128" s="60">
        <f>PHI!N$7</f>
        <v>154.49231311258944</v>
      </c>
      <c r="K128" s="60">
        <f>PHI!O$7</f>
        <v>0.6350088068352</v>
      </c>
      <c r="L128" s="60">
        <f t="shared" si="45"/>
        <v>59.217445344683597</v>
      </c>
      <c r="M128" s="60">
        <f t="shared" si="46"/>
        <v>69.800925458603601</v>
      </c>
      <c r="N128" s="60">
        <f t="shared" si="47"/>
        <v>80.384405572523605</v>
      </c>
      <c r="O128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69.800925458603601</v>
      </c>
      <c r="P128" s="96">
        <v>0</v>
      </c>
    </row>
    <row r="129" spans="1:16" x14ac:dyDescent="0.25">
      <c r="A129" s="59">
        <f>IF(TableRBMaster[[#This Row],[Player]]&lt;&gt;0,A128+1,A128)</f>
        <v>88</v>
      </c>
      <c r="B129" s="59" t="str">
        <f>PHI!A$8</f>
        <v>Will Shipley</v>
      </c>
      <c r="C129" s="59" t="s">
        <v>111</v>
      </c>
      <c r="D129" s="59">
        <f>PHI!C$7</f>
        <v>5</v>
      </c>
      <c r="E129" s="60">
        <f>PHI!I$8</f>
        <v>33.803884799999999</v>
      </c>
      <c r="F129" s="60">
        <f>PHI!J$8</f>
        <v>144.26113156502868</v>
      </c>
      <c r="G129" s="60">
        <f>PHI!K$8</f>
        <v>1.3456661718998111</v>
      </c>
      <c r="H129" s="60">
        <f>PHI!L$8</f>
        <v>12.272641920000002</v>
      </c>
      <c r="I129" s="60">
        <f>PHI!M$8</f>
        <v>9.0817550208000029</v>
      </c>
      <c r="J129" s="60">
        <f>PHI!N$8</f>
        <v>69.867615245038294</v>
      </c>
      <c r="K129" s="60">
        <f>PHI!O$8</f>
        <v>0.34510669079040007</v>
      </c>
      <c r="L129" s="60">
        <f t="shared" si="45"/>
        <v>31.557511857147965</v>
      </c>
      <c r="M129" s="60">
        <f t="shared" si="46"/>
        <v>36.098389367547966</v>
      </c>
      <c r="N129" s="60">
        <f t="shared" si="47"/>
        <v>40.639266877947968</v>
      </c>
      <c r="O129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36.098389367547966</v>
      </c>
      <c r="P129" s="96">
        <v>0</v>
      </c>
    </row>
    <row r="130" spans="1:16" x14ac:dyDescent="0.25">
      <c r="A130" s="59">
        <f>IF(TableRBMaster[[#This Row],[Player]]&lt;&gt;0,A129+1,A129)</f>
        <v>88</v>
      </c>
      <c r="B130" s="59">
        <f>PHI!A$9</f>
        <v>0</v>
      </c>
      <c r="C130" s="59" t="s">
        <v>111</v>
      </c>
      <c r="D130" s="59">
        <f>PHI!C$9</f>
        <v>5</v>
      </c>
      <c r="E130" s="60">
        <f>PHI!I$9</f>
        <v>0</v>
      </c>
      <c r="F130" s="60">
        <f>PHI!J$9</f>
        <v>0</v>
      </c>
      <c r="G130" s="60">
        <f>PHI!K$9</f>
        <v>0</v>
      </c>
      <c r="H130" s="60">
        <f>PHI!L$9</f>
        <v>0</v>
      </c>
      <c r="I130" s="60">
        <f>PHI!M$9</f>
        <v>0</v>
      </c>
      <c r="J130" s="60">
        <f>PHI!N$9</f>
        <v>0</v>
      </c>
      <c r="K130" s="60">
        <f>PHI!O$9</f>
        <v>0</v>
      </c>
      <c r="L130" s="60">
        <f t="shared" si="45"/>
        <v>0</v>
      </c>
      <c r="M130" s="60">
        <f t="shared" si="46"/>
        <v>0</v>
      </c>
      <c r="N130" s="60">
        <f t="shared" si="47"/>
        <v>0</v>
      </c>
      <c r="O130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30" s="96">
        <v>0</v>
      </c>
    </row>
    <row r="131" spans="1:16" x14ac:dyDescent="0.25">
      <c r="A131" s="59">
        <f>IF(TableRBMaster[[#This Row],[Player]]&lt;&gt;0,A130+1,A130)</f>
        <v>88</v>
      </c>
      <c r="B131" s="59">
        <f>PHI!A$10</f>
        <v>0</v>
      </c>
      <c r="C131" s="59" t="s">
        <v>111</v>
      </c>
      <c r="D131" s="59">
        <f>PHI!C$10</f>
        <v>5</v>
      </c>
      <c r="E131" s="60">
        <f>PHI!I$10</f>
        <v>0</v>
      </c>
      <c r="F131" s="60">
        <f>PHI!J$10</f>
        <v>0</v>
      </c>
      <c r="G131" s="60">
        <f>PHI!K$10</f>
        <v>0</v>
      </c>
      <c r="H131" s="60">
        <f>PHI!L$10</f>
        <v>0</v>
      </c>
      <c r="I131" s="60">
        <f>PHI!M$10</f>
        <v>0</v>
      </c>
      <c r="J131" s="60">
        <f>PHI!N$10</f>
        <v>0</v>
      </c>
      <c r="K131" s="60">
        <f>PHI!O$10</f>
        <v>0</v>
      </c>
      <c r="L131" s="60">
        <f t="shared" si="45"/>
        <v>0</v>
      </c>
      <c r="M131" s="60">
        <f t="shared" si="46"/>
        <v>0</v>
      </c>
      <c r="N131" s="60">
        <f t="shared" si="47"/>
        <v>0</v>
      </c>
      <c r="O131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31" s="96">
        <v>0</v>
      </c>
    </row>
    <row r="132" spans="1:16" x14ac:dyDescent="0.25">
      <c r="A132" s="59">
        <f>IF(TableRBMaster[[#This Row],[Player]]&lt;&gt;0,A131+1,A131)</f>
        <v>89</v>
      </c>
      <c r="B132" s="59" t="str">
        <f>PIT!A$6</f>
        <v>Najee Harris</v>
      </c>
      <c r="C132" s="59" t="s">
        <v>112</v>
      </c>
      <c r="D132" s="59">
        <f>PIT!C$6</f>
        <v>9</v>
      </c>
      <c r="E132" s="60">
        <f>PIT!I$6</f>
        <v>210.5334</v>
      </c>
      <c r="F132" s="60">
        <f>PIT!J$6</f>
        <v>871.60827599999993</v>
      </c>
      <c r="G132" s="60">
        <f>PIT!K$6</f>
        <v>6.5265354000000002</v>
      </c>
      <c r="H132" s="60">
        <f>PIT!L$6</f>
        <v>31.379355</v>
      </c>
      <c r="I132" s="60">
        <f>PIT!M$6</f>
        <v>22.812791085000001</v>
      </c>
      <c r="J132" s="60">
        <f>PIT!N$6</f>
        <v>146.68624667654998</v>
      </c>
      <c r="K132" s="60">
        <f>PIT!O$6</f>
        <v>0.93532443448500002</v>
      </c>
      <c r="L132" s="60">
        <f t="shared" si="45"/>
        <v>146.60061127456501</v>
      </c>
      <c r="M132" s="60">
        <f t="shared" si="46"/>
        <v>158.00700681706502</v>
      </c>
      <c r="N132" s="60">
        <f t="shared" si="47"/>
        <v>169.413402359565</v>
      </c>
      <c r="O132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158.00700681706502</v>
      </c>
      <c r="P132" s="96">
        <v>37.568835049776624</v>
      </c>
    </row>
    <row r="133" spans="1:16" x14ac:dyDescent="0.25">
      <c r="A133" s="59">
        <f>IF(TableRBMaster[[#This Row],[Player]]&lt;&gt;0,A132+1,A132)</f>
        <v>90</v>
      </c>
      <c r="B133" s="59" t="str">
        <f>PIT!A$7</f>
        <v>Jaylen Warren</v>
      </c>
      <c r="C133" s="59" t="s">
        <v>112</v>
      </c>
      <c r="D133" s="59">
        <f>PIT!C$8</f>
        <v>9</v>
      </c>
      <c r="E133" s="60">
        <f>PIT!I$7</f>
        <v>145.45944</v>
      </c>
      <c r="F133" s="60">
        <f>PIT!J$7</f>
        <v>674.93180159999997</v>
      </c>
      <c r="G133" s="60">
        <f>PIT!K$7</f>
        <v>4.8001615200000005</v>
      </c>
      <c r="H133" s="60">
        <f>PIT!L$7</f>
        <v>35.232959999999999</v>
      </c>
      <c r="I133" s="60">
        <f>PIT!M$7</f>
        <v>27.904504320000001</v>
      </c>
      <c r="J133" s="60">
        <f>PIT!N$7</f>
        <v>196.44771041280001</v>
      </c>
      <c r="K133" s="60">
        <f>PIT!O$7</f>
        <v>1.1719891814400001</v>
      </c>
      <c r="L133" s="60">
        <f t="shared" si="45"/>
        <v>122.97085540991999</v>
      </c>
      <c r="M133" s="60">
        <f t="shared" si="46"/>
        <v>136.92310756991998</v>
      </c>
      <c r="N133" s="60">
        <f t="shared" si="47"/>
        <v>150.87535972991998</v>
      </c>
      <c r="O133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136.92310756992001</v>
      </c>
      <c r="P133" s="96">
        <v>0</v>
      </c>
    </row>
    <row r="134" spans="1:16" x14ac:dyDescent="0.25">
      <c r="A134" s="59">
        <f>IF(TableRBMaster[[#This Row],[Player]]&lt;&gt;0,A133+1,A133)</f>
        <v>91</v>
      </c>
      <c r="B134" s="59" t="str">
        <f>PIT!A$8</f>
        <v>Cordarrelle Patterson</v>
      </c>
      <c r="C134" s="59" t="s">
        <v>112</v>
      </c>
      <c r="D134" s="59">
        <f>PIT!C$7</f>
        <v>9</v>
      </c>
      <c r="E134" s="60">
        <f>PIT!I$8</f>
        <v>44.977589999999999</v>
      </c>
      <c r="F134" s="60">
        <f>PIT!J$8</f>
        <v>183.50856719999999</v>
      </c>
      <c r="G134" s="60">
        <f>PIT!K$8</f>
        <v>1.75412601</v>
      </c>
      <c r="H134" s="60">
        <f>PIT!L$8</f>
        <v>44.591715000000001</v>
      </c>
      <c r="I134" s="60">
        <f>PIT!M$8</f>
        <v>34.201845405000007</v>
      </c>
      <c r="J134" s="60">
        <f>PIT!N$8</f>
        <v>242.49108392145004</v>
      </c>
      <c r="K134" s="60">
        <f>PIT!O$8</f>
        <v>1.536897570984842</v>
      </c>
      <c r="L134" s="60">
        <f t="shared" si="45"/>
        <v>62.34610659805405</v>
      </c>
      <c r="M134" s="60">
        <f t="shared" si="46"/>
        <v>79.44702930055405</v>
      </c>
      <c r="N134" s="60">
        <f t="shared" si="47"/>
        <v>96.547952003054064</v>
      </c>
      <c r="O134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79.44702930055405</v>
      </c>
      <c r="P134" s="96">
        <v>0</v>
      </c>
    </row>
    <row r="135" spans="1:16" x14ac:dyDescent="0.25">
      <c r="A135" s="59">
        <f>IF(TableRBMaster[[#This Row],[Player]]&lt;&gt;0,A134+1,A134)</f>
        <v>91</v>
      </c>
      <c r="B135" s="59">
        <f>PIT!A$9</f>
        <v>0</v>
      </c>
      <c r="C135" s="59" t="s">
        <v>112</v>
      </c>
      <c r="D135" s="59">
        <f>PIT!C$9</f>
        <v>9</v>
      </c>
      <c r="E135" s="60">
        <f>PIT!I$9</f>
        <v>0</v>
      </c>
      <c r="F135" s="60">
        <f>PIT!J$9</f>
        <v>0</v>
      </c>
      <c r="G135" s="60">
        <f>PIT!K$9</f>
        <v>0</v>
      </c>
      <c r="H135" s="60">
        <f>PIT!L$9</f>
        <v>0</v>
      </c>
      <c r="I135" s="60">
        <f>PIT!M$9</f>
        <v>0</v>
      </c>
      <c r="J135" s="60">
        <f>PIT!N$9</f>
        <v>0</v>
      </c>
      <c r="K135" s="60">
        <f>PIT!O$9</f>
        <v>0</v>
      </c>
      <c r="L135" s="60">
        <f t="shared" si="45"/>
        <v>0</v>
      </c>
      <c r="M135" s="60">
        <f t="shared" si="46"/>
        <v>0</v>
      </c>
      <c r="N135" s="60">
        <f t="shared" si="47"/>
        <v>0</v>
      </c>
      <c r="O135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35" s="96">
        <v>0</v>
      </c>
    </row>
    <row r="136" spans="1:16" x14ac:dyDescent="0.25">
      <c r="A136" s="59">
        <f>IF(TableRBMaster[[#This Row],[Player]]&lt;&gt;0,A135+1,A135)</f>
        <v>91</v>
      </c>
      <c r="B136" s="59">
        <f>PIT!A$10</f>
        <v>0</v>
      </c>
      <c r="C136" s="59" t="s">
        <v>112</v>
      </c>
      <c r="D136" s="59">
        <f>PIT!C$10</f>
        <v>9</v>
      </c>
      <c r="E136" s="60">
        <f>PIT!I$10</f>
        <v>0</v>
      </c>
      <c r="F136" s="60">
        <f>PIT!J$10</f>
        <v>0</v>
      </c>
      <c r="G136" s="60">
        <f>PIT!K$10</f>
        <v>0</v>
      </c>
      <c r="H136" s="60">
        <f>PIT!L$10</f>
        <v>0</v>
      </c>
      <c r="I136" s="60">
        <f>PIT!M$10</f>
        <v>0</v>
      </c>
      <c r="J136" s="60">
        <f>PIT!N$10</f>
        <v>0</v>
      </c>
      <c r="K136" s="60">
        <f>PIT!O$10</f>
        <v>0</v>
      </c>
      <c r="L136" s="60">
        <f t="shared" si="45"/>
        <v>0</v>
      </c>
      <c r="M136" s="60">
        <f t="shared" si="46"/>
        <v>0</v>
      </c>
      <c r="N136" s="60">
        <f t="shared" si="47"/>
        <v>0</v>
      </c>
      <c r="O136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36" s="96">
        <v>0</v>
      </c>
    </row>
    <row r="137" spans="1:16" x14ac:dyDescent="0.25">
      <c r="A137" s="59">
        <f>IF(TableRBMaster[[#This Row],[Player]]&lt;&gt;0,A136+1,A136)</f>
        <v>92</v>
      </c>
      <c r="B137" s="59" t="str">
        <f>SEA!A$6</f>
        <v>Kenneth Walker</v>
      </c>
      <c r="C137" s="59" t="s">
        <v>113</v>
      </c>
      <c r="D137" s="59">
        <f>SEA!C$6</f>
        <v>10</v>
      </c>
      <c r="E137" s="60">
        <f>SEA!I$6</f>
        <v>234.79850772000003</v>
      </c>
      <c r="F137" s="60">
        <f>SEA!J$6</f>
        <v>1028.4174638136001</v>
      </c>
      <c r="G137" s="60">
        <f>SEA!K$6</f>
        <v>8.969302994904</v>
      </c>
      <c r="H137" s="60">
        <f>SEA!L$6</f>
        <v>34.828945199999993</v>
      </c>
      <c r="I137" s="60">
        <f>SEA!M$6</f>
        <v>26.853116749199991</v>
      </c>
      <c r="J137" s="60">
        <f>SEA!N$6</f>
        <v>209.55563946416092</v>
      </c>
      <c r="K137" s="60">
        <f>SEA!O$6</f>
        <v>0.8845376682785584</v>
      </c>
      <c r="L137" s="60">
        <f t="shared" si="45"/>
        <v>182.92035430687145</v>
      </c>
      <c r="M137" s="60">
        <f t="shared" si="46"/>
        <v>196.34691268147145</v>
      </c>
      <c r="N137" s="60">
        <f t="shared" si="47"/>
        <v>209.77347105607143</v>
      </c>
      <c r="O137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196.34691268147145</v>
      </c>
      <c r="P137" s="96">
        <v>30.121228835514525</v>
      </c>
    </row>
    <row r="138" spans="1:16" x14ac:dyDescent="0.25">
      <c r="A138" s="59">
        <f>IF(TableRBMaster[[#This Row],[Player]]&lt;&gt;0,A137+1,A137)</f>
        <v>93</v>
      </c>
      <c r="B138" s="59" t="str">
        <f>SEA!A$7</f>
        <v>Zach Charbonnet</v>
      </c>
      <c r="C138" s="59" t="s">
        <v>113</v>
      </c>
      <c r="D138" s="59">
        <f>SEA!C$8</f>
        <v>10</v>
      </c>
      <c r="E138" s="60">
        <f>SEA!I$7</f>
        <v>139.38413286000002</v>
      </c>
      <c r="F138" s="60">
        <f>SEA!J$7</f>
        <v>599.51784552252548</v>
      </c>
      <c r="G138" s="60">
        <f>SEA!K$7</f>
        <v>4.3209081186600002</v>
      </c>
      <c r="H138" s="60">
        <f>SEA!L$7</f>
        <v>50.501970539999988</v>
      </c>
      <c r="I138" s="60">
        <f>SEA!M$7</f>
        <v>40.149066579299991</v>
      </c>
      <c r="J138" s="60">
        <f>SEA!N$7</f>
        <v>282.01774910547431</v>
      </c>
      <c r="K138" s="60">
        <f>SEA!O$7</f>
        <v>1.1341392900789073</v>
      </c>
      <c r="L138" s="60">
        <f t="shared" si="45"/>
        <v>120.88384391523343</v>
      </c>
      <c r="M138" s="60">
        <f t="shared" si="46"/>
        <v>140.95837720488342</v>
      </c>
      <c r="N138" s="60">
        <f t="shared" si="47"/>
        <v>161.03291049453341</v>
      </c>
      <c r="O138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140.95837720488342</v>
      </c>
      <c r="P138" s="96">
        <v>1.3563751124543861</v>
      </c>
    </row>
    <row r="139" spans="1:16" x14ac:dyDescent="0.25">
      <c r="A139" s="59">
        <f>IF(TableRBMaster[[#This Row],[Player]]&lt;&gt;0,A138+1,A138)</f>
        <v>94</v>
      </c>
      <c r="B139" s="59" t="str">
        <f>SEA!A$8</f>
        <v>Kenny McIntosh</v>
      </c>
      <c r="C139" s="59" t="s">
        <v>113</v>
      </c>
      <c r="D139" s="59">
        <f>SEA!C$7</f>
        <v>10</v>
      </c>
      <c r="E139" s="60">
        <f>SEA!I$8</f>
        <v>21.105483840000002</v>
      </c>
      <c r="F139" s="60">
        <f>SEA!J$8</f>
        <v>88.148358063441336</v>
      </c>
      <c r="G139" s="60">
        <f>SEA!K$8</f>
        <v>0.62107045057355181</v>
      </c>
      <c r="H139" s="60">
        <f>SEA!L$8</f>
        <v>14.512060499999999</v>
      </c>
      <c r="I139" s="60">
        <f>SEA!M$8</f>
        <v>11.406479552999997</v>
      </c>
      <c r="J139" s="60">
        <f>SEA!N$8</f>
        <v>81.936250497506833</v>
      </c>
      <c r="K139" s="60">
        <f>SEA!O$8</f>
        <v>0.32451372086553132</v>
      </c>
      <c r="L139" s="60">
        <f t="shared" si="45"/>
        <v>22.681965884729316</v>
      </c>
      <c r="M139" s="60">
        <f t="shared" si="46"/>
        <v>28.385205661229314</v>
      </c>
      <c r="N139" s="60">
        <f t="shared" si="47"/>
        <v>34.088445437729312</v>
      </c>
      <c r="O139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28.385205661229314</v>
      </c>
      <c r="P139" s="96">
        <v>0</v>
      </c>
    </row>
    <row r="140" spans="1:16" x14ac:dyDescent="0.25">
      <c r="A140" s="59">
        <f>IF(TableRBMaster[[#This Row],[Player]]&lt;&gt;0,A139+1,A139)</f>
        <v>94</v>
      </c>
      <c r="B140" s="59">
        <f>SEA!A$9</f>
        <v>0</v>
      </c>
      <c r="C140" s="59" t="s">
        <v>113</v>
      </c>
      <c r="D140" s="59">
        <f>SEA!C$9</f>
        <v>10</v>
      </c>
      <c r="E140" s="60">
        <f>SEA!I$9</f>
        <v>0</v>
      </c>
      <c r="F140" s="60">
        <f>SEA!J$9</f>
        <v>0</v>
      </c>
      <c r="G140" s="60">
        <f>SEA!K$9</f>
        <v>0</v>
      </c>
      <c r="H140" s="60">
        <f>SEA!L$9</f>
        <v>0</v>
      </c>
      <c r="I140" s="60">
        <f>SEA!M$9</f>
        <v>0</v>
      </c>
      <c r="J140" s="60">
        <f>SEA!N$9</f>
        <v>0</v>
      </c>
      <c r="K140" s="60">
        <f>SEA!O$9</f>
        <v>0</v>
      </c>
      <c r="L140" s="60">
        <f t="shared" si="45"/>
        <v>0</v>
      </c>
      <c r="M140" s="60">
        <f t="shared" si="46"/>
        <v>0</v>
      </c>
      <c r="N140" s="60">
        <f t="shared" si="47"/>
        <v>0</v>
      </c>
      <c r="O140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40" s="96">
        <v>0</v>
      </c>
    </row>
    <row r="141" spans="1:16" x14ac:dyDescent="0.25">
      <c r="A141" s="59">
        <f>IF(TableRBMaster[[#This Row],[Player]]&lt;&gt;0,A140+1,A140)</f>
        <v>94</v>
      </c>
      <c r="B141" s="59">
        <f>SEA!A$10</f>
        <v>0</v>
      </c>
      <c r="C141" s="59" t="s">
        <v>113</v>
      </c>
      <c r="D141" s="59">
        <f>SEA!C$10</f>
        <v>10</v>
      </c>
      <c r="E141" s="60">
        <f>SEA!I$10</f>
        <v>0</v>
      </c>
      <c r="F141" s="60">
        <f>SEA!J$10</f>
        <v>0</v>
      </c>
      <c r="G141" s="60">
        <f>SEA!K$10</f>
        <v>0</v>
      </c>
      <c r="H141" s="60">
        <f>SEA!L$10</f>
        <v>0</v>
      </c>
      <c r="I141" s="60">
        <f>SEA!M$10</f>
        <v>0</v>
      </c>
      <c r="J141" s="60">
        <f>SEA!N$10</f>
        <v>0</v>
      </c>
      <c r="K141" s="60">
        <f>SEA!O$10</f>
        <v>0</v>
      </c>
      <c r="L141" s="60">
        <f t="shared" ref="L141:L161" si="48">(F141/10)+(G141*6)+(J141/10)+(K141*6)</f>
        <v>0</v>
      </c>
      <c r="M141" s="60">
        <f t="shared" ref="M141:M161" si="49">L141+(I141*0.5)</f>
        <v>0</v>
      </c>
      <c r="N141" s="60">
        <f t="shared" ref="N141:N161" si="50">L141+I141</f>
        <v>0</v>
      </c>
      <c r="O141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41" s="96">
        <v>0</v>
      </c>
    </row>
    <row r="142" spans="1:16" x14ac:dyDescent="0.25">
      <c r="A142" s="59">
        <f>IF(TableRBMaster[[#This Row],[Player]]&lt;&gt;0,A141+1,A141)</f>
        <v>95</v>
      </c>
      <c r="B142" s="59" t="str">
        <f>SF!A$6</f>
        <v>Christian McCaffrey</v>
      </c>
      <c r="C142" s="59" t="s">
        <v>114</v>
      </c>
      <c r="D142" s="59">
        <f>SF!C$6</f>
        <v>9</v>
      </c>
      <c r="E142" s="60">
        <f>SF!I$6</f>
        <v>257.47710912000002</v>
      </c>
      <c r="F142" s="60">
        <f>SF!J$6</f>
        <v>1230.7405815936002</v>
      </c>
      <c r="G142" s="60">
        <f>SF!K$6</f>
        <v>13.543295939712001</v>
      </c>
      <c r="H142" s="60">
        <f>SF!L$6</f>
        <v>82.010229839999994</v>
      </c>
      <c r="I142" s="60">
        <f>SF!M$6</f>
        <v>65.608183872000012</v>
      </c>
      <c r="J142" s="60">
        <f>SF!N$6</f>
        <v>536.29453959869898</v>
      </c>
      <c r="K142" s="60">
        <f>SF!O$6</f>
        <v>4.5669319513021414</v>
      </c>
      <c r="L142" s="60">
        <f t="shared" si="48"/>
        <v>285.36487946531474</v>
      </c>
      <c r="M142" s="60">
        <f t="shared" si="49"/>
        <v>318.16897140131476</v>
      </c>
      <c r="N142" s="60">
        <f t="shared" si="50"/>
        <v>350.97306333731478</v>
      </c>
      <c r="O142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318.16897140131476</v>
      </c>
      <c r="P142" s="96">
        <v>21.533108930351833</v>
      </c>
    </row>
    <row r="143" spans="1:16" x14ac:dyDescent="0.25">
      <c r="A143" s="59">
        <f>IF(TableRBMaster[[#This Row],[Player]]&lt;&gt;0,A142+1,A142)</f>
        <v>96</v>
      </c>
      <c r="B143" s="59" t="str">
        <f>SF!A$7</f>
        <v>Isaac Guerendo</v>
      </c>
      <c r="C143" s="59" t="s">
        <v>114</v>
      </c>
      <c r="D143" s="59">
        <f>SF!C$8</f>
        <v>9</v>
      </c>
      <c r="E143" s="60">
        <f>SF!I$7</f>
        <v>36.085806960000006</v>
      </c>
      <c r="F143" s="60">
        <f>SF!J$7</f>
        <v>153.36467958000003</v>
      </c>
      <c r="G143" s="60">
        <f>SF!K$7</f>
        <v>1.1935555688871728</v>
      </c>
      <c r="H143" s="60">
        <f>SF!L$7</f>
        <v>5.3253395999999995</v>
      </c>
      <c r="I143" s="60">
        <f>SF!M$7</f>
        <v>4.036607416799999</v>
      </c>
      <c r="J143" s="60">
        <f>SF!N$7</f>
        <v>32.980077632802477</v>
      </c>
      <c r="K143" s="60">
        <f>SF!O$7</f>
        <v>0.17052645516426712</v>
      </c>
      <c r="L143" s="60">
        <f t="shared" si="48"/>
        <v>26.818967865588892</v>
      </c>
      <c r="M143" s="60">
        <f t="shared" si="49"/>
        <v>28.837271573988893</v>
      </c>
      <c r="N143" s="60">
        <f t="shared" si="50"/>
        <v>30.855575282388891</v>
      </c>
      <c r="O143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28.83727157398889</v>
      </c>
      <c r="P143" s="96">
        <v>6.803798802020828</v>
      </c>
    </row>
    <row r="144" spans="1:16" x14ac:dyDescent="0.25">
      <c r="A144" s="59">
        <f>IF(TableRBMaster[[#This Row],[Player]]&lt;&gt;0,A143+1,A143)</f>
        <v>97</v>
      </c>
      <c r="B144" s="59" t="str">
        <f>SF!A$8</f>
        <v>Jordan Mason</v>
      </c>
      <c r="C144" s="59" t="s">
        <v>114</v>
      </c>
      <c r="D144" s="59">
        <f>SF!C$7</f>
        <v>9</v>
      </c>
      <c r="E144" s="60">
        <f>SF!I$8</f>
        <v>119.96092584</v>
      </c>
      <c r="F144" s="60">
        <f>SF!J$8</f>
        <v>537.42494776320007</v>
      </c>
      <c r="G144" s="60">
        <f>SF!K$8</f>
        <v>5.2782807369599993</v>
      </c>
      <c r="H144" s="60">
        <f>SF!L$8</f>
        <v>12.248281079999996</v>
      </c>
      <c r="I144" s="60">
        <f>SF!M$8</f>
        <v>8.5737967559999984</v>
      </c>
      <c r="J144" s="60">
        <f>SF!N$8</f>
        <v>67.539494398241672</v>
      </c>
      <c r="K144" s="60">
        <f>SF!O$8</f>
        <v>0.3403670258823181</v>
      </c>
      <c r="L144" s="60">
        <f t="shared" si="48"/>
        <v>94.208330793198073</v>
      </c>
      <c r="M144" s="60">
        <f t="shared" si="49"/>
        <v>98.495229171198076</v>
      </c>
      <c r="N144" s="60">
        <f t="shared" si="50"/>
        <v>102.78212754919807</v>
      </c>
      <c r="O144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98.495229171198076</v>
      </c>
      <c r="P144" s="96">
        <v>0</v>
      </c>
    </row>
    <row r="145" spans="1:16" x14ac:dyDescent="0.25">
      <c r="A145" s="59">
        <f>IF(TableRBMaster[[#This Row],[Player]]&lt;&gt;0,A144+1,A144)</f>
        <v>97</v>
      </c>
      <c r="B145" s="59">
        <f>SF!A$9</f>
        <v>0</v>
      </c>
      <c r="C145" s="59" t="s">
        <v>114</v>
      </c>
      <c r="D145" s="59">
        <f>SF!C$9</f>
        <v>9</v>
      </c>
      <c r="E145" s="60">
        <f>SF!I$9</f>
        <v>0</v>
      </c>
      <c r="F145" s="60">
        <f>SF!J$9</f>
        <v>0</v>
      </c>
      <c r="G145" s="60">
        <f>SF!K$9</f>
        <v>0</v>
      </c>
      <c r="H145" s="60">
        <f>SF!L$9</f>
        <v>0</v>
      </c>
      <c r="I145" s="60">
        <f>SF!M$9</f>
        <v>0</v>
      </c>
      <c r="J145" s="60">
        <f>SF!N$9</f>
        <v>0</v>
      </c>
      <c r="K145" s="60">
        <f>SF!O$9</f>
        <v>0</v>
      </c>
      <c r="L145" s="60">
        <f t="shared" si="48"/>
        <v>0</v>
      </c>
      <c r="M145" s="60">
        <f t="shared" si="49"/>
        <v>0</v>
      </c>
      <c r="N145" s="60">
        <f t="shared" si="50"/>
        <v>0</v>
      </c>
      <c r="O145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45" s="96">
        <v>0</v>
      </c>
    </row>
    <row r="146" spans="1:16" x14ac:dyDescent="0.25">
      <c r="A146" s="59">
        <f>IF(TableRBMaster[[#This Row],[Player]]&lt;&gt;0,A145+1,A145)</f>
        <v>97</v>
      </c>
      <c r="B146" s="59">
        <f>SF!A$10</f>
        <v>0</v>
      </c>
      <c r="C146" s="59" t="s">
        <v>114</v>
      </c>
      <c r="D146" s="59">
        <f>SF!C$10</f>
        <v>9</v>
      </c>
      <c r="E146" s="60">
        <f>SF!I$10</f>
        <v>0</v>
      </c>
      <c r="F146" s="60">
        <f>SF!J$10</f>
        <v>0</v>
      </c>
      <c r="G146" s="60">
        <f>SF!K$10</f>
        <v>0</v>
      </c>
      <c r="H146" s="60">
        <f>SF!L$10</f>
        <v>0</v>
      </c>
      <c r="I146" s="60">
        <f>SF!M$10</f>
        <v>0</v>
      </c>
      <c r="J146" s="60">
        <f>SF!N$10</f>
        <v>0</v>
      </c>
      <c r="K146" s="60">
        <f>SF!O$10</f>
        <v>0</v>
      </c>
      <c r="L146" s="60">
        <f t="shared" si="48"/>
        <v>0</v>
      </c>
      <c r="M146" s="60">
        <f t="shared" si="49"/>
        <v>0</v>
      </c>
      <c r="N146" s="60">
        <f t="shared" si="50"/>
        <v>0</v>
      </c>
      <c r="O146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46" s="96">
        <v>0</v>
      </c>
    </row>
    <row r="147" spans="1:16" x14ac:dyDescent="0.25">
      <c r="A147" s="59">
        <f>IF(TableRBMaster[[#This Row],[Player]]&lt;&gt;0,A146+1,A146)</f>
        <v>98</v>
      </c>
      <c r="B147" s="59" t="str">
        <f>TB!A$6</f>
        <v>Rachaad White</v>
      </c>
      <c r="C147" s="59" t="s">
        <v>115</v>
      </c>
      <c r="D147" s="59">
        <f>TB!C$6</f>
        <v>11</v>
      </c>
      <c r="E147" s="60">
        <f>TB!I$6</f>
        <v>216.33643080000004</v>
      </c>
      <c r="F147" s="60">
        <f>TB!J$6</f>
        <v>869.67245181600003</v>
      </c>
      <c r="G147" s="60">
        <f>TB!K$6</f>
        <v>6.4900929240000007</v>
      </c>
      <c r="H147" s="60">
        <f>TB!L$6</f>
        <v>56.932888319999996</v>
      </c>
      <c r="I147" s="60">
        <f>TB!M$6</f>
        <v>46.45723686912001</v>
      </c>
      <c r="J147" s="60">
        <f>TB!N$6</f>
        <v>360.93497968080663</v>
      </c>
      <c r="K147" s="60">
        <f>TB!O$6</f>
        <v>2.0362990196558814</v>
      </c>
      <c r="L147" s="60">
        <f t="shared" si="48"/>
        <v>174.21909481161595</v>
      </c>
      <c r="M147" s="60">
        <f t="shared" si="49"/>
        <v>197.44771324617597</v>
      </c>
      <c r="N147" s="60">
        <f t="shared" si="50"/>
        <v>220.67633168073596</v>
      </c>
      <c r="O147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197.44771324617597</v>
      </c>
      <c r="P147" s="96">
        <v>14.38777229796065</v>
      </c>
    </row>
    <row r="148" spans="1:16" x14ac:dyDescent="0.25">
      <c r="A148" s="59">
        <f>IF(TableRBMaster[[#This Row],[Player]]&lt;&gt;0,A147+1,A147)</f>
        <v>99</v>
      </c>
      <c r="B148" s="59" t="str">
        <f>TB!A$7</f>
        <v>Bucky Irving</v>
      </c>
      <c r="C148" s="59" t="s">
        <v>115</v>
      </c>
      <c r="D148" s="59">
        <f>TB!C$8</f>
        <v>11</v>
      </c>
      <c r="E148" s="60">
        <f>TB!I$7</f>
        <v>100.10862288000001</v>
      </c>
      <c r="F148" s="60">
        <f>TB!J$7</f>
        <v>414.44969872320002</v>
      </c>
      <c r="G148" s="60">
        <f>TB!K$7</f>
        <v>3.2034759321600004</v>
      </c>
      <c r="H148" s="60">
        <f>TB!L$7</f>
        <v>38.548309800000006</v>
      </c>
      <c r="I148" s="60">
        <f>TB!M$7</f>
        <v>31.069937698800008</v>
      </c>
      <c r="J148" s="60">
        <f>TB!N$7</f>
        <v>251.80779797119325</v>
      </c>
      <c r="K148" s="60">
        <f>TB!O$7</f>
        <v>1.1185177571568001</v>
      </c>
      <c r="L148" s="60">
        <f t="shared" si="48"/>
        <v>92.557711805340134</v>
      </c>
      <c r="M148" s="60">
        <f t="shared" si="49"/>
        <v>108.09268065474014</v>
      </c>
      <c r="N148" s="60">
        <f t="shared" si="50"/>
        <v>123.62764950414014</v>
      </c>
      <c r="O148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108.09268065474014</v>
      </c>
      <c r="P148" s="96">
        <v>8.5722927714506358</v>
      </c>
    </row>
    <row r="149" spans="1:16" x14ac:dyDescent="0.25">
      <c r="A149" s="59">
        <f>IF(TableRBMaster[[#This Row],[Player]]&lt;&gt;0,A148+1,A148)</f>
        <v>100</v>
      </c>
      <c r="B149" s="59" t="str">
        <f>TB!A$8</f>
        <v>Sean Tucker</v>
      </c>
      <c r="C149" s="59" t="s">
        <v>115</v>
      </c>
      <c r="D149" s="59">
        <f>TB!C$7</f>
        <v>11</v>
      </c>
      <c r="E149" s="60">
        <f>TB!I$8</f>
        <v>52.599445920000008</v>
      </c>
      <c r="F149" s="60">
        <f>TB!J$8</f>
        <v>212.50176151680003</v>
      </c>
      <c r="G149" s="60">
        <f>TB!K$8</f>
        <v>1.5779833776000001</v>
      </c>
      <c r="H149" s="60">
        <f>TB!L$8</f>
        <v>13.640171159999998</v>
      </c>
      <c r="I149" s="60">
        <f>TB!M$8</f>
        <v>9.8072830640399982</v>
      </c>
      <c r="J149" s="60">
        <f>TB!N$8</f>
        <v>67.440637143735884</v>
      </c>
      <c r="K149" s="60">
        <f>TB!O$8</f>
        <v>0.26479664272907993</v>
      </c>
      <c r="L149" s="60">
        <f t="shared" si="48"/>
        <v>39.05091998802807</v>
      </c>
      <c r="M149" s="60">
        <f t="shared" si="49"/>
        <v>43.954561520048067</v>
      </c>
      <c r="N149" s="60">
        <f t="shared" si="50"/>
        <v>48.85820305206807</v>
      </c>
      <c r="O149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43.954561520048074</v>
      </c>
      <c r="P149" s="96">
        <v>0</v>
      </c>
    </row>
    <row r="150" spans="1:16" x14ac:dyDescent="0.25">
      <c r="A150" s="59">
        <f>IF(TableRBMaster[[#This Row],[Player]]&lt;&gt;0,A149+1,A149)</f>
        <v>100</v>
      </c>
      <c r="B150" s="59">
        <f>TB!A$9</f>
        <v>0</v>
      </c>
      <c r="C150" s="59" t="s">
        <v>115</v>
      </c>
      <c r="D150" s="59">
        <f>TB!C$9</f>
        <v>11</v>
      </c>
      <c r="E150" s="60">
        <f>TB!I$9</f>
        <v>0</v>
      </c>
      <c r="F150" s="60">
        <f>TB!J$9</f>
        <v>0</v>
      </c>
      <c r="G150" s="60">
        <f>TB!K$9</f>
        <v>0</v>
      </c>
      <c r="H150" s="60">
        <f>TB!L$9</f>
        <v>0</v>
      </c>
      <c r="I150" s="60">
        <f>TB!M$9</f>
        <v>0</v>
      </c>
      <c r="J150" s="60">
        <f>TB!N$9</f>
        <v>0</v>
      </c>
      <c r="K150" s="60">
        <f>TB!O$9</f>
        <v>0</v>
      </c>
      <c r="L150" s="60">
        <f t="shared" si="48"/>
        <v>0</v>
      </c>
      <c r="M150" s="60">
        <f t="shared" si="49"/>
        <v>0</v>
      </c>
      <c r="N150" s="60">
        <f t="shared" si="50"/>
        <v>0</v>
      </c>
      <c r="O150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50" s="96">
        <v>0</v>
      </c>
    </row>
    <row r="151" spans="1:16" x14ac:dyDescent="0.25">
      <c r="A151" s="59">
        <f>IF(TableRBMaster[[#This Row],[Player]]&lt;&gt;0,A150+1,A150)</f>
        <v>100</v>
      </c>
      <c r="B151" s="59">
        <f>TB!A$10</f>
        <v>0</v>
      </c>
      <c r="C151" s="59" t="s">
        <v>115</v>
      </c>
      <c r="D151" s="59">
        <f>TB!C$10</f>
        <v>11</v>
      </c>
      <c r="E151" s="60">
        <f>TB!I$10</f>
        <v>0</v>
      </c>
      <c r="F151" s="60">
        <f>TB!J$10</f>
        <v>0</v>
      </c>
      <c r="G151" s="60">
        <f>TB!K$10</f>
        <v>0</v>
      </c>
      <c r="H151" s="60">
        <f>TB!L$10</f>
        <v>0</v>
      </c>
      <c r="I151" s="60">
        <f>TB!M$10</f>
        <v>0</v>
      </c>
      <c r="J151" s="60">
        <f>TB!N$10</f>
        <v>0</v>
      </c>
      <c r="K151" s="60">
        <f>TB!O$10</f>
        <v>0</v>
      </c>
      <c r="L151" s="60">
        <f t="shared" si="48"/>
        <v>0</v>
      </c>
      <c r="M151" s="60">
        <f t="shared" si="49"/>
        <v>0</v>
      </c>
      <c r="N151" s="60">
        <f t="shared" si="50"/>
        <v>0</v>
      </c>
      <c r="O151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51" s="96">
        <v>0</v>
      </c>
    </row>
    <row r="152" spans="1:16" x14ac:dyDescent="0.25">
      <c r="A152" s="59">
        <f>IF(TableRBMaster[[#This Row],[Player]]&lt;&gt;0,A151+1,A151)</f>
        <v>101</v>
      </c>
      <c r="B152" s="59" t="str">
        <f>TEN!A$6</f>
        <v>Tony Pollard</v>
      </c>
      <c r="C152" s="59" t="s">
        <v>116</v>
      </c>
      <c r="D152" s="59">
        <f>TEN!C$6</f>
        <v>5</v>
      </c>
      <c r="E152" s="60">
        <f>TEN!I$6</f>
        <v>206.10016812000001</v>
      </c>
      <c r="F152" s="60">
        <f>TEN!J$6</f>
        <v>867.00173278565296</v>
      </c>
      <c r="G152" s="60">
        <f>TEN!K$6</f>
        <v>6.3891052117200005</v>
      </c>
      <c r="H152" s="60">
        <f>TEN!L$6</f>
        <v>43.384918499999998</v>
      </c>
      <c r="I152" s="60">
        <f>TEN!M$6</f>
        <v>33.276232489499996</v>
      </c>
      <c r="J152" s="60">
        <f>TEN!N$6</f>
        <v>251.23555529572496</v>
      </c>
      <c r="K152" s="60">
        <f>TEN!O$6</f>
        <v>1.397601764559</v>
      </c>
      <c r="L152" s="60">
        <f t="shared" si="48"/>
        <v>158.5439706658118</v>
      </c>
      <c r="M152" s="60">
        <f t="shared" si="49"/>
        <v>175.18208691056179</v>
      </c>
      <c r="N152" s="60">
        <f t="shared" si="50"/>
        <v>191.82020315531179</v>
      </c>
      <c r="O152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175.18208691056179</v>
      </c>
      <c r="P152" s="96">
        <v>49.098734107865603</v>
      </c>
    </row>
    <row r="153" spans="1:16" x14ac:dyDescent="0.25">
      <c r="A153" s="59">
        <f>IF(TableRBMaster[[#This Row],[Player]]&lt;&gt;0,A152+1,A152)</f>
        <v>102</v>
      </c>
      <c r="B153" s="59" t="str">
        <f>TEN!A$7</f>
        <v>Tyjae Spears</v>
      </c>
      <c r="C153" s="59" t="s">
        <v>116</v>
      </c>
      <c r="D153" s="59">
        <f>TEN!C$8</f>
        <v>5</v>
      </c>
      <c r="E153" s="60">
        <f>TEN!I$7</f>
        <v>162.84457728000001</v>
      </c>
      <c r="F153" s="60">
        <f>TEN!J$7</f>
        <v>704.62867835808731</v>
      </c>
      <c r="G153" s="60">
        <f>TEN!K$7</f>
        <v>5.2110264729600004</v>
      </c>
      <c r="H153" s="60">
        <f>TEN!L$7</f>
        <v>60.738885899999993</v>
      </c>
      <c r="I153" s="60">
        <f>TEN!M$7</f>
        <v>45.857858854500002</v>
      </c>
      <c r="J153" s="60">
        <f>TEN!N$7</f>
        <v>372.36581389853995</v>
      </c>
      <c r="K153" s="60">
        <f>TEN!O$7</f>
        <v>2.017745789598</v>
      </c>
      <c r="L153" s="60">
        <f t="shared" si="48"/>
        <v>151.07208280101074</v>
      </c>
      <c r="M153" s="60">
        <f t="shared" si="49"/>
        <v>174.00101222826075</v>
      </c>
      <c r="N153" s="60">
        <f t="shared" si="50"/>
        <v>196.92994165551073</v>
      </c>
      <c r="O153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174.00101222826075</v>
      </c>
      <c r="P153" s="96">
        <v>0</v>
      </c>
    </row>
    <row r="154" spans="1:16" x14ac:dyDescent="0.25">
      <c r="A154" s="59">
        <f>IF(TableRBMaster[[#This Row],[Player]]&lt;&gt;0,A153+1,A153)</f>
        <v>103</v>
      </c>
      <c r="B154" s="59" t="str">
        <f>TEN!A$8</f>
        <v>Hassan Haskins</v>
      </c>
      <c r="C154" s="59" t="s">
        <v>116</v>
      </c>
      <c r="D154" s="59">
        <f>TEN!C$7</f>
        <v>5</v>
      </c>
      <c r="E154" s="60">
        <f>TEN!I$8</f>
        <v>12.722232600000002</v>
      </c>
      <c r="F154" s="60">
        <f>TEN!J$8</f>
        <v>51.173623511287431</v>
      </c>
      <c r="G154" s="60">
        <f>TEN!K$8</f>
        <v>0.41533032922111501</v>
      </c>
      <c r="H154" s="60">
        <f>TEN!L$8</f>
        <v>8.6769836999999992</v>
      </c>
      <c r="I154" s="60">
        <f>TEN!M$8</f>
        <v>5.8569639974999994</v>
      </c>
      <c r="J154" s="60">
        <f>TEN!N$8</f>
        <v>43.243540584677085</v>
      </c>
      <c r="K154" s="60">
        <f>TEN!O$8</f>
        <v>0.1314787301101748</v>
      </c>
      <c r="L154" s="60">
        <f t="shared" si="48"/>
        <v>12.722570765584191</v>
      </c>
      <c r="M154" s="60">
        <f t="shared" si="49"/>
        <v>15.651052764334191</v>
      </c>
      <c r="N154" s="60">
        <f t="shared" si="50"/>
        <v>18.57953476308419</v>
      </c>
      <c r="O154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15.651052764334191</v>
      </c>
      <c r="P154" s="96">
        <v>0</v>
      </c>
    </row>
    <row r="155" spans="1:16" x14ac:dyDescent="0.25">
      <c r="A155" s="59">
        <f>IF(TableRBMaster[[#This Row],[Player]]&lt;&gt;0,A154+1,A154)</f>
        <v>103</v>
      </c>
      <c r="B155" s="59">
        <f>TEN!A$9</f>
        <v>0</v>
      </c>
      <c r="C155" s="59" t="s">
        <v>116</v>
      </c>
      <c r="D155" s="59">
        <f>TEN!C$9</f>
        <v>5</v>
      </c>
      <c r="E155" s="60">
        <f>TEN!I$9</f>
        <v>0</v>
      </c>
      <c r="F155" s="60">
        <f>TEN!J$9</f>
        <v>0</v>
      </c>
      <c r="G155" s="60">
        <f>TEN!K$9</f>
        <v>0</v>
      </c>
      <c r="H155" s="60">
        <f>TEN!L$9</f>
        <v>0</v>
      </c>
      <c r="I155" s="60">
        <f>TEN!M$9</f>
        <v>0</v>
      </c>
      <c r="J155" s="60">
        <f>TEN!N$9</f>
        <v>0</v>
      </c>
      <c r="K155" s="60">
        <f>TEN!O$9</f>
        <v>0</v>
      </c>
      <c r="L155" s="60">
        <f t="shared" si="48"/>
        <v>0</v>
      </c>
      <c r="M155" s="60">
        <f t="shared" si="49"/>
        <v>0</v>
      </c>
      <c r="N155" s="60">
        <f t="shared" si="50"/>
        <v>0</v>
      </c>
      <c r="O155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55" s="96">
        <v>0</v>
      </c>
    </row>
    <row r="156" spans="1:16" x14ac:dyDescent="0.25">
      <c r="A156" s="59">
        <f>IF(TableRBMaster[[#This Row],[Player]]&lt;&gt;0,A155+1,A155)</f>
        <v>103</v>
      </c>
      <c r="B156" s="59">
        <f>TEN!A$10</f>
        <v>0</v>
      </c>
      <c r="C156" s="59" t="s">
        <v>116</v>
      </c>
      <c r="D156" s="59">
        <f>TEN!C$10</f>
        <v>5</v>
      </c>
      <c r="E156" s="60">
        <f>TEN!I$10</f>
        <v>0</v>
      </c>
      <c r="F156" s="60">
        <f>TEN!J$10</f>
        <v>0</v>
      </c>
      <c r="G156" s="60">
        <f>TEN!K$10</f>
        <v>0</v>
      </c>
      <c r="H156" s="60">
        <f>TEN!L$10</f>
        <v>0</v>
      </c>
      <c r="I156" s="60">
        <f>TEN!M$10</f>
        <v>0</v>
      </c>
      <c r="J156" s="60">
        <f>TEN!N$10</f>
        <v>0</v>
      </c>
      <c r="K156" s="60">
        <f>TEN!O$10</f>
        <v>0</v>
      </c>
      <c r="L156" s="60">
        <f t="shared" si="48"/>
        <v>0</v>
      </c>
      <c r="M156" s="60">
        <f t="shared" si="49"/>
        <v>0</v>
      </c>
      <c r="N156" s="60">
        <f t="shared" si="50"/>
        <v>0</v>
      </c>
      <c r="O156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56" s="96">
        <v>0</v>
      </c>
    </row>
    <row r="157" spans="1:16" x14ac:dyDescent="0.25">
      <c r="A157" s="59">
        <f>IF(TableRBMaster[[#This Row],[Player]]&lt;&gt;0,A156+1,A156)</f>
        <v>104</v>
      </c>
      <c r="B157" s="59" t="str">
        <f>WSH!A$6</f>
        <v>Austin Ekeler</v>
      </c>
      <c r="C157" s="59" t="s">
        <v>119</v>
      </c>
      <c r="D157" s="59">
        <f>WSH!C$6</f>
        <v>14</v>
      </c>
      <c r="E157" s="60">
        <f>WSH!I$6</f>
        <v>107.484244</v>
      </c>
      <c r="F157" s="60">
        <f>WSH!J$6</f>
        <v>454.65835212000007</v>
      </c>
      <c r="G157" s="60">
        <f>WSH!K$6</f>
        <v>3.5469800520000003</v>
      </c>
      <c r="H157" s="60">
        <f>WSH!L$6</f>
        <v>67.989264000000006</v>
      </c>
      <c r="I157" s="60">
        <f>WSH!M$6</f>
        <v>51.263905055999999</v>
      </c>
      <c r="J157" s="60">
        <f>WSH!N$6</f>
        <v>431.64208057152001</v>
      </c>
      <c r="K157" s="60">
        <f>WSH!O$6</f>
        <v>2.5631952527999999</v>
      </c>
      <c r="L157" s="60">
        <f t="shared" si="48"/>
        <v>125.29109509795202</v>
      </c>
      <c r="M157" s="60">
        <f t="shared" si="49"/>
        <v>150.92304762595202</v>
      </c>
      <c r="N157" s="60">
        <f t="shared" si="50"/>
        <v>176.55500015395202</v>
      </c>
      <c r="O157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150.92304762595202</v>
      </c>
      <c r="P157" s="96">
        <v>33.598856158456854</v>
      </c>
    </row>
    <row r="158" spans="1:16" x14ac:dyDescent="0.25">
      <c r="A158" s="59">
        <f>IF(TableRBMaster[[#This Row],[Player]]&lt;&gt;0,A157+1,A157)</f>
        <v>105</v>
      </c>
      <c r="B158" s="59" t="str">
        <f>WSH!A$7</f>
        <v>Brian Robinson</v>
      </c>
      <c r="C158" s="59" t="s">
        <v>119</v>
      </c>
      <c r="D158" s="59">
        <f>WSH!C$8</f>
        <v>14</v>
      </c>
      <c r="E158" s="60">
        <f>WSH!I$7</f>
        <v>221.04368439999996</v>
      </c>
      <c r="F158" s="60">
        <f>WSH!J$7</f>
        <v>959.32959029599976</v>
      </c>
      <c r="G158" s="60">
        <f>WSH!K$7</f>
        <v>7.1176066376799989</v>
      </c>
      <c r="H158" s="60">
        <f>WSH!L$7</f>
        <v>33.994632000000003</v>
      </c>
      <c r="I158" s="60">
        <f>WSH!M$7</f>
        <v>25.190022312000004</v>
      </c>
      <c r="J158" s="60">
        <f>WSH!N$7</f>
        <v>202.52777938848001</v>
      </c>
      <c r="K158" s="60">
        <f>WSH!O$7</f>
        <v>1.4862113164080002</v>
      </c>
      <c r="L158" s="60">
        <f t="shared" si="48"/>
        <v>167.80864469297595</v>
      </c>
      <c r="M158" s="60">
        <f t="shared" si="49"/>
        <v>180.40365584897594</v>
      </c>
      <c r="N158" s="60">
        <f t="shared" si="50"/>
        <v>192.99866700497594</v>
      </c>
      <c r="O158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180.40365584897597</v>
      </c>
      <c r="P158" s="96">
        <v>0</v>
      </c>
    </row>
    <row r="159" spans="1:16" x14ac:dyDescent="0.25">
      <c r="A159" s="59">
        <f>IF(TableRBMaster[[#This Row],[Player]]&lt;&gt;0,A158+1,A158)</f>
        <v>106</v>
      </c>
      <c r="B159" s="59" t="str">
        <f>WSH!A$8</f>
        <v>Jeremy McNichols</v>
      </c>
      <c r="C159" s="59" t="s">
        <v>119</v>
      </c>
      <c r="D159" s="59">
        <f>WSH!C$7</f>
        <v>14</v>
      </c>
      <c r="E159" s="60">
        <f>WSH!I$8</f>
        <v>12.617715599999999</v>
      </c>
      <c r="F159" s="60">
        <f>WSH!J$8</f>
        <v>51.732633959999987</v>
      </c>
      <c r="G159" s="60">
        <f>WSH!K$8</f>
        <v>0.35329603679999999</v>
      </c>
      <c r="H159" s="60">
        <f>WSH!L$8</f>
        <v>5.6657720000000005</v>
      </c>
      <c r="I159" s="60">
        <f>WSH!M$8</f>
        <v>4.0963531560000002</v>
      </c>
      <c r="J159" s="60">
        <f>WSH!N$8</f>
        <v>28.934527040205502</v>
      </c>
      <c r="K159" s="60">
        <f>WSH!O$8</f>
        <v>0.11146953929390682</v>
      </c>
      <c r="L159" s="60">
        <f t="shared" si="48"/>
        <v>10.85530955658399</v>
      </c>
      <c r="M159" s="60">
        <f t="shared" si="49"/>
        <v>12.903486134583989</v>
      </c>
      <c r="N159" s="60">
        <f t="shared" si="50"/>
        <v>14.951662712583989</v>
      </c>
      <c r="O159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12.903486134583991</v>
      </c>
      <c r="P159" s="96">
        <v>0</v>
      </c>
    </row>
    <row r="160" spans="1:16" x14ac:dyDescent="0.25">
      <c r="A160" s="59">
        <f>IF(TableRBMaster[[#This Row],[Player]]&lt;&gt;0,A159+1,A159)</f>
        <v>106</v>
      </c>
      <c r="B160" s="59">
        <f>WSH!A$9</f>
        <v>0</v>
      </c>
      <c r="C160" s="59" t="s">
        <v>119</v>
      </c>
      <c r="D160" s="59">
        <f>WSH!C$9</f>
        <v>14</v>
      </c>
      <c r="E160" s="60">
        <f>WSH!I$9</f>
        <v>0</v>
      </c>
      <c r="F160" s="60">
        <f>WSH!J$9</f>
        <v>0</v>
      </c>
      <c r="G160" s="60">
        <f>WSH!K$9</f>
        <v>0</v>
      </c>
      <c r="H160" s="60">
        <f>WSH!L$9</f>
        <v>0</v>
      </c>
      <c r="I160" s="60">
        <f>WSH!M$9</f>
        <v>0</v>
      </c>
      <c r="J160" s="60">
        <f>WSH!N$9</f>
        <v>0</v>
      </c>
      <c r="K160" s="60">
        <f>WSH!O$9</f>
        <v>0</v>
      </c>
      <c r="L160" s="60">
        <f t="shared" si="48"/>
        <v>0</v>
      </c>
      <c r="M160" s="60">
        <f t="shared" si="49"/>
        <v>0</v>
      </c>
      <c r="N160" s="60">
        <f t="shared" si="50"/>
        <v>0</v>
      </c>
      <c r="O160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60" s="96">
        <v>0</v>
      </c>
    </row>
    <row r="161" spans="1:16" x14ac:dyDescent="0.25">
      <c r="A161" s="59">
        <f>IF(TableRBMaster[[#This Row],[Player]]&lt;&gt;0,A160+1,A160)</f>
        <v>106</v>
      </c>
      <c r="B161" s="59">
        <f>WSH!A$10</f>
        <v>0</v>
      </c>
      <c r="C161" s="59" t="s">
        <v>119</v>
      </c>
      <c r="D161" s="59">
        <f>WSH!C$10</f>
        <v>14</v>
      </c>
      <c r="E161" s="60">
        <f>WSH!I$10</f>
        <v>0</v>
      </c>
      <c r="F161" s="60">
        <f>WSH!J$10</f>
        <v>0</v>
      </c>
      <c r="G161" s="60">
        <f>WSH!K$10</f>
        <v>0</v>
      </c>
      <c r="H161" s="60">
        <f>WSH!L$10</f>
        <v>0</v>
      </c>
      <c r="I161" s="60">
        <f>WSH!M$10</f>
        <v>0</v>
      </c>
      <c r="J161" s="60">
        <f>WSH!N$10</f>
        <v>0</v>
      </c>
      <c r="K161" s="60">
        <f>WSH!O$10</f>
        <v>0</v>
      </c>
      <c r="L161" s="60">
        <f t="shared" si="48"/>
        <v>0</v>
      </c>
      <c r="M161" s="60">
        <f t="shared" si="49"/>
        <v>0</v>
      </c>
      <c r="N161" s="60">
        <f t="shared" si="50"/>
        <v>0</v>
      </c>
      <c r="O161" s="95">
        <f>(TableRBMaster[[#This Row],[RUAT]]*RUSH_ATTEMPTS)+(TableRBMaster[[#This Row],[RUYD]]*RUSH_YARDS)+(TableRBMaster[[#This Row],[RUTD]]*RUSH_TDS)+(TableRBMaster[[#This Row],[TGT]]*TARGETS)+(TableRBMaster[[#This Row],[REC]]*RECEPTIONS_RB)+(TableRBMaster[[#This Row],[RCYD]]*RECV_YARDS)+(TableRBMaster[[#This Row],[RCTD]]*RECV_TDS)</f>
        <v>0</v>
      </c>
      <c r="P161" s="96">
        <v>0</v>
      </c>
    </row>
  </sheetData>
  <sortState xmlns:xlrd2="http://schemas.microsoft.com/office/spreadsheetml/2017/richdata2" ref="B2:N120">
    <sortCondition ref="C2:C120"/>
  </sortState>
  <phoneticPr fontId="19" type="noConversion"/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3"/>
  <dimension ref="A1:O203"/>
  <sheetViews>
    <sheetView showGridLines="0" zoomScale="85" zoomScaleNormal="85" workbookViewId="0"/>
  </sheetViews>
  <sheetFormatPr defaultColWidth="9.140625" defaultRowHeight="15" x14ac:dyDescent="0.25"/>
  <cols>
    <col min="1" max="1" width="9.7109375" style="59" bestFit="1" customWidth="1"/>
    <col min="2" max="2" width="25.5703125" style="59" bestFit="1" customWidth="1"/>
    <col min="3" max="3" width="6.5703125" style="59" bestFit="1" customWidth="1"/>
    <col min="4" max="4" width="7" style="59" bestFit="1" customWidth="1"/>
    <col min="5" max="6" width="8.7109375" style="59" bestFit="1" customWidth="1"/>
    <col min="7" max="7" width="7.140625" style="59" bestFit="1" customWidth="1"/>
    <col min="8" max="8" width="7" style="59" bestFit="1" customWidth="1"/>
    <col min="9" max="10" width="8.42578125" style="59" bestFit="1" customWidth="1"/>
    <col min="11" max="11" width="6.85546875" style="59" bestFit="1" customWidth="1"/>
    <col min="12" max="12" width="8.140625" style="59" bestFit="1" customWidth="1"/>
    <col min="13" max="13" width="7" style="59" bestFit="1" customWidth="1"/>
    <col min="14" max="14" width="10" style="59" bestFit="1" customWidth="1"/>
    <col min="15" max="15" width="8.42578125" style="59" bestFit="1" customWidth="1"/>
    <col min="16" max="16384" width="9.140625" style="59"/>
  </cols>
  <sheetData>
    <row r="1" spans="1:15" x14ac:dyDescent="0.25">
      <c r="A1" s="88" t="s">
        <v>362</v>
      </c>
      <c r="B1" s="88" t="s">
        <v>325</v>
      </c>
      <c r="C1" s="88" t="s">
        <v>86</v>
      </c>
      <c r="D1" s="88" t="s">
        <v>122</v>
      </c>
      <c r="E1" s="87" t="s">
        <v>129</v>
      </c>
      <c r="F1" s="87" t="s">
        <v>130</v>
      </c>
      <c r="G1" s="87" t="s">
        <v>3</v>
      </c>
      <c r="H1" s="87" t="s">
        <v>4</v>
      </c>
      <c r="I1" s="87" t="s">
        <v>138</v>
      </c>
      <c r="J1" s="87" t="s">
        <v>139</v>
      </c>
      <c r="K1" s="88" t="s">
        <v>117</v>
      </c>
      <c r="L1" s="88" t="s">
        <v>120</v>
      </c>
      <c r="M1" s="88" t="s">
        <v>121</v>
      </c>
      <c r="N1" s="88" t="s">
        <v>321</v>
      </c>
      <c r="O1" s="88" t="s">
        <v>295</v>
      </c>
    </row>
    <row r="2" spans="1:15" x14ac:dyDescent="0.25">
      <c r="A2" s="59">
        <v>1</v>
      </c>
      <c r="B2" s="59" t="str">
        <f>ARI!A13</f>
        <v>Marvin Harrison</v>
      </c>
      <c r="C2" s="59" t="s">
        <v>87</v>
      </c>
      <c r="D2" s="59">
        <f>ARI!C13</f>
        <v>11</v>
      </c>
      <c r="E2" s="60">
        <f>ARI!J13</f>
        <v>0</v>
      </c>
      <c r="F2" s="60">
        <f>ARI!K13</f>
        <v>0</v>
      </c>
      <c r="G2" s="60">
        <f>ARI!L13</f>
        <v>137.98757700000002</v>
      </c>
      <c r="H2" s="60">
        <f>ARI!M13</f>
        <v>86.380223201999996</v>
      </c>
      <c r="I2" s="60">
        <f>ARI!N13</f>
        <v>1130.7171217141799</v>
      </c>
      <c r="J2" s="60">
        <f>ARI!O13</f>
        <v>6.644399453026943</v>
      </c>
      <c r="K2" s="60">
        <f t="shared" ref="K2:K65" si="0">(E2/10)+(F2*6)+(I2/10)+(J2*6)</f>
        <v>152.93810888957967</v>
      </c>
      <c r="L2" s="60">
        <f t="shared" ref="L2:L33" si="1">K2+(H2*0.5)</f>
        <v>196.12822049057968</v>
      </c>
      <c r="M2" s="60">
        <f t="shared" ref="M2:M33" si="2">K2+H2</f>
        <v>239.31833209157966</v>
      </c>
      <c r="N2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196.12822049057965</v>
      </c>
      <c r="O2" s="96">
        <v>36.388473674194124</v>
      </c>
    </row>
    <row r="3" spans="1:15" x14ac:dyDescent="0.25">
      <c r="A3" s="59">
        <f>IF(TableWRMaster[[#This Row],[Player]]&lt;&gt;0,A2+1,A2)</f>
        <v>2</v>
      </c>
      <c r="B3" s="59" t="str">
        <f>ARI!A14</f>
        <v>Michael Wilson</v>
      </c>
      <c r="C3" s="59" t="s">
        <v>87</v>
      </c>
      <c r="D3" s="59">
        <f>ARI!C14</f>
        <v>11</v>
      </c>
      <c r="E3" s="60">
        <f>ARI!J14</f>
        <v>0</v>
      </c>
      <c r="F3" s="60">
        <f>ARI!K14</f>
        <v>0</v>
      </c>
      <c r="G3" s="60">
        <f>ARI!L14</f>
        <v>82.556670000000011</v>
      </c>
      <c r="H3" s="60">
        <f>ARI!M14</f>
        <v>49.781672010000008</v>
      </c>
      <c r="I3" s="60">
        <f>ARI!N14</f>
        <v>619.78181652450007</v>
      </c>
      <c r="J3" s="60">
        <f>ARI!O14</f>
        <v>3.7336254007500003</v>
      </c>
      <c r="K3" s="60">
        <f t="shared" si="0"/>
        <v>84.379934056950006</v>
      </c>
      <c r="L3" s="60">
        <f t="shared" si="1"/>
        <v>109.27077006195</v>
      </c>
      <c r="M3" s="60">
        <f t="shared" si="2"/>
        <v>134.16160606695001</v>
      </c>
      <c r="N3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109.27077006195002</v>
      </c>
      <c r="O3" s="96">
        <v>0</v>
      </c>
    </row>
    <row r="4" spans="1:15" x14ac:dyDescent="0.25">
      <c r="A4" s="59">
        <f>IF(TableWRMaster[[#This Row],[Player]]&lt;&gt;0,A3+1,A3)</f>
        <v>3</v>
      </c>
      <c r="B4" s="59" t="str">
        <f>ARI!A15</f>
        <v>Greg Dortch</v>
      </c>
      <c r="C4" s="59" t="s">
        <v>87</v>
      </c>
      <c r="D4" s="59">
        <f>ARI!C15</f>
        <v>11</v>
      </c>
      <c r="E4" s="60">
        <f>ARI!J15</f>
        <v>22.7912769</v>
      </c>
      <c r="F4" s="60">
        <f>ARI!K15</f>
        <v>1.8917865093866917E-2</v>
      </c>
      <c r="G4" s="60">
        <f>ARI!L15</f>
        <v>89.043265500000004</v>
      </c>
      <c r="H4" s="60">
        <f>ARI!M15</f>
        <v>57.878122575000006</v>
      </c>
      <c r="I4" s="60">
        <f>ARI!N15</f>
        <v>613.56250624091058</v>
      </c>
      <c r="J4" s="60">
        <f>ARI!O15</f>
        <v>3.7041998448000006</v>
      </c>
      <c r="K4" s="60">
        <f t="shared" si="0"/>
        <v>85.974084573454263</v>
      </c>
      <c r="L4" s="60">
        <f t="shared" si="1"/>
        <v>114.91314586095427</v>
      </c>
      <c r="M4" s="60">
        <f t="shared" si="2"/>
        <v>143.85220714845428</v>
      </c>
      <c r="N4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114.91314586095427</v>
      </c>
      <c r="O4" s="96">
        <v>0</v>
      </c>
    </row>
    <row r="5" spans="1:15" x14ac:dyDescent="0.25">
      <c r="A5" s="59">
        <f>IF(TableWRMaster[[#This Row],[Player]]&lt;&gt;0,A4+1,A4)</f>
        <v>4</v>
      </c>
      <c r="B5" s="59" t="str">
        <f>ARI!A16</f>
        <v>Zay Jones</v>
      </c>
      <c r="C5" s="59" t="s">
        <v>87</v>
      </c>
      <c r="D5" s="59">
        <f>ARI!C16</f>
        <v>11</v>
      </c>
      <c r="E5" s="60">
        <f>ARI!J16</f>
        <v>0</v>
      </c>
      <c r="F5" s="60">
        <f>ARI!K16</f>
        <v>0</v>
      </c>
      <c r="G5" s="60">
        <f>ARI!L16</f>
        <v>30.663906000000001</v>
      </c>
      <c r="H5" s="60">
        <f>ARI!M16</f>
        <v>17.723737667999995</v>
      </c>
      <c r="I5" s="60">
        <f>ARI!N16</f>
        <v>185.05164488064284</v>
      </c>
      <c r="J5" s="60">
        <f>ARI!O16</f>
        <v>1.1874904237559998</v>
      </c>
      <c r="K5" s="60">
        <f t="shared" si="0"/>
        <v>25.630107030600286</v>
      </c>
      <c r="L5" s="60">
        <f t="shared" si="1"/>
        <v>34.491975864600285</v>
      </c>
      <c r="M5" s="60">
        <f t="shared" si="2"/>
        <v>43.353844698600284</v>
      </c>
      <c r="N5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34.491975864600278</v>
      </c>
      <c r="O5" s="96">
        <v>0</v>
      </c>
    </row>
    <row r="6" spans="1:15" x14ac:dyDescent="0.25">
      <c r="A6" s="59">
        <f>IF(TableWRMaster[[#This Row],[Player]]&lt;&gt;0,A5+1,A5)</f>
        <v>5</v>
      </c>
      <c r="B6" s="59" t="str">
        <f>ARI!A17</f>
        <v>Chris Moore</v>
      </c>
      <c r="C6" s="59" t="s">
        <v>87</v>
      </c>
      <c r="D6" s="59">
        <f>ARI!C17</f>
        <v>11</v>
      </c>
      <c r="E6" s="60">
        <f>ARI!J17</f>
        <v>0</v>
      </c>
      <c r="F6" s="60">
        <f>ARI!K17</f>
        <v>0</v>
      </c>
      <c r="G6" s="60">
        <f>ARI!L17</f>
        <v>12.973191</v>
      </c>
      <c r="H6" s="60">
        <f>ARI!M17</f>
        <v>7.7839145999999992</v>
      </c>
      <c r="I6" s="60">
        <f>ARI!N17</f>
        <v>86.479291205999985</v>
      </c>
      <c r="J6" s="60">
        <f>ARI!O17</f>
        <v>0.40409979546640457</v>
      </c>
      <c r="K6" s="60">
        <f t="shared" si="0"/>
        <v>11.072527893398426</v>
      </c>
      <c r="L6" s="60">
        <f t="shared" si="1"/>
        <v>14.964485193398426</v>
      </c>
      <c r="M6" s="60">
        <f t="shared" si="2"/>
        <v>18.856442493398426</v>
      </c>
      <c r="N6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14.964485193398426</v>
      </c>
      <c r="O6" s="96">
        <v>0</v>
      </c>
    </row>
    <row r="7" spans="1:15" x14ac:dyDescent="0.25">
      <c r="A7" s="59">
        <f>IF(TableWRMaster[[#This Row],[Player]]&lt;&gt;0,A6+1,A6)</f>
        <v>6</v>
      </c>
      <c r="B7" s="59" t="str">
        <f>ARI!A18</f>
        <v>Zach Pascal</v>
      </c>
      <c r="C7" s="59" t="s">
        <v>87</v>
      </c>
      <c r="D7" s="59">
        <f>ARI!C18</f>
        <v>11</v>
      </c>
      <c r="E7" s="60">
        <f>ARI!J18</f>
        <v>0</v>
      </c>
      <c r="F7" s="60">
        <f>ARI!K18</f>
        <v>0</v>
      </c>
      <c r="G7" s="60">
        <f>ARI!L18</f>
        <v>8.2556670000000008</v>
      </c>
      <c r="H7" s="60">
        <f>ARI!M18</f>
        <v>4.7965425269999988</v>
      </c>
      <c r="I7" s="60">
        <f>ARI!N18</f>
        <v>52.522140670649982</v>
      </c>
      <c r="J7" s="60">
        <f>ARI!O18</f>
        <v>0.28779255161999989</v>
      </c>
      <c r="K7" s="60">
        <f t="shared" si="0"/>
        <v>6.9789693767849972</v>
      </c>
      <c r="L7" s="60">
        <f t="shared" si="1"/>
        <v>9.377240640284997</v>
      </c>
      <c r="M7" s="60">
        <f t="shared" si="2"/>
        <v>11.775511903784995</v>
      </c>
      <c r="N7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9.377240640284997</v>
      </c>
      <c r="O7" s="96">
        <v>0</v>
      </c>
    </row>
    <row r="8" spans="1:15" x14ac:dyDescent="0.25">
      <c r="A8" s="59">
        <f>IF(TableWRMaster[[#This Row],[Player]]&lt;&gt;0,A7+1,A7)</f>
        <v>7</v>
      </c>
      <c r="B8" s="59" t="str">
        <f>ATL!A13</f>
        <v>Drake London</v>
      </c>
      <c r="C8" s="59" t="s">
        <v>88</v>
      </c>
      <c r="D8" s="59">
        <f>ATL!C13</f>
        <v>12</v>
      </c>
      <c r="E8" s="60">
        <f>ATL!J13</f>
        <v>0</v>
      </c>
      <c r="F8" s="60">
        <f>ATL!K13</f>
        <v>0</v>
      </c>
      <c r="G8" s="60">
        <f>ATL!L13</f>
        <v>131.13067967999999</v>
      </c>
      <c r="H8" s="60">
        <f>ATL!M13</f>
        <v>85.366072471680013</v>
      </c>
      <c r="I8" s="60">
        <f>ATL!N13</f>
        <v>1097.8076919858049</v>
      </c>
      <c r="J8" s="60">
        <f>ATL!O13</f>
        <v>7.597580449979521</v>
      </c>
      <c r="K8" s="60">
        <f t="shared" si="0"/>
        <v>155.36625189845762</v>
      </c>
      <c r="L8" s="60">
        <f t="shared" si="1"/>
        <v>198.04928813429763</v>
      </c>
      <c r="M8" s="60">
        <f t="shared" si="2"/>
        <v>240.73232437013763</v>
      </c>
      <c r="N8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198.04928813429765</v>
      </c>
      <c r="O8" s="96">
        <v>36.61908422611036</v>
      </c>
    </row>
    <row r="9" spans="1:15" x14ac:dyDescent="0.25">
      <c r="A9" s="59">
        <f>IF(TableWRMaster[[#This Row],[Player]]&lt;&gt;0,A8+1,A8)</f>
        <v>8</v>
      </c>
      <c r="B9" s="59" t="str">
        <f>ATL!A14</f>
        <v>Darnell Mooney</v>
      </c>
      <c r="C9" s="59" t="s">
        <v>88</v>
      </c>
      <c r="D9" s="59">
        <f>ATL!C14</f>
        <v>12</v>
      </c>
      <c r="E9" s="60">
        <f>ATL!J14</f>
        <v>0</v>
      </c>
      <c r="F9" s="60">
        <f>ATL!K14</f>
        <v>0</v>
      </c>
      <c r="G9" s="60">
        <f>ATL!L14</f>
        <v>98.923144319999992</v>
      </c>
      <c r="H9" s="60">
        <f>ATL!M14</f>
        <v>59.74957916927999</v>
      </c>
      <c r="I9" s="60">
        <f>ATL!N14</f>
        <v>827.53167149452781</v>
      </c>
      <c r="J9" s="60">
        <f>ATL!O14</f>
        <v>5.7651925180693366</v>
      </c>
      <c r="K9" s="60">
        <f t="shared" si="0"/>
        <v>117.3443222578688</v>
      </c>
      <c r="L9" s="60">
        <f t="shared" si="1"/>
        <v>147.2191118425088</v>
      </c>
      <c r="M9" s="60">
        <f t="shared" si="2"/>
        <v>177.09390142714878</v>
      </c>
      <c r="N9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147.21911184250882</v>
      </c>
      <c r="O9" s="96">
        <v>0.86653756075019195</v>
      </c>
    </row>
    <row r="10" spans="1:15" x14ac:dyDescent="0.25">
      <c r="A10" s="59">
        <f>IF(TableWRMaster[[#This Row],[Player]]&lt;&gt;0,A9+1,A9)</f>
        <v>9</v>
      </c>
      <c r="B10" s="59" t="str">
        <f>ATL!A15</f>
        <v>Ray-Ray McCloud</v>
      </c>
      <c r="C10" s="59" t="s">
        <v>88</v>
      </c>
      <c r="D10" s="59">
        <f>ATL!C15</f>
        <v>12</v>
      </c>
      <c r="E10" s="60">
        <f>ATL!J15</f>
        <v>0</v>
      </c>
      <c r="F10" s="60">
        <f>ATL!K15</f>
        <v>0</v>
      </c>
      <c r="G10" s="60">
        <f>ATL!L15</f>
        <v>62.114532479999994</v>
      </c>
      <c r="H10" s="60">
        <f>ATL!M15</f>
        <v>44.039203528319995</v>
      </c>
      <c r="I10" s="60">
        <f>ATL!N15</f>
        <v>445.29635845007732</v>
      </c>
      <c r="J10" s="60">
        <f>ATL!O15</f>
        <v>2.9466040126420627</v>
      </c>
      <c r="K10" s="60">
        <f t="shared" si="0"/>
        <v>62.209259920860106</v>
      </c>
      <c r="L10" s="60">
        <f t="shared" si="1"/>
        <v>84.228861685020107</v>
      </c>
      <c r="M10" s="60">
        <f t="shared" si="2"/>
        <v>106.24846344918009</v>
      </c>
      <c r="N10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84.228861685020107</v>
      </c>
      <c r="O10" s="96">
        <v>0</v>
      </c>
    </row>
    <row r="11" spans="1:15" x14ac:dyDescent="0.25">
      <c r="A11" s="59">
        <f>IF(TableWRMaster[[#This Row],[Player]]&lt;&gt;0,A10+1,A10)</f>
        <v>10</v>
      </c>
      <c r="B11" s="59" t="str">
        <f>ATL!A16</f>
        <v>KhaDarel Hodge</v>
      </c>
      <c r="C11" s="59" t="s">
        <v>88</v>
      </c>
      <c r="D11" s="59">
        <f>ATL!C16</f>
        <v>12</v>
      </c>
      <c r="E11" s="60">
        <f>ATL!J16</f>
        <v>0</v>
      </c>
      <c r="F11" s="60">
        <f>ATL!K16</f>
        <v>0</v>
      </c>
      <c r="G11" s="60">
        <f>ATL!L16</f>
        <v>21.855113279999994</v>
      </c>
      <c r="H11" s="60">
        <f>ATL!M16</f>
        <v>13.419039553919996</v>
      </c>
      <c r="I11" s="60">
        <f>ATL!N16</f>
        <v>162.90714018458877</v>
      </c>
      <c r="J11" s="60">
        <f>ATL!O16</f>
        <v>0.95316022224302988</v>
      </c>
      <c r="K11" s="60">
        <f t="shared" si="0"/>
        <v>22.009675351917057</v>
      </c>
      <c r="L11" s="60">
        <f t="shared" si="1"/>
        <v>28.719195128877054</v>
      </c>
      <c r="M11" s="60">
        <f t="shared" si="2"/>
        <v>35.428714905837055</v>
      </c>
      <c r="N11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28.719195128877054</v>
      </c>
      <c r="O11" s="96">
        <v>0</v>
      </c>
    </row>
    <row r="12" spans="1:15" x14ac:dyDescent="0.25">
      <c r="A12" s="59">
        <f>IF(TableWRMaster[[#This Row],[Player]]&lt;&gt;0,A11+1,A11)</f>
        <v>11</v>
      </c>
      <c r="B12" s="59" t="str">
        <f>ATL!A17</f>
        <v>Casey Washington</v>
      </c>
      <c r="C12" s="59" t="s">
        <v>88</v>
      </c>
      <c r="D12" s="59">
        <f>ATL!C17</f>
        <v>12</v>
      </c>
      <c r="E12" s="60">
        <f>ATL!J17</f>
        <v>0</v>
      </c>
      <c r="F12" s="60">
        <f>ATL!K17</f>
        <v>0</v>
      </c>
      <c r="G12" s="60">
        <f>ATL!L17</f>
        <v>17.82917136</v>
      </c>
      <c r="H12" s="60">
        <f>ATL!M17</f>
        <v>11.642448898080001</v>
      </c>
      <c r="I12" s="60">
        <f>ATL!N17</f>
        <v>112.93175431137601</v>
      </c>
      <c r="J12" s="60">
        <f>ATL!O17</f>
        <v>0.90811101405024008</v>
      </c>
      <c r="K12" s="60">
        <f t="shared" si="0"/>
        <v>16.741841515439042</v>
      </c>
      <c r="L12" s="60">
        <f t="shared" si="1"/>
        <v>22.563065964479044</v>
      </c>
      <c r="M12" s="60">
        <f t="shared" si="2"/>
        <v>28.384290413519043</v>
      </c>
      <c r="N12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22.563065964479041</v>
      </c>
      <c r="O12" s="96">
        <v>0</v>
      </c>
    </row>
    <row r="13" spans="1:15" x14ac:dyDescent="0.25">
      <c r="A13" s="59">
        <f>IF(TableWRMaster[[#This Row],[Player]]&lt;&gt;0,A12+1,A12)</f>
        <v>11</v>
      </c>
      <c r="B13" s="59">
        <f>ATL!A18</f>
        <v>0</v>
      </c>
      <c r="C13" s="59" t="s">
        <v>88</v>
      </c>
      <c r="D13" s="59">
        <f>ATL!C18</f>
        <v>12</v>
      </c>
      <c r="E13" s="60">
        <f>ATL!J18</f>
        <v>0</v>
      </c>
      <c r="F13" s="60">
        <f>ATL!K18</f>
        <v>0</v>
      </c>
      <c r="G13" s="60">
        <f>ATL!L18</f>
        <v>0</v>
      </c>
      <c r="H13" s="60">
        <f>ATL!M18</f>
        <v>0</v>
      </c>
      <c r="I13" s="60">
        <f>ATL!N18</f>
        <v>0</v>
      </c>
      <c r="J13" s="60">
        <f>ATL!O18</f>
        <v>0</v>
      </c>
      <c r="K13" s="60">
        <f t="shared" si="0"/>
        <v>0</v>
      </c>
      <c r="L13" s="60">
        <f t="shared" si="1"/>
        <v>0</v>
      </c>
      <c r="M13" s="60">
        <f t="shared" si="2"/>
        <v>0</v>
      </c>
      <c r="N13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13" s="96">
        <v>0</v>
      </c>
    </row>
    <row r="14" spans="1:15" x14ac:dyDescent="0.25">
      <c r="A14" s="59">
        <f>IF(TableWRMaster[[#This Row],[Player]]&lt;&gt;0,A13+1,A13)</f>
        <v>12</v>
      </c>
      <c r="B14" s="59" t="str">
        <f>BAL!A13</f>
        <v>Zay Flowers</v>
      </c>
      <c r="C14" s="59" t="s">
        <v>89</v>
      </c>
      <c r="D14" s="59">
        <f>BAL!C13</f>
        <v>14</v>
      </c>
      <c r="E14" s="60">
        <f>BAL!J13</f>
        <v>41.826687335999992</v>
      </c>
      <c r="F14" s="60">
        <f>BAL!K13</f>
        <v>0.39384828</v>
      </c>
      <c r="G14" s="60">
        <f>BAL!L13</f>
        <v>113.81002640000001</v>
      </c>
      <c r="H14" s="60">
        <f>BAL!M13</f>
        <v>78.07367811040001</v>
      </c>
      <c r="I14" s="60">
        <f>BAL!N13</f>
        <v>944.681288460264</v>
      </c>
      <c r="J14" s="60">
        <f>BAL!O13</f>
        <v>6.0116732145008003</v>
      </c>
      <c r="K14" s="60">
        <f t="shared" si="0"/>
        <v>137.0839265466312</v>
      </c>
      <c r="L14" s="60">
        <f t="shared" si="1"/>
        <v>176.12076560183121</v>
      </c>
      <c r="M14" s="60">
        <f t="shared" si="2"/>
        <v>215.15760465703121</v>
      </c>
      <c r="N14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176.12076560183124</v>
      </c>
      <c r="O14" s="96">
        <v>0.97004667829305213</v>
      </c>
    </row>
    <row r="15" spans="1:15" x14ac:dyDescent="0.25">
      <c r="A15" s="59">
        <f>IF(TableWRMaster[[#This Row],[Player]]&lt;&gt;0,A14+1,A14)</f>
        <v>13</v>
      </c>
      <c r="B15" s="59" t="str">
        <f>BAL!A14</f>
        <v>Rashod Bateman</v>
      </c>
      <c r="C15" s="59" t="s">
        <v>89</v>
      </c>
      <c r="D15" s="59">
        <f>BAL!C14</f>
        <v>14</v>
      </c>
      <c r="E15" s="60">
        <f>BAL!J14</f>
        <v>0</v>
      </c>
      <c r="F15" s="60">
        <f>BAL!K14</f>
        <v>0</v>
      </c>
      <c r="G15" s="60">
        <f>BAL!L14</f>
        <v>79.402343999999999</v>
      </c>
      <c r="H15" s="60">
        <f>BAL!M14</f>
        <v>47.244394679999992</v>
      </c>
      <c r="I15" s="60">
        <f>BAL!N14</f>
        <v>615.38894501593722</v>
      </c>
      <c r="J15" s="60">
        <f>BAL!O14</f>
        <v>3.2126188382399996</v>
      </c>
      <c r="K15" s="60">
        <f t="shared" si="0"/>
        <v>80.814607531033715</v>
      </c>
      <c r="L15" s="60">
        <f t="shared" si="1"/>
        <v>104.43680487103371</v>
      </c>
      <c r="M15" s="60">
        <f t="shared" si="2"/>
        <v>128.05900221103371</v>
      </c>
      <c r="N15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104.43680487103371</v>
      </c>
      <c r="O15" s="96">
        <v>0</v>
      </c>
    </row>
    <row r="16" spans="1:15" x14ac:dyDescent="0.25">
      <c r="A16" s="59">
        <f>IF(TableWRMaster[[#This Row],[Player]]&lt;&gt;0,A15+1,A15)</f>
        <v>14</v>
      </c>
      <c r="B16" s="59" t="str">
        <f>BAL!A15</f>
        <v>Nelson Agholor</v>
      </c>
      <c r="C16" s="59" t="s">
        <v>89</v>
      </c>
      <c r="D16" s="59">
        <f>BAL!C15</f>
        <v>14</v>
      </c>
      <c r="E16" s="60">
        <f>BAL!J15</f>
        <v>0</v>
      </c>
      <c r="F16" s="60">
        <f>BAL!K15</f>
        <v>0</v>
      </c>
      <c r="G16" s="60">
        <f>BAL!L15</f>
        <v>65.109922080000004</v>
      </c>
      <c r="H16" s="60">
        <f>BAL!M15</f>
        <v>40.30304176752</v>
      </c>
      <c r="I16" s="60">
        <f>BAL!N15</f>
        <v>486.05468371629121</v>
      </c>
      <c r="J16" s="60">
        <f>BAL!O15</f>
        <v>3.2645463831691202</v>
      </c>
      <c r="K16" s="60">
        <f t="shared" si="0"/>
        <v>68.192746670643842</v>
      </c>
      <c r="L16" s="60">
        <f t="shared" si="1"/>
        <v>88.344267554403842</v>
      </c>
      <c r="M16" s="60">
        <f t="shared" si="2"/>
        <v>108.49578843816384</v>
      </c>
      <c r="N16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88.344267554403842</v>
      </c>
      <c r="O16" s="96">
        <v>0</v>
      </c>
    </row>
    <row r="17" spans="1:15" x14ac:dyDescent="0.25">
      <c r="A17" s="59">
        <f>IF(TableWRMaster[[#This Row],[Player]]&lt;&gt;0,A16+1,A16)</f>
        <v>15</v>
      </c>
      <c r="B17" s="59" t="str">
        <f>BAL!A16</f>
        <v>Devontez Walker</v>
      </c>
      <c r="C17" s="59" t="s">
        <v>89</v>
      </c>
      <c r="D17" s="59">
        <f>BAL!C17</f>
        <v>14</v>
      </c>
      <c r="E17" s="60">
        <f>BAL!J17</f>
        <v>0</v>
      </c>
      <c r="F17" s="60">
        <f>BAL!K17</f>
        <v>0</v>
      </c>
      <c r="G17" s="60">
        <f>BAL!L16</f>
        <v>12.70437504</v>
      </c>
      <c r="H17" s="60">
        <f>BAL!M16</f>
        <v>7.4828768985600016</v>
      </c>
      <c r="I17" s="60">
        <f>BAL!N16</f>
        <v>95.822736749914085</v>
      </c>
      <c r="J17" s="60">
        <f>BAL!O16</f>
        <v>0.58366439808768011</v>
      </c>
      <c r="K17" s="60">
        <f t="shared" si="0"/>
        <v>13.08426006351749</v>
      </c>
      <c r="L17" s="60">
        <f t="shared" si="1"/>
        <v>16.825698512797491</v>
      </c>
      <c r="M17" s="60">
        <f t="shared" si="2"/>
        <v>20.567136962077491</v>
      </c>
      <c r="N17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16.825698512797491</v>
      </c>
      <c r="O17" s="96">
        <v>0</v>
      </c>
    </row>
    <row r="18" spans="1:15" x14ac:dyDescent="0.25">
      <c r="A18" s="59">
        <f>IF(TableWRMaster[[#This Row],[Player]]&lt;&gt;0,A17+1,A17)</f>
        <v>16</v>
      </c>
      <c r="B18" s="59" t="str">
        <f>BAL!A17</f>
        <v>Deonte Harty</v>
      </c>
      <c r="C18" s="59" t="s">
        <v>89</v>
      </c>
      <c r="D18" s="59">
        <f>BAL!C18</f>
        <v>14</v>
      </c>
      <c r="E18" s="60">
        <f>BAL!J18</f>
        <v>0</v>
      </c>
      <c r="F18" s="60">
        <f>BAL!K18</f>
        <v>0</v>
      </c>
      <c r="G18" s="60">
        <f>BAL!L17</f>
        <v>26.996796960000001</v>
      </c>
      <c r="H18" s="60">
        <f>BAL!M17</f>
        <v>16.252071769920001</v>
      </c>
      <c r="I18" s="60">
        <f>BAL!N17</f>
        <v>181.77188829902357</v>
      </c>
      <c r="J18" s="60">
        <f>BAL!O17</f>
        <v>1.2351574545139201</v>
      </c>
      <c r="K18" s="60">
        <f t="shared" si="0"/>
        <v>25.588133556985877</v>
      </c>
      <c r="L18" s="60">
        <f t="shared" si="1"/>
        <v>33.714169441945877</v>
      </c>
      <c r="M18" s="60">
        <f t="shared" si="2"/>
        <v>41.840205326905874</v>
      </c>
      <c r="N18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33.714169441945884</v>
      </c>
      <c r="O18" s="96">
        <v>0</v>
      </c>
    </row>
    <row r="19" spans="1:15" x14ac:dyDescent="0.25">
      <c r="A19" s="59">
        <f>IF(TableWRMaster[[#This Row],[Player]]&lt;&gt;0,A18+1,A18)</f>
        <v>16</v>
      </c>
      <c r="B19" s="59">
        <f>BAL!A18</f>
        <v>0</v>
      </c>
      <c r="C19" s="59" t="s">
        <v>89</v>
      </c>
      <c r="D19" s="59">
        <f>BAL!C16</f>
        <v>14</v>
      </c>
      <c r="E19" s="60">
        <f>BAL!J16</f>
        <v>0</v>
      </c>
      <c r="F19" s="60">
        <f>BAL!K16</f>
        <v>0</v>
      </c>
      <c r="G19" s="60">
        <f>BAL!L18</f>
        <v>0</v>
      </c>
      <c r="H19" s="60">
        <f>BAL!M18</f>
        <v>0</v>
      </c>
      <c r="I19" s="60">
        <f>BAL!N18</f>
        <v>0</v>
      </c>
      <c r="J19" s="60">
        <f>BAL!O18</f>
        <v>0</v>
      </c>
      <c r="K19" s="60">
        <f t="shared" si="0"/>
        <v>0</v>
      </c>
      <c r="L19" s="60">
        <f t="shared" si="1"/>
        <v>0</v>
      </c>
      <c r="M19" s="60">
        <f t="shared" si="2"/>
        <v>0</v>
      </c>
      <c r="N19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19" s="96">
        <v>0</v>
      </c>
    </row>
    <row r="20" spans="1:15" x14ac:dyDescent="0.25">
      <c r="A20" s="59">
        <f>IF(TableWRMaster[[#This Row],[Player]]&lt;&gt;0,A19+1,A19)</f>
        <v>17</v>
      </c>
      <c r="B20" s="59" t="str">
        <f>BUF!A13</f>
        <v>Keon Coleman</v>
      </c>
      <c r="C20" s="59" t="s">
        <v>90</v>
      </c>
      <c r="D20" s="59">
        <f>BUF!C13</f>
        <v>12</v>
      </c>
      <c r="E20" s="60">
        <f>BUF!J13</f>
        <v>0</v>
      </c>
      <c r="F20" s="60">
        <f>BUF!K13</f>
        <v>0</v>
      </c>
      <c r="G20" s="60">
        <f>BUF!L13</f>
        <v>106.29158399999999</v>
      </c>
      <c r="H20" s="60">
        <f>BUF!M13</f>
        <v>63.66865881599999</v>
      </c>
      <c r="I20" s="60">
        <f>BUF!N13</f>
        <v>832.78605731327991</v>
      </c>
      <c r="J20" s="60">
        <f>BUF!O13</f>
        <v>5.4430790493871664</v>
      </c>
      <c r="K20" s="60">
        <f t="shared" si="0"/>
        <v>115.93708002765098</v>
      </c>
      <c r="L20" s="60">
        <f t="shared" si="1"/>
        <v>147.77140943565098</v>
      </c>
      <c r="M20" s="60">
        <f t="shared" si="2"/>
        <v>179.60573884365095</v>
      </c>
      <c r="N20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147.77140943565098</v>
      </c>
      <c r="O20" s="96">
        <v>40.616501915999407</v>
      </c>
    </row>
    <row r="21" spans="1:15" x14ac:dyDescent="0.25">
      <c r="A21" s="59">
        <f>IF(TableWRMaster[[#This Row],[Player]]&lt;&gt;0,A20+1,A20)</f>
        <v>18</v>
      </c>
      <c r="B21" s="59" t="str">
        <f>BUF!A14</f>
        <v>Curtis Samuel</v>
      </c>
      <c r="C21" s="59" t="s">
        <v>90</v>
      </c>
      <c r="D21" s="59">
        <f>BUF!C14</f>
        <v>12</v>
      </c>
      <c r="E21" s="60">
        <f>BUF!J14</f>
        <v>72.430122240000003</v>
      </c>
      <c r="F21" s="60">
        <f>BUF!K14</f>
        <v>0.45604151040000007</v>
      </c>
      <c r="G21" s="60">
        <f>BUF!L14</f>
        <v>105.68420351999998</v>
      </c>
      <c r="H21" s="60">
        <f>BUF!M14</f>
        <v>69.751574323199989</v>
      </c>
      <c r="I21" s="60">
        <f>BUF!N14</f>
        <v>759.22881980822569</v>
      </c>
      <c r="J21" s="60">
        <f>BUF!O14</f>
        <v>5.253634436081648</v>
      </c>
      <c r="K21" s="60">
        <f t="shared" si="0"/>
        <v>117.42394988371245</v>
      </c>
      <c r="L21" s="60">
        <f t="shared" si="1"/>
        <v>152.29973704531244</v>
      </c>
      <c r="M21" s="60">
        <f t="shared" si="2"/>
        <v>187.17552420691243</v>
      </c>
      <c r="N21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152.29973704531247</v>
      </c>
      <c r="O21" s="96">
        <v>6.1881734118932492</v>
      </c>
    </row>
    <row r="22" spans="1:15" x14ac:dyDescent="0.25">
      <c r="A22" s="59">
        <f>IF(TableWRMaster[[#This Row],[Player]]&lt;&gt;0,A21+1,A21)</f>
        <v>19</v>
      </c>
      <c r="B22" s="59" t="str">
        <f>BUF!A15</f>
        <v>Khalil Shakir</v>
      </c>
      <c r="C22" s="59" t="s">
        <v>90</v>
      </c>
      <c r="D22" s="59">
        <f>BUF!C16</f>
        <v>12</v>
      </c>
      <c r="E22" s="60">
        <f>BUF!J16</f>
        <v>0</v>
      </c>
      <c r="F22" s="60">
        <f>BUF!K16</f>
        <v>0</v>
      </c>
      <c r="G22" s="60">
        <f>BUF!L15</f>
        <v>120.86871551999999</v>
      </c>
      <c r="H22" s="60">
        <f>BUF!M15</f>
        <v>79.410746096639983</v>
      </c>
      <c r="I22" s="60">
        <f>BUF!N15</f>
        <v>1028.3691619514877</v>
      </c>
      <c r="J22" s="60">
        <f>BUF!O15</f>
        <v>5.7969844650547184</v>
      </c>
      <c r="K22" s="60">
        <f t="shared" si="0"/>
        <v>137.6188229854771</v>
      </c>
      <c r="L22" s="60">
        <f t="shared" si="1"/>
        <v>177.32419603379708</v>
      </c>
      <c r="M22" s="60">
        <f t="shared" si="2"/>
        <v>217.02956908211706</v>
      </c>
      <c r="N22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177.32419603379708</v>
      </c>
      <c r="O22" s="96">
        <v>4.1471716410938786</v>
      </c>
    </row>
    <row r="23" spans="1:15" x14ac:dyDescent="0.25">
      <c r="A23" s="59">
        <f>IF(TableWRMaster[[#This Row],[Player]]&lt;&gt;0,A22+1,A22)</f>
        <v>20</v>
      </c>
      <c r="B23" s="59" t="str">
        <f>BUF!A16</f>
        <v>Mack Hollins</v>
      </c>
      <c r="C23" s="59" t="s">
        <v>90</v>
      </c>
      <c r="D23" s="59">
        <f>BUF!C15</f>
        <v>12</v>
      </c>
      <c r="E23" s="60">
        <f>BUF!J15</f>
        <v>22.444395903999997</v>
      </c>
      <c r="F23" s="60">
        <f>BUF!K15</f>
        <v>0</v>
      </c>
      <c r="G23" s="60">
        <f>BUF!L16</f>
        <v>27.332121599999997</v>
      </c>
      <c r="H23" s="60">
        <f>BUF!M16</f>
        <v>16.344608716799996</v>
      </c>
      <c r="I23" s="60">
        <f>BUF!N16</f>
        <v>204.30760895999995</v>
      </c>
      <c r="J23" s="60">
        <f>BUF!O16</f>
        <v>1.3500494709172779</v>
      </c>
      <c r="K23" s="60">
        <f t="shared" si="0"/>
        <v>30.775497311903663</v>
      </c>
      <c r="L23" s="60">
        <f t="shared" si="1"/>
        <v>38.947801670303662</v>
      </c>
      <c r="M23" s="60">
        <f t="shared" si="2"/>
        <v>47.12010602870366</v>
      </c>
      <c r="N23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38.947801670303662</v>
      </c>
      <c r="O23" s="96">
        <v>0</v>
      </c>
    </row>
    <row r="24" spans="1:15" x14ac:dyDescent="0.25">
      <c r="A24" s="59">
        <f>IF(TableWRMaster[[#This Row],[Player]]&lt;&gt;0,A23+1,A23)</f>
        <v>21</v>
      </c>
      <c r="B24" s="59" t="str">
        <f>BUF!A17</f>
        <v>Marquez Valdes-Scantling</v>
      </c>
      <c r="C24" s="59" t="s">
        <v>90</v>
      </c>
      <c r="D24" s="59">
        <f>BUF!C17</f>
        <v>12</v>
      </c>
      <c r="E24" s="60">
        <f>BUF!J17</f>
        <v>0</v>
      </c>
      <c r="F24" s="60">
        <f>BUF!K17</f>
        <v>0</v>
      </c>
      <c r="G24" s="60">
        <f>BUF!L17</f>
        <v>9.1107071999999985</v>
      </c>
      <c r="H24" s="60">
        <f>BUF!M17</f>
        <v>4.6009071359999991</v>
      </c>
      <c r="I24" s="60">
        <f>BUF!N17</f>
        <v>69.15163425407998</v>
      </c>
      <c r="J24" s="60">
        <f>BUF!O17</f>
        <v>0.37267347801599993</v>
      </c>
      <c r="K24" s="60">
        <f t="shared" si="0"/>
        <v>9.1512042935039979</v>
      </c>
      <c r="L24" s="60">
        <f t="shared" si="1"/>
        <v>11.451657861503998</v>
      </c>
      <c r="M24" s="60">
        <f t="shared" si="2"/>
        <v>13.752111429503998</v>
      </c>
      <c r="N24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11.451657861503998</v>
      </c>
      <c r="O24" s="96">
        <v>0</v>
      </c>
    </row>
    <row r="25" spans="1:15" x14ac:dyDescent="0.25">
      <c r="A25" s="59">
        <f>IF(TableWRMaster[[#This Row],[Player]]&lt;&gt;0,A24+1,A24)</f>
        <v>21</v>
      </c>
      <c r="B25" s="59">
        <f>BUF!A18</f>
        <v>0</v>
      </c>
      <c r="C25" s="59" t="s">
        <v>90</v>
      </c>
      <c r="D25" s="59">
        <f>BUF!C18</f>
        <v>12</v>
      </c>
      <c r="E25" s="60">
        <f>BUF!J18</f>
        <v>0</v>
      </c>
      <c r="F25" s="60">
        <f>BUF!K18</f>
        <v>0</v>
      </c>
      <c r="G25" s="60">
        <f>BUF!L18</f>
        <v>0</v>
      </c>
      <c r="H25" s="60">
        <f>BUF!M18</f>
        <v>0</v>
      </c>
      <c r="I25" s="60">
        <f>BUF!N18</f>
        <v>0</v>
      </c>
      <c r="J25" s="60">
        <f>BUF!O18</f>
        <v>0</v>
      </c>
      <c r="K25" s="60">
        <f t="shared" si="0"/>
        <v>0</v>
      </c>
      <c r="L25" s="60">
        <f t="shared" si="1"/>
        <v>0</v>
      </c>
      <c r="M25" s="60">
        <f t="shared" si="2"/>
        <v>0</v>
      </c>
      <c r="N25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25" s="96">
        <v>0</v>
      </c>
    </row>
    <row r="26" spans="1:15" x14ac:dyDescent="0.25">
      <c r="A26" s="59">
        <f>IF(TableWRMaster[[#This Row],[Player]]&lt;&gt;0,A25+1,A25)</f>
        <v>21</v>
      </c>
      <c r="B26" s="59">
        <f>BUF!A19</f>
        <v>0</v>
      </c>
      <c r="C26" s="59" t="s">
        <v>90</v>
      </c>
      <c r="D26" s="59">
        <f>BUF!C19</f>
        <v>12</v>
      </c>
      <c r="E26" s="60">
        <f>BUF!J19</f>
        <v>0</v>
      </c>
      <c r="F26" s="60">
        <f>BUF!K19</f>
        <v>0</v>
      </c>
      <c r="G26" s="60">
        <f>BUF!L19</f>
        <v>0</v>
      </c>
      <c r="H26" s="60">
        <f>BUF!M19</f>
        <v>0</v>
      </c>
      <c r="I26" s="60">
        <f>BUF!N19</f>
        <v>0</v>
      </c>
      <c r="J26" s="60">
        <f>BUF!O19</f>
        <v>0</v>
      </c>
      <c r="K26" s="60">
        <f t="shared" si="0"/>
        <v>0</v>
      </c>
      <c r="L26" s="60">
        <f t="shared" si="1"/>
        <v>0</v>
      </c>
      <c r="M26" s="60">
        <f t="shared" si="2"/>
        <v>0</v>
      </c>
      <c r="N26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26" s="96">
        <v>0</v>
      </c>
    </row>
    <row r="27" spans="1:15" x14ac:dyDescent="0.25">
      <c r="A27" s="59">
        <f>IF(TableWRMaster[[#This Row],[Player]]&lt;&gt;0,A26+1,A26)</f>
        <v>22</v>
      </c>
      <c r="B27" s="59" t="str">
        <f>CAR!A13</f>
        <v>Diontae Johnson</v>
      </c>
      <c r="C27" s="59" t="s">
        <v>91</v>
      </c>
      <c r="D27" s="59">
        <f>CAR!C13</f>
        <v>11</v>
      </c>
      <c r="E27" s="60">
        <f>CAR!J13</f>
        <v>0</v>
      </c>
      <c r="F27" s="60">
        <f>CAR!K13</f>
        <v>0</v>
      </c>
      <c r="G27" s="60">
        <f>CAR!L13</f>
        <v>127.41744399999997</v>
      </c>
      <c r="H27" s="60">
        <f>CAR!M13</f>
        <v>76.832718732000004</v>
      </c>
      <c r="I27" s="60">
        <f>CAR!N13</f>
        <v>975.77552789640004</v>
      </c>
      <c r="J27" s="60">
        <f>CAR!O13</f>
        <v>5.9161193423640004</v>
      </c>
      <c r="K27" s="60">
        <f t="shared" si="0"/>
        <v>133.07426884382403</v>
      </c>
      <c r="L27" s="60">
        <f t="shared" si="1"/>
        <v>171.49062820982402</v>
      </c>
      <c r="M27" s="60">
        <f t="shared" si="2"/>
        <v>209.90698757582402</v>
      </c>
      <c r="N27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171.49062820982402</v>
      </c>
      <c r="O27" s="96">
        <v>17.941744686042725</v>
      </c>
    </row>
    <row r="28" spans="1:15" x14ac:dyDescent="0.25">
      <c r="A28" s="59">
        <f>IF(TableWRMaster[[#This Row],[Player]]&lt;&gt;0,A27+1,A27)</f>
        <v>23</v>
      </c>
      <c r="B28" s="59" t="str">
        <f>CAR!A14</f>
        <v>Xavier Legette</v>
      </c>
      <c r="C28" s="59" t="s">
        <v>91</v>
      </c>
      <c r="D28" s="59">
        <f>CAR!C14</f>
        <v>11</v>
      </c>
      <c r="E28" s="60">
        <f>CAR!J14</f>
        <v>26.754587999999998</v>
      </c>
      <c r="F28" s="60">
        <f>CAR!K14</f>
        <v>3.4820397502044652E-2</v>
      </c>
      <c r="G28" s="60">
        <f>CAR!L14</f>
        <v>88.613040599999977</v>
      </c>
      <c r="H28" s="60">
        <f>CAR!M14</f>
        <v>55.205924293799995</v>
      </c>
      <c r="I28" s="60">
        <f>CAR!N14</f>
        <v>735.34291159341592</v>
      </c>
      <c r="J28" s="60">
        <f>CAR!O14</f>
        <v>3.6987969276846</v>
      </c>
      <c r="K28" s="60">
        <f t="shared" si="0"/>
        <v>98.611453910461464</v>
      </c>
      <c r="L28" s="60">
        <f t="shared" si="1"/>
        <v>126.21441605736146</v>
      </c>
      <c r="M28" s="60">
        <f t="shared" si="2"/>
        <v>153.81737820426144</v>
      </c>
      <c r="N28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126.21441605736145</v>
      </c>
      <c r="O28" s="96">
        <v>14.406806585771708</v>
      </c>
    </row>
    <row r="29" spans="1:15" x14ac:dyDescent="0.25">
      <c r="A29" s="59">
        <f>IF(TableWRMaster[[#This Row],[Player]]&lt;&gt;0,A28+1,A28)</f>
        <v>24</v>
      </c>
      <c r="B29" s="59" t="str">
        <f>CAR!A15</f>
        <v>Adam Thielen</v>
      </c>
      <c r="C29" s="59" t="s">
        <v>91</v>
      </c>
      <c r="D29" s="59">
        <f>CAR!C15</f>
        <v>11</v>
      </c>
      <c r="E29" s="60">
        <f>CAR!J15</f>
        <v>0</v>
      </c>
      <c r="F29" s="60">
        <f>CAR!K15</f>
        <v>0</v>
      </c>
      <c r="G29" s="60">
        <f>CAR!L15</f>
        <v>103.67146579999998</v>
      </c>
      <c r="H29" s="60">
        <f>CAR!M15</f>
        <v>67.490124235799996</v>
      </c>
      <c r="I29" s="60">
        <f>CAR!N15</f>
        <v>750.49018150209588</v>
      </c>
      <c r="J29" s="60">
        <f>CAR!O15</f>
        <v>4.6568185722702005</v>
      </c>
      <c r="K29" s="60">
        <f t="shared" si="0"/>
        <v>102.98992958383079</v>
      </c>
      <c r="L29" s="60">
        <f t="shared" si="1"/>
        <v>136.73499170173079</v>
      </c>
      <c r="M29" s="60">
        <f t="shared" si="2"/>
        <v>170.48005381963077</v>
      </c>
      <c r="N29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136.73499170173079</v>
      </c>
      <c r="O29" s="96">
        <v>0</v>
      </c>
    </row>
    <row r="30" spans="1:15" x14ac:dyDescent="0.25">
      <c r="A30" s="59">
        <f>IF(TableWRMaster[[#This Row],[Player]]&lt;&gt;0,A29+1,A29)</f>
        <v>25</v>
      </c>
      <c r="B30" s="59" t="str">
        <f>CAR!A16</f>
        <v>Jonathan Mingo</v>
      </c>
      <c r="C30" s="59" t="s">
        <v>91</v>
      </c>
      <c r="D30" s="59">
        <f>CAR!C16</f>
        <v>11</v>
      </c>
      <c r="E30" s="60">
        <f>CAR!J16</f>
        <v>0</v>
      </c>
      <c r="F30" s="60">
        <f>CAR!K16</f>
        <v>0</v>
      </c>
      <c r="G30" s="60">
        <f>CAR!L16</f>
        <v>50.966977599999993</v>
      </c>
      <c r="H30" s="60">
        <f>CAR!M16</f>
        <v>29.153111187199993</v>
      </c>
      <c r="I30" s="60">
        <f>CAR!N16</f>
        <v>349.01199817959252</v>
      </c>
      <c r="J30" s="60">
        <f>CAR!O16</f>
        <v>1.5451148929215996</v>
      </c>
      <c r="K30" s="60">
        <f t="shared" si="0"/>
        <v>44.17188917548885</v>
      </c>
      <c r="L30" s="60">
        <f t="shared" si="1"/>
        <v>58.748444769088849</v>
      </c>
      <c r="M30" s="60">
        <f t="shared" si="2"/>
        <v>73.32500036268884</v>
      </c>
      <c r="N30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58.748444769088849</v>
      </c>
      <c r="O30" s="96">
        <v>0</v>
      </c>
    </row>
    <row r="31" spans="1:15" x14ac:dyDescent="0.25">
      <c r="A31" s="59">
        <f>IF(TableWRMaster[[#This Row],[Player]]&lt;&gt;0,A30+1,A30)</f>
        <v>26</v>
      </c>
      <c r="B31" s="59" t="str">
        <f>CAR!A17</f>
        <v>David Moore</v>
      </c>
      <c r="C31" s="59" t="s">
        <v>91</v>
      </c>
      <c r="D31" s="59">
        <f>CAR!C17</f>
        <v>11</v>
      </c>
      <c r="E31" s="60">
        <f>CAR!J17</f>
        <v>0</v>
      </c>
      <c r="F31" s="60">
        <f>CAR!K17</f>
        <v>0</v>
      </c>
      <c r="G31" s="60">
        <f>CAR!L17</f>
        <v>19.691786799999999</v>
      </c>
      <c r="H31" s="60">
        <f>CAR!M17</f>
        <v>11.421236343999997</v>
      </c>
      <c r="I31" s="60">
        <f>CAR!N17</f>
        <v>135.67960425255126</v>
      </c>
      <c r="J31" s="60">
        <f>CAR!O17</f>
        <v>0.59330343990555268</v>
      </c>
      <c r="K31" s="60">
        <f t="shared" si="0"/>
        <v>17.127781064688442</v>
      </c>
      <c r="L31" s="60">
        <f t="shared" si="1"/>
        <v>22.838399236688439</v>
      </c>
      <c r="M31" s="60">
        <f t="shared" si="2"/>
        <v>28.549017408688439</v>
      </c>
      <c r="N31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22.838399236688442</v>
      </c>
      <c r="O31" s="96">
        <v>0</v>
      </c>
    </row>
    <row r="32" spans="1:15" x14ac:dyDescent="0.25">
      <c r="A32" s="59">
        <f>IF(TableWRMaster[[#This Row],[Player]]&lt;&gt;0,A31+1,A31)</f>
        <v>26</v>
      </c>
      <c r="B32" s="59">
        <f>CAR!A18</f>
        <v>0</v>
      </c>
      <c r="C32" s="59" t="s">
        <v>91</v>
      </c>
      <c r="D32" s="59">
        <f>CAR!C18</f>
        <v>11</v>
      </c>
      <c r="E32" s="60">
        <f>CAR!J18</f>
        <v>0</v>
      </c>
      <c r="F32" s="60">
        <f>CAR!K18</f>
        <v>0</v>
      </c>
      <c r="G32" s="60">
        <f>CAR!L18</f>
        <v>0</v>
      </c>
      <c r="H32" s="60">
        <f>CAR!M18</f>
        <v>0</v>
      </c>
      <c r="I32" s="60">
        <f>CAR!N18</f>
        <v>0</v>
      </c>
      <c r="J32" s="60">
        <f>CAR!O18</f>
        <v>0</v>
      </c>
      <c r="K32" s="60">
        <f t="shared" si="0"/>
        <v>0</v>
      </c>
      <c r="L32" s="60">
        <f t="shared" si="1"/>
        <v>0</v>
      </c>
      <c r="M32" s="60">
        <f t="shared" si="2"/>
        <v>0</v>
      </c>
      <c r="N32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32" s="96">
        <v>0</v>
      </c>
    </row>
    <row r="33" spans="1:15" x14ac:dyDescent="0.25">
      <c r="A33" s="59">
        <f>IF(TableWRMaster[[#This Row],[Player]]&lt;&gt;0,A32+1,A32)</f>
        <v>26</v>
      </c>
      <c r="B33" s="59">
        <f>CAR!A19</f>
        <v>0</v>
      </c>
      <c r="C33" s="59" t="s">
        <v>91</v>
      </c>
      <c r="D33" s="59">
        <f>CAR!C19</f>
        <v>11</v>
      </c>
      <c r="E33" s="60">
        <f>CAR!J19</f>
        <v>0</v>
      </c>
      <c r="F33" s="60">
        <f>CAR!K19</f>
        <v>0</v>
      </c>
      <c r="G33" s="60">
        <f>CAR!L19</f>
        <v>0</v>
      </c>
      <c r="H33" s="60">
        <f>CAR!M19</f>
        <v>0</v>
      </c>
      <c r="I33" s="60">
        <f>CAR!N19</f>
        <v>0</v>
      </c>
      <c r="J33" s="60">
        <f>CAR!O19</f>
        <v>0</v>
      </c>
      <c r="K33" s="60">
        <f t="shared" si="0"/>
        <v>0</v>
      </c>
      <c r="L33" s="60">
        <f t="shared" si="1"/>
        <v>0</v>
      </c>
      <c r="M33" s="60">
        <f t="shared" si="2"/>
        <v>0</v>
      </c>
      <c r="N33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33" s="96">
        <v>0</v>
      </c>
    </row>
    <row r="34" spans="1:15" x14ac:dyDescent="0.25">
      <c r="A34" s="59">
        <f>IF(TableWRMaster[[#This Row],[Player]]&lt;&gt;0,A33+1,A33)</f>
        <v>27</v>
      </c>
      <c r="B34" s="59" t="str">
        <f>CHI!A13</f>
        <v>DJ Moore</v>
      </c>
      <c r="C34" s="59" t="s">
        <v>92</v>
      </c>
      <c r="D34" s="59">
        <f>CHI!C13</f>
        <v>7</v>
      </c>
      <c r="E34" s="60">
        <f>CHI!J13</f>
        <v>22.906838303999997</v>
      </c>
      <c r="F34" s="60">
        <f>CHI!K13</f>
        <v>0.15058280159999998</v>
      </c>
      <c r="G34" s="60">
        <f>CHI!L13</f>
        <v>130.3659504</v>
      </c>
      <c r="H34" s="60">
        <f>CHI!M13</f>
        <v>78.871399991999979</v>
      </c>
      <c r="I34" s="60">
        <f>CHI!N13</f>
        <v>1086.0591778898397</v>
      </c>
      <c r="J34" s="60">
        <f>CHI!O13</f>
        <v>6.8122664990501116</v>
      </c>
      <c r="K34" s="60">
        <f t="shared" si="0"/>
        <v>152.67369742328464</v>
      </c>
      <c r="L34" s="60">
        <f t="shared" ref="L34:L65" si="3">K34+(H34*0.5)</f>
        <v>192.10939741928462</v>
      </c>
      <c r="M34" s="60">
        <f t="shared" ref="M34:M65" si="4">K34+H34</f>
        <v>231.5450974152846</v>
      </c>
      <c r="N34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192.10939741928462</v>
      </c>
      <c r="O34" s="96">
        <v>26.619108615592406</v>
      </c>
    </row>
    <row r="35" spans="1:15" x14ac:dyDescent="0.25">
      <c r="A35" s="59">
        <f>IF(TableWRMaster[[#This Row],[Player]]&lt;&gt;0,A34+1,A34)</f>
        <v>28</v>
      </c>
      <c r="B35" s="59" t="str">
        <f>CHI!A14</f>
        <v>Keenan Allen</v>
      </c>
      <c r="C35" s="59" t="s">
        <v>92</v>
      </c>
      <c r="D35" s="59">
        <f>CHI!C14</f>
        <v>7</v>
      </c>
      <c r="E35" s="60">
        <f>CHI!J14</f>
        <v>0</v>
      </c>
      <c r="F35" s="60">
        <f>CHI!K14</f>
        <v>0</v>
      </c>
      <c r="G35" s="60">
        <f>CHI!L14</f>
        <v>117.89616383999999</v>
      </c>
      <c r="H35" s="60">
        <f>CHI!M14</f>
        <v>76.632506495999991</v>
      </c>
      <c r="I35" s="60">
        <f>CHI!N14</f>
        <v>859.61397974057593</v>
      </c>
      <c r="J35" s="60">
        <f>CHI!O14</f>
        <v>5.4409079612159985</v>
      </c>
      <c r="K35" s="60">
        <f t="shared" si="0"/>
        <v>118.60684574135358</v>
      </c>
      <c r="L35" s="60">
        <f t="shared" si="3"/>
        <v>156.92309898935358</v>
      </c>
      <c r="M35" s="60">
        <f t="shared" si="4"/>
        <v>195.23935223735356</v>
      </c>
      <c r="N35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156.9230989893536</v>
      </c>
      <c r="O35" s="96">
        <v>3.2302874195346365</v>
      </c>
    </row>
    <row r="36" spans="1:15" x14ac:dyDescent="0.25">
      <c r="A36" s="59">
        <f>IF(TableWRMaster[[#This Row],[Player]]&lt;&gt;0,A35+1,A35)</f>
        <v>29</v>
      </c>
      <c r="B36" s="59" t="str">
        <f>CHI!A15</f>
        <v>Rome Odunze</v>
      </c>
      <c r="C36" s="59" t="s">
        <v>92</v>
      </c>
      <c r="D36" s="59">
        <f>CHI!C15</f>
        <v>7</v>
      </c>
      <c r="E36" s="60">
        <f>CHI!J15</f>
        <v>0</v>
      </c>
      <c r="F36" s="60">
        <f>CHI!K15</f>
        <v>0</v>
      </c>
      <c r="G36" s="60">
        <f>CHI!L15</f>
        <v>104.29276031999999</v>
      </c>
      <c r="H36" s="60">
        <f>CHI!M15</f>
        <v>63.618583795199974</v>
      </c>
      <c r="I36" s="60">
        <f>CHI!N15</f>
        <v>863.94036793881571</v>
      </c>
      <c r="J36" s="60">
        <f>CHI!O15</f>
        <v>5.4726278311605565</v>
      </c>
      <c r="K36" s="60">
        <f t="shared" si="0"/>
        <v>119.2298037808449</v>
      </c>
      <c r="L36" s="60">
        <f t="shared" si="3"/>
        <v>151.03909567844488</v>
      </c>
      <c r="M36" s="60">
        <f t="shared" si="4"/>
        <v>182.84838757604487</v>
      </c>
      <c r="N36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151.03909567844491</v>
      </c>
      <c r="O36" s="96">
        <v>0</v>
      </c>
    </row>
    <row r="37" spans="1:15" x14ac:dyDescent="0.25">
      <c r="A37" s="59">
        <f>IF(TableWRMaster[[#This Row],[Player]]&lt;&gt;0,A36+1,A36)</f>
        <v>30</v>
      </c>
      <c r="B37" s="59" t="str">
        <f>CHI!A16</f>
        <v>Tyler Scott</v>
      </c>
      <c r="C37" s="59" t="s">
        <v>92</v>
      </c>
      <c r="D37" s="59">
        <f>CHI!C16</f>
        <v>7</v>
      </c>
      <c r="E37" s="60">
        <f>CHI!J16</f>
        <v>0</v>
      </c>
      <c r="F37" s="60">
        <f>CHI!K16</f>
        <v>0</v>
      </c>
      <c r="G37" s="60">
        <f>CHI!L16</f>
        <v>17.004254399999997</v>
      </c>
      <c r="H37" s="60">
        <f>CHI!M16</f>
        <v>10.032510095999998</v>
      </c>
      <c r="I37" s="60">
        <f>CHI!N16</f>
        <v>122.42530065239373</v>
      </c>
      <c r="J37" s="60">
        <f>CHI!O16</f>
        <v>0.69178606093618344</v>
      </c>
      <c r="K37" s="60">
        <f t="shared" si="0"/>
        <v>16.393246430856472</v>
      </c>
      <c r="L37" s="60">
        <f t="shared" si="3"/>
        <v>21.40950147885647</v>
      </c>
      <c r="M37" s="60">
        <f t="shared" si="4"/>
        <v>26.425756526856468</v>
      </c>
      <c r="N37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21.409501478856473</v>
      </c>
      <c r="O37" s="96">
        <v>0</v>
      </c>
    </row>
    <row r="38" spans="1:15" x14ac:dyDescent="0.25">
      <c r="A38" s="59">
        <f>IF(TableWRMaster[[#This Row],[Player]]&lt;&gt;0,A37+1,A37)</f>
        <v>31</v>
      </c>
      <c r="B38" s="59" t="str">
        <f>CHI!A17</f>
        <v>Velus Jones</v>
      </c>
      <c r="C38" s="59" t="s">
        <v>92</v>
      </c>
      <c r="D38" s="59">
        <f>CHI!C17</f>
        <v>7</v>
      </c>
      <c r="E38" s="60">
        <f>CHI!J17</f>
        <v>0</v>
      </c>
      <c r="F38" s="60">
        <f>CHI!K17</f>
        <v>0</v>
      </c>
      <c r="G38" s="60">
        <f>CHI!L17</f>
        <v>11.3361696</v>
      </c>
      <c r="H38" s="60">
        <f>CHI!M17</f>
        <v>6.5749783679999991</v>
      </c>
      <c r="I38" s="60">
        <f>CHI!N17</f>
        <v>82.12745497967974</v>
      </c>
      <c r="J38" s="60">
        <f>CHI!O17</f>
        <v>0.49611210861601202</v>
      </c>
      <c r="K38" s="60">
        <f t="shared" si="0"/>
        <v>11.189418149664046</v>
      </c>
      <c r="L38" s="60">
        <f t="shared" si="3"/>
        <v>14.476907333664046</v>
      </c>
      <c r="M38" s="60">
        <f t="shared" si="4"/>
        <v>17.764396517664046</v>
      </c>
      <c r="N38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14.476907333664046</v>
      </c>
      <c r="O38" s="96">
        <v>0</v>
      </c>
    </row>
    <row r="39" spans="1:15" x14ac:dyDescent="0.25">
      <c r="A39" s="59">
        <f>IF(TableWRMaster[[#This Row],[Player]]&lt;&gt;0,A38+1,A38)</f>
        <v>31</v>
      </c>
      <c r="B39" s="59">
        <f>CHI!A18</f>
        <v>0</v>
      </c>
      <c r="C39" s="59" t="s">
        <v>92</v>
      </c>
      <c r="D39" s="59">
        <f>CHI!C18</f>
        <v>7</v>
      </c>
      <c r="E39" s="60">
        <f>CHI!J18</f>
        <v>0</v>
      </c>
      <c r="F39" s="60">
        <f>CHI!K18</f>
        <v>0</v>
      </c>
      <c r="G39" s="60">
        <f>CHI!L18</f>
        <v>0</v>
      </c>
      <c r="H39" s="60">
        <f>CHI!M18</f>
        <v>0</v>
      </c>
      <c r="I39" s="60">
        <f>CHI!N18</f>
        <v>0</v>
      </c>
      <c r="J39" s="60">
        <f>CHI!O18</f>
        <v>0</v>
      </c>
      <c r="K39" s="60">
        <f t="shared" si="0"/>
        <v>0</v>
      </c>
      <c r="L39" s="60">
        <f t="shared" si="3"/>
        <v>0</v>
      </c>
      <c r="M39" s="60">
        <f t="shared" si="4"/>
        <v>0</v>
      </c>
      <c r="N39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39" s="96">
        <v>0</v>
      </c>
    </row>
    <row r="40" spans="1:15" x14ac:dyDescent="0.25">
      <c r="A40" s="59">
        <f>IF(TableWRMaster[[#This Row],[Player]]&lt;&gt;0,A39+1,A39)</f>
        <v>31</v>
      </c>
      <c r="B40" s="59">
        <f>CHI!A19</f>
        <v>0</v>
      </c>
      <c r="C40" s="59" t="s">
        <v>92</v>
      </c>
      <c r="D40" s="59">
        <f>CHI!C19</f>
        <v>7</v>
      </c>
      <c r="E40" s="60">
        <f>CHI!J19</f>
        <v>0</v>
      </c>
      <c r="F40" s="60">
        <f>CHI!K19</f>
        <v>0</v>
      </c>
      <c r="G40" s="60">
        <f>CHI!L19</f>
        <v>0</v>
      </c>
      <c r="H40" s="60">
        <f>CHI!M19</f>
        <v>0</v>
      </c>
      <c r="I40" s="60">
        <f>CHI!N19</f>
        <v>0</v>
      </c>
      <c r="J40" s="60">
        <f>CHI!O19</f>
        <v>0</v>
      </c>
      <c r="K40" s="60">
        <f t="shared" si="0"/>
        <v>0</v>
      </c>
      <c r="L40" s="60">
        <f t="shared" si="3"/>
        <v>0</v>
      </c>
      <c r="M40" s="60">
        <f t="shared" si="4"/>
        <v>0</v>
      </c>
      <c r="N40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40" s="96">
        <v>0</v>
      </c>
    </row>
    <row r="41" spans="1:15" x14ac:dyDescent="0.25">
      <c r="A41" s="59">
        <f>IF(TableWRMaster[[#This Row],[Player]]&lt;&gt;0,A40+1,A40)</f>
        <v>32</v>
      </c>
      <c r="B41" s="59" t="str">
        <f>CIN!A13</f>
        <v>Ja'Marr Chase</v>
      </c>
      <c r="C41" s="59" t="s">
        <v>93</v>
      </c>
      <c r="D41" s="59">
        <f>CIN!C13</f>
        <v>12</v>
      </c>
      <c r="E41" s="60">
        <f>CIN!J13</f>
        <v>0</v>
      </c>
      <c r="F41" s="60">
        <f>CIN!K13</f>
        <v>0</v>
      </c>
      <c r="G41" s="60">
        <f>CIN!L13</f>
        <v>156.51559811999999</v>
      </c>
      <c r="H41" s="60">
        <f>CIN!M13</f>
        <v>106.27409112348001</v>
      </c>
      <c r="I41" s="60">
        <f>CIN!N13</f>
        <v>1317.7987299311521</v>
      </c>
      <c r="J41" s="60">
        <f>CIN!O13</f>
        <v>9.6292480890477261</v>
      </c>
      <c r="K41" s="60">
        <f t="shared" si="0"/>
        <v>189.55536152740157</v>
      </c>
      <c r="L41" s="60">
        <f t="shared" si="3"/>
        <v>242.69240708914157</v>
      </c>
      <c r="M41" s="60">
        <f t="shared" si="4"/>
        <v>295.82945265088159</v>
      </c>
      <c r="N41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242.69240708914157</v>
      </c>
      <c r="O41" s="96">
        <v>20.933498198048646</v>
      </c>
    </row>
    <row r="42" spans="1:15" x14ac:dyDescent="0.25">
      <c r="A42" s="59">
        <f>IF(TableWRMaster[[#This Row],[Player]]&lt;&gt;0,A41+1,A41)</f>
        <v>33</v>
      </c>
      <c r="B42" s="59" t="str">
        <f>CIN!A14</f>
        <v>Tee Higgins</v>
      </c>
      <c r="C42" s="59" t="s">
        <v>93</v>
      </c>
      <c r="D42" s="59">
        <f>CIN!C14</f>
        <v>12</v>
      </c>
      <c r="E42" s="60">
        <f>CIN!J14</f>
        <v>0</v>
      </c>
      <c r="F42" s="60">
        <f>CIN!K14</f>
        <v>0</v>
      </c>
      <c r="G42" s="60">
        <f>CIN!L14</f>
        <v>132.82000955999999</v>
      </c>
      <c r="H42" s="60">
        <f>CIN!M14</f>
        <v>85.270446137519997</v>
      </c>
      <c r="I42" s="60">
        <f>CIN!N14</f>
        <v>1140.9185693200177</v>
      </c>
      <c r="J42" s="60">
        <f>CIN!O14</f>
        <v>7.9301514907893598</v>
      </c>
      <c r="K42" s="60">
        <f t="shared" si="0"/>
        <v>161.67276587673794</v>
      </c>
      <c r="L42" s="60">
        <f t="shared" si="3"/>
        <v>204.30798894549793</v>
      </c>
      <c r="M42" s="60">
        <f t="shared" si="4"/>
        <v>246.94321201425794</v>
      </c>
      <c r="N42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204.30798894549793</v>
      </c>
      <c r="O42" s="96">
        <v>18.616559514554787</v>
      </c>
    </row>
    <row r="43" spans="1:15" x14ac:dyDescent="0.25">
      <c r="A43" s="59">
        <f>IF(TableWRMaster[[#This Row],[Player]]&lt;&gt;0,A42+1,A42)</f>
        <v>34</v>
      </c>
      <c r="B43" s="59" t="str">
        <f>CIN!A15</f>
        <v>Jermaine Burton</v>
      </c>
      <c r="C43" s="59" t="s">
        <v>93</v>
      </c>
      <c r="D43" s="59">
        <f>CIN!C15</f>
        <v>12</v>
      </c>
      <c r="E43" s="60">
        <f>CIN!J15</f>
        <v>0</v>
      </c>
      <c r="F43" s="60">
        <f>CIN!K15</f>
        <v>0</v>
      </c>
      <c r="G43" s="60">
        <f>CIN!L15</f>
        <v>69.839629439999996</v>
      </c>
      <c r="H43" s="60">
        <f>CIN!M15</f>
        <v>45.465598765439999</v>
      </c>
      <c r="I43" s="60">
        <f>CIN!N15</f>
        <v>557.40824086429438</v>
      </c>
      <c r="J43" s="60">
        <f>CIN!O15</f>
        <v>3.6372479012352001</v>
      </c>
      <c r="K43" s="60">
        <f t="shared" si="0"/>
        <v>77.564311493840648</v>
      </c>
      <c r="L43" s="60">
        <f t="shared" si="3"/>
        <v>100.29711087656065</v>
      </c>
      <c r="M43" s="60">
        <f t="shared" si="4"/>
        <v>123.02991025928065</v>
      </c>
      <c r="N43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100.29711087656065</v>
      </c>
      <c r="O43" s="96">
        <v>11.308631676443813</v>
      </c>
    </row>
    <row r="44" spans="1:15" x14ac:dyDescent="0.25">
      <c r="A44" s="59">
        <f>IF(TableWRMaster[[#This Row],[Player]]&lt;&gt;0,A43+1,A43)</f>
        <v>35</v>
      </c>
      <c r="B44" s="59" t="str">
        <f>CIN!A16</f>
        <v>Andrei Iosivas</v>
      </c>
      <c r="C44" s="59" t="s">
        <v>93</v>
      </c>
      <c r="D44" s="59">
        <f>CIN!C16</f>
        <v>12</v>
      </c>
      <c r="E44" s="60">
        <f>CIN!J16</f>
        <v>0</v>
      </c>
      <c r="F44" s="60">
        <f>CIN!K16</f>
        <v>0</v>
      </c>
      <c r="G44" s="60">
        <f>CIN!L16</f>
        <v>77.322446880000001</v>
      </c>
      <c r="H44" s="60">
        <f>CIN!M16</f>
        <v>48.790463981279999</v>
      </c>
      <c r="I44" s="60">
        <f>CIN!N16</f>
        <v>534.255580595016</v>
      </c>
      <c r="J44" s="60">
        <f>CIN!O16</f>
        <v>3.8056561905398398</v>
      </c>
      <c r="K44" s="60">
        <f t="shared" si="0"/>
        <v>76.259495202740638</v>
      </c>
      <c r="L44" s="60">
        <f t="shared" si="3"/>
        <v>100.65472719338064</v>
      </c>
      <c r="M44" s="60">
        <f t="shared" si="4"/>
        <v>125.04995918402064</v>
      </c>
      <c r="N44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100.65472719338064</v>
      </c>
      <c r="O44" s="96">
        <v>0</v>
      </c>
    </row>
    <row r="45" spans="1:15" x14ac:dyDescent="0.25">
      <c r="A45" s="59">
        <f>IF(TableWRMaster[[#This Row],[Player]]&lt;&gt;0,A44+1,A44)</f>
        <v>36</v>
      </c>
      <c r="B45" s="59" t="str">
        <f>CIN!A17</f>
        <v>Charlie Jones</v>
      </c>
      <c r="C45" s="59" t="s">
        <v>93</v>
      </c>
      <c r="D45" s="59">
        <f>CIN!C17</f>
        <v>12</v>
      </c>
      <c r="E45" s="60">
        <f>CIN!J17</f>
        <v>0</v>
      </c>
      <c r="F45" s="60">
        <f>CIN!K17</f>
        <v>0</v>
      </c>
      <c r="G45" s="60">
        <f>CIN!L17</f>
        <v>6.2356811999999993</v>
      </c>
      <c r="H45" s="60">
        <f>CIN!M17</f>
        <v>4.1966134476000008</v>
      </c>
      <c r="I45" s="60">
        <f>CIN!N17</f>
        <v>45.612008373950971</v>
      </c>
      <c r="J45" s="60">
        <f>CIN!O17</f>
        <v>0.29376294133200009</v>
      </c>
      <c r="K45" s="60">
        <f t="shared" si="0"/>
        <v>6.3237784853870975</v>
      </c>
      <c r="L45" s="60">
        <f t="shared" si="3"/>
        <v>8.4220852091870988</v>
      </c>
      <c r="M45" s="60">
        <f t="shared" si="4"/>
        <v>10.520391932987099</v>
      </c>
      <c r="N45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8.4220852091870988</v>
      </c>
      <c r="O45" s="96">
        <v>0</v>
      </c>
    </row>
    <row r="46" spans="1:15" x14ac:dyDescent="0.25">
      <c r="A46" s="59">
        <f>IF(TableWRMaster[[#This Row],[Player]]&lt;&gt;0,A45+1,A45)</f>
        <v>37</v>
      </c>
      <c r="B46" s="59" t="str">
        <f>CLE!A13</f>
        <v>Amari Cooper</v>
      </c>
      <c r="C46" s="59" t="s">
        <v>94</v>
      </c>
      <c r="D46" s="59">
        <f>CLE!C13</f>
        <v>10</v>
      </c>
      <c r="E46" s="60">
        <f>CLE!J13</f>
        <v>0</v>
      </c>
      <c r="F46" s="60">
        <f>CLE!K13</f>
        <v>0</v>
      </c>
      <c r="G46" s="60">
        <f>CLE!L13</f>
        <v>129.03659999999996</v>
      </c>
      <c r="H46" s="60">
        <f>CLE!M13</f>
        <v>77.42195999999997</v>
      </c>
      <c r="I46" s="60">
        <f>CLE!N13</f>
        <v>1072.2941459999995</v>
      </c>
      <c r="J46" s="60">
        <f>CLE!O13</f>
        <v>6.271178759999998</v>
      </c>
      <c r="K46" s="60">
        <f t="shared" si="0"/>
        <v>144.85648715999994</v>
      </c>
      <c r="L46" s="60">
        <f t="shared" si="3"/>
        <v>183.56746715999992</v>
      </c>
      <c r="M46" s="60">
        <f t="shared" si="4"/>
        <v>222.27844715999993</v>
      </c>
      <c r="N46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183.56746715999992</v>
      </c>
      <c r="O46" s="96">
        <v>14.220208165902186</v>
      </c>
    </row>
    <row r="47" spans="1:15" x14ac:dyDescent="0.25">
      <c r="A47" s="59">
        <f>IF(TableWRMaster[[#This Row],[Player]]&lt;&gt;0,A46+1,A46)</f>
        <v>38</v>
      </c>
      <c r="B47" s="59" t="str">
        <f>CLE!A14</f>
        <v>Jerry Jeudy</v>
      </c>
      <c r="C47" s="59" t="s">
        <v>94</v>
      </c>
      <c r="D47" s="59">
        <f>CLE!C14</f>
        <v>10</v>
      </c>
      <c r="E47" s="60">
        <f>CLE!J14</f>
        <v>0</v>
      </c>
      <c r="F47" s="60">
        <f>CLE!K14</f>
        <v>0</v>
      </c>
      <c r="G47" s="60">
        <f>CLE!L14</f>
        <v>86.024399999999986</v>
      </c>
      <c r="H47" s="60">
        <f>CLE!M14</f>
        <v>54.023323199999993</v>
      </c>
      <c r="I47" s="60">
        <f>CLE!N14</f>
        <v>700.142268672</v>
      </c>
      <c r="J47" s="60">
        <f>CLE!O14</f>
        <v>3.7384237329299896</v>
      </c>
      <c r="K47" s="60">
        <f t="shared" si="0"/>
        <v>92.444769264779936</v>
      </c>
      <c r="L47" s="60">
        <f t="shared" si="3"/>
        <v>119.45643086477993</v>
      </c>
      <c r="M47" s="60">
        <f t="shared" si="4"/>
        <v>146.46809246477994</v>
      </c>
      <c r="N47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119.45643086477995</v>
      </c>
      <c r="O47" s="96">
        <v>5.0997417510922762</v>
      </c>
    </row>
    <row r="48" spans="1:15" x14ac:dyDescent="0.25">
      <c r="A48" s="59">
        <f>IF(TableWRMaster[[#This Row],[Player]]&lt;&gt;0,A47+1,A47)</f>
        <v>39</v>
      </c>
      <c r="B48" s="59" t="str">
        <f>CLE!A15</f>
        <v>Elijah Moore</v>
      </c>
      <c r="C48" s="59" t="s">
        <v>94</v>
      </c>
      <c r="D48" s="59">
        <f>CLE!C15</f>
        <v>10</v>
      </c>
      <c r="E48" s="60">
        <f>CLE!J15</f>
        <v>0</v>
      </c>
      <c r="F48" s="60">
        <f>CLE!K15</f>
        <v>0</v>
      </c>
      <c r="G48" s="60">
        <f>CLE!L15</f>
        <v>87.099704999999986</v>
      </c>
      <c r="H48" s="60">
        <f>CLE!M15</f>
        <v>52.085623589999983</v>
      </c>
      <c r="I48" s="60">
        <f>CLE!N15</f>
        <v>571.3792907822999</v>
      </c>
      <c r="J48" s="60">
        <f>CLE!O15</f>
        <v>3.281394286169999</v>
      </c>
      <c r="K48" s="60">
        <f t="shared" si="0"/>
        <v>76.826294795249979</v>
      </c>
      <c r="L48" s="60">
        <f t="shared" si="3"/>
        <v>102.86910659024997</v>
      </c>
      <c r="M48" s="60">
        <f t="shared" si="4"/>
        <v>128.91191838524998</v>
      </c>
      <c r="N48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102.86910659024997</v>
      </c>
      <c r="O48" s="96">
        <v>0</v>
      </c>
    </row>
    <row r="49" spans="1:15" x14ac:dyDescent="0.25">
      <c r="A49" s="59">
        <f>IF(TableWRMaster[[#This Row],[Player]]&lt;&gt;0,A48+1,A48)</f>
        <v>40</v>
      </c>
      <c r="B49" s="59" t="str">
        <f>CLE!A16</f>
        <v>Cedric Tillman</v>
      </c>
      <c r="C49" s="59" t="s">
        <v>94</v>
      </c>
      <c r="D49" s="59">
        <f>CLE!C16</f>
        <v>10</v>
      </c>
      <c r="E49" s="60">
        <f>CLE!J16</f>
        <v>0</v>
      </c>
      <c r="F49" s="60">
        <f>CLE!K16</f>
        <v>0</v>
      </c>
      <c r="G49" s="60">
        <f>CLE!L16</f>
        <v>34.947412499999999</v>
      </c>
      <c r="H49" s="60">
        <f>CLE!M16</f>
        <v>19.570551000000002</v>
      </c>
      <c r="I49" s="60">
        <f>CLE!N16</f>
        <v>240.11280816840582</v>
      </c>
      <c r="J49" s="60">
        <f>CLE!O16</f>
        <v>1.5007543833046004</v>
      </c>
      <c r="K49" s="60">
        <f t="shared" si="0"/>
        <v>33.015807116668185</v>
      </c>
      <c r="L49" s="60">
        <f t="shared" si="3"/>
        <v>42.801082616668182</v>
      </c>
      <c r="M49" s="60">
        <f t="shared" si="4"/>
        <v>52.586358116668187</v>
      </c>
      <c r="N49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42.801082616668182</v>
      </c>
      <c r="O49" s="96">
        <v>0</v>
      </c>
    </row>
    <row r="50" spans="1:15" x14ac:dyDescent="0.25">
      <c r="A50" s="59">
        <f>IF(TableWRMaster[[#This Row],[Player]]&lt;&gt;0,A49+1,A49)</f>
        <v>41</v>
      </c>
      <c r="B50" s="59" t="str">
        <f>CLE!A17</f>
        <v>Jamari Thrash</v>
      </c>
      <c r="C50" s="59" t="s">
        <v>94</v>
      </c>
      <c r="D50" s="59">
        <f>CLE!C17</f>
        <v>10</v>
      </c>
      <c r="E50" s="60">
        <f>CLE!J17</f>
        <v>0</v>
      </c>
      <c r="F50" s="60">
        <f>CLE!K17</f>
        <v>0</v>
      </c>
      <c r="G50" s="60">
        <f>CLE!L17</f>
        <v>9.140092499999998</v>
      </c>
      <c r="H50" s="60">
        <f>CLE!M17</f>
        <v>5.6851375349999991</v>
      </c>
      <c r="I50" s="60">
        <f>CLE!N17</f>
        <v>65.265378901799991</v>
      </c>
      <c r="J50" s="60">
        <f>CLE!O17</f>
        <v>0.34110825209999995</v>
      </c>
      <c r="K50" s="60">
        <f t="shared" si="0"/>
        <v>8.5731874027799986</v>
      </c>
      <c r="L50" s="60">
        <f t="shared" si="3"/>
        <v>11.415756170279998</v>
      </c>
      <c r="M50" s="60">
        <f t="shared" si="4"/>
        <v>14.258324937779998</v>
      </c>
      <c r="N50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11.41575617028</v>
      </c>
      <c r="O50" s="96">
        <v>0</v>
      </c>
    </row>
    <row r="51" spans="1:15" x14ac:dyDescent="0.25">
      <c r="A51" s="59">
        <f>IF(TableWRMaster[[#This Row],[Player]]&lt;&gt;0,A50+1,A50)</f>
        <v>42</v>
      </c>
      <c r="B51" s="59" t="str">
        <f>CLE!A18</f>
        <v>David Bell</v>
      </c>
      <c r="C51" s="59" t="s">
        <v>94</v>
      </c>
      <c r="D51" s="59">
        <f>CLE!C18</f>
        <v>10</v>
      </c>
      <c r="E51" s="60">
        <f>CLE!J18</f>
        <v>0</v>
      </c>
      <c r="F51" s="60">
        <f>CLE!K18</f>
        <v>0</v>
      </c>
      <c r="G51" s="60">
        <f>CLE!L18</f>
        <v>5.3765249999999991</v>
      </c>
      <c r="H51" s="60">
        <f>CLE!M18</f>
        <v>3.2904332999999992</v>
      </c>
      <c r="I51" s="60">
        <f>CLE!N18</f>
        <v>35.317887895880361</v>
      </c>
      <c r="J51" s="60">
        <f>CLE!O18</f>
        <v>0.20826734748783171</v>
      </c>
      <c r="K51" s="60">
        <f t="shared" si="0"/>
        <v>4.781392874515026</v>
      </c>
      <c r="L51" s="60">
        <f t="shared" si="3"/>
        <v>6.4266095245150261</v>
      </c>
      <c r="M51" s="60">
        <f t="shared" si="4"/>
        <v>8.0718261745150244</v>
      </c>
      <c r="N51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6.426609524515027</v>
      </c>
      <c r="O51" s="96">
        <v>0</v>
      </c>
    </row>
    <row r="52" spans="1:15" x14ac:dyDescent="0.25">
      <c r="A52" s="59">
        <f>IF(TableWRMaster[[#This Row],[Player]]&lt;&gt;0,A51+1,A51)</f>
        <v>43</v>
      </c>
      <c r="B52" s="59" t="str">
        <f>DAL!A13</f>
        <v>CeeDee Lamb</v>
      </c>
      <c r="C52" s="59" t="s">
        <v>95</v>
      </c>
      <c r="D52" s="59">
        <f>DAL!C13</f>
        <v>7</v>
      </c>
      <c r="E52" s="60">
        <f>DAL!J13</f>
        <v>78.801206903999997</v>
      </c>
      <c r="F52" s="60">
        <f>DAL!K13</f>
        <v>0.36355804800000002</v>
      </c>
      <c r="G52" s="60">
        <f>DAL!L13</f>
        <v>160.99576415999994</v>
      </c>
      <c r="H52" s="60">
        <f>DAL!M13</f>
        <v>111.89205609119995</v>
      </c>
      <c r="I52" s="60">
        <f>DAL!N13</f>
        <v>1444.4786463175233</v>
      </c>
      <c r="J52" s="60">
        <f>DAL!O13</f>
        <v>10.18363511452486</v>
      </c>
      <c r="K52" s="60">
        <f t="shared" si="0"/>
        <v>215.61114429730151</v>
      </c>
      <c r="L52" s="60">
        <f t="shared" si="3"/>
        <v>271.55717234290148</v>
      </c>
      <c r="M52" s="60">
        <f t="shared" si="4"/>
        <v>327.50320038850145</v>
      </c>
      <c r="N52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271.55717234290148</v>
      </c>
      <c r="O52" s="96">
        <v>24.447212469858798</v>
      </c>
    </row>
    <row r="53" spans="1:15" x14ac:dyDescent="0.25">
      <c r="A53" s="59">
        <f>IF(TableWRMaster[[#This Row],[Player]]&lt;&gt;0,A52+1,A52)</f>
        <v>44</v>
      </c>
      <c r="B53" s="59" t="str">
        <f>DAL!A14</f>
        <v>Brandin Cooks</v>
      </c>
      <c r="C53" s="59" t="s">
        <v>95</v>
      </c>
      <c r="D53" s="59">
        <f>DAL!C14</f>
        <v>7</v>
      </c>
      <c r="E53" s="60">
        <f>DAL!J14</f>
        <v>0</v>
      </c>
      <c r="F53" s="60">
        <f>DAL!K14</f>
        <v>0</v>
      </c>
      <c r="G53" s="60">
        <f>DAL!L14</f>
        <v>98.183022839999964</v>
      </c>
      <c r="H53" s="60">
        <f>DAL!M14</f>
        <v>64.408062983039997</v>
      </c>
      <c r="I53" s="60">
        <f>DAL!N14</f>
        <v>774.18491705614076</v>
      </c>
      <c r="J53" s="60">
        <f>DAL!O14</f>
        <v>5.6035014795244793</v>
      </c>
      <c r="K53" s="60">
        <f t="shared" si="0"/>
        <v>111.03950058276095</v>
      </c>
      <c r="L53" s="60">
        <f t="shared" si="3"/>
        <v>143.24353207428095</v>
      </c>
      <c r="M53" s="60">
        <f t="shared" si="4"/>
        <v>175.44756356580095</v>
      </c>
      <c r="N53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143.24353207428095</v>
      </c>
      <c r="O53" s="96">
        <v>23.90004724831903</v>
      </c>
    </row>
    <row r="54" spans="1:15" x14ac:dyDescent="0.25">
      <c r="A54" s="59">
        <f>IF(TableWRMaster[[#This Row],[Player]]&lt;&gt;0,A53+1,A53)</f>
        <v>45</v>
      </c>
      <c r="B54" s="59" t="str">
        <f>DAL!A15</f>
        <v>Jalen Tolbert</v>
      </c>
      <c r="C54" s="59" t="s">
        <v>95</v>
      </c>
      <c r="D54" s="59">
        <f>DAL!C15</f>
        <v>7</v>
      </c>
      <c r="E54" s="60">
        <f>DAL!J15</f>
        <v>0</v>
      </c>
      <c r="F54" s="60">
        <f>DAL!K15</f>
        <v>0</v>
      </c>
      <c r="G54" s="60">
        <f>DAL!L15</f>
        <v>90.255201119999967</v>
      </c>
      <c r="H54" s="60">
        <f>DAL!M15</f>
        <v>55.145927884319981</v>
      </c>
      <c r="I54" s="60">
        <f>DAL!N15</f>
        <v>678.29491297713582</v>
      </c>
      <c r="J54" s="60">
        <f>DAL!O15</f>
        <v>4.6322579422828785</v>
      </c>
      <c r="K54" s="60">
        <f t="shared" si="0"/>
        <v>95.623038951410862</v>
      </c>
      <c r="L54" s="60">
        <f t="shared" si="3"/>
        <v>123.19600289357085</v>
      </c>
      <c r="M54" s="60">
        <f t="shared" si="4"/>
        <v>150.76896683573085</v>
      </c>
      <c r="N54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123.19600289357085</v>
      </c>
      <c r="O54" s="96">
        <v>7.0024089687553328</v>
      </c>
    </row>
    <row r="55" spans="1:15" x14ac:dyDescent="0.25">
      <c r="A55" s="59">
        <f>IF(TableWRMaster[[#This Row],[Player]]&lt;&gt;0,A54+1,A54)</f>
        <v>46</v>
      </c>
      <c r="B55" s="59" t="str">
        <f>DAL!A16</f>
        <v>KaVontae Turpin</v>
      </c>
      <c r="C55" s="59" t="s">
        <v>95</v>
      </c>
      <c r="D55" s="59">
        <f>DAL!C16</f>
        <v>7</v>
      </c>
      <c r="E55" s="60">
        <f>DAL!J16</f>
        <v>0</v>
      </c>
      <c r="F55" s="60">
        <f>DAL!K16</f>
        <v>0</v>
      </c>
      <c r="G55" s="60">
        <f>DAL!L16</f>
        <v>16.465475879999993</v>
      </c>
      <c r="H55" s="60">
        <f>DAL!M16</f>
        <v>10.323853376759995</v>
      </c>
      <c r="I55" s="60">
        <f>DAL!N16</f>
        <v>117.79516702883154</v>
      </c>
      <c r="J55" s="60">
        <f>DAL!O16</f>
        <v>0.8362321235175596</v>
      </c>
      <c r="K55" s="60">
        <f t="shared" si="0"/>
        <v>16.796909443988511</v>
      </c>
      <c r="L55" s="60">
        <f t="shared" si="3"/>
        <v>21.958836132368511</v>
      </c>
      <c r="M55" s="60">
        <f t="shared" si="4"/>
        <v>27.120762820748507</v>
      </c>
      <c r="N55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21.958836132368511</v>
      </c>
      <c r="O55" s="96">
        <v>0</v>
      </c>
    </row>
    <row r="56" spans="1:15" x14ac:dyDescent="0.25">
      <c r="A56" s="59">
        <f>IF(TableWRMaster[[#This Row],[Player]]&lt;&gt;0,A55+1,A55)</f>
        <v>47</v>
      </c>
      <c r="B56" s="59" t="str">
        <f>DAL!A17</f>
        <v>Ryan Flournoy</v>
      </c>
      <c r="C56" s="59" t="s">
        <v>95</v>
      </c>
      <c r="D56" s="59">
        <f>DAL!C17</f>
        <v>7</v>
      </c>
      <c r="E56" s="60">
        <f>DAL!J17</f>
        <v>0</v>
      </c>
      <c r="F56" s="60">
        <f>DAL!K17</f>
        <v>0</v>
      </c>
      <c r="G56" s="60">
        <f>DAL!L17</f>
        <v>11.586816359999995</v>
      </c>
      <c r="H56" s="60">
        <f>DAL!M17</f>
        <v>7.1606525104799967</v>
      </c>
      <c r="I56" s="60">
        <f>DAL!N17</f>
        <v>83.493208272196767</v>
      </c>
      <c r="J56" s="60">
        <f>DAL!O17</f>
        <v>0.57285220083839972</v>
      </c>
      <c r="K56" s="60">
        <f t="shared" si="0"/>
        <v>11.786434032250074</v>
      </c>
      <c r="L56" s="60">
        <f t="shared" si="3"/>
        <v>15.366760287490074</v>
      </c>
      <c r="M56" s="60">
        <f t="shared" si="4"/>
        <v>18.947086542730069</v>
      </c>
      <c r="N56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15.366760287490072</v>
      </c>
      <c r="O56" s="96">
        <v>0</v>
      </c>
    </row>
    <row r="57" spans="1:15" x14ac:dyDescent="0.25">
      <c r="A57" s="59">
        <f>IF(TableWRMaster[[#This Row],[Player]]&lt;&gt;0,A56+1,A56)</f>
        <v>48</v>
      </c>
      <c r="B57" s="59" t="str">
        <f>DAL!A18</f>
        <v>Jalen Brooks</v>
      </c>
      <c r="C57" s="59" t="s">
        <v>95</v>
      </c>
      <c r="D57" s="59">
        <f>DAL!C18</f>
        <v>7</v>
      </c>
      <c r="E57" s="60">
        <f>DAL!J18</f>
        <v>0</v>
      </c>
      <c r="F57" s="60">
        <f>DAL!K18</f>
        <v>0</v>
      </c>
      <c r="G57" s="60">
        <f>DAL!L18</f>
        <v>12.196648799999995</v>
      </c>
      <c r="H57" s="60">
        <f>DAL!M18</f>
        <v>7.4399557679999981</v>
      </c>
      <c r="I57" s="60">
        <f>DAL!N18</f>
        <v>79.384328044559979</v>
      </c>
      <c r="J57" s="60">
        <f>DAL!O18</f>
        <v>0.58673118533693014</v>
      </c>
      <c r="K57" s="60">
        <f t="shared" si="0"/>
        <v>11.458819916477578</v>
      </c>
      <c r="L57" s="60">
        <f t="shared" si="3"/>
        <v>15.178797800477577</v>
      </c>
      <c r="M57" s="60">
        <f t="shared" si="4"/>
        <v>18.898775684477577</v>
      </c>
      <c r="N57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15.178797800477579</v>
      </c>
      <c r="O57" s="96">
        <v>0</v>
      </c>
    </row>
    <row r="58" spans="1:15" x14ac:dyDescent="0.25">
      <c r="A58" s="59">
        <f>IF(TableWRMaster[[#This Row],[Player]]&lt;&gt;0,A57+1,A57)</f>
        <v>49</v>
      </c>
      <c r="B58" s="59" t="str">
        <f>DEN!A13</f>
        <v>Courtland Sutton</v>
      </c>
      <c r="C58" s="59" t="s">
        <v>96</v>
      </c>
      <c r="D58" s="59">
        <f>DEN!C13</f>
        <v>14</v>
      </c>
      <c r="E58" s="60">
        <f>DEN!J13</f>
        <v>0</v>
      </c>
      <c r="F58" s="60">
        <f>DEN!K13</f>
        <v>0</v>
      </c>
      <c r="G58" s="60">
        <f>DEN!L13</f>
        <v>121.05774040201003</v>
      </c>
      <c r="H58" s="60">
        <f>DEN!M13</f>
        <v>73.239932943216047</v>
      </c>
      <c r="I58" s="60">
        <f>DEN!N13</f>
        <v>920.62595709622576</v>
      </c>
      <c r="J58" s="60">
        <f>DEN!O13</f>
        <v>6.152154367230148</v>
      </c>
      <c r="K58" s="60">
        <f t="shared" si="0"/>
        <v>128.97552191300346</v>
      </c>
      <c r="L58" s="60">
        <f t="shared" si="3"/>
        <v>165.59548838461149</v>
      </c>
      <c r="M58" s="60">
        <f t="shared" si="4"/>
        <v>202.21545485621951</v>
      </c>
      <c r="N58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165.59548838461149</v>
      </c>
      <c r="O58" s="96">
        <v>14.156941054184479</v>
      </c>
    </row>
    <row r="59" spans="1:15" x14ac:dyDescent="0.25">
      <c r="A59" s="59">
        <f>IF(TableWRMaster[[#This Row],[Player]]&lt;&gt;0,A58+1,A58)</f>
        <v>50</v>
      </c>
      <c r="B59" s="59" t="str">
        <f>DEN!A14</f>
        <v>Josh Reynolds</v>
      </c>
      <c r="C59" s="59" t="s">
        <v>96</v>
      </c>
      <c r="D59" s="59">
        <f>DEN!C14</f>
        <v>14</v>
      </c>
      <c r="E59" s="60">
        <f>DEN!J14</f>
        <v>0</v>
      </c>
      <c r="F59" s="60">
        <f>DEN!K14</f>
        <v>0</v>
      </c>
      <c r="G59" s="60">
        <f>DEN!L14</f>
        <v>91.223605326633148</v>
      </c>
      <c r="H59" s="60">
        <f>DEN!M14</f>
        <v>54.095597958693453</v>
      </c>
      <c r="I59" s="60">
        <f>DEN!N14</f>
        <v>651.31099942266917</v>
      </c>
      <c r="J59" s="60">
        <f>DEN!O14</f>
        <v>3.9489786509846216</v>
      </c>
      <c r="K59" s="60">
        <f t="shared" si="0"/>
        <v>88.824971848174641</v>
      </c>
      <c r="L59" s="60">
        <f t="shared" si="3"/>
        <v>115.87277082752136</v>
      </c>
      <c r="M59" s="60">
        <f t="shared" si="4"/>
        <v>142.92056980686809</v>
      </c>
      <c r="N59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115.87277082752136</v>
      </c>
      <c r="O59" s="96">
        <v>5.499602009943378</v>
      </c>
    </row>
    <row r="60" spans="1:15" x14ac:dyDescent="0.25">
      <c r="A60" s="59">
        <f>IF(TableWRMaster[[#This Row],[Player]]&lt;&gt;0,A59+1,A59)</f>
        <v>51</v>
      </c>
      <c r="B60" s="59" t="str">
        <f>DEN!A15</f>
        <v>Marvin Mims</v>
      </c>
      <c r="C60" s="59" t="s">
        <v>96</v>
      </c>
      <c r="D60" s="59">
        <f>DEN!C15</f>
        <v>14</v>
      </c>
      <c r="E60" s="60">
        <f>DEN!J15</f>
        <v>0</v>
      </c>
      <c r="F60" s="60">
        <f>DEN!K15</f>
        <v>0</v>
      </c>
      <c r="G60" s="60">
        <f>DEN!L15</f>
        <v>82.61760482412059</v>
      </c>
      <c r="H60" s="60">
        <f>DEN!M15</f>
        <v>49.074857265527626</v>
      </c>
      <c r="I60" s="60">
        <f>DEN!N15</f>
        <v>667.41805881117568</v>
      </c>
      <c r="J60" s="60">
        <f>DEN!O15</f>
        <v>3.7787640094456272</v>
      </c>
      <c r="K60" s="60">
        <f t="shared" si="0"/>
        <v>89.414389937791327</v>
      </c>
      <c r="L60" s="60">
        <f t="shared" si="3"/>
        <v>113.95181857055513</v>
      </c>
      <c r="M60" s="60">
        <f t="shared" si="4"/>
        <v>138.48924720331894</v>
      </c>
      <c r="N60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113.95181857055516</v>
      </c>
      <c r="O60" s="96">
        <v>0</v>
      </c>
    </row>
    <row r="61" spans="1:15" x14ac:dyDescent="0.25">
      <c r="A61" s="59">
        <f>IF(TableWRMaster[[#This Row],[Player]]&lt;&gt;0,A60+1,A60)</f>
        <v>52</v>
      </c>
      <c r="B61" s="59" t="str">
        <f>DEN!A16</f>
        <v>Troy Franklin</v>
      </c>
      <c r="C61" s="59" t="s">
        <v>96</v>
      </c>
      <c r="D61" s="59">
        <f>DEN!C16</f>
        <v>14</v>
      </c>
      <c r="E61" s="60">
        <f>DEN!J16</f>
        <v>0</v>
      </c>
      <c r="F61" s="60">
        <f>DEN!K16</f>
        <v>0</v>
      </c>
      <c r="G61" s="60">
        <f>DEN!L16</f>
        <v>59.094536783919587</v>
      </c>
      <c r="H61" s="60">
        <f>DEN!M16</f>
        <v>34.688493092160797</v>
      </c>
      <c r="I61" s="60">
        <f>DEN!N16</f>
        <v>459.27564854020898</v>
      </c>
      <c r="J61" s="60">
        <f>DEN!O16</f>
        <v>2.4281945164512559</v>
      </c>
      <c r="K61" s="60">
        <f t="shared" si="0"/>
        <v>60.496731952728439</v>
      </c>
      <c r="L61" s="60">
        <f t="shared" si="3"/>
        <v>77.840978498808838</v>
      </c>
      <c r="M61" s="60">
        <f t="shared" si="4"/>
        <v>95.185225044889236</v>
      </c>
      <c r="N61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77.840978498808838</v>
      </c>
      <c r="O61" s="96">
        <v>0</v>
      </c>
    </row>
    <row r="62" spans="1:15" x14ac:dyDescent="0.25">
      <c r="A62" s="59">
        <f>IF(TableWRMaster[[#This Row],[Player]]&lt;&gt;0,A61+1,A61)</f>
        <v>53</v>
      </c>
      <c r="B62" s="59" t="str">
        <f>DEN!A17</f>
        <v>Devaughn Vele</v>
      </c>
      <c r="C62" s="59" t="s">
        <v>96</v>
      </c>
      <c r="D62" s="59">
        <f>DEN!C17</f>
        <v>14</v>
      </c>
      <c r="E62" s="60">
        <f>DEN!J17</f>
        <v>0</v>
      </c>
      <c r="F62" s="60">
        <f>DEN!K17</f>
        <v>0</v>
      </c>
      <c r="G62" s="60">
        <f>DEN!L17</f>
        <v>23.523068040201004</v>
      </c>
      <c r="H62" s="60">
        <f>DEN!M17</f>
        <v>13.549287191155777</v>
      </c>
      <c r="I62" s="60">
        <f>DEN!N17</f>
        <v>173.97284753444018</v>
      </c>
      <c r="J62" s="60">
        <f>DEN!O17</f>
        <v>0.97554867776321585</v>
      </c>
      <c r="K62" s="60">
        <f t="shared" si="0"/>
        <v>23.250576820023312</v>
      </c>
      <c r="L62" s="60">
        <f t="shared" si="3"/>
        <v>30.025220415601201</v>
      </c>
      <c r="M62" s="60">
        <f t="shared" si="4"/>
        <v>36.799864011179089</v>
      </c>
      <c r="N62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30.025220415601204</v>
      </c>
      <c r="O62" s="96">
        <v>0</v>
      </c>
    </row>
    <row r="63" spans="1:15" x14ac:dyDescent="0.25">
      <c r="A63" s="59">
        <f>IF(TableWRMaster[[#This Row],[Player]]&lt;&gt;0,A62+1,A62)</f>
        <v>53</v>
      </c>
      <c r="B63" s="59">
        <f>DEN!A18</f>
        <v>0</v>
      </c>
      <c r="C63" s="59" t="s">
        <v>96</v>
      </c>
      <c r="D63" s="59">
        <f>DEN!C18</f>
        <v>14</v>
      </c>
      <c r="E63" s="60">
        <f>DEN!J18</f>
        <v>0</v>
      </c>
      <c r="F63" s="60">
        <f>DEN!K18</f>
        <v>0</v>
      </c>
      <c r="G63" s="60">
        <f>DEN!L18</f>
        <v>0</v>
      </c>
      <c r="H63" s="60">
        <f>DEN!M18</f>
        <v>0</v>
      </c>
      <c r="I63" s="60">
        <f>DEN!N18</f>
        <v>0</v>
      </c>
      <c r="J63" s="60">
        <f>DEN!O18</f>
        <v>0</v>
      </c>
      <c r="K63" s="60">
        <f t="shared" si="0"/>
        <v>0</v>
      </c>
      <c r="L63" s="60">
        <f t="shared" si="3"/>
        <v>0</v>
      </c>
      <c r="M63" s="60">
        <f t="shared" si="4"/>
        <v>0</v>
      </c>
      <c r="N63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63" s="96">
        <v>0</v>
      </c>
    </row>
    <row r="64" spans="1:15" x14ac:dyDescent="0.25">
      <c r="A64" s="59">
        <f>IF(TableWRMaster[[#This Row],[Player]]&lt;&gt;0,A63+1,A63)</f>
        <v>54</v>
      </c>
      <c r="B64" s="59" t="str">
        <f>DET!A14</f>
        <v>Jameson Williams</v>
      </c>
      <c r="C64" s="59" t="s">
        <v>97</v>
      </c>
      <c r="D64" s="59">
        <f>DET!C14</f>
        <v>5</v>
      </c>
      <c r="E64" s="60">
        <f>DET!J14</f>
        <v>0</v>
      </c>
      <c r="F64" s="60">
        <f>DET!K14</f>
        <v>0</v>
      </c>
      <c r="G64" s="60">
        <f>DET!L14</f>
        <v>109.05212639999999</v>
      </c>
      <c r="H64" s="60">
        <f>DET!M14</f>
        <v>65.21317158719998</v>
      </c>
      <c r="I64" s="60">
        <f>DET!N14</f>
        <v>945.59098801439973</v>
      </c>
      <c r="J64" s="60">
        <f>DET!O14</f>
        <v>6.288854839588943</v>
      </c>
      <c r="K64" s="60">
        <f t="shared" si="0"/>
        <v>132.29222783897364</v>
      </c>
      <c r="L64" s="60">
        <f t="shared" si="3"/>
        <v>164.89881363257365</v>
      </c>
      <c r="M64" s="60">
        <f t="shared" si="4"/>
        <v>197.50539942617362</v>
      </c>
      <c r="N64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164.89881363257362</v>
      </c>
      <c r="O64" s="96">
        <v>0</v>
      </c>
    </row>
    <row r="65" spans="1:15" x14ac:dyDescent="0.25">
      <c r="A65" s="59">
        <f>IF(TableWRMaster[[#This Row],[Player]]&lt;&gt;0,A64+1,A64)</f>
        <v>55</v>
      </c>
      <c r="B65" s="59" t="str">
        <f>DET!A13</f>
        <v>Amon-Ra St. Brown</v>
      </c>
      <c r="C65" s="59" t="s">
        <v>97</v>
      </c>
      <c r="D65" s="59">
        <f>DET!C13</f>
        <v>5</v>
      </c>
      <c r="E65" s="60">
        <f>DET!J13</f>
        <v>123.26695878000001</v>
      </c>
      <c r="F65" s="60">
        <f>DET!K13</f>
        <v>0.28167640200000005</v>
      </c>
      <c r="G65" s="60">
        <f>DET!L13</f>
        <v>151.72469759999998</v>
      </c>
      <c r="H65" s="60">
        <f>DET!M13</f>
        <v>108.17970938880001</v>
      </c>
      <c r="I65" s="60">
        <f>DET!N13</f>
        <v>1337.101208045568</v>
      </c>
      <c r="J65" s="60">
        <f>DET!O13</f>
        <v>8.2331388766299778</v>
      </c>
      <c r="K65" s="60">
        <f t="shared" si="0"/>
        <v>197.12570835433667</v>
      </c>
      <c r="L65" s="60">
        <f t="shared" si="3"/>
        <v>251.21556304873667</v>
      </c>
      <c r="M65" s="60">
        <f t="shared" si="4"/>
        <v>305.30541774313667</v>
      </c>
      <c r="N65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251.21556304873667</v>
      </c>
      <c r="O65" s="96">
        <v>0</v>
      </c>
    </row>
    <row r="66" spans="1:15" x14ac:dyDescent="0.25">
      <c r="A66" s="59">
        <f>IF(TableWRMaster[[#This Row],[Player]]&lt;&gt;0,A65+1,A65)</f>
        <v>56</v>
      </c>
      <c r="B66" s="59" t="str">
        <f>DET!A16</f>
        <v>Tim Patrick</v>
      </c>
      <c r="C66" s="59" t="s">
        <v>97</v>
      </c>
      <c r="D66" s="59">
        <f>DET!C16</f>
        <v>5</v>
      </c>
      <c r="E66" s="60">
        <f>DET!J16</f>
        <v>0</v>
      </c>
      <c r="F66" s="60">
        <f>DET!K16</f>
        <v>0</v>
      </c>
      <c r="G66" s="60">
        <f>DET!L16</f>
        <v>23.706983999999999</v>
      </c>
      <c r="H66" s="60">
        <f>DET!M16</f>
        <v>13.323325008000003</v>
      </c>
      <c r="I66" s="60">
        <f>DET!N16</f>
        <v>170.93825985264004</v>
      </c>
      <c r="J66" s="60">
        <f>DET!O16</f>
        <v>0.94219304434245776</v>
      </c>
      <c r="K66" s="60">
        <f t="shared" ref="K66:K130" si="5">(E66/10)+(F66*6)+(I66/10)+(J66*6)</f>
        <v>22.74698425131875</v>
      </c>
      <c r="L66" s="60">
        <f t="shared" ref="L66:L97" si="6">K66+(H66*0.5)</f>
        <v>29.408646755318752</v>
      </c>
      <c r="M66" s="60">
        <f t="shared" ref="M66:M97" si="7">K66+H66</f>
        <v>36.070309259318755</v>
      </c>
      <c r="N66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29.408646755318752</v>
      </c>
      <c r="O66" s="96">
        <v>0</v>
      </c>
    </row>
    <row r="67" spans="1:15" x14ac:dyDescent="0.25">
      <c r="A67" s="59">
        <f>IF(TableWRMaster[[#This Row],[Player]]&lt;&gt;0,A66+1,A66)</f>
        <v>57</v>
      </c>
      <c r="B67" s="59" t="str">
        <f>DET!A15</f>
        <v>Kalif Raymond</v>
      </c>
      <c r="C67" s="59" t="s">
        <v>97</v>
      </c>
      <c r="D67" s="59">
        <f>DET!C15</f>
        <v>5</v>
      </c>
      <c r="E67" s="60">
        <f>DET!J15</f>
        <v>0</v>
      </c>
      <c r="F67" s="60">
        <f>DET!K15</f>
        <v>0</v>
      </c>
      <c r="G67" s="60">
        <f>DET!L15</f>
        <v>50.377341000000001</v>
      </c>
      <c r="H67" s="60">
        <f>DET!M15</f>
        <v>35.465648063999993</v>
      </c>
      <c r="I67" s="60">
        <f>DET!N15</f>
        <v>425.48505462750603</v>
      </c>
      <c r="J67" s="60">
        <f>DET!O15</f>
        <v>2.5889923086719993</v>
      </c>
      <c r="K67" s="60">
        <f t="shared" si="5"/>
        <v>58.082459314782596</v>
      </c>
      <c r="L67" s="60">
        <f t="shared" si="6"/>
        <v>75.815283346782593</v>
      </c>
      <c r="M67" s="60">
        <f t="shared" si="7"/>
        <v>93.548107378782589</v>
      </c>
      <c r="N67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75.815283346782593</v>
      </c>
      <c r="O67" s="96">
        <v>0</v>
      </c>
    </row>
    <row r="68" spans="1:15" x14ac:dyDescent="0.25">
      <c r="A68" s="59">
        <f>IF(TableWRMaster[[#This Row],[Player]]&lt;&gt;0,A67+1,A67)</f>
        <v>57</v>
      </c>
      <c r="B68" s="59">
        <f>DET!A18</f>
        <v>0</v>
      </c>
      <c r="C68" s="59" t="s">
        <v>97</v>
      </c>
      <c r="D68" s="59">
        <f>DET!C18</f>
        <v>5</v>
      </c>
      <c r="E68" s="60">
        <f>DET!J18</f>
        <v>0</v>
      </c>
      <c r="F68" s="60">
        <f>DET!K18</f>
        <v>0</v>
      </c>
      <c r="G68" s="60">
        <f>DET!L18</f>
        <v>0</v>
      </c>
      <c r="H68" s="60">
        <f>DET!M18</f>
        <v>0</v>
      </c>
      <c r="I68" s="60">
        <f>DET!N18</f>
        <v>0</v>
      </c>
      <c r="J68" s="60">
        <f>DET!O18</f>
        <v>0</v>
      </c>
      <c r="K68" s="60">
        <f t="shared" si="5"/>
        <v>0</v>
      </c>
      <c r="L68" s="60">
        <f t="shared" si="6"/>
        <v>0</v>
      </c>
      <c r="M68" s="60">
        <f t="shared" si="7"/>
        <v>0</v>
      </c>
      <c r="N68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68" s="96">
        <v>0</v>
      </c>
    </row>
    <row r="69" spans="1:15" x14ac:dyDescent="0.25">
      <c r="A69" s="59">
        <f>IF(TableWRMaster[[#This Row],[Player]]&lt;&gt;0,A68+1,A68)</f>
        <v>58</v>
      </c>
      <c r="B69" s="59" t="str">
        <f>DET!A17</f>
        <v>Antoine Green</v>
      </c>
      <c r="C69" s="59" t="s">
        <v>97</v>
      </c>
      <c r="D69" s="59">
        <f>DET!C17</f>
        <v>5</v>
      </c>
      <c r="E69" s="60">
        <f>DET!J17</f>
        <v>0</v>
      </c>
      <c r="F69" s="60">
        <f>DET!K17</f>
        <v>0</v>
      </c>
      <c r="G69" s="60">
        <f>DET!L17</f>
        <v>11.853491999999999</v>
      </c>
      <c r="H69" s="60">
        <f>DET!M17</f>
        <v>6.7564904400000003</v>
      </c>
      <c r="I69" s="60">
        <f>DET!N17</f>
        <v>87.901940624399998</v>
      </c>
      <c r="J69" s="60">
        <f>DET!O17</f>
        <v>0.44891383942220314</v>
      </c>
      <c r="K69" s="60">
        <f t="shared" si="5"/>
        <v>11.483677098973217</v>
      </c>
      <c r="L69" s="60">
        <f t="shared" si="6"/>
        <v>14.861922318973217</v>
      </c>
      <c r="M69" s="60">
        <f t="shared" si="7"/>
        <v>18.240167538973218</v>
      </c>
      <c r="N69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14.861922318973217</v>
      </c>
      <c r="O69" s="96">
        <v>0</v>
      </c>
    </row>
    <row r="70" spans="1:15" x14ac:dyDescent="0.25">
      <c r="A70" s="59">
        <f>IF(TableWRMaster[[#This Row],[Player]]&lt;&gt;0,A69+1,A69)</f>
        <v>59</v>
      </c>
      <c r="B70" s="59" t="str">
        <f>GB!A13</f>
        <v>Christian Watson</v>
      </c>
      <c r="C70" s="59" t="s">
        <v>98</v>
      </c>
      <c r="D70" s="59">
        <f>GB!C13</f>
        <v>10</v>
      </c>
      <c r="E70" s="60">
        <f>GB!J13</f>
        <v>29.210695359999999</v>
      </c>
      <c r="F70" s="60">
        <f>GB!K13</f>
        <v>5.0365375419039952E-2</v>
      </c>
      <c r="G70" s="60">
        <f>GB!L13</f>
        <v>100.92596639999999</v>
      </c>
      <c r="H70" s="60">
        <f>GB!M13</f>
        <v>58.839838411199977</v>
      </c>
      <c r="I70" s="60">
        <f>GB!N13</f>
        <v>850.23566504183964</v>
      </c>
      <c r="J70" s="60">
        <f>GB!O13</f>
        <v>6.3664705160918382</v>
      </c>
      <c r="K70" s="60">
        <f t="shared" si="5"/>
        <v>126.44565138924924</v>
      </c>
      <c r="L70" s="60">
        <f t="shared" si="6"/>
        <v>155.86557059484923</v>
      </c>
      <c r="M70" s="60">
        <f t="shared" si="7"/>
        <v>185.28548980044923</v>
      </c>
      <c r="N70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155.86557059484923</v>
      </c>
      <c r="O70" s="96">
        <v>48</v>
      </c>
    </row>
    <row r="71" spans="1:15" x14ac:dyDescent="0.25">
      <c r="A71" s="59">
        <f>IF(TableWRMaster[[#This Row],[Player]]&lt;&gt;0,A70+1,A70)</f>
        <v>60</v>
      </c>
      <c r="B71" s="59" t="str">
        <f>GB!A14</f>
        <v>Romeo Doubs</v>
      </c>
      <c r="C71" s="59" t="s">
        <v>98</v>
      </c>
      <c r="D71" s="59">
        <f>GB!C14</f>
        <v>10</v>
      </c>
      <c r="E71" s="60">
        <f>GB!J14</f>
        <v>0</v>
      </c>
      <c r="F71" s="60">
        <f>GB!K14</f>
        <v>0</v>
      </c>
      <c r="G71" s="60">
        <f>GB!L14</f>
        <v>108.90881120000002</v>
      </c>
      <c r="H71" s="60">
        <f>GB!M14</f>
        <v>68.939277489600016</v>
      </c>
      <c r="I71" s="60">
        <f>GB!N14</f>
        <v>818.99861657644828</v>
      </c>
      <c r="J71" s="60">
        <f>GB!O14</f>
        <v>7.1758097393709663</v>
      </c>
      <c r="K71" s="60">
        <f t="shared" si="5"/>
        <v>124.95472009387063</v>
      </c>
      <c r="L71" s="60">
        <f t="shared" si="6"/>
        <v>159.42435883867063</v>
      </c>
      <c r="M71" s="60">
        <f t="shared" si="7"/>
        <v>193.89399758347065</v>
      </c>
      <c r="N71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159.42435883867063</v>
      </c>
      <c r="O71" s="96">
        <v>0</v>
      </c>
    </row>
    <row r="72" spans="1:15" x14ac:dyDescent="0.25">
      <c r="A72" s="59">
        <f>IF(TableWRMaster[[#This Row],[Player]]&lt;&gt;0,A71+1,A71)</f>
        <v>61</v>
      </c>
      <c r="B72" s="59" t="str">
        <f>GB!A15</f>
        <v>Jayden Reed</v>
      </c>
      <c r="C72" s="59" t="s">
        <v>98</v>
      </c>
      <c r="D72" s="59">
        <f>GB!C15</f>
        <v>10</v>
      </c>
      <c r="E72" s="60">
        <f>GB!J15</f>
        <v>137.09314079999999</v>
      </c>
      <c r="F72" s="60">
        <f>GB!K15</f>
        <v>0.80643023999999985</v>
      </c>
      <c r="G72" s="60">
        <f>GB!L15</f>
        <v>82.679463999999996</v>
      </c>
      <c r="H72" s="60">
        <f>GB!M15</f>
        <v>55.312561416000001</v>
      </c>
      <c r="I72" s="60">
        <f>GB!N15</f>
        <v>680.89763103096004</v>
      </c>
      <c r="J72" s="60">
        <f>GB!O15</f>
        <v>5.199380773104</v>
      </c>
      <c r="K72" s="60">
        <f t="shared" si="5"/>
        <v>117.83394326172001</v>
      </c>
      <c r="L72" s="60">
        <f t="shared" si="6"/>
        <v>145.49022396972001</v>
      </c>
      <c r="M72" s="60">
        <f t="shared" si="7"/>
        <v>173.14650467772</v>
      </c>
      <c r="N72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145.49022396972001</v>
      </c>
      <c r="O72" s="96">
        <v>0</v>
      </c>
    </row>
    <row r="73" spans="1:15" x14ac:dyDescent="0.25">
      <c r="A73" s="59">
        <f>IF(TableWRMaster[[#This Row],[Player]]&lt;&gt;0,A72+1,A72)</f>
        <v>62</v>
      </c>
      <c r="B73" s="59" t="str">
        <f>GB!A16</f>
        <v>Dontayvion Wicks</v>
      </c>
      <c r="C73" s="59" t="s">
        <v>98</v>
      </c>
      <c r="D73" s="59">
        <f>GB!C16</f>
        <v>10</v>
      </c>
      <c r="E73" s="60">
        <f>GB!J16</f>
        <v>0</v>
      </c>
      <c r="F73" s="60">
        <f>GB!K16</f>
        <v>0</v>
      </c>
      <c r="G73" s="60">
        <f>GB!L16</f>
        <v>77.547635200000016</v>
      </c>
      <c r="H73" s="60">
        <f>GB!M16</f>
        <v>49.320295987200012</v>
      </c>
      <c r="I73" s="60">
        <f>GB!N16</f>
        <v>632.28619455590422</v>
      </c>
      <c r="J73" s="60">
        <f>GB!O16</f>
        <v>4.8229422719613764</v>
      </c>
      <c r="K73" s="60">
        <f t="shared" si="5"/>
        <v>92.166273087358675</v>
      </c>
      <c r="L73" s="60">
        <f t="shared" si="6"/>
        <v>116.82642108095868</v>
      </c>
      <c r="M73" s="60">
        <f t="shared" si="7"/>
        <v>141.4865690745587</v>
      </c>
      <c r="N73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116.82642108095868</v>
      </c>
      <c r="O73" s="96">
        <v>0</v>
      </c>
    </row>
    <row r="74" spans="1:15" x14ac:dyDescent="0.25">
      <c r="A74" s="59">
        <f>IF(TableWRMaster[[#This Row],[Player]]&lt;&gt;0,A73+1,A73)</f>
        <v>63</v>
      </c>
      <c r="B74" s="59" t="str">
        <f>GB!A17</f>
        <v>Bo Melton</v>
      </c>
      <c r="C74" s="59" t="s">
        <v>98</v>
      </c>
      <c r="D74" s="59">
        <f>GB!C17</f>
        <v>10</v>
      </c>
      <c r="E74" s="60">
        <f>GB!J17</f>
        <v>0</v>
      </c>
      <c r="F74" s="60">
        <f>GB!K17</f>
        <v>0</v>
      </c>
      <c r="G74" s="60">
        <f>GB!L17</f>
        <v>11.404064</v>
      </c>
      <c r="H74" s="60">
        <f>GB!M17</f>
        <v>7.264388767999999</v>
      </c>
      <c r="I74" s="60">
        <f>GB!N17</f>
        <v>86.736801889919988</v>
      </c>
      <c r="J74" s="60">
        <f>GB!O17</f>
        <v>0.58115110143999993</v>
      </c>
      <c r="K74" s="60">
        <f t="shared" si="5"/>
        <v>12.160586797631998</v>
      </c>
      <c r="L74" s="60">
        <f t="shared" si="6"/>
        <v>15.792781181631998</v>
      </c>
      <c r="M74" s="60">
        <f t="shared" si="7"/>
        <v>19.424975565631996</v>
      </c>
      <c r="N74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15.792781181632</v>
      </c>
      <c r="O74" s="96">
        <v>0</v>
      </c>
    </row>
    <row r="75" spans="1:15" x14ac:dyDescent="0.25">
      <c r="A75" s="59">
        <f>IF(TableWRMaster[[#This Row],[Player]]&lt;&gt;0,A74+1,A74)</f>
        <v>63</v>
      </c>
      <c r="B75" s="59">
        <f>GB!A18</f>
        <v>0</v>
      </c>
      <c r="C75" s="59" t="s">
        <v>98</v>
      </c>
      <c r="D75" s="59">
        <f>GB!C18</f>
        <v>10</v>
      </c>
      <c r="E75" s="60">
        <f>GB!J18</f>
        <v>0</v>
      </c>
      <c r="F75" s="60">
        <f>GB!K18</f>
        <v>0</v>
      </c>
      <c r="G75" s="60">
        <f>GB!L18</f>
        <v>0</v>
      </c>
      <c r="H75" s="60">
        <f>GB!M18</f>
        <v>0</v>
      </c>
      <c r="I75" s="60">
        <f>GB!N18</f>
        <v>0</v>
      </c>
      <c r="J75" s="60">
        <f>GB!O18</f>
        <v>0</v>
      </c>
      <c r="K75" s="60">
        <f t="shared" si="5"/>
        <v>0</v>
      </c>
      <c r="L75" s="60">
        <f t="shared" si="6"/>
        <v>0</v>
      </c>
      <c r="M75" s="60">
        <f t="shared" si="7"/>
        <v>0</v>
      </c>
      <c r="N75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75" s="96">
        <v>0</v>
      </c>
    </row>
    <row r="76" spans="1:15" x14ac:dyDescent="0.25">
      <c r="A76" s="59">
        <f>IF(TableWRMaster[[#This Row],[Player]]&lt;&gt;0,A75+1,A75)</f>
        <v>63</v>
      </c>
      <c r="B76" s="59">
        <f>GB!A19</f>
        <v>0</v>
      </c>
      <c r="C76" s="59" t="s">
        <v>98</v>
      </c>
      <c r="D76" s="59">
        <f>GB!C19</f>
        <v>10</v>
      </c>
      <c r="E76" s="60">
        <f>GB!J19</f>
        <v>0</v>
      </c>
      <c r="F76" s="60">
        <f>GB!K19</f>
        <v>0</v>
      </c>
      <c r="G76" s="60">
        <f>GB!L19</f>
        <v>0</v>
      </c>
      <c r="H76" s="60">
        <f>GB!M19</f>
        <v>0</v>
      </c>
      <c r="I76" s="60">
        <f>GB!N19</f>
        <v>0</v>
      </c>
      <c r="J76" s="60">
        <f>GB!O19</f>
        <v>0</v>
      </c>
      <c r="K76" s="60">
        <f t="shared" si="5"/>
        <v>0</v>
      </c>
      <c r="L76" s="60">
        <f t="shared" si="6"/>
        <v>0</v>
      </c>
      <c r="M76" s="60">
        <f t="shared" si="7"/>
        <v>0</v>
      </c>
      <c r="N76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76" s="96">
        <v>0</v>
      </c>
    </row>
    <row r="77" spans="1:15" x14ac:dyDescent="0.25">
      <c r="A77" s="59">
        <f>IF(TableWRMaster[[#This Row],[Player]]&lt;&gt;0,A76+1,A76)</f>
        <v>64</v>
      </c>
      <c r="B77" s="59" t="str">
        <f>HOU!A13</f>
        <v>Stefon Diggs</v>
      </c>
      <c r="C77" s="59" t="s">
        <v>99</v>
      </c>
      <c r="D77" s="59">
        <f>HOU!C13</f>
        <v>14</v>
      </c>
      <c r="E77" s="60">
        <f>HOU!J13</f>
        <v>21.335321279999999</v>
      </c>
      <c r="F77" s="60">
        <f>HOU!K13</f>
        <v>2.1230708481496999E-2</v>
      </c>
      <c r="G77" s="60">
        <f>HOU!L13</f>
        <v>124.78065599999998</v>
      </c>
      <c r="H77" s="60">
        <f>HOU!M13</f>
        <v>83.603039519999996</v>
      </c>
      <c r="I77" s="60">
        <f>HOU!N13</f>
        <v>1014.1048693776</v>
      </c>
      <c r="J77" s="60">
        <f>HOU!O13</f>
        <v>6.6169173018700276</v>
      </c>
      <c r="K77" s="60">
        <f t="shared" si="5"/>
        <v>143.37290712786915</v>
      </c>
      <c r="L77" s="60">
        <f t="shared" si="6"/>
        <v>185.17442688786915</v>
      </c>
      <c r="M77" s="60">
        <f t="shared" si="7"/>
        <v>226.97594664786914</v>
      </c>
      <c r="N77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185.17442688786917</v>
      </c>
      <c r="O77" s="96">
        <v>15.101987749916791</v>
      </c>
    </row>
    <row r="78" spans="1:15" x14ac:dyDescent="0.25">
      <c r="A78" s="59">
        <f>IF(TableWRMaster[[#This Row],[Player]]&lt;&gt;0,A77+1,A77)</f>
        <v>65</v>
      </c>
      <c r="B78" s="59" t="str">
        <f>HOU!A14</f>
        <v>Nico Collins</v>
      </c>
      <c r="C78" s="59" t="s">
        <v>99</v>
      </c>
      <c r="D78" s="59">
        <f>HOU!C14</f>
        <v>14</v>
      </c>
      <c r="E78" s="60">
        <f>HOU!J14</f>
        <v>0</v>
      </c>
      <c r="F78" s="60">
        <f>HOU!K14</f>
        <v>0</v>
      </c>
      <c r="G78" s="60">
        <f>HOU!L14</f>
        <v>125.96904319999999</v>
      </c>
      <c r="H78" s="60">
        <f>HOU!M14</f>
        <v>81.627939993599981</v>
      </c>
      <c r="I78" s="60">
        <f>HOU!N14</f>
        <v>1186.8702475069435</v>
      </c>
      <c r="J78" s="60">
        <f>HOU!O14</f>
        <v>7.8362822393855982</v>
      </c>
      <c r="K78" s="60">
        <f t="shared" si="5"/>
        <v>165.70471818700793</v>
      </c>
      <c r="L78" s="60">
        <f t="shared" si="6"/>
        <v>206.51868818380791</v>
      </c>
      <c r="M78" s="60">
        <f t="shared" si="7"/>
        <v>247.33265818060789</v>
      </c>
      <c r="N78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206.51868818380797</v>
      </c>
      <c r="O78" s="96">
        <v>0</v>
      </c>
    </row>
    <row r="79" spans="1:15" x14ac:dyDescent="0.25">
      <c r="A79" s="59">
        <f>IF(TableWRMaster[[#This Row],[Player]]&lt;&gt;0,A78+1,A78)</f>
        <v>66</v>
      </c>
      <c r="B79" s="59" t="str">
        <f>HOU!A15</f>
        <v>Tank Dell</v>
      </c>
      <c r="C79" s="59" t="s">
        <v>99</v>
      </c>
      <c r="D79" s="59">
        <f>HOU!C15</f>
        <v>14</v>
      </c>
      <c r="E79" s="60">
        <f>HOU!J15</f>
        <v>106.20909936000001</v>
      </c>
      <c r="F79" s="60">
        <f>HOU!K15</f>
        <v>9.8735493019248236E-2</v>
      </c>
      <c r="G79" s="60">
        <f>HOU!L15</f>
        <v>109.33162239999997</v>
      </c>
      <c r="H79" s="60">
        <f>HOU!M15</f>
        <v>67.238947775999989</v>
      </c>
      <c r="I79" s="60">
        <f>HOU!N15</f>
        <v>970.93040588543977</v>
      </c>
      <c r="J79" s="60">
        <f>HOU!O15</f>
        <v>6.6566558298239995</v>
      </c>
      <c r="K79" s="60">
        <f t="shared" si="5"/>
        <v>148.24629846160346</v>
      </c>
      <c r="L79" s="60">
        <f t="shared" si="6"/>
        <v>181.86577234960345</v>
      </c>
      <c r="M79" s="60">
        <f t="shared" si="7"/>
        <v>215.48524623760346</v>
      </c>
      <c r="N79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181.86577234960347</v>
      </c>
      <c r="O79" s="96">
        <v>0</v>
      </c>
    </row>
    <row r="80" spans="1:15" x14ac:dyDescent="0.25">
      <c r="A80" s="59">
        <f>IF(TableWRMaster[[#This Row],[Player]]&lt;&gt;0,A79+1,A79)</f>
        <v>67</v>
      </c>
      <c r="B80" s="59" t="str">
        <f>HOU!A16</f>
        <v>Robert Woods</v>
      </c>
      <c r="C80" s="59" t="s">
        <v>99</v>
      </c>
      <c r="D80" s="59">
        <f>HOU!C16</f>
        <v>14</v>
      </c>
      <c r="E80" s="60">
        <f>HOU!J16</f>
        <v>0</v>
      </c>
      <c r="F80" s="60">
        <f>HOU!K16</f>
        <v>0</v>
      </c>
      <c r="G80" s="60">
        <f>HOU!L16</f>
        <v>23.767743999999997</v>
      </c>
      <c r="H80" s="60">
        <f>HOU!M16</f>
        <v>14.640930303999996</v>
      </c>
      <c r="I80" s="60">
        <f>HOU!N16</f>
        <v>162.5096094716055</v>
      </c>
      <c r="J80" s="60">
        <f>HOU!O16</f>
        <v>0.97500091100811492</v>
      </c>
      <c r="K80" s="60">
        <f t="shared" si="5"/>
        <v>22.100966413209239</v>
      </c>
      <c r="L80" s="60">
        <f t="shared" si="6"/>
        <v>29.421431565209236</v>
      </c>
      <c r="M80" s="60">
        <f t="shared" si="7"/>
        <v>36.741896717209237</v>
      </c>
      <c r="N80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29.421431565209236</v>
      </c>
      <c r="O80" s="96">
        <v>0</v>
      </c>
    </row>
    <row r="81" spans="1:15" x14ac:dyDescent="0.25">
      <c r="A81" s="59">
        <f>IF(TableWRMaster[[#This Row],[Player]]&lt;&gt;0,A80+1,A80)</f>
        <v>68</v>
      </c>
      <c r="B81" s="59" t="str">
        <f>HOU!A17</f>
        <v>Xavier Hutchinson</v>
      </c>
      <c r="C81" s="59" t="s">
        <v>99</v>
      </c>
      <c r="D81" s="59">
        <f>HOU!C17</f>
        <v>14</v>
      </c>
      <c r="E81" s="60">
        <f>HOU!J17</f>
        <v>0</v>
      </c>
      <c r="F81" s="60">
        <f>HOU!K17</f>
        <v>0</v>
      </c>
      <c r="G81" s="60">
        <f>HOU!L17</f>
        <v>11.883871999999998</v>
      </c>
      <c r="H81" s="60">
        <f>HOU!M17</f>
        <v>6.6074328319999998</v>
      </c>
      <c r="I81" s="60">
        <f>HOU!N17</f>
        <v>82.880429860884632</v>
      </c>
      <c r="J81" s="60">
        <f>HOU!O17</f>
        <v>0.46907235215565302</v>
      </c>
      <c r="K81" s="60">
        <f t="shared" si="5"/>
        <v>11.102477099022382</v>
      </c>
      <c r="L81" s="60">
        <f t="shared" si="6"/>
        <v>14.406193515022382</v>
      </c>
      <c r="M81" s="60">
        <f t="shared" si="7"/>
        <v>17.709909931022381</v>
      </c>
      <c r="N81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14.406193515022382</v>
      </c>
      <c r="O81" s="96">
        <v>0</v>
      </c>
    </row>
    <row r="82" spans="1:15" x14ac:dyDescent="0.25">
      <c r="A82" s="59">
        <f>IF(TableWRMaster[[#This Row],[Player]]&lt;&gt;0,A81+1,A81)</f>
        <v>69</v>
      </c>
      <c r="B82" s="59" t="str">
        <f>HOU!A18</f>
        <v>John Metchie</v>
      </c>
      <c r="C82" s="59" t="s">
        <v>99</v>
      </c>
      <c r="D82" s="59">
        <f>HOU!C18</f>
        <v>14</v>
      </c>
      <c r="E82" s="60">
        <f>HOU!J18</f>
        <v>0</v>
      </c>
      <c r="F82" s="60">
        <f>HOU!K18</f>
        <v>0</v>
      </c>
      <c r="G82" s="60">
        <f>HOU!L18</f>
        <v>23.767743999999997</v>
      </c>
      <c r="H82" s="60">
        <f>HOU!M18</f>
        <v>14.569627072000001</v>
      </c>
      <c r="I82" s="60">
        <f>HOU!N18</f>
        <v>171.92159944960002</v>
      </c>
      <c r="J82" s="60">
        <f>HOU!O18</f>
        <v>1.107291657472</v>
      </c>
      <c r="K82" s="60">
        <f t="shared" si="5"/>
        <v>23.835909889792003</v>
      </c>
      <c r="L82" s="60">
        <f t="shared" si="6"/>
        <v>31.120723425792004</v>
      </c>
      <c r="M82" s="60">
        <f t="shared" si="7"/>
        <v>38.405536961792002</v>
      </c>
      <c r="N82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31.120723425792004</v>
      </c>
      <c r="O82" s="96">
        <v>0</v>
      </c>
    </row>
    <row r="83" spans="1:15" x14ac:dyDescent="0.25">
      <c r="A83" s="59">
        <f>IF(TableWRMaster[[#This Row],[Player]]&lt;&gt;0,A82+1,A82)</f>
        <v>69</v>
      </c>
      <c r="B83" s="59">
        <f>HOU!A19</f>
        <v>0</v>
      </c>
      <c r="C83" s="59" t="s">
        <v>99</v>
      </c>
      <c r="D83" s="59">
        <f>HOU!C19</f>
        <v>14</v>
      </c>
      <c r="E83" s="60">
        <f>HOU!J19</f>
        <v>0</v>
      </c>
      <c r="F83" s="60">
        <f>HOU!K19</f>
        <v>0</v>
      </c>
      <c r="G83" s="60">
        <f>HOU!L19</f>
        <v>0</v>
      </c>
      <c r="H83" s="60">
        <f>HOU!M19</f>
        <v>0</v>
      </c>
      <c r="I83" s="60">
        <f>HOU!N19</f>
        <v>0</v>
      </c>
      <c r="J83" s="60">
        <f>HOU!O19</f>
        <v>0</v>
      </c>
      <c r="K83" s="60">
        <f t="shared" si="5"/>
        <v>0</v>
      </c>
      <c r="L83" s="60">
        <f t="shared" si="6"/>
        <v>0</v>
      </c>
      <c r="M83" s="60">
        <f t="shared" si="7"/>
        <v>0</v>
      </c>
      <c r="N83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83" s="96">
        <v>0</v>
      </c>
    </row>
    <row r="84" spans="1:15" x14ac:dyDescent="0.25">
      <c r="A84" s="59">
        <f>IF(TableWRMaster[[#This Row],[Player]]&lt;&gt;0,A83+1,A83)</f>
        <v>70</v>
      </c>
      <c r="B84" s="59" t="str">
        <f>IND!A13</f>
        <v>Michael Pittman</v>
      </c>
      <c r="C84" s="59" t="s">
        <v>100</v>
      </c>
      <c r="D84" s="59">
        <f>IND!C13</f>
        <v>14</v>
      </c>
      <c r="E84" s="60">
        <f>IND!J13</f>
        <v>0</v>
      </c>
      <c r="F84" s="60">
        <f>IND!K13</f>
        <v>0</v>
      </c>
      <c r="G84" s="60">
        <f>IND!L13</f>
        <v>133.08384320000002</v>
      </c>
      <c r="H84" s="60">
        <f>IND!M13</f>
        <v>84.242072745599998</v>
      </c>
      <c r="I84" s="60">
        <f>IND!N13</f>
        <v>963.72931220966393</v>
      </c>
      <c r="J84" s="60">
        <f>IND!O13</f>
        <v>5.8127030194464</v>
      </c>
      <c r="K84" s="60">
        <f t="shared" si="5"/>
        <v>131.24914933764478</v>
      </c>
      <c r="L84" s="60">
        <f t="shared" si="6"/>
        <v>173.37018571044479</v>
      </c>
      <c r="M84" s="60">
        <f t="shared" si="7"/>
        <v>215.49122208324479</v>
      </c>
      <c r="N84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173.37018571044479</v>
      </c>
      <c r="O84" s="96">
        <v>3.1584315476577665</v>
      </c>
    </row>
    <row r="85" spans="1:15" x14ac:dyDescent="0.25">
      <c r="A85" s="59">
        <f>IF(TableWRMaster[[#This Row],[Player]]&lt;&gt;0,A84+1,A84)</f>
        <v>71</v>
      </c>
      <c r="B85" s="59" t="str">
        <f>IND!A14</f>
        <v>Adonai Mitchell</v>
      </c>
      <c r="C85" s="59" t="s">
        <v>100</v>
      </c>
      <c r="D85" s="59">
        <f>IND!C14</f>
        <v>14</v>
      </c>
      <c r="E85" s="60">
        <f>IND!J14</f>
        <v>0</v>
      </c>
      <c r="F85" s="60">
        <f>IND!K14</f>
        <v>0</v>
      </c>
      <c r="G85" s="60">
        <f>IND!L14</f>
        <v>109.4721936</v>
      </c>
      <c r="H85" s="60">
        <f>IND!M14</f>
        <v>65.68331615999999</v>
      </c>
      <c r="I85" s="60">
        <f>IND!N14</f>
        <v>891.97943345279987</v>
      </c>
      <c r="J85" s="60">
        <f>IND!O14</f>
        <v>4.991932028159999</v>
      </c>
      <c r="K85" s="60">
        <f t="shared" si="5"/>
        <v>119.14953551423997</v>
      </c>
      <c r="L85" s="60">
        <f t="shared" si="6"/>
        <v>151.99119359423997</v>
      </c>
      <c r="M85" s="60">
        <f t="shared" si="7"/>
        <v>184.83285167423998</v>
      </c>
      <c r="N85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151.99119359423997</v>
      </c>
      <c r="O85" s="96">
        <v>0.64776135372820753</v>
      </c>
    </row>
    <row r="86" spans="1:15" x14ac:dyDescent="0.25">
      <c r="A86" s="59">
        <f>IF(TableWRMaster[[#This Row],[Player]]&lt;&gt;0,A85+1,A85)</f>
        <v>72</v>
      </c>
      <c r="B86" s="59" t="str">
        <f>IND!A15</f>
        <v>Josh Downs</v>
      </c>
      <c r="C86" s="59" t="s">
        <v>100</v>
      </c>
      <c r="D86" s="59">
        <f>IND!C15</f>
        <v>14</v>
      </c>
      <c r="E86" s="60">
        <f>IND!J15</f>
        <v>0</v>
      </c>
      <c r="F86" s="60">
        <f>IND!K15</f>
        <v>0</v>
      </c>
      <c r="G86" s="60">
        <f>IND!L15</f>
        <v>90.153571200000016</v>
      </c>
      <c r="H86" s="60">
        <f>IND!M15</f>
        <v>57.247517712000004</v>
      </c>
      <c r="I86" s="60">
        <f>IND!N15</f>
        <v>665.63086757443432</v>
      </c>
      <c r="J86" s="60">
        <f>IND!O15</f>
        <v>3.8355836867040005</v>
      </c>
      <c r="K86" s="60">
        <f t="shared" si="5"/>
        <v>89.576588877667433</v>
      </c>
      <c r="L86" s="60">
        <f t="shared" si="6"/>
        <v>118.20034773366743</v>
      </c>
      <c r="M86" s="60">
        <f t="shared" si="7"/>
        <v>146.82410658966745</v>
      </c>
      <c r="N86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118.20034773366744</v>
      </c>
      <c r="O86" s="96">
        <v>0</v>
      </c>
    </row>
    <row r="87" spans="1:15" x14ac:dyDescent="0.25">
      <c r="A87" s="59">
        <f>IF(TableWRMaster[[#This Row],[Player]]&lt;&gt;0,A86+1,A86)</f>
        <v>73</v>
      </c>
      <c r="B87" s="59" t="str">
        <f>IND!A16</f>
        <v>Anthony Gould</v>
      </c>
      <c r="C87" s="59" t="s">
        <v>100</v>
      </c>
      <c r="D87" s="59">
        <f>IND!C16</f>
        <v>14</v>
      </c>
      <c r="E87" s="60">
        <f>IND!J16</f>
        <v>0</v>
      </c>
      <c r="F87" s="60">
        <f>IND!K16</f>
        <v>0</v>
      </c>
      <c r="G87" s="60">
        <f>IND!L16</f>
        <v>23.075021199999998</v>
      </c>
      <c r="H87" s="60">
        <f>IND!M16</f>
        <v>13.568112465599999</v>
      </c>
      <c r="I87" s="60">
        <f>IND!N16</f>
        <v>161.05349496667196</v>
      </c>
      <c r="J87" s="60">
        <f>IND!O16</f>
        <v>0.86835919779839998</v>
      </c>
      <c r="K87" s="60">
        <f t="shared" si="5"/>
        <v>21.315504683457597</v>
      </c>
      <c r="L87" s="60">
        <f t="shared" si="6"/>
        <v>28.099560916257595</v>
      </c>
      <c r="M87" s="60">
        <f t="shared" si="7"/>
        <v>34.883617149057599</v>
      </c>
      <c r="N87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28.099560916257602</v>
      </c>
      <c r="O87" s="96">
        <v>0</v>
      </c>
    </row>
    <row r="88" spans="1:15" x14ac:dyDescent="0.25">
      <c r="A88" s="59">
        <f>IF(TableWRMaster[[#This Row],[Player]]&lt;&gt;0,A87+1,A87)</f>
        <v>74</v>
      </c>
      <c r="B88" s="59" t="str">
        <f>IND!A17</f>
        <v>Alec Pierce</v>
      </c>
      <c r="C88" s="59" t="s">
        <v>100</v>
      </c>
      <c r="D88" s="59">
        <f>IND!C17</f>
        <v>14</v>
      </c>
      <c r="E88" s="60">
        <f>IND!J17</f>
        <v>0</v>
      </c>
      <c r="F88" s="60">
        <f>IND!K17</f>
        <v>0</v>
      </c>
      <c r="G88" s="60">
        <f>IND!L17</f>
        <v>19.8552508</v>
      </c>
      <c r="H88" s="60">
        <f>IND!M17</f>
        <v>10.225454162000002</v>
      </c>
      <c r="I88" s="60">
        <f>IND!N17</f>
        <v>152.74291920424301</v>
      </c>
      <c r="J88" s="60">
        <f>IND!O17</f>
        <v>0.77713451631200015</v>
      </c>
      <c r="K88" s="60">
        <f t="shared" si="5"/>
        <v>19.937099018296301</v>
      </c>
      <c r="L88" s="60">
        <f t="shared" si="6"/>
        <v>25.049826099296304</v>
      </c>
      <c r="M88" s="60">
        <f t="shared" si="7"/>
        <v>30.162553180296303</v>
      </c>
      <c r="N88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25.049826099296304</v>
      </c>
      <c r="O88" s="96">
        <v>0</v>
      </c>
    </row>
    <row r="89" spans="1:15" x14ac:dyDescent="0.25">
      <c r="A89" s="59">
        <f>IF(TableWRMaster[[#This Row],[Player]]&lt;&gt;0,A88+1,A88)</f>
        <v>74</v>
      </c>
      <c r="B89" s="59">
        <f>IND!A18</f>
        <v>0</v>
      </c>
      <c r="C89" s="59" t="s">
        <v>100</v>
      </c>
      <c r="D89" s="59">
        <f>IND!C18</f>
        <v>14</v>
      </c>
      <c r="E89" s="60">
        <f>IND!J18</f>
        <v>0</v>
      </c>
      <c r="F89" s="60">
        <f>IND!K18</f>
        <v>0</v>
      </c>
      <c r="G89" s="60">
        <f>IND!L18</f>
        <v>0</v>
      </c>
      <c r="H89" s="60">
        <f>IND!M18</f>
        <v>0</v>
      </c>
      <c r="I89" s="60">
        <f>IND!N18</f>
        <v>0</v>
      </c>
      <c r="J89" s="60">
        <f>IND!O18</f>
        <v>0</v>
      </c>
      <c r="K89" s="60">
        <f t="shared" si="5"/>
        <v>0</v>
      </c>
      <c r="L89" s="60">
        <f t="shared" si="6"/>
        <v>0</v>
      </c>
      <c r="M89" s="60">
        <f t="shared" si="7"/>
        <v>0</v>
      </c>
      <c r="N89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89" s="96">
        <v>0</v>
      </c>
    </row>
    <row r="90" spans="1:15" x14ac:dyDescent="0.25">
      <c r="A90" s="59">
        <f>IF(TableWRMaster[[#This Row],[Player]]&lt;&gt;0,A89+1,A89)</f>
        <v>75</v>
      </c>
      <c r="B90" s="59" t="str">
        <f>JAX!A13</f>
        <v>Christian Kirk</v>
      </c>
      <c r="C90" s="59" t="s">
        <v>118</v>
      </c>
      <c r="D90" s="59">
        <f>JAX!C13</f>
        <v>12</v>
      </c>
      <c r="E90" s="60">
        <f>JAX!J13</f>
        <v>20.158053551999998</v>
      </c>
      <c r="F90" s="60">
        <f>JAX!K13</f>
        <v>1.9425730309908129E-2</v>
      </c>
      <c r="G90" s="60">
        <f>JAX!L13</f>
        <v>132.48231919999998</v>
      </c>
      <c r="H90" s="60">
        <f>JAX!M13</f>
        <v>86.24598979919999</v>
      </c>
      <c r="I90" s="60">
        <f>JAX!N13</f>
        <v>1066.8628938161039</v>
      </c>
      <c r="J90" s="60">
        <f>JAX!O13</f>
        <v>5.6059893369479994</v>
      </c>
      <c r="K90" s="60">
        <f t="shared" si="5"/>
        <v>142.45458514035784</v>
      </c>
      <c r="L90" s="60">
        <f t="shared" si="6"/>
        <v>185.57758003995784</v>
      </c>
      <c r="M90" s="60">
        <f t="shared" si="7"/>
        <v>228.70057493955784</v>
      </c>
      <c r="N90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185.57758003995784</v>
      </c>
      <c r="O90" s="96">
        <v>15.838701358844826</v>
      </c>
    </row>
    <row r="91" spans="1:15" x14ac:dyDescent="0.25">
      <c r="A91" s="59">
        <f>IF(TableWRMaster[[#This Row],[Player]]&lt;&gt;0,A90+1,A90)</f>
        <v>76</v>
      </c>
      <c r="B91" s="59" t="str">
        <f>JAX!A14</f>
        <v>Brian Thomas</v>
      </c>
      <c r="C91" s="59" t="s">
        <v>118</v>
      </c>
      <c r="D91" s="59">
        <f>JAX!C14</f>
        <v>12</v>
      </c>
      <c r="E91" s="60">
        <f>JAX!J14</f>
        <v>0</v>
      </c>
      <c r="F91" s="60">
        <f>JAX!K14</f>
        <v>0</v>
      </c>
      <c r="G91" s="60">
        <f>JAX!L14</f>
        <v>125.25601087999999</v>
      </c>
      <c r="H91" s="60">
        <f>JAX!M14</f>
        <v>78.285006799999991</v>
      </c>
      <c r="I91" s="60">
        <f>JAX!N14</f>
        <v>1025.53358908</v>
      </c>
      <c r="J91" s="60">
        <f>JAX!O14</f>
        <v>6.5759405711999994</v>
      </c>
      <c r="K91" s="60">
        <f t="shared" si="5"/>
        <v>142.00900233519999</v>
      </c>
      <c r="L91" s="60">
        <f t="shared" si="6"/>
        <v>181.15150573519998</v>
      </c>
      <c r="M91" s="60">
        <f t="shared" si="7"/>
        <v>220.29400913519999</v>
      </c>
      <c r="N91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181.1515057352</v>
      </c>
      <c r="O91" s="96">
        <v>10.083300050857609</v>
      </c>
    </row>
    <row r="92" spans="1:15" x14ac:dyDescent="0.25">
      <c r="A92" s="59">
        <f>IF(TableWRMaster[[#This Row],[Player]]&lt;&gt;0,A91+1,A91)</f>
        <v>77</v>
      </c>
      <c r="B92" s="59" t="str">
        <f>JAX!A15</f>
        <v>Gabe Davis</v>
      </c>
      <c r="C92" s="59" t="s">
        <v>118</v>
      </c>
      <c r="D92" s="59">
        <f>JAX!C15</f>
        <v>12</v>
      </c>
      <c r="E92" s="60">
        <f>JAX!J15</f>
        <v>0</v>
      </c>
      <c r="F92" s="60">
        <f>JAX!K15</f>
        <v>0</v>
      </c>
      <c r="G92" s="60">
        <f>JAX!L15</f>
        <v>91.533238719999986</v>
      </c>
      <c r="H92" s="60">
        <f>JAX!M15</f>
        <v>53.089278457599988</v>
      </c>
      <c r="I92" s="60">
        <f>JAX!N15</f>
        <v>743.24989840639978</v>
      </c>
      <c r="J92" s="60">
        <f>JAX!O15</f>
        <v>5.2558385673023995</v>
      </c>
      <c r="K92" s="60">
        <f t="shared" si="5"/>
        <v>105.86002124445437</v>
      </c>
      <c r="L92" s="60">
        <f t="shared" si="6"/>
        <v>132.40466047325435</v>
      </c>
      <c r="M92" s="60">
        <f t="shared" si="7"/>
        <v>158.94929970205436</v>
      </c>
      <c r="N92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132.40466047325438</v>
      </c>
      <c r="O92" s="96">
        <v>8.5562358386140911</v>
      </c>
    </row>
    <row r="93" spans="1:15" x14ac:dyDescent="0.25">
      <c r="A93" s="59">
        <f>IF(TableWRMaster[[#This Row],[Player]]&lt;&gt;0,A92+1,A92)</f>
        <v>78</v>
      </c>
      <c r="B93" s="59" t="str">
        <f>JAX!A16</f>
        <v>Parker Washington</v>
      </c>
      <c r="C93" s="59" t="s">
        <v>118</v>
      </c>
      <c r="D93" s="59">
        <f>JAX!C16</f>
        <v>12</v>
      </c>
      <c r="E93" s="60">
        <f>JAX!J16</f>
        <v>0</v>
      </c>
      <c r="F93" s="60">
        <f>JAX!K16</f>
        <v>0</v>
      </c>
      <c r="G93" s="60">
        <f>JAX!L16</f>
        <v>16.861386079999999</v>
      </c>
      <c r="H93" s="60">
        <f>JAX!M16</f>
        <v>11.550049464800002</v>
      </c>
      <c r="I93" s="60">
        <f>JAX!N16</f>
        <v>116.53999909983203</v>
      </c>
      <c r="J93" s="60">
        <f>JAX!O16</f>
        <v>0.77385331414160019</v>
      </c>
      <c r="K93" s="60">
        <f t="shared" si="5"/>
        <v>16.297119794832803</v>
      </c>
      <c r="L93" s="60">
        <f t="shared" si="6"/>
        <v>22.072144527232805</v>
      </c>
      <c r="M93" s="60">
        <f t="shared" si="7"/>
        <v>27.847169259632807</v>
      </c>
      <c r="N93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22.072144527232805</v>
      </c>
      <c r="O93" s="96">
        <v>0</v>
      </c>
    </row>
    <row r="94" spans="1:15" x14ac:dyDescent="0.25">
      <c r="A94" s="59">
        <f>IF(TableWRMaster[[#This Row],[Player]]&lt;&gt;0,A93+1,A93)</f>
        <v>79</v>
      </c>
      <c r="B94" s="59" t="str">
        <f>JAX!A17</f>
        <v>Tim Jones</v>
      </c>
      <c r="C94" s="59" t="s">
        <v>118</v>
      </c>
      <c r="D94" s="59">
        <f>JAX!C17</f>
        <v>12</v>
      </c>
      <c r="E94" s="60">
        <f>JAX!J17</f>
        <v>0</v>
      </c>
      <c r="F94" s="60">
        <f>JAX!K17</f>
        <v>0</v>
      </c>
      <c r="G94" s="60">
        <f>JAX!L17</f>
        <v>12.043847199999998</v>
      </c>
      <c r="H94" s="60">
        <f>JAX!M17</f>
        <v>6.8649929039999975</v>
      </c>
      <c r="I94" s="60">
        <f>JAX!N17</f>
        <v>73.043524498559975</v>
      </c>
      <c r="J94" s="60">
        <f>JAX!O17</f>
        <v>0.45244498229927416</v>
      </c>
      <c r="K94" s="60">
        <f t="shared" si="5"/>
        <v>10.019022343651642</v>
      </c>
      <c r="L94" s="60">
        <f t="shared" si="6"/>
        <v>13.451518795651641</v>
      </c>
      <c r="M94" s="60">
        <f t="shared" si="7"/>
        <v>16.884015247651639</v>
      </c>
      <c r="N94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13.451518795651641</v>
      </c>
      <c r="O94" s="96">
        <v>0</v>
      </c>
    </row>
    <row r="95" spans="1:15" x14ac:dyDescent="0.25">
      <c r="A95" s="59">
        <f>IF(TableWRMaster[[#This Row],[Player]]&lt;&gt;0,A94+1,A94)</f>
        <v>80</v>
      </c>
      <c r="B95" s="59" t="str">
        <f>JAX!A18</f>
        <v>Devin Duvernay</v>
      </c>
      <c r="C95" s="59" t="s">
        <v>118</v>
      </c>
      <c r="D95" s="59">
        <f>JAX!C18</f>
        <v>12</v>
      </c>
      <c r="E95" s="60">
        <f>JAX!J18</f>
        <v>0</v>
      </c>
      <c r="F95" s="60">
        <f>JAX!K18</f>
        <v>0</v>
      </c>
      <c r="G95" s="60">
        <f>JAX!L18</f>
        <v>6.0219235999999992</v>
      </c>
      <c r="H95" s="60">
        <f>JAX!M18</f>
        <v>3.9624257287999982</v>
      </c>
      <c r="I95" s="60">
        <f>JAX!N18</f>
        <v>37.921826363946415</v>
      </c>
      <c r="J95" s="60">
        <f>JAX!O18</f>
        <v>0.24317386951205217</v>
      </c>
      <c r="K95" s="60">
        <f t="shared" si="5"/>
        <v>5.2512258534669538</v>
      </c>
      <c r="L95" s="60">
        <f t="shared" si="6"/>
        <v>7.2324387178669527</v>
      </c>
      <c r="M95" s="60">
        <f t="shared" si="7"/>
        <v>9.2136515822669516</v>
      </c>
      <c r="N95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7.2324387178669536</v>
      </c>
      <c r="O95" s="96">
        <v>0</v>
      </c>
    </row>
    <row r="96" spans="1:15" x14ac:dyDescent="0.25">
      <c r="A96" s="59">
        <f>IF(TableWRMaster[[#This Row],[Player]]&lt;&gt;0,A95+1,A95)</f>
        <v>80</v>
      </c>
      <c r="B96" s="59">
        <f>JAX!A19</f>
        <v>0</v>
      </c>
      <c r="C96" s="59" t="s">
        <v>118</v>
      </c>
      <c r="D96" s="59">
        <f>JAX!C19</f>
        <v>12</v>
      </c>
      <c r="E96" s="60">
        <f>JAX!J19</f>
        <v>0</v>
      </c>
      <c r="F96" s="60">
        <f>JAX!K19</f>
        <v>0</v>
      </c>
      <c r="G96" s="60">
        <f>JAX!L19</f>
        <v>0</v>
      </c>
      <c r="H96" s="60">
        <f>JAX!M19</f>
        <v>0</v>
      </c>
      <c r="I96" s="60">
        <f>JAX!N19</f>
        <v>0</v>
      </c>
      <c r="J96" s="60">
        <f>JAX!O19</f>
        <v>0</v>
      </c>
      <c r="K96" s="60">
        <f t="shared" si="5"/>
        <v>0</v>
      </c>
      <c r="L96" s="60">
        <f t="shared" si="6"/>
        <v>0</v>
      </c>
      <c r="M96" s="60">
        <f t="shared" si="7"/>
        <v>0</v>
      </c>
      <c r="N96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96" s="96">
        <v>0</v>
      </c>
    </row>
    <row r="97" spans="1:15" x14ac:dyDescent="0.25">
      <c r="A97" s="59">
        <f>IF(TableWRMaster[[#This Row],[Player]]&lt;&gt;0,A96+1,A96)</f>
        <v>81</v>
      </c>
      <c r="B97" s="59" t="str">
        <f>KC!A13</f>
        <v>Marquise Brown</v>
      </c>
      <c r="C97" s="59" t="s">
        <v>102</v>
      </c>
      <c r="D97" s="59">
        <f>KC!C13</f>
        <v>6</v>
      </c>
      <c r="E97" s="60">
        <f>KC!J13</f>
        <v>21.095244799999996</v>
      </c>
      <c r="F97" s="60">
        <f>KC!K13</f>
        <v>9.9597622528370192E-3</v>
      </c>
      <c r="G97" s="60">
        <f>KC!L13</f>
        <v>115.98182399999997</v>
      </c>
      <c r="H97" s="60">
        <f>KC!M13</f>
        <v>70.400967167999966</v>
      </c>
      <c r="I97" s="60">
        <f>KC!N13</f>
        <v>916.62059252735958</v>
      </c>
      <c r="J97" s="60">
        <f>KC!O13</f>
        <v>6.7584928481279967</v>
      </c>
      <c r="K97" s="60">
        <f t="shared" si="5"/>
        <v>134.38229939502096</v>
      </c>
      <c r="L97" s="60">
        <f t="shared" si="6"/>
        <v>169.58278297902095</v>
      </c>
      <c r="M97" s="60">
        <f t="shared" si="7"/>
        <v>204.78326656302093</v>
      </c>
      <c r="N97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169.58278297902092</v>
      </c>
      <c r="O97" s="96">
        <v>45.236144655695469</v>
      </c>
    </row>
    <row r="98" spans="1:15" x14ac:dyDescent="0.25">
      <c r="A98" s="59">
        <f>IF(TableWRMaster[[#This Row],[Player]]&lt;&gt;0,A97+1,A97)</f>
        <v>82</v>
      </c>
      <c r="B98" s="59" t="str">
        <f>KC!A14</f>
        <v>Rashee Rice</v>
      </c>
      <c r="C98" s="59" t="s">
        <v>102</v>
      </c>
      <c r="D98" s="59">
        <f>KC!C14</f>
        <v>6</v>
      </c>
      <c r="E98" s="60">
        <f>KC!J14</f>
        <v>21.095244799999996</v>
      </c>
      <c r="F98" s="60">
        <f>KC!K14</f>
        <v>1.0947701395606461E-2</v>
      </c>
      <c r="G98" s="60">
        <f>KC!L14</f>
        <v>130.47955199999998</v>
      </c>
      <c r="H98" s="60">
        <f>KC!M14</f>
        <v>93.945277439999984</v>
      </c>
      <c r="I98" s="60">
        <f>KC!N14</f>
        <v>1100.0991988223998</v>
      </c>
      <c r="J98" s="60">
        <f>KC!O14</f>
        <v>7.7035127500799989</v>
      </c>
      <c r="K98" s="60">
        <f t="shared" si="5"/>
        <v>158.4062070710936</v>
      </c>
      <c r="L98" s="60">
        <f t="shared" ref="L98:L107" si="8">K98+(H98*0.5)</f>
        <v>205.3788457910936</v>
      </c>
      <c r="M98" s="60">
        <f t="shared" ref="M98:M107" si="9">K98+H98</f>
        <v>252.35148451109359</v>
      </c>
      <c r="N98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205.3788457910936</v>
      </c>
      <c r="O98" s="96">
        <v>8.9593049382982386</v>
      </c>
    </row>
    <row r="99" spans="1:15" x14ac:dyDescent="0.25">
      <c r="A99" s="59">
        <f>IF(TableWRMaster[[#This Row],[Player]]&lt;&gt;0,A98+1,A98)</f>
        <v>83</v>
      </c>
      <c r="B99" s="59" t="str">
        <f>KC!A15</f>
        <v>Xavier Worthy</v>
      </c>
      <c r="C99" s="59" t="s">
        <v>102</v>
      </c>
      <c r="D99" s="59">
        <f>KC!C15</f>
        <v>6</v>
      </c>
      <c r="E99" s="60">
        <f>KC!J15</f>
        <v>48.830028799999994</v>
      </c>
      <c r="F99" s="60">
        <f>KC!K15</f>
        <v>4.0865895995797472E-2</v>
      </c>
      <c r="G99" s="60">
        <f>KC!L15</f>
        <v>100.22342399999998</v>
      </c>
      <c r="H99" s="60">
        <f>KC!M15</f>
        <v>64.142991359999982</v>
      </c>
      <c r="I99" s="60">
        <f>KC!N15</f>
        <v>885.17328076799981</v>
      </c>
      <c r="J99" s="60">
        <f>KC!O15</f>
        <v>6.2860131532799981</v>
      </c>
      <c r="K99" s="60">
        <f t="shared" si="5"/>
        <v>131.36160525245475</v>
      </c>
      <c r="L99" s="60">
        <f t="shared" si="8"/>
        <v>163.43310093245475</v>
      </c>
      <c r="M99" s="60">
        <f t="shared" si="9"/>
        <v>195.50459661245475</v>
      </c>
      <c r="N99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163.43310093245475</v>
      </c>
      <c r="O99" s="96">
        <v>0</v>
      </c>
    </row>
    <row r="100" spans="1:15" x14ac:dyDescent="0.25">
      <c r="A100" s="59">
        <f>IF(TableWRMaster[[#This Row],[Player]]&lt;&gt;0,A99+1,A99)</f>
        <v>84</v>
      </c>
      <c r="B100" s="59" t="str">
        <f>KC!A16</f>
        <v>JuJu Smith-Schuster</v>
      </c>
      <c r="C100" s="59" t="s">
        <v>102</v>
      </c>
      <c r="D100" s="59">
        <f>KC!C16</f>
        <v>6</v>
      </c>
      <c r="E100" s="60">
        <f>KC!J16</f>
        <v>0</v>
      </c>
      <c r="F100" s="60">
        <f>KC!K16</f>
        <v>0</v>
      </c>
      <c r="G100" s="60">
        <f>KC!L16</f>
        <v>25.843775999999998</v>
      </c>
      <c r="H100" s="60">
        <f>KC!M16</f>
        <v>16.100672447999997</v>
      </c>
      <c r="I100" s="60">
        <f>KC!N16</f>
        <v>166.15893966335997</v>
      </c>
      <c r="J100" s="60">
        <f>KC!O16</f>
        <v>1.3202551407359999</v>
      </c>
      <c r="K100" s="60">
        <f t="shared" si="5"/>
        <v>24.537424810751993</v>
      </c>
      <c r="L100" s="60">
        <f t="shared" si="8"/>
        <v>32.587761034751992</v>
      </c>
      <c r="M100" s="60">
        <f t="shared" si="9"/>
        <v>40.638097258751991</v>
      </c>
      <c r="N100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32.587761034751999</v>
      </c>
      <c r="O100" s="96">
        <v>0</v>
      </c>
    </row>
    <row r="101" spans="1:15" x14ac:dyDescent="0.25">
      <c r="A101" s="59">
        <f>IF(TableWRMaster[[#This Row],[Player]]&lt;&gt;0,A100+1,A100)</f>
        <v>85</v>
      </c>
      <c r="B101" s="59" t="str">
        <f>KC!A17</f>
        <v>Justin Watson</v>
      </c>
      <c r="C101" s="59" t="s">
        <v>102</v>
      </c>
      <c r="D101" s="59">
        <f>KC!C17</f>
        <v>6</v>
      </c>
      <c r="E101" s="60">
        <f>KC!J17</f>
        <v>0</v>
      </c>
      <c r="F101" s="60">
        <f>KC!K17</f>
        <v>0</v>
      </c>
      <c r="G101" s="60">
        <f>KC!L17</f>
        <v>20.801087999999996</v>
      </c>
      <c r="H101" s="60">
        <f>KC!M17</f>
        <v>10.525350527999995</v>
      </c>
      <c r="I101" s="60">
        <f>KC!N17</f>
        <v>145.67085130751994</v>
      </c>
      <c r="J101" s="60">
        <f>KC!O17</f>
        <v>0.85255339276799968</v>
      </c>
      <c r="K101" s="60">
        <f t="shared" si="5"/>
        <v>19.682405487359993</v>
      </c>
      <c r="L101" s="60">
        <f t="shared" si="8"/>
        <v>24.945080751359992</v>
      </c>
      <c r="M101" s="60">
        <f t="shared" si="9"/>
        <v>30.20775601535999</v>
      </c>
      <c r="N101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24.945080751359992</v>
      </c>
      <c r="O101" s="96">
        <v>0</v>
      </c>
    </row>
    <row r="102" spans="1:15" x14ac:dyDescent="0.25">
      <c r="A102" s="59">
        <f>IF(TableWRMaster[[#This Row],[Player]]&lt;&gt;0,A101+1,A101)</f>
        <v>86</v>
      </c>
      <c r="B102" s="59" t="str">
        <f>KC!A18</f>
        <v>Skyy Moore</v>
      </c>
      <c r="C102" s="59" t="s">
        <v>102</v>
      </c>
      <c r="D102" s="59">
        <f>KC!C18</f>
        <v>6</v>
      </c>
      <c r="E102" s="60">
        <f>KC!J18</f>
        <v>0</v>
      </c>
      <c r="F102" s="60">
        <f>KC!K18</f>
        <v>0</v>
      </c>
      <c r="G102" s="60">
        <f>KC!L18</f>
        <v>15.128063999999998</v>
      </c>
      <c r="H102" s="60">
        <f>KC!M18</f>
        <v>9.1524787200000013</v>
      </c>
      <c r="I102" s="60">
        <f>KC!N18</f>
        <v>106.07722836480001</v>
      </c>
      <c r="J102" s="60">
        <f>KC!O18</f>
        <v>0.73504676875311936</v>
      </c>
      <c r="K102" s="60">
        <f t="shared" ref="K102" si="10">(E102/10)+(F102*6)+(I102/10)+(J102*6)</f>
        <v>15.018003448998716</v>
      </c>
      <c r="L102" s="60">
        <f t="shared" ref="L102" si="11">K102+(H102*0.5)</f>
        <v>19.594242808998715</v>
      </c>
      <c r="M102" s="60">
        <f t="shared" ref="M102" si="12">K102+H102</f>
        <v>24.170482168998717</v>
      </c>
      <c r="N102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19.594242808998718</v>
      </c>
      <c r="O102" s="96">
        <v>1</v>
      </c>
    </row>
    <row r="103" spans="1:15" x14ac:dyDescent="0.25">
      <c r="A103" s="59">
        <f>IF(TableWRMaster[[#This Row],[Player]]&lt;&gt;0,A102+1,A102)</f>
        <v>87</v>
      </c>
      <c r="B103" s="59" t="str">
        <f>LAC!A13</f>
        <v>Joshua Palmer</v>
      </c>
      <c r="C103" s="59" t="s">
        <v>103</v>
      </c>
      <c r="D103" s="59">
        <f>LAC!C13</f>
        <v>5</v>
      </c>
      <c r="E103" s="60">
        <f>LAC!J13</f>
        <v>0</v>
      </c>
      <c r="F103" s="60">
        <f>LAC!K13</f>
        <v>0</v>
      </c>
      <c r="G103" s="60">
        <f>LAC!L13</f>
        <v>120.60616176000003</v>
      </c>
      <c r="H103" s="60">
        <f>LAC!M13</f>
        <v>78.273398982240039</v>
      </c>
      <c r="I103" s="60">
        <f>LAC!N13</f>
        <v>979.20022126782283</v>
      </c>
      <c r="J103" s="60">
        <f>LAC!O13</f>
        <v>5.9487783226502424</v>
      </c>
      <c r="K103" s="60">
        <f t="shared" si="5"/>
        <v>133.61269206268375</v>
      </c>
      <c r="L103" s="60">
        <f t="shared" si="8"/>
        <v>172.74939155380378</v>
      </c>
      <c r="M103" s="60">
        <f t="shared" si="9"/>
        <v>211.88609104492377</v>
      </c>
      <c r="N103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172.74939155380375</v>
      </c>
      <c r="O103" s="96">
        <v>24.422427073887171</v>
      </c>
    </row>
    <row r="104" spans="1:15" x14ac:dyDescent="0.25">
      <c r="A104" s="59">
        <f>IF(TableWRMaster[[#This Row],[Player]]&lt;&gt;0,A103+1,A103)</f>
        <v>88</v>
      </c>
      <c r="B104" s="59" t="str">
        <f>LAC!A14</f>
        <v>Ladd McConkey</v>
      </c>
      <c r="C104" s="59" t="s">
        <v>103</v>
      </c>
      <c r="D104" s="59">
        <f>LAC!C14</f>
        <v>5</v>
      </c>
      <c r="E104" s="60">
        <f>LAC!J14</f>
        <v>0</v>
      </c>
      <c r="F104" s="60">
        <f>LAC!K14</f>
        <v>0</v>
      </c>
      <c r="G104" s="60">
        <f>LAC!L14</f>
        <v>115.58090502000003</v>
      </c>
      <c r="H104" s="60">
        <f>LAC!M14</f>
        <v>76.63014002826003</v>
      </c>
      <c r="I104" s="60">
        <f>LAC!N14</f>
        <v>923.39318734053336</v>
      </c>
      <c r="J104" s="60">
        <f>LAC!O14</f>
        <v>5.4407399420064619</v>
      </c>
      <c r="K104" s="60">
        <f t="shared" si="5"/>
        <v>124.98375838609211</v>
      </c>
      <c r="L104" s="60">
        <f t="shared" si="8"/>
        <v>163.29882840022213</v>
      </c>
      <c r="M104" s="60">
        <f t="shared" si="9"/>
        <v>201.61389841435215</v>
      </c>
      <c r="N104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163.29882840022213</v>
      </c>
      <c r="O104" s="96">
        <v>3.3449728845290307</v>
      </c>
    </row>
    <row r="105" spans="1:15" x14ac:dyDescent="0.25">
      <c r="A105" s="59">
        <f>IF(TableWRMaster[[#This Row],[Player]]&lt;&gt;0,A104+1,A104)</f>
        <v>89</v>
      </c>
      <c r="B105" s="59" t="str">
        <f>LAC!A15</f>
        <v>DJ Chark</v>
      </c>
      <c r="C105" s="59" t="s">
        <v>103</v>
      </c>
      <c r="D105" s="59">
        <f>LAC!C15</f>
        <v>5</v>
      </c>
      <c r="E105" s="60">
        <f>LAC!J15</f>
        <v>0</v>
      </c>
      <c r="F105" s="60">
        <f>LAC!K15</f>
        <v>0</v>
      </c>
      <c r="G105" s="60">
        <f>LAC!L15</f>
        <v>54.719462280000023</v>
      </c>
      <c r="H105" s="60">
        <f>LAC!M15</f>
        <v>32.61279951888001</v>
      </c>
      <c r="I105" s="60">
        <f>LAC!N15</f>
        <v>427.87992968770573</v>
      </c>
      <c r="J105" s="60">
        <f>LAC!O15</f>
        <v>2.6090239615104007</v>
      </c>
      <c r="K105" s="60">
        <f t="shared" si="5"/>
        <v>58.442136737832982</v>
      </c>
      <c r="L105" s="60">
        <f t="shared" si="8"/>
        <v>74.748536497272994</v>
      </c>
      <c r="M105" s="60">
        <f t="shared" si="9"/>
        <v>91.054936256712992</v>
      </c>
      <c r="N105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74.74853649727298</v>
      </c>
      <c r="O105" s="96">
        <v>0</v>
      </c>
    </row>
    <row r="106" spans="1:15" x14ac:dyDescent="0.25">
      <c r="A106" s="59">
        <f>IF(TableWRMaster[[#This Row],[Player]]&lt;&gt;0,A105+1,A105)</f>
        <v>90</v>
      </c>
      <c r="B106" s="59" t="str">
        <f>LAC!A16</f>
        <v>Brenden Rice</v>
      </c>
      <c r="C106" s="59" t="s">
        <v>103</v>
      </c>
      <c r="D106" s="59">
        <f>LAC!C16</f>
        <v>5</v>
      </c>
      <c r="E106" s="60">
        <f>LAC!J16</f>
        <v>0</v>
      </c>
      <c r="F106" s="60">
        <f>LAC!K16</f>
        <v>0</v>
      </c>
      <c r="G106" s="60">
        <f>LAC!L16</f>
        <v>53.60273856000002</v>
      </c>
      <c r="H106" s="60">
        <f>LAC!M16</f>
        <v>30.982382887680011</v>
      </c>
      <c r="I106" s="60">
        <f>LAC!N16</f>
        <v>368.38053253451534</v>
      </c>
      <c r="J106" s="60">
        <f>LAC!O16</f>
        <v>2.2307315679129607</v>
      </c>
      <c r="K106" s="60">
        <f t="shared" si="5"/>
        <v>50.222442660929296</v>
      </c>
      <c r="L106" s="60">
        <f t="shared" si="8"/>
        <v>65.713634104769298</v>
      </c>
      <c r="M106" s="60">
        <f t="shared" si="9"/>
        <v>81.204825548609307</v>
      </c>
      <c r="N106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65.713634104769312</v>
      </c>
      <c r="O106" s="96">
        <v>0</v>
      </c>
    </row>
    <row r="107" spans="1:15" x14ac:dyDescent="0.25">
      <c r="A107" s="59">
        <f>IF(TableWRMaster[[#This Row],[Player]]&lt;&gt;0,A106+1,A106)</f>
        <v>91</v>
      </c>
      <c r="B107" s="59" t="str">
        <f>LAC!A17</f>
        <v>Quentin Johnston</v>
      </c>
      <c r="C107" s="59" t="s">
        <v>103</v>
      </c>
      <c r="D107" s="59">
        <f>LAC!C17</f>
        <v>5</v>
      </c>
      <c r="E107" s="60">
        <f>LAC!J17</f>
        <v>0</v>
      </c>
      <c r="F107" s="60">
        <f>LAC!K17</f>
        <v>0</v>
      </c>
      <c r="G107" s="60">
        <f>LAC!L17</f>
        <v>41.318777640000015</v>
      </c>
      <c r="H107" s="60">
        <f>LAC!M17</f>
        <v>24.708629028720004</v>
      </c>
      <c r="I107" s="60">
        <f>LAC!N17</f>
        <v>321.45926366364728</v>
      </c>
      <c r="J107" s="60">
        <f>LAC!O17</f>
        <v>1.7790212900678402</v>
      </c>
      <c r="K107" s="60">
        <f t="shared" si="5"/>
        <v>42.820054106771764</v>
      </c>
      <c r="L107" s="60">
        <f t="shared" si="8"/>
        <v>55.174368621131762</v>
      </c>
      <c r="M107" s="60">
        <f t="shared" si="9"/>
        <v>67.528683135491775</v>
      </c>
      <c r="N107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55.174368621131777</v>
      </c>
      <c r="O107" s="96">
        <v>0</v>
      </c>
    </row>
    <row r="108" spans="1:15" x14ac:dyDescent="0.25">
      <c r="A108" s="59">
        <f>IF(TableWRMaster[[#This Row],[Player]]&lt;&gt;0,A107+1,A107)</f>
        <v>92</v>
      </c>
      <c r="B108" s="59" t="str">
        <f>LAC!A18</f>
        <v>Derius Davis</v>
      </c>
      <c r="C108" s="59" t="s">
        <v>103</v>
      </c>
      <c r="D108" s="59">
        <f>LAC!C18</f>
        <v>5</v>
      </c>
      <c r="E108" s="60">
        <f>LAC!J18</f>
        <v>0</v>
      </c>
      <c r="F108" s="60">
        <f>LAC!K18</f>
        <v>0</v>
      </c>
      <c r="G108" s="60">
        <f>LAC!L18</f>
        <v>11.167237200000002</v>
      </c>
      <c r="H108" s="60">
        <f>LAC!M18</f>
        <v>7.7723970912000038</v>
      </c>
      <c r="I108" s="60">
        <f>LAC!N18</f>
        <v>80.030861227672546</v>
      </c>
      <c r="J108" s="60">
        <f>LAC!O18</f>
        <v>0.48768355010769732</v>
      </c>
      <c r="K108" s="60">
        <f t="shared" ref="K108:K109" si="13">(E108/10)+(F108*6)+(I108/10)+(J108*6)</f>
        <v>10.929187423413438</v>
      </c>
      <c r="L108" s="60">
        <f t="shared" ref="L108:L109" si="14">K108+(H108*0.5)</f>
        <v>14.815385969013441</v>
      </c>
      <c r="M108" s="60">
        <f t="shared" ref="M108:M109" si="15">K108+H108</f>
        <v>18.701584514613444</v>
      </c>
      <c r="N108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14.815385969013441</v>
      </c>
      <c r="O108" s="96">
        <v>0</v>
      </c>
    </row>
    <row r="109" spans="1:15" x14ac:dyDescent="0.25">
      <c r="A109" s="59">
        <f>IF(TableWRMaster[[#This Row],[Player]]&lt;&gt;0,A108+1,A108)</f>
        <v>92</v>
      </c>
      <c r="B109" s="59">
        <f>LAC!A19</f>
        <v>0</v>
      </c>
      <c r="C109" s="59" t="s">
        <v>103</v>
      </c>
      <c r="D109" s="59">
        <f>LAC!C19</f>
        <v>5</v>
      </c>
      <c r="E109" s="60">
        <f>LAC!J19</f>
        <v>0</v>
      </c>
      <c r="F109" s="60">
        <f>LAC!K19</f>
        <v>0</v>
      </c>
      <c r="G109" s="60">
        <f>LAC!L19</f>
        <v>0</v>
      </c>
      <c r="H109" s="60">
        <f>LAC!M19</f>
        <v>0</v>
      </c>
      <c r="I109" s="60">
        <f>LAC!N19</f>
        <v>0</v>
      </c>
      <c r="J109" s="60">
        <f>LAC!O19</f>
        <v>0</v>
      </c>
      <c r="K109" s="60">
        <f t="shared" si="13"/>
        <v>0</v>
      </c>
      <c r="L109" s="60">
        <f t="shared" si="14"/>
        <v>0</v>
      </c>
      <c r="M109" s="60">
        <f t="shared" si="15"/>
        <v>0</v>
      </c>
      <c r="N109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109" s="96">
        <v>0</v>
      </c>
    </row>
    <row r="110" spans="1:15" x14ac:dyDescent="0.25">
      <c r="A110" s="59">
        <f>IF(TableWRMaster[[#This Row],[Player]]&lt;&gt;0,A109+1,A109)</f>
        <v>93</v>
      </c>
      <c r="B110" s="59" t="str">
        <f>LAR!A14</f>
        <v>Cooper Kupp</v>
      </c>
      <c r="C110" s="59" t="s">
        <v>104</v>
      </c>
      <c r="D110" s="59">
        <f>LAR!C14</f>
        <v>6</v>
      </c>
      <c r="E110" s="60">
        <f>LAR!J14</f>
        <v>0</v>
      </c>
      <c r="F110" s="60">
        <f>LAR!K14</f>
        <v>0</v>
      </c>
      <c r="G110" s="60">
        <f>LAR!L14</f>
        <v>144.90530879999997</v>
      </c>
      <c r="H110" s="60">
        <f>LAR!M14</f>
        <v>92.739397631999978</v>
      </c>
      <c r="I110" s="60">
        <f>LAR!N14</f>
        <v>1161.0972583526398</v>
      </c>
      <c r="J110" s="60">
        <f>LAR!O14</f>
        <v>8.2538794016278363</v>
      </c>
      <c r="K110" s="60">
        <f t="shared" si="5"/>
        <v>165.63300224503098</v>
      </c>
      <c r="L110" s="60">
        <f t="shared" ref="L110:L140" si="16">K110+(H110*0.5)</f>
        <v>212.00270106103096</v>
      </c>
      <c r="M110" s="60">
        <f t="shared" ref="M110:M140" si="17">K110+H110</f>
        <v>258.37239987703094</v>
      </c>
      <c r="N110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212.00270106103099</v>
      </c>
      <c r="O110" s="96">
        <v>20.481741496713184</v>
      </c>
    </row>
    <row r="111" spans="1:15" x14ac:dyDescent="0.25">
      <c r="A111" s="59">
        <f>IF(TableWRMaster[[#This Row],[Player]]&lt;&gt;0,A110+1,A110)</f>
        <v>94</v>
      </c>
      <c r="B111" s="59" t="str">
        <f>LAR!A13</f>
        <v>Puka Nacua</v>
      </c>
      <c r="C111" s="59" t="s">
        <v>104</v>
      </c>
      <c r="D111" s="59">
        <f>LAR!C13</f>
        <v>6</v>
      </c>
      <c r="E111" s="60">
        <f>LAR!J13</f>
        <v>90.244147895999987</v>
      </c>
      <c r="F111" s="60">
        <f>LAR!K13</f>
        <v>0.1121566998292951</v>
      </c>
      <c r="G111" s="60">
        <f>LAR!L13</f>
        <v>144.30153667999997</v>
      </c>
      <c r="H111" s="60">
        <f>LAR!M13</f>
        <v>93.940300378679979</v>
      </c>
      <c r="I111" s="60">
        <f>LAR!N13</f>
        <v>1298.2549512333574</v>
      </c>
      <c r="J111" s="60">
        <f>LAR!O13</f>
        <v>7.1173925145519492</v>
      </c>
      <c r="K111" s="60">
        <f t="shared" si="5"/>
        <v>182.22720519922319</v>
      </c>
      <c r="L111" s="60">
        <f t="shared" si="16"/>
        <v>229.19735538856318</v>
      </c>
      <c r="M111" s="60">
        <f t="shared" si="17"/>
        <v>276.16750557790317</v>
      </c>
      <c r="N111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229.19735538856321</v>
      </c>
      <c r="O111" s="96">
        <v>19.089502905955278</v>
      </c>
    </row>
    <row r="112" spans="1:15" x14ac:dyDescent="0.25">
      <c r="A112" s="59">
        <f>IF(TableWRMaster[[#This Row],[Player]]&lt;&gt;0,A111+1,A111)</f>
        <v>95</v>
      </c>
      <c r="B112" s="59" t="str">
        <f>LAR!A15</f>
        <v>Demarcus Robinson</v>
      </c>
      <c r="C112" s="59" t="s">
        <v>104</v>
      </c>
      <c r="D112" s="59">
        <f>LAR!C15</f>
        <v>6</v>
      </c>
      <c r="E112" s="60">
        <f>LAR!J15</f>
        <v>0</v>
      </c>
      <c r="F112" s="60">
        <f>LAR!K15</f>
        <v>0</v>
      </c>
      <c r="G112" s="60">
        <f>LAR!L15</f>
        <v>85.131868919999988</v>
      </c>
      <c r="H112" s="60">
        <f>LAR!M15</f>
        <v>55.335714797999991</v>
      </c>
      <c r="I112" s="60">
        <f>LAR!N15</f>
        <v>727.66464959369989</v>
      </c>
      <c r="J112" s="60">
        <f>LAR!O15</f>
        <v>4.9802143318199992</v>
      </c>
      <c r="K112" s="60">
        <f t="shared" si="5"/>
        <v>102.64775095028997</v>
      </c>
      <c r="L112" s="60">
        <f t="shared" si="16"/>
        <v>130.31560834928996</v>
      </c>
      <c r="M112" s="60">
        <f t="shared" si="17"/>
        <v>157.98346574828997</v>
      </c>
      <c r="N112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130.31560834928999</v>
      </c>
      <c r="O112" s="96">
        <v>0</v>
      </c>
    </row>
    <row r="113" spans="1:15" x14ac:dyDescent="0.25">
      <c r="A113" s="59">
        <f>IF(TableWRMaster[[#This Row],[Player]]&lt;&gt;0,A112+1,A112)</f>
        <v>96</v>
      </c>
      <c r="B113" s="59" t="str">
        <f>LAR!A16</f>
        <v>Jordan Whittington</v>
      </c>
      <c r="C113" s="59" t="s">
        <v>104</v>
      </c>
      <c r="D113" s="59">
        <f>LAR!C16</f>
        <v>6</v>
      </c>
      <c r="E113" s="60">
        <f>LAR!J16</f>
        <v>0</v>
      </c>
      <c r="F113" s="60">
        <f>LAR!K16</f>
        <v>0</v>
      </c>
      <c r="G113" s="60">
        <f>LAR!L16</f>
        <v>43.471592639999997</v>
      </c>
      <c r="H113" s="60">
        <f>LAR!M16</f>
        <v>25.909069213440002</v>
      </c>
      <c r="I113" s="60">
        <f>LAR!N16</f>
        <v>317.56180833921519</v>
      </c>
      <c r="J113" s="60">
        <f>LAR!O16</f>
        <v>1.860404098703017</v>
      </c>
      <c r="K113" s="60">
        <f t="shared" si="5"/>
        <v>42.918605426139621</v>
      </c>
      <c r="L113" s="60">
        <f t="shared" si="16"/>
        <v>55.873140032859624</v>
      </c>
      <c r="M113" s="60">
        <f t="shared" si="17"/>
        <v>68.827674639579627</v>
      </c>
      <c r="N113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55.873140032859624</v>
      </c>
      <c r="O113" s="96">
        <v>0</v>
      </c>
    </row>
    <row r="114" spans="1:15" x14ac:dyDescent="0.25">
      <c r="A114" s="59">
        <f>IF(TableWRMaster[[#This Row],[Player]]&lt;&gt;0,A113+1,A113)</f>
        <v>97</v>
      </c>
      <c r="B114" s="59" t="str">
        <f>LAR!A17</f>
        <v>Tutu Atwell</v>
      </c>
      <c r="C114" s="59" t="s">
        <v>104</v>
      </c>
      <c r="D114" s="59">
        <f>LAR!C17</f>
        <v>6</v>
      </c>
      <c r="E114" s="60">
        <f>LAR!J17</f>
        <v>19.717208783999997</v>
      </c>
      <c r="F114" s="60">
        <f>LAR!K17</f>
        <v>3.5318520929079077E-2</v>
      </c>
      <c r="G114" s="60">
        <f>LAR!L17</f>
        <v>16.301847239999997</v>
      </c>
      <c r="H114" s="60">
        <f>LAR!M17</f>
        <v>9.3083547740399961</v>
      </c>
      <c r="I114" s="60">
        <f>LAR!N17</f>
        <v>101.55415058477637</v>
      </c>
      <c r="J114" s="60">
        <f>LAR!O17</f>
        <v>0.67153944474632432</v>
      </c>
      <c r="K114" s="60">
        <f t="shared" si="5"/>
        <v>16.368283730930056</v>
      </c>
      <c r="L114" s="60">
        <f t="shared" si="16"/>
        <v>21.022461117950055</v>
      </c>
      <c r="M114" s="60">
        <f t="shared" si="17"/>
        <v>25.67663850497005</v>
      </c>
      <c r="N114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21.022461117950055</v>
      </c>
      <c r="O114" s="96">
        <v>0</v>
      </c>
    </row>
    <row r="115" spans="1:15" x14ac:dyDescent="0.25">
      <c r="A115" s="59">
        <f>IF(TableWRMaster[[#This Row],[Player]]&lt;&gt;0,A114+1,A114)</f>
        <v>97</v>
      </c>
      <c r="B115" s="59">
        <f>LAR!A18</f>
        <v>0</v>
      </c>
      <c r="C115" s="59" t="s">
        <v>104</v>
      </c>
      <c r="D115" s="59">
        <f>LAR!C18</f>
        <v>6</v>
      </c>
      <c r="E115" s="60">
        <f>LAR!J18</f>
        <v>0</v>
      </c>
      <c r="F115" s="60">
        <f>LAR!K18</f>
        <v>0</v>
      </c>
      <c r="G115" s="60">
        <f>LAR!L18</f>
        <v>0</v>
      </c>
      <c r="H115" s="60">
        <f>LAR!M18</f>
        <v>0</v>
      </c>
      <c r="I115" s="60">
        <f>LAR!N18</f>
        <v>0</v>
      </c>
      <c r="J115" s="60">
        <f>LAR!O18</f>
        <v>0</v>
      </c>
      <c r="K115" s="60">
        <f t="shared" si="5"/>
        <v>0</v>
      </c>
      <c r="L115" s="60">
        <f t="shared" si="16"/>
        <v>0</v>
      </c>
      <c r="M115" s="60">
        <f t="shared" si="17"/>
        <v>0</v>
      </c>
      <c r="N115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115" s="96">
        <v>0</v>
      </c>
    </row>
    <row r="116" spans="1:15" x14ac:dyDescent="0.25">
      <c r="A116" s="59">
        <f>IF(TableWRMaster[[#This Row],[Player]]&lt;&gt;0,A115+1,A115)</f>
        <v>98</v>
      </c>
      <c r="B116" s="59" t="str">
        <f>LV!A13</f>
        <v>Davante Adams</v>
      </c>
      <c r="C116" s="59" t="s">
        <v>162</v>
      </c>
      <c r="D116" s="59">
        <f>LV!C13</f>
        <v>10</v>
      </c>
      <c r="E116" s="60">
        <f>LV!J13</f>
        <v>0</v>
      </c>
      <c r="F116" s="60">
        <f>LV!K13</f>
        <v>0</v>
      </c>
      <c r="G116" s="60">
        <f>LV!L13</f>
        <v>153.22643000000002</v>
      </c>
      <c r="H116" s="60">
        <f>LV!M13</f>
        <v>91.32295228000001</v>
      </c>
      <c r="I116" s="60">
        <f>LV!N13</f>
        <v>1089.6110033262021</v>
      </c>
      <c r="J116" s="60">
        <f>LV!O13</f>
        <v>6.4839296118799998</v>
      </c>
      <c r="K116" s="60">
        <f t="shared" si="5"/>
        <v>147.8646780039002</v>
      </c>
      <c r="L116" s="60">
        <f t="shared" si="16"/>
        <v>193.52615414390021</v>
      </c>
      <c r="M116" s="60">
        <f t="shared" si="17"/>
        <v>239.18763028390021</v>
      </c>
      <c r="N116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193.52615414390021</v>
      </c>
      <c r="O116" s="96">
        <v>3.2266921651132856</v>
      </c>
    </row>
    <row r="117" spans="1:15" x14ac:dyDescent="0.25">
      <c r="A117" s="59">
        <f>IF(TableWRMaster[[#This Row],[Player]]&lt;&gt;0,A116+1,A116)</f>
        <v>99</v>
      </c>
      <c r="B117" s="59" t="str">
        <f>LV!A14</f>
        <v>Jakobi Meyers</v>
      </c>
      <c r="C117" s="59" t="s">
        <v>162</v>
      </c>
      <c r="D117" s="59">
        <f>LV!C14</f>
        <v>10</v>
      </c>
      <c r="E117" s="60">
        <f>LV!J14</f>
        <v>23.246139000000003</v>
      </c>
      <c r="F117" s="60">
        <f>LV!K14</f>
        <v>6.2749530810861293E-2</v>
      </c>
      <c r="G117" s="60">
        <f>LV!L14</f>
        <v>118.26983</v>
      </c>
      <c r="H117" s="60">
        <f>LV!M14</f>
        <v>75.692691199999985</v>
      </c>
      <c r="I117" s="60">
        <f>LV!N14</f>
        <v>885.41638080094435</v>
      </c>
      <c r="J117" s="60">
        <f>LV!O14</f>
        <v>5.0714103103999992</v>
      </c>
      <c r="K117" s="60">
        <f t="shared" si="5"/>
        <v>121.67121102735959</v>
      </c>
      <c r="L117" s="60">
        <f t="shared" si="16"/>
        <v>159.51755662735957</v>
      </c>
      <c r="M117" s="60">
        <f t="shared" si="17"/>
        <v>197.36390222735957</v>
      </c>
      <c r="N117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159.5175566273596</v>
      </c>
      <c r="O117" s="96">
        <v>0</v>
      </c>
    </row>
    <row r="118" spans="1:15" x14ac:dyDescent="0.25">
      <c r="A118" s="59">
        <f>IF(TableWRMaster[[#This Row],[Player]]&lt;&gt;0,A117+1,A117)</f>
        <v>100</v>
      </c>
      <c r="B118" s="59" t="str">
        <f>LV!A15</f>
        <v>DJ Turner</v>
      </c>
      <c r="C118" s="59" t="s">
        <v>162</v>
      </c>
      <c r="D118" s="59">
        <f>LV!C15</f>
        <v>10</v>
      </c>
      <c r="E118" s="60">
        <f>LV!J15</f>
        <v>0</v>
      </c>
      <c r="F118" s="60">
        <f>LV!K15</f>
        <v>0</v>
      </c>
      <c r="G118" s="60">
        <f>LV!L15</f>
        <v>17.478300000000001</v>
      </c>
      <c r="H118" s="60">
        <f>LV!M15</f>
        <v>10.312196999999999</v>
      </c>
      <c r="I118" s="60">
        <f>LV!N15</f>
        <v>134.26480493999998</v>
      </c>
      <c r="J118" s="60">
        <f>LV!O15</f>
        <v>0.61873181999999993</v>
      </c>
      <c r="K118" s="60">
        <f t="shared" si="5"/>
        <v>17.138871413999997</v>
      </c>
      <c r="L118" s="60">
        <f t="shared" si="16"/>
        <v>22.294969913999996</v>
      </c>
      <c r="M118" s="60">
        <f t="shared" si="17"/>
        <v>27.451068413999998</v>
      </c>
      <c r="N118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22.294969913999999</v>
      </c>
      <c r="O118" s="96">
        <v>0</v>
      </c>
    </row>
    <row r="119" spans="1:15" x14ac:dyDescent="0.25">
      <c r="A119" s="59">
        <f>IF(TableWRMaster[[#This Row],[Player]]&lt;&gt;0,A118+1,A118)</f>
        <v>101</v>
      </c>
      <c r="B119" s="59" t="str">
        <f>LV!A16</f>
        <v>Tre Tucker</v>
      </c>
      <c r="C119" s="59" t="s">
        <v>162</v>
      </c>
      <c r="D119" s="59">
        <f>LV!C16</f>
        <v>10</v>
      </c>
      <c r="E119" s="60">
        <f>LV!J16</f>
        <v>0</v>
      </c>
      <c r="F119" s="60">
        <f>LV!K16</f>
        <v>0</v>
      </c>
      <c r="G119" s="60">
        <f>LV!L16</f>
        <v>37.869650000000007</v>
      </c>
      <c r="H119" s="60">
        <f>LV!M16</f>
        <v>21.472091549999998</v>
      </c>
      <c r="I119" s="60">
        <f>LV!N16</f>
        <v>278.18624155793555</v>
      </c>
      <c r="J119" s="60">
        <f>LV!O16</f>
        <v>1.3333823505397018</v>
      </c>
      <c r="K119" s="60">
        <f t="shared" si="5"/>
        <v>35.818918259031761</v>
      </c>
      <c r="L119" s="60">
        <f t="shared" si="16"/>
        <v>46.554964034031762</v>
      </c>
      <c r="M119" s="60">
        <f t="shared" si="17"/>
        <v>57.291009809031763</v>
      </c>
      <c r="N119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46.554964034031769</v>
      </c>
      <c r="O119" s="96">
        <v>0</v>
      </c>
    </row>
    <row r="120" spans="1:15" x14ac:dyDescent="0.25">
      <c r="A120" s="59">
        <f>IF(TableWRMaster[[#This Row],[Player]]&lt;&gt;0,A119+1,A119)</f>
        <v>102</v>
      </c>
      <c r="B120" s="59" t="str">
        <f>LV!A17</f>
        <v>Jalen Guyton</v>
      </c>
      <c r="C120" s="59" t="s">
        <v>162</v>
      </c>
      <c r="D120" s="59">
        <f>LV!C17</f>
        <v>10</v>
      </c>
      <c r="E120" s="60">
        <f>LV!J17</f>
        <v>0</v>
      </c>
      <c r="F120" s="60">
        <f>LV!K17</f>
        <v>0</v>
      </c>
      <c r="G120" s="60">
        <f>LV!L17</f>
        <v>5.8260999999999994</v>
      </c>
      <c r="H120" s="60">
        <f>LV!M17</f>
        <v>3.3791379999999993</v>
      </c>
      <c r="I120" s="60">
        <f>LV!N17</f>
        <v>47.20933014656481</v>
      </c>
      <c r="J120" s="60">
        <f>LV!O17</f>
        <v>0.22978138399999998</v>
      </c>
      <c r="K120" s="60">
        <f t="shared" si="5"/>
        <v>6.0996213186564807</v>
      </c>
      <c r="L120" s="60">
        <f t="shared" si="16"/>
        <v>7.7891903186564804</v>
      </c>
      <c r="M120" s="60">
        <f t="shared" si="17"/>
        <v>9.4787593186564791</v>
      </c>
      <c r="N120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7.7891903186564804</v>
      </c>
      <c r="O120" s="96">
        <v>0</v>
      </c>
    </row>
    <row r="121" spans="1:15" x14ac:dyDescent="0.25">
      <c r="A121" s="59">
        <f>IF(TableWRMaster[[#This Row],[Player]]&lt;&gt;0,A120+1,A120)</f>
        <v>102</v>
      </c>
      <c r="B121" s="59">
        <f>LV!A18</f>
        <v>0</v>
      </c>
      <c r="C121" s="59" t="s">
        <v>162</v>
      </c>
      <c r="D121" s="59">
        <f>LV!C18</f>
        <v>10</v>
      </c>
      <c r="E121" s="60">
        <f>LV!J18</f>
        <v>0</v>
      </c>
      <c r="F121" s="60">
        <f>LV!K18</f>
        <v>0</v>
      </c>
      <c r="G121" s="60">
        <f>LV!L18</f>
        <v>0</v>
      </c>
      <c r="H121" s="60">
        <f>LV!M18</f>
        <v>0</v>
      </c>
      <c r="I121" s="60">
        <f>LV!N18</f>
        <v>0</v>
      </c>
      <c r="J121" s="60">
        <f>LV!O18</f>
        <v>0</v>
      </c>
      <c r="K121" s="60">
        <f t="shared" si="5"/>
        <v>0</v>
      </c>
      <c r="L121" s="60">
        <f t="shared" si="16"/>
        <v>0</v>
      </c>
      <c r="M121" s="60">
        <f t="shared" si="17"/>
        <v>0</v>
      </c>
      <c r="N121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121" s="96">
        <v>0</v>
      </c>
    </row>
    <row r="122" spans="1:15" x14ac:dyDescent="0.25">
      <c r="A122" s="59">
        <f>IF(TableWRMaster[[#This Row],[Player]]&lt;&gt;0,A121+1,A121)</f>
        <v>103</v>
      </c>
      <c r="B122" s="59" t="str">
        <f>MIA!A13</f>
        <v>Tyreek Hill</v>
      </c>
      <c r="C122" s="59" t="s">
        <v>105</v>
      </c>
      <c r="D122" s="59">
        <f>MIA!C13</f>
        <v>6</v>
      </c>
      <c r="E122" s="60">
        <f>MIA!J13</f>
        <v>33.541405128000001</v>
      </c>
      <c r="F122" s="60">
        <f>MIA!K13</f>
        <v>0.3158324400000001</v>
      </c>
      <c r="G122" s="60">
        <f>MIA!L13</f>
        <v>155.96380127999996</v>
      </c>
      <c r="H122" s="60">
        <f>MIA!M13</f>
        <v>105.11960206271996</v>
      </c>
      <c r="I122" s="60">
        <f>MIA!N13</f>
        <v>1506.753388178435</v>
      </c>
      <c r="J122" s="60">
        <f>MIA!O13</f>
        <v>9.6458276903413687</v>
      </c>
      <c r="K122" s="60">
        <f t="shared" si="5"/>
        <v>213.79944011269171</v>
      </c>
      <c r="L122" s="60">
        <f t="shared" si="16"/>
        <v>266.35924114405168</v>
      </c>
      <c r="M122" s="60">
        <f t="shared" si="17"/>
        <v>318.91904217541168</v>
      </c>
      <c r="N122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266.35924114405168</v>
      </c>
      <c r="O122" s="96">
        <v>6.9631580991362378</v>
      </c>
    </row>
    <row r="123" spans="1:15" x14ac:dyDescent="0.25">
      <c r="A123" s="59">
        <f>IF(TableWRMaster[[#This Row],[Player]]&lt;&gt;0,A122+1,A122)</f>
        <v>104</v>
      </c>
      <c r="B123" s="59" t="str">
        <f>MIA!A14</f>
        <v>Jaylen Waddle</v>
      </c>
      <c r="C123" s="59" t="s">
        <v>105</v>
      </c>
      <c r="D123" s="59">
        <f>MIA!C14</f>
        <v>6</v>
      </c>
      <c r="E123" s="60">
        <f>MIA!J14</f>
        <v>10.190860064000001</v>
      </c>
      <c r="F123" s="60">
        <f>MIA!K14</f>
        <v>0.10527748000000002</v>
      </c>
      <c r="G123" s="60">
        <f>MIA!L14</f>
        <v>131.33793791999994</v>
      </c>
      <c r="H123" s="60">
        <f>MIA!M14</f>
        <v>88.259094282239943</v>
      </c>
      <c r="I123" s="60">
        <f>MIA!N14</f>
        <v>1223.2709818310982</v>
      </c>
      <c r="J123" s="60">
        <f>MIA!O14</f>
        <v>6.1781365997567965</v>
      </c>
      <c r="K123" s="60">
        <f t="shared" si="5"/>
        <v>161.04666866805061</v>
      </c>
      <c r="L123" s="60">
        <f t="shared" si="16"/>
        <v>205.17621580917057</v>
      </c>
      <c r="M123" s="60">
        <f t="shared" si="17"/>
        <v>249.30576295029056</v>
      </c>
      <c r="N123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205.17621580917057</v>
      </c>
      <c r="O123" s="96">
        <v>3.4499248067671688</v>
      </c>
    </row>
    <row r="124" spans="1:15" x14ac:dyDescent="0.25">
      <c r="A124" s="59">
        <f>IF(TableWRMaster[[#This Row],[Player]]&lt;&gt;0,A123+1,A123)</f>
        <v>105</v>
      </c>
      <c r="B124" s="59" t="str">
        <f>MIA!A15</f>
        <v>Odell Beckham</v>
      </c>
      <c r="C124" s="59" t="s">
        <v>105</v>
      </c>
      <c r="D124" s="59">
        <f>MIA!C15</f>
        <v>6</v>
      </c>
      <c r="E124" s="60">
        <f>MIA!J15</f>
        <v>0</v>
      </c>
      <c r="F124" s="60">
        <f>MIA!K15</f>
        <v>0</v>
      </c>
      <c r="G124" s="60">
        <f>MIA!L15</f>
        <v>30.489164159999987</v>
      </c>
      <c r="H124" s="60">
        <f>MIA!M15</f>
        <v>17.744693541119993</v>
      </c>
      <c r="I124" s="60">
        <f>MIA!N15</f>
        <v>246.86457649408405</v>
      </c>
      <c r="J124" s="60">
        <f>MIA!O15</f>
        <v>1.5976782473451419</v>
      </c>
      <c r="K124" s="60">
        <f t="shared" si="5"/>
        <v>34.272527133479258</v>
      </c>
      <c r="L124" s="60">
        <f t="shared" si="16"/>
        <v>43.144873904039258</v>
      </c>
      <c r="M124" s="60">
        <f t="shared" si="17"/>
        <v>52.017220674599251</v>
      </c>
      <c r="N124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43.144873904039258</v>
      </c>
      <c r="O124" s="96">
        <v>2.659811123193828</v>
      </c>
    </row>
    <row r="125" spans="1:15" x14ac:dyDescent="0.25">
      <c r="A125" s="59">
        <f>IF(TableWRMaster[[#This Row],[Player]]&lt;&gt;0,A124+1,A124)</f>
        <v>106</v>
      </c>
      <c r="B125" s="59" t="str">
        <f>MIA!A17</f>
        <v>Braxton Berrios</v>
      </c>
      <c r="C125" s="59" t="s">
        <v>105</v>
      </c>
      <c r="D125" s="59">
        <f>MIA!C17</f>
        <v>6</v>
      </c>
      <c r="E125" s="60">
        <f>MIA!J17</f>
        <v>0</v>
      </c>
      <c r="F125" s="60">
        <f>MIA!K17</f>
        <v>0</v>
      </c>
      <c r="G125" s="60">
        <f>MIA!L17</f>
        <v>10.553941439999996</v>
      </c>
      <c r="H125" s="60">
        <f>MIA!M17</f>
        <v>6.3323648639999979</v>
      </c>
      <c r="I125" s="60">
        <f>MIA!N17</f>
        <v>62.182798194090537</v>
      </c>
      <c r="J125" s="60">
        <f>MIA!O17</f>
        <v>0.33675089812781339</v>
      </c>
      <c r="K125" s="60">
        <f t="shared" si="5"/>
        <v>8.2387852081759334</v>
      </c>
      <c r="L125" s="60">
        <f t="shared" si="16"/>
        <v>11.404967640175933</v>
      </c>
      <c r="M125" s="60">
        <f t="shared" si="17"/>
        <v>14.571150072175932</v>
      </c>
      <c r="N125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11.404967640175933</v>
      </c>
      <c r="O125" s="96">
        <v>0</v>
      </c>
    </row>
    <row r="126" spans="1:15" x14ac:dyDescent="0.25">
      <c r="A126" s="59">
        <f>IF(TableWRMaster[[#This Row],[Player]]&lt;&gt;0,A125+1,A125)</f>
        <v>107</v>
      </c>
      <c r="B126" s="59" t="str">
        <f>MIA!A16</f>
        <v>Malik Washington</v>
      </c>
      <c r="C126" s="59" t="s">
        <v>105</v>
      </c>
      <c r="D126" s="59">
        <f>MIA!C16</f>
        <v>6</v>
      </c>
      <c r="E126" s="60">
        <f>MIA!J16</f>
        <v>0</v>
      </c>
      <c r="F126" s="60">
        <f>MIA!K16</f>
        <v>0</v>
      </c>
      <c r="G126" s="60">
        <f>MIA!L16</f>
        <v>41.04310559999999</v>
      </c>
      <c r="H126" s="60">
        <f>MIA!M16</f>
        <v>27.006363484799994</v>
      </c>
      <c r="I126" s="60">
        <f>MIA!N16</f>
        <v>318.94515275548792</v>
      </c>
      <c r="J126" s="60">
        <f>MIA!O16</f>
        <v>1.8904454439359997</v>
      </c>
      <c r="K126" s="60">
        <f t="shared" si="5"/>
        <v>43.237187939164791</v>
      </c>
      <c r="L126" s="60">
        <f t="shared" si="16"/>
        <v>56.740369681564786</v>
      </c>
      <c r="M126" s="60">
        <f t="shared" si="17"/>
        <v>70.243551423964789</v>
      </c>
      <c r="N126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56.740369681564793</v>
      </c>
      <c r="O126" s="96">
        <v>0</v>
      </c>
    </row>
    <row r="127" spans="1:15" x14ac:dyDescent="0.25">
      <c r="A127" s="59">
        <f>IF(TableWRMaster[[#This Row],[Player]]&lt;&gt;0,A126+1,A126)</f>
        <v>107</v>
      </c>
      <c r="B127" s="59">
        <f>MIA!A19</f>
        <v>0</v>
      </c>
      <c r="C127" s="59" t="s">
        <v>105</v>
      </c>
      <c r="D127" s="59">
        <f>MIA!C19</f>
        <v>6</v>
      </c>
      <c r="E127" s="60">
        <f>MIA!J19</f>
        <v>0</v>
      </c>
      <c r="F127" s="60">
        <f>MIA!K19</f>
        <v>0</v>
      </c>
      <c r="G127" s="60">
        <f>MIA!L19</f>
        <v>0</v>
      </c>
      <c r="H127" s="60">
        <f>MIA!M19</f>
        <v>0</v>
      </c>
      <c r="I127" s="60">
        <f>MIA!N19</f>
        <v>0</v>
      </c>
      <c r="J127" s="60">
        <f>MIA!O19</f>
        <v>0</v>
      </c>
      <c r="K127" s="60">
        <f t="shared" si="5"/>
        <v>0</v>
      </c>
      <c r="L127" s="60">
        <f t="shared" si="16"/>
        <v>0</v>
      </c>
      <c r="M127" s="60">
        <f t="shared" si="17"/>
        <v>0</v>
      </c>
      <c r="N127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127" s="96">
        <v>0</v>
      </c>
    </row>
    <row r="128" spans="1:15" x14ac:dyDescent="0.25">
      <c r="A128" s="59">
        <f>IF(TableWRMaster[[#This Row],[Player]]&lt;&gt;0,A127+1,A127)</f>
        <v>108</v>
      </c>
      <c r="B128" s="59" t="str">
        <f>MIA!A18</f>
        <v>River Cracraft</v>
      </c>
      <c r="C128" s="59" t="s">
        <v>105</v>
      </c>
      <c r="D128" s="59">
        <f>MIA!C18</f>
        <v>6</v>
      </c>
      <c r="E128" s="60">
        <f>MIA!J18</f>
        <v>0</v>
      </c>
      <c r="F128" s="60">
        <f>MIA!K18</f>
        <v>0</v>
      </c>
      <c r="G128" s="60">
        <f>MIA!L18</f>
        <v>7.035960959999997</v>
      </c>
      <c r="H128" s="60">
        <f>MIA!M18</f>
        <v>4.3974755999999982</v>
      </c>
      <c r="I128" s="60">
        <f>MIA!N18</f>
        <v>50.814296843749261</v>
      </c>
      <c r="J128" s="60">
        <f>MIA!O18</f>
        <v>0.20591088235902322</v>
      </c>
      <c r="K128" s="60">
        <f t="shared" si="5"/>
        <v>6.3168949785290653</v>
      </c>
      <c r="L128" s="60">
        <f t="shared" si="16"/>
        <v>8.5156327785290635</v>
      </c>
      <c r="M128" s="60">
        <f t="shared" si="17"/>
        <v>10.714370578529063</v>
      </c>
      <c r="N128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8.5156327785290653</v>
      </c>
      <c r="O128" s="96">
        <v>0</v>
      </c>
    </row>
    <row r="129" spans="1:15" x14ac:dyDescent="0.25">
      <c r="A129" s="59">
        <f>IF(TableWRMaster[[#This Row],[Player]]&lt;&gt;0,A128+1,A128)</f>
        <v>109</v>
      </c>
      <c r="B129" s="59" t="str">
        <f>MIN!A13</f>
        <v>Justin Jefferson</v>
      </c>
      <c r="C129" s="59" t="s">
        <v>106</v>
      </c>
      <c r="D129" s="59">
        <f>MIN!C13</f>
        <v>6</v>
      </c>
      <c r="E129" s="60">
        <f>MIN!J13</f>
        <v>17.335964799999999</v>
      </c>
      <c r="F129" s="60">
        <f>MIN!K13</f>
        <v>2.2637369823745219E-2</v>
      </c>
      <c r="G129" s="60">
        <f>MIN!L13</f>
        <v>160.50283199999998</v>
      </c>
      <c r="H129" s="60">
        <f>MIN!M13</f>
        <v>103.52432663999997</v>
      </c>
      <c r="I129" s="60">
        <f>MIN!N13</f>
        <v>1423.4594912999996</v>
      </c>
      <c r="J129" s="60">
        <f>MIN!O13</f>
        <v>7.5572758447199977</v>
      </c>
      <c r="K129" s="60">
        <f t="shared" si="5"/>
        <v>189.55902489726242</v>
      </c>
      <c r="L129" s="60">
        <f t="shared" si="16"/>
        <v>241.3211882172624</v>
      </c>
      <c r="M129" s="60">
        <f t="shared" si="17"/>
        <v>293.08335153726239</v>
      </c>
      <c r="N129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241.32118821726243</v>
      </c>
      <c r="O129" s="96">
        <v>29.416397446314392</v>
      </c>
    </row>
    <row r="130" spans="1:15" x14ac:dyDescent="0.25">
      <c r="A130" s="59">
        <f>IF(TableWRMaster[[#This Row],[Player]]&lt;&gt;0,A129+1,A129)</f>
        <v>110</v>
      </c>
      <c r="B130" s="59" t="str">
        <f>MIN!A14</f>
        <v>Jordan Addison</v>
      </c>
      <c r="C130" s="59" t="s">
        <v>106</v>
      </c>
      <c r="D130" s="59">
        <f>MIN!C14</f>
        <v>6</v>
      </c>
      <c r="E130" s="60">
        <f>MIN!J14</f>
        <v>0</v>
      </c>
      <c r="F130" s="60">
        <f>MIN!K14</f>
        <v>0</v>
      </c>
      <c r="G130" s="60">
        <f>MIN!L14</f>
        <v>129.39763199999999</v>
      </c>
      <c r="H130" s="60">
        <f>MIN!M14</f>
        <v>78.673760255999994</v>
      </c>
      <c r="I130" s="60">
        <f>MIN!N14</f>
        <v>1002.3037056614399</v>
      </c>
      <c r="J130" s="60">
        <f>MIN!O14</f>
        <v>5.664510738431999</v>
      </c>
      <c r="K130" s="60">
        <f t="shared" si="5"/>
        <v>134.21743499673599</v>
      </c>
      <c r="L130" s="60">
        <f t="shared" si="16"/>
        <v>173.55431512473598</v>
      </c>
      <c r="M130" s="60">
        <f t="shared" si="17"/>
        <v>212.891195252736</v>
      </c>
      <c r="N130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173.55431512473601</v>
      </c>
      <c r="O130" s="96">
        <v>20.610014969321551</v>
      </c>
    </row>
    <row r="131" spans="1:15" x14ac:dyDescent="0.25">
      <c r="A131" s="59">
        <f>IF(TableWRMaster[[#This Row],[Player]]&lt;&gt;0,A130+1,A130)</f>
        <v>111</v>
      </c>
      <c r="B131" s="59" t="str">
        <f>MIN!A15</f>
        <v>Brandon Powell</v>
      </c>
      <c r="C131" s="59" t="s">
        <v>106</v>
      </c>
      <c r="D131" s="59">
        <f>MIN!C15</f>
        <v>6</v>
      </c>
      <c r="E131" s="60">
        <f>MIN!J15</f>
        <v>0</v>
      </c>
      <c r="F131" s="60">
        <f>MIN!K15</f>
        <v>0</v>
      </c>
      <c r="G131" s="60">
        <f>MIN!L15</f>
        <v>22.395743999999997</v>
      </c>
      <c r="H131" s="60">
        <f>MIN!M15</f>
        <v>13.437446400000001</v>
      </c>
      <c r="I131" s="60">
        <f>MIN!N15</f>
        <v>135.07808280601225</v>
      </c>
      <c r="J131" s="60">
        <f>MIN!O15</f>
        <v>0.69675994149402209</v>
      </c>
      <c r="K131" s="60">
        <f t="shared" ref="K131:K193" si="18">(E131/10)+(F131*6)+(I131/10)+(J131*6)</f>
        <v>17.688367929565359</v>
      </c>
      <c r="L131" s="60">
        <f t="shared" si="16"/>
        <v>24.407091129565359</v>
      </c>
      <c r="M131" s="60">
        <f t="shared" si="17"/>
        <v>31.125814329565358</v>
      </c>
      <c r="N131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24.407091129565359</v>
      </c>
      <c r="O131" s="96">
        <v>0</v>
      </c>
    </row>
    <row r="132" spans="1:15" x14ac:dyDescent="0.25">
      <c r="A132" s="59">
        <f>IF(TableWRMaster[[#This Row],[Player]]&lt;&gt;0,A131+1,A131)</f>
        <v>112</v>
      </c>
      <c r="B132" s="59" t="str">
        <f>MIN!A16</f>
        <v>Trent Sherfield</v>
      </c>
      <c r="C132" s="59" t="s">
        <v>106</v>
      </c>
      <c r="D132" s="59">
        <f>MIN!C16</f>
        <v>6</v>
      </c>
      <c r="E132" s="60">
        <f>MIN!J16</f>
        <v>0</v>
      </c>
      <c r="F132" s="60">
        <f>MIN!K16</f>
        <v>0</v>
      </c>
      <c r="G132" s="60">
        <f>MIN!L16</f>
        <v>12.442079999999999</v>
      </c>
      <c r="H132" s="60">
        <f>MIN!M16</f>
        <v>7.3035009599999974</v>
      </c>
      <c r="I132" s="60">
        <f>MIN!N16</f>
        <v>86.272150780147825</v>
      </c>
      <c r="J132" s="60">
        <f>MIN!O16</f>
        <v>0.40008391543138655</v>
      </c>
      <c r="K132" s="60">
        <f t="shared" si="18"/>
        <v>11.027718570603101</v>
      </c>
      <c r="L132" s="60">
        <f t="shared" si="16"/>
        <v>14.6794690506031</v>
      </c>
      <c r="M132" s="60">
        <f t="shared" si="17"/>
        <v>18.3312195306031</v>
      </c>
      <c r="N132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14.679469050603101</v>
      </c>
      <c r="O132" s="96">
        <v>0</v>
      </c>
    </row>
    <row r="133" spans="1:15" x14ac:dyDescent="0.25">
      <c r="A133" s="59">
        <f>IF(TableWRMaster[[#This Row],[Player]]&lt;&gt;0,A132+1,A132)</f>
        <v>113</v>
      </c>
      <c r="B133" s="59" t="str">
        <f>MIN!A17</f>
        <v>Jalen Nailor</v>
      </c>
      <c r="C133" s="59" t="s">
        <v>106</v>
      </c>
      <c r="D133" s="59">
        <f>MIN!C17</f>
        <v>6</v>
      </c>
      <c r="E133" s="60">
        <f>MIN!J17</f>
        <v>0</v>
      </c>
      <c r="F133" s="60">
        <f>MIN!K17</f>
        <v>0</v>
      </c>
      <c r="G133" s="60">
        <f>MIN!L17</f>
        <v>53.50094399999999</v>
      </c>
      <c r="H133" s="60">
        <f>MIN!M17</f>
        <v>31.084048463999991</v>
      </c>
      <c r="I133" s="60">
        <f>MIN!N17</f>
        <v>385.44220095359992</v>
      </c>
      <c r="J133" s="60">
        <f>MIN!O17</f>
        <v>1.7717907624479996</v>
      </c>
      <c r="K133" s="60">
        <f t="shared" si="18"/>
        <v>49.174964670047984</v>
      </c>
      <c r="L133" s="60">
        <f t="shared" si="16"/>
        <v>64.716988902047973</v>
      </c>
      <c r="M133" s="60">
        <f t="shared" si="17"/>
        <v>80.259013134047976</v>
      </c>
      <c r="N133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64.716988902047987</v>
      </c>
      <c r="O133" s="96">
        <v>0</v>
      </c>
    </row>
    <row r="134" spans="1:15" x14ac:dyDescent="0.25">
      <c r="A134" s="59">
        <f>IF(TableWRMaster[[#This Row],[Player]]&lt;&gt;0,A133+1,A133)</f>
        <v>113</v>
      </c>
      <c r="B134" s="59">
        <f>MIN!A18</f>
        <v>0</v>
      </c>
      <c r="C134" s="59" t="s">
        <v>106</v>
      </c>
      <c r="D134" s="59">
        <f>MIN!C18</f>
        <v>6</v>
      </c>
      <c r="E134" s="60">
        <f>MIN!J18</f>
        <v>0</v>
      </c>
      <c r="F134" s="60">
        <f>MIN!K18</f>
        <v>0</v>
      </c>
      <c r="G134" s="60">
        <f>MIN!L18</f>
        <v>0</v>
      </c>
      <c r="H134" s="60">
        <f>MIN!M18</f>
        <v>0</v>
      </c>
      <c r="I134" s="60">
        <f>MIN!N18</f>
        <v>0</v>
      </c>
      <c r="J134" s="60">
        <f>MIN!O18</f>
        <v>0</v>
      </c>
      <c r="K134" s="60">
        <f t="shared" si="18"/>
        <v>0</v>
      </c>
      <c r="L134" s="60">
        <f t="shared" si="16"/>
        <v>0</v>
      </c>
      <c r="M134" s="60">
        <f t="shared" si="17"/>
        <v>0</v>
      </c>
      <c r="N134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134" s="96">
        <v>0</v>
      </c>
    </row>
    <row r="135" spans="1:15" x14ac:dyDescent="0.25">
      <c r="A135" s="59">
        <f>IF(TableWRMaster[[#This Row],[Player]]&lt;&gt;0,A134+1,A134)</f>
        <v>114</v>
      </c>
      <c r="B135" s="59" t="str">
        <f>NE!A13</f>
        <v>Demario Douglas</v>
      </c>
      <c r="C135" s="59" t="s">
        <v>107</v>
      </c>
      <c r="D135" s="59">
        <f>NE!C13</f>
        <v>14</v>
      </c>
      <c r="E135" s="60">
        <f>NE!J13</f>
        <v>0</v>
      </c>
      <c r="F135" s="60">
        <f>NE!K13</f>
        <v>0</v>
      </c>
      <c r="G135" s="60">
        <f>NE!L13</f>
        <v>102.60581575999998</v>
      </c>
      <c r="H135" s="60">
        <f>NE!M13</f>
        <v>63.718211586959988</v>
      </c>
      <c r="I135" s="60">
        <f>NE!N13</f>
        <v>745.50307556743178</v>
      </c>
      <c r="J135" s="60">
        <f>NE!O13</f>
        <v>3.5045016372827993</v>
      </c>
      <c r="K135" s="60">
        <f t="shared" si="18"/>
        <v>95.577317380439979</v>
      </c>
      <c r="L135" s="60">
        <f t="shared" si="16"/>
        <v>127.43642317391998</v>
      </c>
      <c r="M135" s="60">
        <f t="shared" si="17"/>
        <v>159.29552896739997</v>
      </c>
      <c r="N135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127.43642317391996</v>
      </c>
      <c r="O135" s="96">
        <v>1.5854302457016156</v>
      </c>
    </row>
    <row r="136" spans="1:15" x14ac:dyDescent="0.25">
      <c r="A136" s="59">
        <f>IF(TableWRMaster[[#This Row],[Player]]&lt;&gt;0,A135+1,A135)</f>
        <v>115</v>
      </c>
      <c r="B136" s="59" t="str">
        <f>NE!A14</f>
        <v>Kendrick Bourne</v>
      </c>
      <c r="C136" s="59" t="s">
        <v>107</v>
      </c>
      <c r="D136" s="59">
        <f>NE!C14</f>
        <v>14</v>
      </c>
      <c r="E136" s="60">
        <f>NE!J14</f>
        <v>0</v>
      </c>
      <c r="F136" s="60">
        <f>NE!K14</f>
        <v>0</v>
      </c>
      <c r="G136" s="60">
        <f>NE!L14</f>
        <v>57.255178960000002</v>
      </c>
      <c r="H136" s="60">
        <f>NE!M14</f>
        <v>33.2080037968</v>
      </c>
      <c r="I136" s="60">
        <f>NE!N14</f>
        <v>409.454686814544</v>
      </c>
      <c r="J136" s="60">
        <f>NE!O14</f>
        <v>2.1917282505888003</v>
      </c>
      <c r="K136" s="60">
        <f t="shared" si="18"/>
        <v>54.095838184987201</v>
      </c>
      <c r="L136" s="60">
        <f t="shared" si="16"/>
        <v>70.699840083387201</v>
      </c>
      <c r="M136" s="60">
        <f t="shared" si="17"/>
        <v>87.303841981787201</v>
      </c>
      <c r="N136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70.699840083387201</v>
      </c>
      <c r="O136" s="96">
        <v>0</v>
      </c>
    </row>
    <row r="137" spans="1:15" x14ac:dyDescent="0.25">
      <c r="A137" s="59">
        <f>IF(TableWRMaster[[#This Row],[Player]]&lt;&gt;0,A136+1,A136)</f>
        <v>116</v>
      </c>
      <c r="B137" s="59" t="str">
        <f>NE!A15</f>
        <v>Ja'Lynn Polk</v>
      </c>
      <c r="C137" s="59" t="s">
        <v>107</v>
      </c>
      <c r="D137" s="59">
        <f>NE!C15</f>
        <v>14</v>
      </c>
      <c r="E137" s="60">
        <f>NE!J15</f>
        <v>0</v>
      </c>
      <c r="F137" s="60">
        <f>NE!K15</f>
        <v>0</v>
      </c>
      <c r="G137" s="60">
        <f>NE!L15</f>
        <v>70.293487040000002</v>
      </c>
      <c r="H137" s="60">
        <f>NE!M15</f>
        <v>42.035505249919993</v>
      </c>
      <c r="I137" s="60">
        <f>NE!N15</f>
        <v>548.56334351145597</v>
      </c>
      <c r="J137" s="60">
        <f>NE!O15</f>
        <v>2.7743433464947196</v>
      </c>
      <c r="K137" s="60">
        <f t="shared" si="18"/>
        <v>71.502394430113924</v>
      </c>
      <c r="L137" s="60">
        <f t="shared" si="16"/>
        <v>92.52014705507392</v>
      </c>
      <c r="M137" s="60">
        <f t="shared" si="17"/>
        <v>113.53789968003392</v>
      </c>
      <c r="N137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92.520147055073906</v>
      </c>
      <c r="O137" s="96">
        <v>0</v>
      </c>
    </row>
    <row r="138" spans="1:15" x14ac:dyDescent="0.25">
      <c r="A138" s="59">
        <f>IF(TableWRMaster[[#This Row],[Player]]&lt;&gt;0,A137+1,A137)</f>
        <v>117</v>
      </c>
      <c r="B138" s="59" t="str">
        <f>NE!A16</f>
        <v>Tyquan Thornton</v>
      </c>
      <c r="C138" s="59" t="s">
        <v>107</v>
      </c>
      <c r="D138" s="59">
        <f>NE!C16</f>
        <v>14</v>
      </c>
      <c r="E138" s="60">
        <f>NE!J16</f>
        <v>0</v>
      </c>
      <c r="F138" s="60">
        <f>NE!K16</f>
        <v>0</v>
      </c>
      <c r="G138" s="60">
        <f>NE!L16</f>
        <v>46.484402719999999</v>
      </c>
      <c r="H138" s="60">
        <f>NE!M16</f>
        <v>28.820329686399997</v>
      </c>
      <c r="I138" s="60">
        <f>NE!N16</f>
        <v>383.02218153225596</v>
      </c>
      <c r="J138" s="60">
        <f>NE!O16</f>
        <v>1.7292197811839998</v>
      </c>
      <c r="K138" s="60">
        <f t="shared" si="18"/>
        <v>48.677536840329594</v>
      </c>
      <c r="L138" s="60">
        <f t="shared" si="16"/>
        <v>63.087701683529595</v>
      </c>
      <c r="M138" s="60">
        <f t="shared" si="17"/>
        <v>77.497866526729595</v>
      </c>
      <c r="N138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63.087701683529595</v>
      </c>
      <c r="O138" s="96">
        <v>0</v>
      </c>
    </row>
    <row r="139" spans="1:15" x14ac:dyDescent="0.25">
      <c r="A139" s="59">
        <f>IF(TableWRMaster[[#This Row],[Player]]&lt;&gt;0,A138+1,A138)</f>
        <v>118</v>
      </c>
      <c r="B139" s="59" t="str">
        <f>NE!A17</f>
        <v>Javon Baker</v>
      </c>
      <c r="C139" s="59" t="s">
        <v>107</v>
      </c>
      <c r="D139" s="59">
        <f>NE!C17</f>
        <v>14</v>
      </c>
      <c r="E139" s="60">
        <f>NE!J17</f>
        <v>0</v>
      </c>
      <c r="F139" s="60">
        <f>NE!K17</f>
        <v>0</v>
      </c>
      <c r="G139" s="60">
        <f>NE!L17</f>
        <v>13.605191039999999</v>
      </c>
      <c r="H139" s="60">
        <f>NE!M17</f>
        <v>8.0406679046400011</v>
      </c>
      <c r="I139" s="60">
        <f>NE!N17</f>
        <v>97.935335078515209</v>
      </c>
      <c r="J139" s="60">
        <f>NE!O17</f>
        <v>0.47439940637376005</v>
      </c>
      <c r="K139" s="60">
        <f t="shared" si="18"/>
        <v>12.639929946094082</v>
      </c>
      <c r="L139" s="60">
        <f t="shared" si="16"/>
        <v>16.660263898414083</v>
      </c>
      <c r="M139" s="60">
        <f t="shared" si="17"/>
        <v>20.680597850734081</v>
      </c>
      <c r="N139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16.660263898414083</v>
      </c>
      <c r="O139" s="96">
        <v>0</v>
      </c>
    </row>
    <row r="140" spans="1:15" x14ac:dyDescent="0.25">
      <c r="A140" s="59">
        <f>IF(TableWRMaster[[#This Row],[Player]]&lt;&gt;0,A139+1,A139)</f>
        <v>119</v>
      </c>
      <c r="B140" s="59" t="str">
        <f>NE!A18</f>
        <v>K.J. Osborn</v>
      </c>
      <c r="C140" s="59" t="s">
        <v>107</v>
      </c>
      <c r="D140" s="59">
        <f>NE!C18</f>
        <v>14</v>
      </c>
      <c r="E140" s="60">
        <f>NE!J18</f>
        <v>0</v>
      </c>
      <c r="F140" s="60">
        <f>NE!K18</f>
        <v>0</v>
      </c>
      <c r="G140" s="60">
        <f>NE!L18</f>
        <v>78.229848480000001</v>
      </c>
      <c r="H140" s="60">
        <f>NE!M18</f>
        <v>47.09436878495999</v>
      </c>
      <c r="I140" s="60">
        <f>NE!N18</f>
        <v>534.8386895704175</v>
      </c>
      <c r="J140" s="60">
        <f>NE!O18</f>
        <v>2.8256621270975995</v>
      </c>
      <c r="K140" s="60">
        <f t="shared" si="18"/>
        <v>70.437841719627343</v>
      </c>
      <c r="L140" s="60">
        <f t="shared" si="16"/>
        <v>93.985026112107334</v>
      </c>
      <c r="M140" s="60">
        <f t="shared" si="17"/>
        <v>117.53221050458734</v>
      </c>
      <c r="N140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93.985026112107334</v>
      </c>
      <c r="O140" s="96">
        <v>0</v>
      </c>
    </row>
    <row r="141" spans="1:15" x14ac:dyDescent="0.25">
      <c r="A141" s="59">
        <f>IF(TableWRMaster[[#This Row],[Player]]&lt;&gt;0,A140+1,A140)</f>
        <v>120</v>
      </c>
      <c r="B141" s="59" t="str">
        <f>NO!A13</f>
        <v>Chris Olave</v>
      </c>
      <c r="C141" s="59" t="s">
        <v>108</v>
      </c>
      <c r="D141" s="59">
        <f>NO!C13</f>
        <v>12</v>
      </c>
      <c r="E141" s="60">
        <f>NO!J13</f>
        <v>0</v>
      </c>
      <c r="F141" s="60">
        <f>NO!K13</f>
        <v>0</v>
      </c>
      <c r="G141" s="60">
        <f>NO!L13</f>
        <v>134.07624008239998</v>
      </c>
      <c r="H141" s="60">
        <f>NO!M13</f>
        <v>84.065802531664787</v>
      </c>
      <c r="I141" s="60">
        <f>NO!N13</f>
        <v>1120.5971477470916</v>
      </c>
      <c r="J141" s="60">
        <f>NO!O13</f>
        <v>6.2370178417112587</v>
      </c>
      <c r="K141" s="60">
        <f t="shared" si="18"/>
        <v>149.48182182497672</v>
      </c>
      <c r="L141" s="60">
        <f t="shared" ref="L141:L172" si="19">K141+(H141*0.5)</f>
        <v>191.51472309080913</v>
      </c>
      <c r="M141" s="60">
        <f t="shared" ref="M141:M172" si="20">K141+H141</f>
        <v>233.54762435664151</v>
      </c>
      <c r="N141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191.5147230908091</v>
      </c>
      <c r="O141" s="96">
        <v>33.210727857079746</v>
      </c>
    </row>
    <row r="142" spans="1:15" x14ac:dyDescent="0.25">
      <c r="A142" s="59">
        <f>IF(TableWRMaster[[#This Row],[Player]]&lt;&gt;0,A141+1,A141)</f>
        <v>121</v>
      </c>
      <c r="B142" s="59" t="str">
        <f>NO!A14</f>
        <v>Rashid Shaheed</v>
      </c>
      <c r="C142" s="59" t="s">
        <v>108</v>
      </c>
      <c r="D142" s="59">
        <f>NO!C14</f>
        <v>12</v>
      </c>
      <c r="E142" s="60">
        <f>NO!J14</f>
        <v>0</v>
      </c>
      <c r="F142" s="60">
        <f>NO!K14</f>
        <v>0</v>
      </c>
      <c r="G142" s="60">
        <f>NO!L14</f>
        <v>99.583597405599974</v>
      </c>
      <c r="H142" s="60">
        <f>NO!M14</f>
        <v>60.945161612227182</v>
      </c>
      <c r="I142" s="60">
        <f>NO!N14</f>
        <v>862.98348842913686</v>
      </c>
      <c r="J142" s="60">
        <f>NO!O14</f>
        <v>4.9733005590957413</v>
      </c>
      <c r="K142" s="60">
        <f t="shared" si="18"/>
        <v>116.13815219748813</v>
      </c>
      <c r="L142" s="60">
        <f t="shared" si="19"/>
        <v>146.61073300360172</v>
      </c>
      <c r="M142" s="60">
        <f t="shared" si="20"/>
        <v>177.08331380971532</v>
      </c>
      <c r="N142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146.61073300360175</v>
      </c>
      <c r="O142" s="96">
        <v>1.8220714041175305</v>
      </c>
    </row>
    <row r="143" spans="1:15" x14ac:dyDescent="0.25">
      <c r="A143" s="59">
        <f>IF(TableWRMaster[[#This Row],[Player]]&lt;&gt;0,A142+1,A142)</f>
        <v>122</v>
      </c>
      <c r="B143" s="59" t="str">
        <f>NO!A15</f>
        <v>Cedrick Wilson</v>
      </c>
      <c r="C143" s="59" t="s">
        <v>108</v>
      </c>
      <c r="D143" s="59">
        <f>NO!C15</f>
        <v>12</v>
      </c>
      <c r="E143" s="60">
        <f>NO!J15</f>
        <v>0</v>
      </c>
      <c r="F143" s="60">
        <f>NO!K15</f>
        <v>0</v>
      </c>
      <c r="G143" s="60">
        <f>NO!L15</f>
        <v>50.06996517599999</v>
      </c>
      <c r="H143" s="60">
        <f>NO!M15</f>
        <v>30.041979105599989</v>
      </c>
      <c r="I143" s="60">
        <f>NO!N15</f>
        <v>335.26848681849589</v>
      </c>
      <c r="J143" s="60">
        <f>NO!O15</f>
        <v>2.4312429088079526</v>
      </c>
      <c r="K143" s="60">
        <f t="shared" si="18"/>
        <v>48.114306134697301</v>
      </c>
      <c r="L143" s="60">
        <f t="shared" si="19"/>
        <v>63.135295687497297</v>
      </c>
      <c r="M143" s="60">
        <f t="shared" si="20"/>
        <v>78.156285240297294</v>
      </c>
      <c r="N143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63.135295687497305</v>
      </c>
      <c r="O143" s="96">
        <v>0</v>
      </c>
    </row>
    <row r="144" spans="1:15" x14ac:dyDescent="0.25">
      <c r="A144" s="59">
        <f>IF(TableWRMaster[[#This Row],[Player]]&lt;&gt;0,A143+1,A143)</f>
        <v>123</v>
      </c>
      <c r="B144" s="59" t="str">
        <f>NO!A16</f>
        <v>A.T. Perry</v>
      </c>
      <c r="C144" s="59" t="s">
        <v>108</v>
      </c>
      <c r="D144" s="59">
        <f>NO!C16</f>
        <v>12</v>
      </c>
      <c r="E144" s="60">
        <f>NO!J16</f>
        <v>0</v>
      </c>
      <c r="F144" s="60">
        <f>NO!K16</f>
        <v>0</v>
      </c>
      <c r="G144" s="60">
        <f>NO!L16</f>
        <v>32.267310891199998</v>
      </c>
      <c r="H144" s="60">
        <f>NO!M16</f>
        <v>19.231317291155197</v>
      </c>
      <c r="I144" s="60">
        <f>NO!N16</f>
        <v>256.73808583692187</v>
      </c>
      <c r="J144" s="60">
        <f>NO!O16</f>
        <v>1.7500498734951229</v>
      </c>
      <c r="K144" s="60">
        <f t="shared" si="18"/>
        <v>36.174107824662926</v>
      </c>
      <c r="L144" s="60">
        <f t="shared" si="19"/>
        <v>45.789766470240522</v>
      </c>
      <c r="M144" s="60">
        <f t="shared" si="20"/>
        <v>55.405425115818119</v>
      </c>
      <c r="N144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45.789766470240522</v>
      </c>
      <c r="O144" s="96">
        <v>0</v>
      </c>
    </row>
    <row r="145" spans="1:15" x14ac:dyDescent="0.25">
      <c r="A145" s="59">
        <f>IF(TableWRMaster[[#This Row],[Player]]&lt;&gt;0,A144+1,A144)</f>
        <v>124</v>
      </c>
      <c r="B145" s="59" t="str">
        <f>NO!A17</f>
        <v>Bub Means</v>
      </c>
      <c r="C145" s="59" t="s">
        <v>108</v>
      </c>
      <c r="D145" s="59">
        <f>NO!C17</f>
        <v>12</v>
      </c>
      <c r="E145" s="60">
        <f>NO!J17</f>
        <v>0</v>
      </c>
      <c r="F145" s="60">
        <f>NO!K17</f>
        <v>0</v>
      </c>
      <c r="G145" s="60">
        <f>NO!L17</f>
        <v>13.908323659999999</v>
      </c>
      <c r="H145" s="60">
        <f>NO!M17</f>
        <v>8.8317855241000007</v>
      </c>
      <c r="I145" s="60">
        <f>NO!N17</f>
        <v>105.62815486823601</v>
      </c>
      <c r="J145" s="60">
        <f>NO!O17</f>
        <v>0.71006733593030069</v>
      </c>
      <c r="K145" s="60">
        <f t="shared" si="18"/>
        <v>14.823219502405404</v>
      </c>
      <c r="L145" s="60">
        <f t="shared" si="19"/>
        <v>19.239112264455404</v>
      </c>
      <c r="M145" s="60">
        <f t="shared" si="20"/>
        <v>23.655005026505407</v>
      </c>
      <c r="N145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19.239112264455407</v>
      </c>
      <c r="O145" s="96">
        <v>0</v>
      </c>
    </row>
    <row r="146" spans="1:15" x14ac:dyDescent="0.25">
      <c r="A146" s="59">
        <f>IF(TableWRMaster[[#This Row],[Player]]&lt;&gt;0,A145+1,A145)</f>
        <v>125</v>
      </c>
      <c r="B146" s="59" t="str">
        <f>NO!A18</f>
        <v>Stanley Morgan</v>
      </c>
      <c r="C146" s="59" t="s">
        <v>108</v>
      </c>
      <c r="D146" s="59">
        <f>NO!C18</f>
        <v>12</v>
      </c>
      <c r="E146" s="60">
        <f>NO!J18</f>
        <v>0</v>
      </c>
      <c r="F146" s="60">
        <f>NO!K18</f>
        <v>0</v>
      </c>
      <c r="G146" s="60">
        <f>NO!L18</f>
        <v>5.5633294639999988</v>
      </c>
      <c r="H146" s="60">
        <f>NO!M18</f>
        <v>3.3379976783999994</v>
      </c>
      <c r="I146" s="60">
        <f>NO!N18</f>
        <v>37.076642033546754</v>
      </c>
      <c r="J146" s="60">
        <f>NO!O18</f>
        <v>0.22592067160996321</v>
      </c>
      <c r="K146" s="60">
        <f t="shared" si="18"/>
        <v>5.0631882330144551</v>
      </c>
      <c r="L146" s="60">
        <f t="shared" si="19"/>
        <v>6.7321870722144546</v>
      </c>
      <c r="M146" s="60">
        <f t="shared" si="20"/>
        <v>8.4011859114144549</v>
      </c>
      <c r="N146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6.7321870722144546</v>
      </c>
      <c r="O146" s="96">
        <v>0</v>
      </c>
    </row>
    <row r="147" spans="1:15" x14ac:dyDescent="0.25">
      <c r="A147" s="59">
        <f>IF(TableWRMaster[[#This Row],[Player]]&lt;&gt;0,A146+1,A146)</f>
        <v>126</v>
      </c>
      <c r="B147" s="59" t="str">
        <f>NYG!A13</f>
        <v>Malik Nabers</v>
      </c>
      <c r="C147" s="59" t="s">
        <v>109</v>
      </c>
      <c r="D147" s="59">
        <f>NYG!C13</f>
        <v>11</v>
      </c>
      <c r="E147" s="60">
        <f>NYG!J13</f>
        <v>0</v>
      </c>
      <c r="F147" s="60">
        <f>NYG!K13</f>
        <v>0</v>
      </c>
      <c r="G147" s="60">
        <f>NYG!L13</f>
        <v>133.58811983999996</v>
      </c>
      <c r="H147" s="60">
        <f>NYG!M13</f>
        <v>85.897161057119959</v>
      </c>
      <c r="I147" s="60">
        <f>NYG!N13</f>
        <v>1100.3426331417068</v>
      </c>
      <c r="J147" s="60">
        <f>NYG!O13</f>
        <v>5.8753658163070055</v>
      </c>
      <c r="K147" s="60">
        <f t="shared" si="18"/>
        <v>145.28645821201269</v>
      </c>
      <c r="L147" s="60">
        <f t="shared" si="19"/>
        <v>188.23503874057266</v>
      </c>
      <c r="M147" s="60">
        <f t="shared" si="20"/>
        <v>231.18361926913263</v>
      </c>
      <c r="N147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188.23503874057269</v>
      </c>
      <c r="O147" s="96">
        <v>12.582632081900583</v>
      </c>
    </row>
    <row r="148" spans="1:15" x14ac:dyDescent="0.25">
      <c r="A148" s="59">
        <f>IF(TableWRMaster[[#This Row],[Player]]&lt;&gt;0,A147+1,A147)</f>
        <v>127</v>
      </c>
      <c r="B148" s="59" t="str">
        <f>NYG!A14</f>
        <v>Wan'Dale Robinson</v>
      </c>
      <c r="C148" s="59" t="s">
        <v>109</v>
      </c>
      <c r="D148" s="59">
        <f>NYG!C14</f>
        <v>11</v>
      </c>
      <c r="E148" s="60">
        <f>NYG!J14</f>
        <v>52.713238816000008</v>
      </c>
      <c r="F148" s="60">
        <f>NYG!K14</f>
        <v>8.3695114626934686E-2</v>
      </c>
      <c r="G148" s="60">
        <f>NYG!L14</f>
        <v>98.278484639999988</v>
      </c>
      <c r="H148" s="60">
        <f>NYG!M14</f>
        <v>68.303546824799994</v>
      </c>
      <c r="I148" s="60">
        <f>NYG!N14</f>
        <v>661.39370114474991</v>
      </c>
      <c r="J148" s="60">
        <f>NYG!O14</f>
        <v>3.2193948437875664</v>
      </c>
      <c r="K148" s="60">
        <f t="shared" si="18"/>
        <v>91.229233746561988</v>
      </c>
      <c r="L148" s="60">
        <f t="shared" si="19"/>
        <v>125.38100715896198</v>
      </c>
      <c r="M148" s="60">
        <f t="shared" si="20"/>
        <v>159.53278057136197</v>
      </c>
      <c r="N148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125.38100715896201</v>
      </c>
      <c r="O148" s="96">
        <v>0</v>
      </c>
    </row>
    <row r="149" spans="1:15" x14ac:dyDescent="0.25">
      <c r="A149" s="59">
        <f>IF(TableWRMaster[[#This Row],[Player]]&lt;&gt;0,A148+1,A148)</f>
        <v>128</v>
      </c>
      <c r="B149" s="59" t="str">
        <f>NYG!A15</f>
        <v>Darius Slayton</v>
      </c>
      <c r="C149" s="59" t="s">
        <v>109</v>
      </c>
      <c r="D149" s="59">
        <f>NYG!C15</f>
        <v>11</v>
      </c>
      <c r="E149" s="60">
        <f>NYG!J15</f>
        <v>0</v>
      </c>
      <c r="F149" s="60">
        <f>NYG!K15</f>
        <v>0</v>
      </c>
      <c r="G149" s="60">
        <f>NYG!L15</f>
        <v>76.504209599999996</v>
      </c>
      <c r="H149" s="60">
        <f>NYG!M15</f>
        <v>45.749517340799997</v>
      </c>
      <c r="I149" s="60">
        <f>NYG!N15</f>
        <v>590.16877369631993</v>
      </c>
      <c r="J149" s="60">
        <f>NYG!O15</f>
        <v>2.973718627152</v>
      </c>
      <c r="K149" s="60">
        <f t="shared" si="18"/>
        <v>76.859189132543989</v>
      </c>
      <c r="L149" s="60">
        <f t="shared" si="19"/>
        <v>99.733947802943987</v>
      </c>
      <c r="M149" s="60">
        <f t="shared" si="20"/>
        <v>122.60870647334399</v>
      </c>
      <c r="N149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99.733947802944002</v>
      </c>
      <c r="O149" s="96">
        <v>0</v>
      </c>
    </row>
    <row r="150" spans="1:15" x14ac:dyDescent="0.25">
      <c r="A150" s="59">
        <f>IF(TableWRMaster[[#This Row],[Player]]&lt;&gt;0,A149+1,A149)</f>
        <v>129</v>
      </c>
      <c r="B150" s="59" t="str">
        <f>NYG!A16</f>
        <v>Jalin Hyatt</v>
      </c>
      <c r="C150" s="59" t="s">
        <v>109</v>
      </c>
      <c r="D150" s="59">
        <f>NYG!C16</f>
        <v>11</v>
      </c>
      <c r="E150" s="60">
        <f>NYG!J16</f>
        <v>0</v>
      </c>
      <c r="F150" s="60">
        <f>NYG!K16</f>
        <v>0</v>
      </c>
      <c r="G150" s="60">
        <f>NYG!L16</f>
        <v>67.08830687999999</v>
      </c>
      <c r="H150" s="60">
        <f>NYG!M16</f>
        <v>37.636540159680003</v>
      </c>
      <c r="I150" s="60">
        <f>NYG!N16</f>
        <v>477.23132922474241</v>
      </c>
      <c r="J150" s="60">
        <f>NYG!O16</f>
        <v>2.0498016274716777</v>
      </c>
      <c r="K150" s="60">
        <f t="shared" si="18"/>
        <v>60.02194268730431</v>
      </c>
      <c r="L150" s="60">
        <f t="shared" si="19"/>
        <v>78.840212767144308</v>
      </c>
      <c r="M150" s="60">
        <f t="shared" si="20"/>
        <v>97.658482846984313</v>
      </c>
      <c r="N150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78.840212767144308</v>
      </c>
      <c r="O150" s="96">
        <v>0</v>
      </c>
    </row>
    <row r="151" spans="1:15" x14ac:dyDescent="0.25">
      <c r="A151" s="59">
        <f>IF(TableWRMaster[[#This Row],[Player]]&lt;&gt;0,A150+1,A150)</f>
        <v>130</v>
      </c>
      <c r="B151" s="59" t="str">
        <f>NYG!A17</f>
        <v>Gunner Olszewski</v>
      </c>
      <c r="C151" s="59" t="s">
        <v>109</v>
      </c>
      <c r="D151" s="59">
        <f>NYG!C17</f>
        <v>11</v>
      </c>
      <c r="E151" s="60">
        <f>NYG!J17</f>
        <v>0</v>
      </c>
      <c r="F151" s="60">
        <f>NYG!K17</f>
        <v>0</v>
      </c>
      <c r="G151" s="60">
        <f>NYG!L17</f>
        <v>10.592890559999997</v>
      </c>
      <c r="H151" s="60">
        <f>NYG!M17</f>
        <v>6.3557343359999985</v>
      </c>
      <c r="I151" s="60">
        <f>NYG!N17</f>
        <v>60.726695844674573</v>
      </c>
      <c r="J151" s="60">
        <f>NYG!O17</f>
        <v>0.29637199624083127</v>
      </c>
      <c r="K151" s="60">
        <f t="shared" si="18"/>
        <v>7.850901561912444</v>
      </c>
      <c r="L151" s="60">
        <f t="shared" si="19"/>
        <v>11.028768729912443</v>
      </c>
      <c r="M151" s="60">
        <f t="shared" si="20"/>
        <v>14.206635897912442</v>
      </c>
      <c r="N151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11.028768729912445</v>
      </c>
      <c r="O151" s="96">
        <v>0</v>
      </c>
    </row>
    <row r="152" spans="1:15" x14ac:dyDescent="0.25">
      <c r="A152" s="59">
        <f>IF(TableWRMaster[[#This Row],[Player]]&lt;&gt;0,A151+1,A151)</f>
        <v>130</v>
      </c>
      <c r="B152" s="59">
        <f>NYG!A18</f>
        <v>0</v>
      </c>
      <c r="C152" s="59" t="s">
        <v>109</v>
      </c>
      <c r="D152" s="59">
        <f>NYG!C18</f>
        <v>11</v>
      </c>
      <c r="E152" s="60">
        <f>NYG!J18</f>
        <v>0</v>
      </c>
      <c r="F152" s="60">
        <f>NYG!K18</f>
        <v>0</v>
      </c>
      <c r="G152" s="60">
        <f>NYG!L18</f>
        <v>0</v>
      </c>
      <c r="H152" s="60">
        <f>NYG!M18</f>
        <v>0</v>
      </c>
      <c r="I152" s="60">
        <f>NYG!N18</f>
        <v>0</v>
      </c>
      <c r="J152" s="60">
        <f>NYG!O18</f>
        <v>0</v>
      </c>
      <c r="K152" s="60">
        <f t="shared" si="18"/>
        <v>0</v>
      </c>
      <c r="L152" s="60">
        <f t="shared" si="19"/>
        <v>0</v>
      </c>
      <c r="M152" s="60">
        <f t="shared" si="20"/>
        <v>0</v>
      </c>
      <c r="N152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152" s="96">
        <v>0</v>
      </c>
    </row>
    <row r="153" spans="1:15" x14ac:dyDescent="0.25">
      <c r="A153" s="59">
        <f>IF(TableWRMaster[[#This Row],[Player]]&lt;&gt;0,A152+1,A152)</f>
        <v>130</v>
      </c>
      <c r="B153" s="59">
        <f>NYG!A19</f>
        <v>0</v>
      </c>
      <c r="C153" s="59" t="s">
        <v>109</v>
      </c>
      <c r="D153" s="59">
        <f>NYG!C19</f>
        <v>11</v>
      </c>
      <c r="E153" s="60">
        <f>NYG!J19</f>
        <v>0</v>
      </c>
      <c r="F153" s="60">
        <f>NYG!K19</f>
        <v>0</v>
      </c>
      <c r="G153" s="60">
        <f>NYG!L19</f>
        <v>0</v>
      </c>
      <c r="H153" s="60">
        <f>NYG!M19</f>
        <v>0</v>
      </c>
      <c r="I153" s="60">
        <f>NYG!N19</f>
        <v>0</v>
      </c>
      <c r="J153" s="60">
        <f>NYG!O19</f>
        <v>0</v>
      </c>
      <c r="K153" s="60">
        <f t="shared" si="18"/>
        <v>0</v>
      </c>
      <c r="L153" s="60">
        <f t="shared" si="19"/>
        <v>0</v>
      </c>
      <c r="M153" s="60">
        <f t="shared" si="20"/>
        <v>0</v>
      </c>
      <c r="N153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153" s="96">
        <v>0</v>
      </c>
    </row>
    <row r="154" spans="1:15" x14ac:dyDescent="0.25">
      <c r="A154" s="59">
        <f>IF(TableWRMaster[[#This Row],[Player]]&lt;&gt;0,A153+1,A153)</f>
        <v>131</v>
      </c>
      <c r="B154" s="59" t="str">
        <f>NYJ!A13</f>
        <v>Garrett Wilson</v>
      </c>
      <c r="C154" s="59" t="s">
        <v>110</v>
      </c>
      <c r="D154" s="59">
        <f>NYJ!C13</f>
        <v>12</v>
      </c>
      <c r="E154" s="60">
        <f>NYJ!J13</f>
        <v>0</v>
      </c>
      <c r="F154" s="60">
        <f>NYJ!K13</f>
        <v>0</v>
      </c>
      <c r="G154" s="60">
        <f>NYJ!L13</f>
        <v>137.46276543999994</v>
      </c>
      <c r="H154" s="60">
        <f>NYJ!M13</f>
        <v>84.127212449279966</v>
      </c>
      <c r="I154" s="60">
        <f>NYJ!N13</f>
        <v>1052.5644099573331</v>
      </c>
      <c r="J154" s="60">
        <f>NYJ!O13</f>
        <v>7.3830598877381197</v>
      </c>
      <c r="K154" s="60">
        <f t="shared" si="18"/>
        <v>149.55480032216201</v>
      </c>
      <c r="L154" s="60">
        <f t="shared" si="19"/>
        <v>191.61840654680199</v>
      </c>
      <c r="M154" s="60">
        <f t="shared" si="20"/>
        <v>233.68201277144198</v>
      </c>
      <c r="N154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191.61840654680199</v>
      </c>
      <c r="O154" s="96">
        <v>0</v>
      </c>
    </row>
    <row r="155" spans="1:15" x14ac:dyDescent="0.25">
      <c r="A155" s="59">
        <f>IF(TableWRMaster[[#This Row],[Player]]&lt;&gt;0,A154+1,A154)</f>
        <v>132</v>
      </c>
      <c r="B155" s="59" t="str">
        <f>NYJ!A14</f>
        <v>Mike Williams</v>
      </c>
      <c r="C155" s="59" t="s">
        <v>110</v>
      </c>
      <c r="D155" s="59">
        <f>NYJ!C14</f>
        <v>12</v>
      </c>
      <c r="E155" s="60">
        <f>NYJ!J14</f>
        <v>0</v>
      </c>
      <c r="F155" s="60">
        <f>NYJ!K14</f>
        <v>0</v>
      </c>
      <c r="G155" s="60">
        <f>NYJ!L14</f>
        <v>109.02219327999998</v>
      </c>
      <c r="H155" s="60">
        <f>NYJ!M14</f>
        <v>64.323094035199972</v>
      </c>
      <c r="I155" s="60">
        <f>NYJ!N14</f>
        <v>896.90368514187469</v>
      </c>
      <c r="J155" s="60">
        <f>NYJ!O14</f>
        <v>6.1360858732534407</v>
      </c>
      <c r="K155" s="60">
        <f t="shared" si="18"/>
        <v>126.50688375370811</v>
      </c>
      <c r="L155" s="60">
        <f t="shared" si="19"/>
        <v>158.6684307713081</v>
      </c>
      <c r="M155" s="60">
        <f t="shared" si="20"/>
        <v>190.82997778890808</v>
      </c>
      <c r="N155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158.6684307713081</v>
      </c>
      <c r="O155" s="96">
        <v>0</v>
      </c>
    </row>
    <row r="156" spans="1:15" x14ac:dyDescent="0.25">
      <c r="A156" s="59">
        <f>IF(TableWRMaster[[#This Row],[Player]]&lt;&gt;0,A155+1,A155)</f>
        <v>133</v>
      </c>
      <c r="B156" s="59" t="str">
        <f>NYJ!A15</f>
        <v>Malachi Corley</v>
      </c>
      <c r="C156" s="59" t="s">
        <v>110</v>
      </c>
      <c r="D156" s="59">
        <f>NYJ!C15</f>
        <v>12</v>
      </c>
      <c r="E156" s="60">
        <f>NYJ!J15</f>
        <v>24.960496904000003</v>
      </c>
      <c r="F156" s="60">
        <f>NYJ!K15</f>
        <v>3.0751864593784175E-2</v>
      </c>
      <c r="G156" s="60">
        <f>NYJ!L15</f>
        <v>72.286454239999969</v>
      </c>
      <c r="H156" s="60">
        <f>NYJ!M15</f>
        <v>45.829611988159982</v>
      </c>
      <c r="I156" s="60">
        <f>NYJ!N15</f>
        <v>548.61108023331667</v>
      </c>
      <c r="J156" s="60">
        <f>NYJ!O15</f>
        <v>3.7674978441924276</v>
      </c>
      <c r="K156" s="60">
        <f t="shared" si="18"/>
        <v>80.146655966448947</v>
      </c>
      <c r="L156" s="60">
        <f t="shared" si="19"/>
        <v>103.06146196052893</v>
      </c>
      <c r="M156" s="60">
        <f t="shared" si="20"/>
        <v>125.97626795460893</v>
      </c>
      <c r="N156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103.06146196052893</v>
      </c>
      <c r="O156" s="96">
        <v>0</v>
      </c>
    </row>
    <row r="157" spans="1:15" x14ac:dyDescent="0.25">
      <c r="A157" s="59">
        <f>IF(TableWRMaster[[#This Row],[Player]]&lt;&gt;0,A156+1,A156)</f>
        <v>134</v>
      </c>
      <c r="B157" s="59" t="str">
        <f>NYJ!A16</f>
        <v>Allen Lazard</v>
      </c>
      <c r="C157" s="59" t="s">
        <v>110</v>
      </c>
      <c r="D157" s="59">
        <f>NYJ!C16</f>
        <v>12</v>
      </c>
      <c r="E157" s="60">
        <f>NYJ!J16</f>
        <v>0</v>
      </c>
      <c r="F157" s="60">
        <f>NYJ!K16</f>
        <v>0</v>
      </c>
      <c r="G157" s="60">
        <f>NYJ!L16</f>
        <v>30.218107919999987</v>
      </c>
      <c r="H157" s="60">
        <f>NYJ!M16</f>
        <v>18.191300967839997</v>
      </c>
      <c r="I157" s="60">
        <f>NYJ!N16</f>
        <v>235.77203635810108</v>
      </c>
      <c r="J157" s="60">
        <f>NYJ!O16</f>
        <v>1.6312505989738435</v>
      </c>
      <c r="K157" s="60">
        <f t="shared" si="18"/>
        <v>33.36470722965317</v>
      </c>
      <c r="L157" s="60">
        <f t="shared" si="19"/>
        <v>42.460357713573167</v>
      </c>
      <c r="M157" s="60">
        <f t="shared" si="20"/>
        <v>51.556008197493171</v>
      </c>
      <c r="N157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42.460357713573167</v>
      </c>
      <c r="O157" s="96">
        <v>0</v>
      </c>
    </row>
    <row r="158" spans="1:15" x14ac:dyDescent="0.25">
      <c r="A158" s="59">
        <f>IF(TableWRMaster[[#This Row],[Player]]&lt;&gt;0,A157+1,A157)</f>
        <v>135</v>
      </c>
      <c r="B158" s="59" t="str">
        <f>NYJ!A17</f>
        <v>Jason Brownlee</v>
      </c>
      <c r="C158" s="59" t="s">
        <v>110</v>
      </c>
      <c r="D158" s="59">
        <f>NYJ!C17</f>
        <v>12</v>
      </c>
      <c r="E158" s="60">
        <f>NYJ!J17</f>
        <v>0</v>
      </c>
      <c r="F158" s="60">
        <f>NYJ!K17</f>
        <v>0</v>
      </c>
      <c r="G158" s="60">
        <f>NYJ!L17</f>
        <v>13.627774159999998</v>
      </c>
      <c r="H158" s="60">
        <f>NYJ!M17</f>
        <v>8.176664495999999</v>
      </c>
      <c r="I158" s="60">
        <f>NYJ!N17</f>
        <v>93.099417340045775</v>
      </c>
      <c r="J158" s="60">
        <f>NYJ!O17</f>
        <v>0.66830645474025152</v>
      </c>
      <c r="K158" s="60">
        <f t="shared" si="18"/>
        <v>13.319780462446086</v>
      </c>
      <c r="L158" s="60">
        <f t="shared" si="19"/>
        <v>17.408112710446087</v>
      </c>
      <c r="M158" s="60">
        <f t="shared" si="20"/>
        <v>21.496444958446084</v>
      </c>
      <c r="N158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17.408112710446087</v>
      </c>
      <c r="O158" s="96">
        <v>0</v>
      </c>
    </row>
    <row r="159" spans="1:15" x14ac:dyDescent="0.25">
      <c r="A159" s="59">
        <f>IF(TableWRMaster[[#This Row],[Player]]&lt;&gt;0,A158+1,A158)</f>
        <v>136</v>
      </c>
      <c r="B159" s="59" t="str">
        <f>NYJ!A18</f>
        <v>Xavier Gipson</v>
      </c>
      <c r="C159" s="59" t="s">
        <v>110</v>
      </c>
      <c r="D159" s="59">
        <f>NYJ!C18</f>
        <v>12</v>
      </c>
      <c r="E159" s="60">
        <f>NYJ!J18</f>
        <v>0</v>
      </c>
      <c r="F159" s="60">
        <f>NYJ!K18</f>
        <v>0</v>
      </c>
      <c r="G159" s="60">
        <f>NYJ!L18</f>
        <v>20.737917199999995</v>
      </c>
      <c r="H159" s="60">
        <f>NYJ!M18</f>
        <v>12.608653657599998</v>
      </c>
      <c r="I159" s="60">
        <f>NYJ!N18</f>
        <v>146.10709949103651</v>
      </c>
      <c r="J159" s="60">
        <f>NYJ!O18</f>
        <v>1.1189931551875791</v>
      </c>
      <c r="K159" s="60">
        <f t="shared" si="18"/>
        <v>21.324668880229126</v>
      </c>
      <c r="L159" s="60">
        <f t="shared" si="19"/>
        <v>27.628995709029127</v>
      </c>
      <c r="M159" s="60">
        <f t="shared" si="20"/>
        <v>33.933322537829127</v>
      </c>
      <c r="N159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27.628995709029127</v>
      </c>
      <c r="O159" s="96">
        <v>0</v>
      </c>
    </row>
    <row r="160" spans="1:15" x14ac:dyDescent="0.25">
      <c r="A160" s="59">
        <f>IF(TableWRMaster[[#This Row],[Player]]&lt;&gt;0,A159+1,A159)</f>
        <v>136</v>
      </c>
      <c r="B160" s="59">
        <f>NYJ!A19</f>
        <v>0</v>
      </c>
      <c r="C160" s="59" t="s">
        <v>110</v>
      </c>
      <c r="D160" s="59">
        <f>NYJ!C19</f>
        <v>12</v>
      </c>
      <c r="E160" s="60">
        <f>NYJ!J19</f>
        <v>0</v>
      </c>
      <c r="F160" s="60">
        <f>NYJ!K19</f>
        <v>0</v>
      </c>
      <c r="G160" s="60">
        <f>NYJ!L19</f>
        <v>0</v>
      </c>
      <c r="H160" s="60">
        <f>NYJ!M19</f>
        <v>0</v>
      </c>
      <c r="I160" s="60">
        <f>NYJ!N19</f>
        <v>0</v>
      </c>
      <c r="J160" s="60">
        <f>NYJ!O19</f>
        <v>0</v>
      </c>
      <c r="K160" s="60">
        <f t="shared" si="18"/>
        <v>0</v>
      </c>
      <c r="L160" s="60">
        <f t="shared" si="19"/>
        <v>0</v>
      </c>
      <c r="M160" s="60">
        <f t="shared" si="20"/>
        <v>0</v>
      </c>
      <c r="N160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160" s="96">
        <v>0</v>
      </c>
    </row>
    <row r="161" spans="1:15" x14ac:dyDescent="0.25">
      <c r="A161" s="59">
        <f>IF(TableWRMaster[[#This Row],[Player]]&lt;&gt;0,A160+1,A160)</f>
        <v>137</v>
      </c>
      <c r="B161" s="59" t="str">
        <f>PHI!A13</f>
        <v>A.J. Brown</v>
      </c>
      <c r="C161" s="59" t="s">
        <v>111</v>
      </c>
      <c r="D161" s="59">
        <f>PHI!C13</f>
        <v>5</v>
      </c>
      <c r="E161" s="60">
        <f>PHI!J13</f>
        <v>0</v>
      </c>
      <c r="F161" s="60">
        <f>PHI!K13</f>
        <v>0</v>
      </c>
      <c r="G161" s="60">
        <f>PHI!L13</f>
        <v>142.80892416</v>
      </c>
      <c r="H161" s="60">
        <f>PHI!M13</f>
        <v>90.112431144959999</v>
      </c>
      <c r="I161" s="60">
        <f>PHI!N13</f>
        <v>1286.8055167500288</v>
      </c>
      <c r="J161" s="60">
        <f>PHI!O13</f>
        <v>8.2002312341913601</v>
      </c>
      <c r="K161" s="60">
        <f t="shared" si="18"/>
        <v>177.88193908015103</v>
      </c>
      <c r="L161" s="60">
        <f t="shared" si="19"/>
        <v>222.93815465263103</v>
      </c>
      <c r="M161" s="60">
        <f t="shared" si="20"/>
        <v>267.99437022511103</v>
      </c>
      <c r="N161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222.93815465263103</v>
      </c>
      <c r="O161" s="96">
        <v>13.438851651696702</v>
      </c>
    </row>
    <row r="162" spans="1:15" x14ac:dyDescent="0.25">
      <c r="A162" s="59">
        <f>IF(TableWRMaster[[#This Row],[Player]]&lt;&gt;0,A161+1,A161)</f>
        <v>138</v>
      </c>
      <c r="B162" s="59" t="str">
        <f>PHI!A14</f>
        <v>DeVonta Smith</v>
      </c>
      <c r="C162" s="59" t="s">
        <v>111</v>
      </c>
      <c r="D162" s="59">
        <f>PHI!C14</f>
        <v>5</v>
      </c>
      <c r="E162" s="60">
        <f>PHI!J14</f>
        <v>24.242214527999998</v>
      </c>
      <c r="F162" s="60">
        <f>PHI!K14</f>
        <v>1.4429660557768925E-2</v>
      </c>
      <c r="G162" s="60">
        <f>PHI!L14</f>
        <v>128.86274016000002</v>
      </c>
      <c r="H162" s="60">
        <f>PHI!M14</f>
        <v>84.018506584320008</v>
      </c>
      <c r="I162" s="60">
        <f>PHI!N14</f>
        <v>1135.9302090200065</v>
      </c>
      <c r="J162" s="60">
        <f>PHI!O14</f>
        <v>7.0845651851390858</v>
      </c>
      <c r="K162" s="60">
        <f t="shared" si="18"/>
        <v>158.61121142898179</v>
      </c>
      <c r="L162" s="60">
        <f t="shared" si="19"/>
        <v>200.62046472114179</v>
      </c>
      <c r="M162" s="60">
        <f t="shared" si="20"/>
        <v>242.62971801330178</v>
      </c>
      <c r="N162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200.62046472114179</v>
      </c>
      <c r="O162" s="96">
        <v>4.3234228044126111</v>
      </c>
    </row>
    <row r="163" spans="1:15" x14ac:dyDescent="0.25">
      <c r="A163" s="59">
        <f>IF(TableWRMaster[[#This Row],[Player]]&lt;&gt;0,A162+1,A162)</f>
        <v>139</v>
      </c>
      <c r="B163" s="59" t="str">
        <f>PHI!A15</f>
        <v>Jahan Dotson</v>
      </c>
      <c r="C163" s="59" t="s">
        <v>111</v>
      </c>
      <c r="D163" s="59">
        <f>PHI!C15</f>
        <v>5</v>
      </c>
      <c r="E163" s="60">
        <f>PHI!J15</f>
        <v>0</v>
      </c>
      <c r="F163" s="60">
        <f>PHI!K15</f>
        <v>0</v>
      </c>
      <c r="G163" s="60">
        <f>PHI!L15</f>
        <v>39.607162559999999</v>
      </c>
      <c r="H163" s="60">
        <f>PHI!M15</f>
        <v>23.249404422719998</v>
      </c>
      <c r="I163" s="60">
        <f>PHI!N15</f>
        <v>271.55304365736959</v>
      </c>
      <c r="J163" s="60">
        <f>PHI!O15</f>
        <v>1.6507077140131197</v>
      </c>
      <c r="K163" s="60">
        <f t="shared" si="18"/>
        <v>37.059550649815677</v>
      </c>
      <c r="L163" s="60">
        <f t="shared" si="19"/>
        <v>48.684252861175679</v>
      </c>
      <c r="M163" s="60">
        <f t="shared" si="20"/>
        <v>60.308955072535674</v>
      </c>
      <c r="N163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48.684252861175672</v>
      </c>
      <c r="O163" s="96">
        <v>0</v>
      </c>
    </row>
    <row r="164" spans="1:15" x14ac:dyDescent="0.25">
      <c r="A164" s="59">
        <f>IF(TableWRMaster[[#This Row],[Player]]&lt;&gt;0,A163+1,A163)</f>
        <v>140</v>
      </c>
      <c r="B164" s="59" t="str">
        <f>PHI!A16</f>
        <v>Johnny Wilson</v>
      </c>
      <c r="C164" s="59" t="s">
        <v>111</v>
      </c>
      <c r="D164" s="59">
        <f>PHI!C16</f>
        <v>5</v>
      </c>
      <c r="E164" s="60">
        <f>PHI!J16</f>
        <v>0</v>
      </c>
      <c r="F164" s="60">
        <f>PHI!K16</f>
        <v>0</v>
      </c>
      <c r="G164" s="60">
        <f>PHI!L16</f>
        <v>21.756047040000002</v>
      </c>
      <c r="H164" s="60">
        <f>PHI!M16</f>
        <v>12.64026333024</v>
      </c>
      <c r="I164" s="60">
        <f>PHI!N16</f>
        <v>152.947186295904</v>
      </c>
      <c r="J164" s="60">
        <f>PHI!O16</f>
        <v>0.69209291395764783</v>
      </c>
      <c r="K164" s="60">
        <f t="shared" si="18"/>
        <v>19.447276113336287</v>
      </c>
      <c r="L164" s="60">
        <f t="shared" si="19"/>
        <v>25.767407778456288</v>
      </c>
      <c r="M164" s="60">
        <f t="shared" si="20"/>
        <v>32.08753944357629</v>
      </c>
      <c r="N164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25.767407778456288</v>
      </c>
      <c r="O164" s="96">
        <v>0</v>
      </c>
    </row>
    <row r="165" spans="1:15" x14ac:dyDescent="0.25">
      <c r="A165" s="59">
        <f>IF(TableWRMaster[[#This Row],[Player]]&lt;&gt;0,A164+1,A164)</f>
        <v>141</v>
      </c>
      <c r="B165" s="59" t="str">
        <f>PHI!A17</f>
        <v>Britain Covey</v>
      </c>
      <c r="C165" s="59" t="s">
        <v>111</v>
      </c>
      <c r="D165" s="59">
        <f>PHI!C17</f>
        <v>5</v>
      </c>
      <c r="E165" s="60">
        <f>PHI!J17</f>
        <v>0</v>
      </c>
      <c r="F165" s="60">
        <f>PHI!K17</f>
        <v>0</v>
      </c>
      <c r="G165" s="60">
        <f>PHI!L17</f>
        <v>8.3677104000000018</v>
      </c>
      <c r="H165" s="60">
        <f>PHI!M17</f>
        <v>5.1879804480000011</v>
      </c>
      <c r="I165" s="60">
        <f>PHI!N17</f>
        <v>58.033275066020074</v>
      </c>
      <c r="J165" s="60">
        <f>PHI!O17</f>
        <v>0.36315863136000009</v>
      </c>
      <c r="K165" s="60">
        <f t="shared" si="18"/>
        <v>7.9822792947620087</v>
      </c>
      <c r="L165" s="60">
        <f t="shared" si="19"/>
        <v>10.576269518762009</v>
      </c>
      <c r="M165" s="60">
        <f t="shared" si="20"/>
        <v>13.17025974276201</v>
      </c>
      <c r="N165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10.576269518762009</v>
      </c>
      <c r="O165" s="96">
        <v>0</v>
      </c>
    </row>
    <row r="166" spans="1:15" x14ac:dyDescent="0.25">
      <c r="A166" s="59">
        <f>IF(TableWRMaster[[#This Row],[Player]]&lt;&gt;0,A165+1,A165)</f>
        <v>141</v>
      </c>
      <c r="B166" s="59">
        <f>PHI!A18</f>
        <v>0</v>
      </c>
      <c r="C166" s="59" t="s">
        <v>111</v>
      </c>
      <c r="D166" s="59">
        <f>PHI!C18</f>
        <v>5</v>
      </c>
      <c r="E166" s="60">
        <f>PHI!J18</f>
        <v>0</v>
      </c>
      <c r="F166" s="60">
        <f>PHI!K18</f>
        <v>0</v>
      </c>
      <c r="G166" s="60">
        <f>PHI!L18</f>
        <v>0</v>
      </c>
      <c r="H166" s="60">
        <f>PHI!M18</f>
        <v>0</v>
      </c>
      <c r="I166" s="60">
        <f>PHI!N18</f>
        <v>0</v>
      </c>
      <c r="J166" s="60">
        <f>PHI!O18</f>
        <v>0</v>
      </c>
      <c r="K166" s="60">
        <f t="shared" si="18"/>
        <v>0</v>
      </c>
      <c r="L166" s="60">
        <f t="shared" si="19"/>
        <v>0</v>
      </c>
      <c r="M166" s="60">
        <f t="shared" si="20"/>
        <v>0</v>
      </c>
      <c r="N166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166" s="96">
        <v>0</v>
      </c>
    </row>
    <row r="167" spans="1:15" x14ac:dyDescent="0.25">
      <c r="A167" s="59">
        <f>IF(TableWRMaster[[#This Row],[Player]]&lt;&gt;0,A166+1,A166)</f>
        <v>142</v>
      </c>
      <c r="B167" s="59" t="str">
        <f>PIT!A13</f>
        <v>George Pickens</v>
      </c>
      <c r="C167" s="59" t="s">
        <v>112</v>
      </c>
      <c r="D167" s="59">
        <f>PIT!C13</f>
        <v>9</v>
      </c>
      <c r="E167" s="60">
        <f>PIT!J13</f>
        <v>0</v>
      </c>
      <c r="F167" s="60">
        <f>PIT!K13</f>
        <v>0</v>
      </c>
      <c r="G167" s="60">
        <f>PIT!L13</f>
        <v>129.37102499999997</v>
      </c>
      <c r="H167" s="60">
        <f>PIT!M13</f>
        <v>77.363872949999987</v>
      </c>
      <c r="I167" s="60">
        <f>PIT!N13</f>
        <v>1124.8707126929996</v>
      </c>
      <c r="J167" s="60">
        <f>PIT!O13</f>
        <v>6.3210990652167949</v>
      </c>
      <c r="K167" s="60">
        <f t="shared" si="18"/>
        <v>150.41366566060071</v>
      </c>
      <c r="L167" s="60">
        <f t="shared" si="19"/>
        <v>189.0956021356007</v>
      </c>
      <c r="M167" s="60">
        <f t="shared" si="20"/>
        <v>227.77753861060069</v>
      </c>
      <c r="N167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189.09560213560073</v>
      </c>
      <c r="O167" s="96">
        <v>22.135822917322109</v>
      </c>
    </row>
    <row r="168" spans="1:15" x14ac:dyDescent="0.25">
      <c r="A168" s="59">
        <f>IF(TableWRMaster[[#This Row],[Player]]&lt;&gt;0,A167+1,A167)</f>
        <v>143</v>
      </c>
      <c r="B168" s="59" t="str">
        <f>PIT!A14</f>
        <v>Roman Wilson</v>
      </c>
      <c r="C168" s="59" t="s">
        <v>112</v>
      </c>
      <c r="D168" s="59">
        <f>PIT!C14</f>
        <v>9</v>
      </c>
      <c r="E168" s="60">
        <f>PIT!J14</f>
        <v>0</v>
      </c>
      <c r="F168" s="60">
        <f>PIT!K14</f>
        <v>0</v>
      </c>
      <c r="G168" s="60">
        <f>PIT!L14</f>
        <v>77.072100000000006</v>
      </c>
      <c r="H168" s="60">
        <f>PIT!M14</f>
        <v>47.013981000000001</v>
      </c>
      <c r="I168" s="60">
        <f>PIT!N14</f>
        <v>574.51084782000009</v>
      </c>
      <c r="J168" s="60">
        <f>PIT!O14</f>
        <v>3.337992651</v>
      </c>
      <c r="K168" s="60">
        <f t="shared" si="18"/>
        <v>77.479040688000012</v>
      </c>
      <c r="L168" s="60">
        <f t="shared" si="19"/>
        <v>100.98603118800001</v>
      </c>
      <c r="M168" s="60">
        <f t="shared" si="20"/>
        <v>124.49302168800001</v>
      </c>
      <c r="N168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100.98603118800001</v>
      </c>
      <c r="O168" s="96">
        <v>17.214001644707764</v>
      </c>
    </row>
    <row r="169" spans="1:15" x14ac:dyDescent="0.25">
      <c r="A169" s="59">
        <f>IF(TableWRMaster[[#This Row],[Player]]&lt;&gt;0,A168+1,A168)</f>
        <v>144</v>
      </c>
      <c r="B169" s="59" t="str">
        <f>PIT!A15</f>
        <v>Van Jefferson</v>
      </c>
      <c r="C169" s="59" t="s">
        <v>112</v>
      </c>
      <c r="D169" s="59">
        <f>PIT!C15</f>
        <v>9</v>
      </c>
      <c r="E169" s="60">
        <f>PIT!J15</f>
        <v>0</v>
      </c>
      <c r="F169" s="60">
        <f>PIT!K15</f>
        <v>0</v>
      </c>
      <c r="G169" s="60">
        <f>PIT!L15</f>
        <v>80.925704999999994</v>
      </c>
      <c r="H169" s="60">
        <f>PIT!M15</f>
        <v>43.861732109999998</v>
      </c>
      <c r="I169" s="60">
        <f>PIT!N15</f>
        <v>593.0106181271999</v>
      </c>
      <c r="J169" s="60">
        <f>PIT!O15</f>
        <v>3.2457681761399999</v>
      </c>
      <c r="K169" s="60">
        <f t="shared" si="18"/>
        <v>78.775670869559988</v>
      </c>
      <c r="L169" s="60">
        <f t="shared" si="19"/>
        <v>100.70653692455998</v>
      </c>
      <c r="M169" s="60">
        <f t="shared" si="20"/>
        <v>122.63740297955999</v>
      </c>
      <c r="N169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100.70653692455998</v>
      </c>
      <c r="O169" s="96">
        <v>17.136851372552155</v>
      </c>
    </row>
    <row r="170" spans="1:15" x14ac:dyDescent="0.25">
      <c r="A170" s="59">
        <f>IF(TableWRMaster[[#This Row],[Player]]&lt;&gt;0,A169+1,A169)</f>
        <v>145</v>
      </c>
      <c r="B170" s="59" t="str">
        <f>PIT!A16</f>
        <v>Calvin Austin</v>
      </c>
      <c r="C170" s="59" t="s">
        <v>112</v>
      </c>
      <c r="D170" s="59">
        <f>PIT!C16</f>
        <v>9</v>
      </c>
      <c r="E170" s="60">
        <f>PIT!J16</f>
        <v>0</v>
      </c>
      <c r="F170" s="60">
        <f>PIT!K16</f>
        <v>0</v>
      </c>
      <c r="G170" s="60">
        <f>PIT!L16</f>
        <v>48.445319999999995</v>
      </c>
      <c r="H170" s="60">
        <f>PIT!M16</f>
        <v>29.309418599999997</v>
      </c>
      <c r="I170" s="60">
        <f>PIT!N16</f>
        <v>328.26548831999997</v>
      </c>
      <c r="J170" s="60">
        <f>PIT!O16</f>
        <v>1.8158737725561622</v>
      </c>
      <c r="K170" s="60">
        <f t="shared" si="18"/>
        <v>43.721791467336971</v>
      </c>
      <c r="L170" s="60">
        <f t="shared" si="19"/>
        <v>58.376500767336971</v>
      </c>
      <c r="M170" s="60">
        <f t="shared" si="20"/>
        <v>73.031210067336971</v>
      </c>
      <c r="N170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58.376500767336978</v>
      </c>
      <c r="O170" s="96">
        <v>0</v>
      </c>
    </row>
    <row r="171" spans="1:15" x14ac:dyDescent="0.25">
      <c r="A171" s="59">
        <f>IF(TableWRMaster[[#This Row],[Player]]&lt;&gt;0,A170+1,A170)</f>
        <v>146</v>
      </c>
      <c r="B171" s="59" t="str">
        <f>PIT!A17</f>
        <v>Dez Fitzpatrick</v>
      </c>
      <c r="C171" s="59" t="s">
        <v>112</v>
      </c>
      <c r="D171" s="59">
        <f>PIT!C17</f>
        <v>9</v>
      </c>
      <c r="E171" s="60">
        <f>PIT!J17</f>
        <v>0</v>
      </c>
      <c r="F171" s="60">
        <f>PIT!K17</f>
        <v>0</v>
      </c>
      <c r="G171" s="60">
        <f>PIT!L17</f>
        <v>7.156695</v>
      </c>
      <c r="H171" s="60">
        <f>PIT!M17</f>
        <v>4.0650027599999996</v>
      </c>
      <c r="I171" s="60">
        <f>PIT!N17</f>
        <v>50.040183975599994</v>
      </c>
      <c r="J171" s="60">
        <f>PIT!O17</f>
        <v>0.24390016559999997</v>
      </c>
      <c r="K171" s="60">
        <f t="shared" si="18"/>
        <v>6.4674193911599991</v>
      </c>
      <c r="L171" s="60">
        <f t="shared" si="19"/>
        <v>8.4999207711599993</v>
      </c>
      <c r="M171" s="60">
        <f t="shared" si="20"/>
        <v>10.532422151159999</v>
      </c>
      <c r="N171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8.4999207711599993</v>
      </c>
      <c r="O171" s="96">
        <v>0</v>
      </c>
    </row>
    <row r="172" spans="1:15" x14ac:dyDescent="0.25">
      <c r="A172" s="59">
        <f>IF(TableWRMaster[[#This Row],[Player]]&lt;&gt;0,A171+1,A171)</f>
        <v>146</v>
      </c>
      <c r="B172" s="59">
        <f>PIT!A18</f>
        <v>0</v>
      </c>
      <c r="C172" s="59" t="s">
        <v>112</v>
      </c>
      <c r="D172" s="59">
        <f>PIT!C18</f>
        <v>9</v>
      </c>
      <c r="E172" s="60">
        <f>PIT!J18</f>
        <v>0</v>
      </c>
      <c r="F172" s="60">
        <f>PIT!K18</f>
        <v>0</v>
      </c>
      <c r="G172" s="60">
        <f>PIT!L18</f>
        <v>0</v>
      </c>
      <c r="H172" s="60">
        <f>PIT!M18</f>
        <v>0</v>
      </c>
      <c r="I172" s="60">
        <f>PIT!N18</f>
        <v>0</v>
      </c>
      <c r="J172" s="60">
        <f>PIT!O18</f>
        <v>0</v>
      </c>
      <c r="K172" s="60">
        <f t="shared" si="18"/>
        <v>0</v>
      </c>
      <c r="L172" s="60">
        <f t="shared" si="19"/>
        <v>0</v>
      </c>
      <c r="M172" s="60">
        <f t="shared" si="20"/>
        <v>0</v>
      </c>
      <c r="N172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172" s="96">
        <v>0</v>
      </c>
    </row>
    <row r="173" spans="1:15" x14ac:dyDescent="0.25">
      <c r="A173" s="59">
        <f>IF(TableWRMaster[[#This Row],[Player]]&lt;&gt;0,A172+1,A172)</f>
        <v>147</v>
      </c>
      <c r="B173" s="59" t="str">
        <f>SEA!A13</f>
        <v>DK Metcalf</v>
      </c>
      <c r="C173" s="59" t="s">
        <v>113</v>
      </c>
      <c r="D173" s="59">
        <f>SEA!C13</f>
        <v>10</v>
      </c>
      <c r="E173" s="60">
        <f>SEA!J13</f>
        <v>0</v>
      </c>
      <c r="F173" s="60">
        <f>SEA!K13</f>
        <v>0</v>
      </c>
      <c r="G173" s="60">
        <f>SEA!L13</f>
        <v>123.64275545999998</v>
      </c>
      <c r="H173" s="60">
        <f>SEA!M13</f>
        <v>73.443796743239986</v>
      </c>
      <c r="I173" s="60">
        <f>SEA!N13</f>
        <v>1102.3913891160321</v>
      </c>
      <c r="J173" s="60">
        <f>SEA!O13</f>
        <v>8.2991490319861185</v>
      </c>
      <c r="K173" s="60">
        <f t="shared" si="18"/>
        <v>160.0340331035199</v>
      </c>
      <c r="L173" s="60">
        <f t="shared" ref="L173:L203" si="21">K173+(H173*0.5)</f>
        <v>196.7559314751399</v>
      </c>
      <c r="M173" s="60">
        <f t="shared" ref="M173:M203" si="22">K173+H173</f>
        <v>233.4778298467599</v>
      </c>
      <c r="N173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196.75593147513993</v>
      </c>
      <c r="O173" s="96">
        <v>31.727876732978672</v>
      </c>
    </row>
    <row r="174" spans="1:15" x14ac:dyDescent="0.25">
      <c r="A174" s="59">
        <f>IF(TableWRMaster[[#This Row],[Player]]&lt;&gt;0,A173+1,A173)</f>
        <v>148</v>
      </c>
      <c r="B174" s="59" t="str">
        <f>SEA!A14</f>
        <v>Tyler Lockett</v>
      </c>
      <c r="C174" s="59" t="s">
        <v>113</v>
      </c>
      <c r="D174" s="59">
        <f>SEA!C14</f>
        <v>10</v>
      </c>
      <c r="E174" s="60">
        <f>SEA!J14</f>
        <v>0</v>
      </c>
      <c r="F174" s="60">
        <f>SEA!K14</f>
        <v>0</v>
      </c>
      <c r="G174" s="60">
        <f>SEA!L14</f>
        <v>118.99889609999998</v>
      </c>
      <c r="H174" s="60">
        <f>SEA!M14</f>
        <v>77.587280257199993</v>
      </c>
      <c r="I174" s="60">
        <f>SEA!N14</f>
        <v>890.7254198585324</v>
      </c>
      <c r="J174" s="60">
        <f>SEA!O14</f>
        <v>5.7414587390327991</v>
      </c>
      <c r="K174" s="60">
        <f t="shared" si="18"/>
        <v>123.52129442005003</v>
      </c>
      <c r="L174" s="60">
        <f t="shared" si="21"/>
        <v>162.31493454865003</v>
      </c>
      <c r="M174" s="60">
        <f t="shared" si="22"/>
        <v>201.10857467725003</v>
      </c>
      <c r="N174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162.31493454865003</v>
      </c>
      <c r="O174" s="96">
        <v>21.416504209580044</v>
      </c>
    </row>
    <row r="175" spans="1:15" x14ac:dyDescent="0.25">
      <c r="A175" s="59">
        <f>IF(TableWRMaster[[#This Row],[Player]]&lt;&gt;0,A174+1,A174)</f>
        <v>149</v>
      </c>
      <c r="B175" s="59" t="str">
        <f>SEA!A15</f>
        <v>Jaxon Smith-Njigba</v>
      </c>
      <c r="C175" s="59" t="s">
        <v>113</v>
      </c>
      <c r="D175" s="59">
        <f>SEA!C15</f>
        <v>10</v>
      </c>
      <c r="E175" s="60">
        <f>SEA!J15</f>
        <v>0</v>
      </c>
      <c r="F175" s="60">
        <f>SEA!K15</f>
        <v>0</v>
      </c>
      <c r="G175" s="60">
        <f>SEA!L15</f>
        <v>120.15986093999999</v>
      </c>
      <c r="H175" s="60">
        <f>SEA!M15</f>
        <v>79.786147664159998</v>
      </c>
      <c r="I175" s="60">
        <f>SEA!N15</f>
        <v>899.63366099845041</v>
      </c>
      <c r="J175" s="60">
        <f>SEA!O15</f>
        <v>5.6648164841553594</v>
      </c>
      <c r="K175" s="60">
        <f t="shared" si="18"/>
        <v>123.9522650047772</v>
      </c>
      <c r="L175" s="60">
        <f t="shared" si="21"/>
        <v>163.8453388368572</v>
      </c>
      <c r="M175" s="60">
        <f t="shared" si="22"/>
        <v>203.7384126689372</v>
      </c>
      <c r="N175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163.8453388368572</v>
      </c>
      <c r="O175" s="96">
        <v>0</v>
      </c>
    </row>
    <row r="176" spans="1:15" x14ac:dyDescent="0.25">
      <c r="A176" s="59">
        <f>IF(TableWRMaster[[#This Row],[Player]]&lt;&gt;0,A175+1,A175)</f>
        <v>150</v>
      </c>
      <c r="B176" s="59" t="str">
        <f>SEA!A16</f>
        <v>Jake Bobo</v>
      </c>
      <c r="C176" s="59" t="s">
        <v>113</v>
      </c>
      <c r="D176" s="59">
        <f>SEA!C16</f>
        <v>10</v>
      </c>
      <c r="E176" s="60">
        <f>SEA!J16</f>
        <v>0</v>
      </c>
      <c r="F176" s="60">
        <f>SEA!K16</f>
        <v>0</v>
      </c>
      <c r="G176" s="60">
        <f>SEA!L16</f>
        <v>26.121708899999998</v>
      </c>
      <c r="H176" s="60">
        <f>SEA!M16</f>
        <v>17.188084456199999</v>
      </c>
      <c r="I176" s="60">
        <f>SEA!N16</f>
        <v>187.34551148138038</v>
      </c>
      <c r="J176" s="60">
        <f>SEA!O16</f>
        <v>1.1687897430215999</v>
      </c>
      <c r="K176" s="60">
        <f t="shared" si="18"/>
        <v>25.747289606267636</v>
      </c>
      <c r="L176" s="60">
        <f t="shared" si="21"/>
        <v>34.341331834367637</v>
      </c>
      <c r="M176" s="60">
        <f t="shared" si="22"/>
        <v>42.935374062467631</v>
      </c>
      <c r="N176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34.341331834367637</v>
      </c>
      <c r="O176" s="96">
        <v>0</v>
      </c>
    </row>
    <row r="177" spans="1:15" x14ac:dyDescent="0.25">
      <c r="A177" s="59">
        <f>IF(TableWRMaster[[#This Row],[Player]]&lt;&gt;0,A176+1,A176)</f>
        <v>151</v>
      </c>
      <c r="B177" s="59" t="str">
        <f>SEA!A17</f>
        <v>Laviska Shenault</v>
      </c>
      <c r="C177" s="59" t="s">
        <v>113</v>
      </c>
      <c r="D177" s="59">
        <f>SEA!C17</f>
        <v>10</v>
      </c>
      <c r="E177" s="60">
        <f>SEA!J17</f>
        <v>0</v>
      </c>
      <c r="F177" s="60">
        <f>SEA!K17</f>
        <v>0</v>
      </c>
      <c r="G177" s="60">
        <f>SEA!L17</f>
        <v>11.609648399999999</v>
      </c>
      <c r="H177" s="60">
        <f>SEA!M17</f>
        <v>7.9990477475999988</v>
      </c>
      <c r="I177" s="60">
        <f>SEA!N17</f>
        <v>78.422703608191242</v>
      </c>
      <c r="J177" s="60">
        <f>SEA!O17</f>
        <v>0.46458328906608864</v>
      </c>
      <c r="K177" s="60">
        <f t="shared" si="18"/>
        <v>10.629770095215656</v>
      </c>
      <c r="L177" s="60">
        <f t="shared" si="21"/>
        <v>14.629293969015656</v>
      </c>
      <c r="M177" s="60">
        <f t="shared" si="22"/>
        <v>18.628817842815657</v>
      </c>
      <c r="N177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14.629293969015656</v>
      </c>
      <c r="O177" s="96">
        <v>0</v>
      </c>
    </row>
    <row r="178" spans="1:15" x14ac:dyDescent="0.25">
      <c r="A178" s="59">
        <f>IF(TableWRMaster[[#This Row],[Player]]&lt;&gt;0,A177+1,A177)</f>
        <v>152</v>
      </c>
      <c r="B178" s="59" t="str">
        <f>SF!A13</f>
        <v>Brandon Aiyuk</v>
      </c>
      <c r="C178" s="59" t="s">
        <v>114</v>
      </c>
      <c r="D178" s="59">
        <f>SF!C13</f>
        <v>9</v>
      </c>
      <c r="E178" s="60">
        <f>SF!J13</f>
        <v>0</v>
      </c>
      <c r="F178" s="60">
        <f>SF!K13</f>
        <v>0</v>
      </c>
      <c r="G178" s="60">
        <f>SF!L13</f>
        <v>115.02733536</v>
      </c>
      <c r="H178" s="60">
        <f>SF!M13</f>
        <v>78.218588044800001</v>
      </c>
      <c r="I178" s="60">
        <f>SF!N13</f>
        <v>1184.229422998272</v>
      </c>
      <c r="J178" s="60">
        <f>SF!O13</f>
        <v>7.9000773925248007</v>
      </c>
      <c r="K178" s="60">
        <f t="shared" si="18"/>
        <v>165.823406654976</v>
      </c>
      <c r="L178" s="60">
        <f t="shared" si="21"/>
        <v>204.932700677376</v>
      </c>
      <c r="M178" s="60">
        <f t="shared" si="22"/>
        <v>244.04199469977601</v>
      </c>
      <c r="N178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204.932700677376</v>
      </c>
      <c r="O178" s="96">
        <v>15.964560639789411</v>
      </c>
    </row>
    <row r="179" spans="1:15" x14ac:dyDescent="0.25">
      <c r="A179" s="59">
        <f>IF(TableWRMaster[[#This Row],[Player]]&lt;&gt;0,A178+1,A178)</f>
        <v>153</v>
      </c>
      <c r="B179" s="59" t="str">
        <f>SF!A14</f>
        <v>Deebo Samuel</v>
      </c>
      <c r="C179" s="59" t="s">
        <v>114</v>
      </c>
      <c r="D179" s="59">
        <f>SF!C14</f>
        <v>9</v>
      </c>
      <c r="E179" s="60">
        <f>SF!J14</f>
        <v>231.31002261360004</v>
      </c>
      <c r="F179" s="60">
        <f>SF!K14</f>
        <v>2.1651484176000002</v>
      </c>
      <c r="G179" s="60">
        <f>SF!L14</f>
        <v>106.50679199999999</v>
      </c>
      <c r="H179" s="60">
        <f>SF!M14</f>
        <v>71.466057431999999</v>
      </c>
      <c r="I179" s="60">
        <f>SF!N14</f>
        <v>998.38082232504007</v>
      </c>
      <c r="J179" s="60">
        <f>SF!O14</f>
        <v>6.2890130540159994</v>
      </c>
      <c r="K179" s="60">
        <f t="shared" si="18"/>
        <v>173.69405332356001</v>
      </c>
      <c r="L179" s="60">
        <f t="shared" si="21"/>
        <v>209.42708203956002</v>
      </c>
      <c r="M179" s="60">
        <f t="shared" si="22"/>
        <v>245.16011075556003</v>
      </c>
      <c r="N179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209.42708203956002</v>
      </c>
      <c r="O179" s="96">
        <v>13.457984816052479</v>
      </c>
    </row>
    <row r="180" spans="1:15" x14ac:dyDescent="0.25">
      <c r="A180" s="59">
        <f>IF(TableWRMaster[[#This Row],[Player]]&lt;&gt;0,A179+1,A179)</f>
        <v>154</v>
      </c>
      <c r="B180" s="59" t="str">
        <f>SF!A15</f>
        <v>Ricky Pearsall</v>
      </c>
      <c r="C180" s="59" t="s">
        <v>114</v>
      </c>
      <c r="D180" s="59">
        <f>SF!C15</f>
        <v>9</v>
      </c>
      <c r="E180" s="60">
        <f>SF!J15</f>
        <v>0</v>
      </c>
      <c r="F180" s="60">
        <f>SF!K15</f>
        <v>0</v>
      </c>
      <c r="G180" s="60">
        <f>SF!L15</f>
        <v>42.602716799999996</v>
      </c>
      <c r="H180" s="60">
        <f>SF!M15</f>
        <v>27.521355052799997</v>
      </c>
      <c r="I180" s="60">
        <f>SF!N15</f>
        <v>363.88666336255017</v>
      </c>
      <c r="J180" s="60">
        <f>SF!O15</f>
        <v>2.3943578895935995</v>
      </c>
      <c r="K180" s="60">
        <f t="shared" si="18"/>
        <v>50.754813673816614</v>
      </c>
      <c r="L180" s="60">
        <f t="shared" si="21"/>
        <v>64.515491200216616</v>
      </c>
      <c r="M180" s="60">
        <f t="shared" si="22"/>
        <v>78.276168726616618</v>
      </c>
      <c r="N180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64.515491200216616</v>
      </c>
      <c r="O180" s="96">
        <v>0</v>
      </c>
    </row>
    <row r="181" spans="1:15" x14ac:dyDescent="0.25">
      <c r="A181" s="59">
        <f>IF(TableWRMaster[[#This Row],[Player]]&lt;&gt;0,A180+1,A180)</f>
        <v>155</v>
      </c>
      <c r="B181" s="59" t="str">
        <f>SF!A16</f>
        <v>Jauan Jennings</v>
      </c>
      <c r="C181" s="59" t="s">
        <v>114</v>
      </c>
      <c r="D181" s="59">
        <f>SF!C16</f>
        <v>9</v>
      </c>
      <c r="E181" s="60">
        <f>SF!J16</f>
        <v>0</v>
      </c>
      <c r="F181" s="60">
        <f>SF!K16</f>
        <v>0</v>
      </c>
      <c r="G181" s="60">
        <f>SF!L16</f>
        <v>43.135250759999998</v>
      </c>
      <c r="H181" s="60">
        <f>SF!M16</f>
        <v>26.786990721959995</v>
      </c>
      <c r="I181" s="60">
        <f>SF!N16</f>
        <v>345.01644049884476</v>
      </c>
      <c r="J181" s="60">
        <f>SF!O16</f>
        <v>2.133590747005389</v>
      </c>
      <c r="K181" s="60">
        <f t="shared" si="18"/>
        <v>47.30318853191681</v>
      </c>
      <c r="L181" s="60">
        <f t="shared" si="21"/>
        <v>60.696683892896807</v>
      </c>
      <c r="M181" s="60">
        <f t="shared" si="22"/>
        <v>74.090179253876812</v>
      </c>
      <c r="N181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60.696683892896807</v>
      </c>
      <c r="O181" s="96">
        <v>0</v>
      </c>
    </row>
    <row r="182" spans="1:15" x14ac:dyDescent="0.25">
      <c r="A182" s="59">
        <f>IF(TableWRMaster[[#This Row],[Player]]&lt;&gt;0,A181+1,A181)</f>
        <v>156</v>
      </c>
      <c r="B182" s="59" t="str">
        <f>SF!A17</f>
        <v>Ronnie Bell</v>
      </c>
      <c r="C182" s="59" t="s">
        <v>114</v>
      </c>
      <c r="D182" s="59">
        <f>SF!C17</f>
        <v>9</v>
      </c>
      <c r="E182" s="60">
        <f>SF!J17</f>
        <v>0</v>
      </c>
      <c r="F182" s="60">
        <f>SF!K17</f>
        <v>0</v>
      </c>
      <c r="G182" s="60">
        <f>SF!L17</f>
        <v>7.9880093999999984</v>
      </c>
      <c r="H182" s="60">
        <f>SF!M17</f>
        <v>5.104338006599999</v>
      </c>
      <c r="I182" s="60">
        <f>SF!N17</f>
        <v>61.263782192908828</v>
      </c>
      <c r="J182" s="60">
        <f>SF!O17</f>
        <v>0.39534194215240248</v>
      </c>
      <c r="K182" s="60">
        <f t="shared" si="18"/>
        <v>8.498429872205298</v>
      </c>
      <c r="L182" s="60">
        <f t="shared" si="21"/>
        <v>11.050598875505298</v>
      </c>
      <c r="M182" s="60">
        <f t="shared" si="22"/>
        <v>13.602767878805297</v>
      </c>
      <c r="N182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11.050598875505298</v>
      </c>
      <c r="O182" s="96">
        <v>0</v>
      </c>
    </row>
    <row r="183" spans="1:15" x14ac:dyDescent="0.25">
      <c r="A183" s="59">
        <f>IF(TableWRMaster[[#This Row],[Player]]&lt;&gt;0,A182+1,A182)</f>
        <v>157</v>
      </c>
      <c r="B183" s="59" t="str">
        <f>SF!A18</f>
        <v>Danny Gray</v>
      </c>
      <c r="C183" s="59" t="s">
        <v>114</v>
      </c>
      <c r="D183" s="59">
        <f>SF!C18</f>
        <v>9</v>
      </c>
      <c r="E183" s="60">
        <f>SF!J18</f>
        <v>0</v>
      </c>
      <c r="F183" s="60">
        <f>SF!K18</f>
        <v>0</v>
      </c>
      <c r="G183" s="60">
        <f>SF!L18</f>
        <v>5.3253395999999995</v>
      </c>
      <c r="H183" s="60">
        <f>SF!M18</f>
        <v>3.3389879291999995</v>
      </c>
      <c r="I183" s="60">
        <f>SF!N18</f>
        <v>54.258553849499989</v>
      </c>
      <c r="J183" s="60">
        <f>SF!O18</f>
        <v>0.25042409468999993</v>
      </c>
      <c r="K183" s="60">
        <f t="shared" si="18"/>
        <v>6.9283999530899987</v>
      </c>
      <c r="L183" s="60">
        <f t="shared" si="21"/>
        <v>8.5978939176899978</v>
      </c>
      <c r="M183" s="60">
        <f t="shared" si="22"/>
        <v>10.267387882289999</v>
      </c>
      <c r="N183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8.5978939176899996</v>
      </c>
      <c r="O183" s="96">
        <v>0</v>
      </c>
    </row>
    <row r="184" spans="1:15" x14ac:dyDescent="0.25">
      <c r="A184" s="59">
        <f>IF(TableWRMaster[[#This Row],[Player]]&lt;&gt;0,A183+1,A183)</f>
        <v>158</v>
      </c>
      <c r="B184" s="59" t="str">
        <f>TB!A13</f>
        <v>Mike Evans</v>
      </c>
      <c r="C184" s="59" t="s">
        <v>115</v>
      </c>
      <c r="D184" s="59">
        <f>TB!C13</f>
        <v>11</v>
      </c>
      <c r="E184" s="60">
        <f>TB!J13</f>
        <v>0</v>
      </c>
      <c r="F184" s="60">
        <f>TB!K13</f>
        <v>0</v>
      </c>
      <c r="G184" s="60">
        <f>TB!L13</f>
        <v>132.25035516</v>
      </c>
      <c r="H184" s="60">
        <f>TB!M13</f>
        <v>77.234207413439989</v>
      </c>
      <c r="I184" s="60">
        <f>TB!N13</f>
        <v>1153.8790587567935</v>
      </c>
      <c r="J184" s="60">
        <f>TB!O13</f>
        <v>9.2681048896127987</v>
      </c>
      <c r="K184" s="60">
        <f t="shared" si="18"/>
        <v>170.99653521335614</v>
      </c>
      <c r="L184" s="60">
        <f t="shared" si="21"/>
        <v>209.61363892007614</v>
      </c>
      <c r="M184" s="60">
        <f t="shared" si="22"/>
        <v>248.23074262679614</v>
      </c>
      <c r="N184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209.61363892007614</v>
      </c>
      <c r="O184" s="96">
        <v>23.51121327206225</v>
      </c>
    </row>
    <row r="185" spans="1:15" x14ac:dyDescent="0.25">
      <c r="A185" s="59">
        <f>IF(TableWRMaster[[#This Row],[Player]]&lt;&gt;0,A184+1,A184)</f>
        <v>159</v>
      </c>
      <c r="B185" s="59" t="str">
        <f>TB!A14</f>
        <v>Chris Godwin</v>
      </c>
      <c r="C185" s="59" t="s">
        <v>115</v>
      </c>
      <c r="D185" s="59">
        <f>TB!C14</f>
        <v>11</v>
      </c>
      <c r="E185" s="60">
        <f>TB!J14</f>
        <v>21.251872907999999</v>
      </c>
      <c r="F185" s="60">
        <f>TB!K14</f>
        <v>4.793562356510904E-2</v>
      </c>
      <c r="G185" s="60">
        <f>TB!L14</f>
        <v>124.54069319999999</v>
      </c>
      <c r="H185" s="60">
        <f>TB!M14</f>
        <v>78.211555329599989</v>
      </c>
      <c r="I185" s="60">
        <f>TB!N14</f>
        <v>954.11667382665075</v>
      </c>
      <c r="J185" s="60">
        <f>TB!O14</f>
        <v>5.0603068112553515</v>
      </c>
      <c r="K185" s="60">
        <f t="shared" si="18"/>
        <v>128.18630928238784</v>
      </c>
      <c r="L185" s="60">
        <f t="shared" si="21"/>
        <v>167.29208694718784</v>
      </c>
      <c r="M185" s="60">
        <f t="shared" si="22"/>
        <v>206.39786461198781</v>
      </c>
      <c r="N185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167.29208694718784</v>
      </c>
      <c r="O185" s="96">
        <v>19.275373656319033</v>
      </c>
    </row>
    <row r="186" spans="1:15" x14ac:dyDescent="0.25">
      <c r="A186" s="59">
        <f>IF(TableWRMaster[[#This Row],[Player]]&lt;&gt;0,A185+1,A185)</f>
        <v>160</v>
      </c>
      <c r="B186" s="59" t="str">
        <f>TB!A15</f>
        <v>Trey Palmer</v>
      </c>
      <c r="C186" s="59" t="s">
        <v>115</v>
      </c>
      <c r="D186" s="59">
        <f>TB!C15</f>
        <v>11</v>
      </c>
      <c r="E186" s="60">
        <f>TB!J15</f>
        <v>24.730223364</v>
      </c>
      <c r="F186" s="60">
        <f>TB!K15</f>
        <v>3.2946763054159951E-2</v>
      </c>
      <c r="G186" s="60">
        <f>TB!L15</f>
        <v>36.769157040000003</v>
      </c>
      <c r="H186" s="60">
        <f>TB!M15</f>
        <v>21.65703349656</v>
      </c>
      <c r="I186" s="60">
        <f>TB!N15</f>
        <v>256.85241726920157</v>
      </c>
      <c r="J186" s="60">
        <f>TB!O15</f>
        <v>1.5350635864914943</v>
      </c>
      <c r="K186" s="60">
        <f t="shared" si="18"/>
        <v>37.56632616059408</v>
      </c>
      <c r="L186" s="60">
        <f t="shared" si="21"/>
        <v>48.394842908874082</v>
      </c>
      <c r="M186" s="60">
        <f t="shared" si="22"/>
        <v>59.223359657154077</v>
      </c>
      <c r="N186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48.394842908874082</v>
      </c>
      <c r="O186" s="96">
        <v>4.1742584762918025</v>
      </c>
    </row>
    <row r="187" spans="1:15" x14ac:dyDescent="0.25">
      <c r="A187" s="59">
        <f>IF(TableWRMaster[[#This Row],[Player]]&lt;&gt;0,A186+1,A186)</f>
        <v>161</v>
      </c>
      <c r="B187" s="59" t="str">
        <f>TB!A16</f>
        <v>Jalen McMillan</v>
      </c>
      <c r="C187" s="59" t="s">
        <v>115</v>
      </c>
      <c r="D187" s="59">
        <f>TB!C16</f>
        <v>11</v>
      </c>
      <c r="E187" s="60">
        <f>TB!J16</f>
        <v>0</v>
      </c>
      <c r="F187" s="60">
        <f>TB!K16</f>
        <v>0</v>
      </c>
      <c r="G187" s="60">
        <f>TB!L16</f>
        <v>81.841026959999994</v>
      </c>
      <c r="H187" s="60">
        <f>TB!M16</f>
        <v>49.923026445599987</v>
      </c>
      <c r="I187" s="60">
        <f>TB!N16</f>
        <v>617.5554387832201</v>
      </c>
      <c r="J187" s="60">
        <f>TB!O16</f>
        <v>3.7331631957992308</v>
      </c>
      <c r="K187" s="60">
        <f t="shared" si="18"/>
        <v>84.154523053117401</v>
      </c>
      <c r="L187" s="60">
        <f t="shared" si="21"/>
        <v>109.11603627591739</v>
      </c>
      <c r="M187" s="60">
        <f t="shared" si="22"/>
        <v>134.07754949871739</v>
      </c>
      <c r="N187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109.11603627591739</v>
      </c>
      <c r="O187" s="96">
        <v>0</v>
      </c>
    </row>
    <row r="188" spans="1:15" x14ac:dyDescent="0.25">
      <c r="A188" s="59">
        <f>IF(TableWRMaster[[#This Row],[Player]]&lt;&gt;0,A187+1,A187)</f>
        <v>162</v>
      </c>
      <c r="B188" s="59" t="str">
        <f>TB!A17</f>
        <v>Kameron Johnson</v>
      </c>
      <c r="C188" s="59" t="s">
        <v>115</v>
      </c>
      <c r="D188" s="59">
        <f>TB!C17</f>
        <v>11</v>
      </c>
      <c r="E188" s="60">
        <f>TB!J17</f>
        <v>0</v>
      </c>
      <c r="F188" s="60">
        <f>TB!K17</f>
        <v>0</v>
      </c>
      <c r="G188" s="60">
        <f>TB!L17</f>
        <v>8.3027128799999996</v>
      </c>
      <c r="H188" s="60">
        <f>TB!M17</f>
        <v>4.8155734703999995</v>
      </c>
      <c r="I188" s="60">
        <f>TB!N17</f>
        <v>48.05579627257822</v>
      </c>
      <c r="J188" s="60">
        <f>TB!O17</f>
        <v>0.30819670210559996</v>
      </c>
      <c r="K188" s="60">
        <f t="shared" si="18"/>
        <v>6.6547598398914225</v>
      </c>
      <c r="L188" s="60">
        <f t="shared" si="21"/>
        <v>9.0625465750914227</v>
      </c>
      <c r="M188" s="60">
        <f t="shared" si="22"/>
        <v>11.470333310291423</v>
      </c>
      <c r="N188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9.0625465750914227</v>
      </c>
      <c r="O188" s="96">
        <v>0</v>
      </c>
    </row>
    <row r="189" spans="1:15" x14ac:dyDescent="0.25">
      <c r="A189" s="59">
        <f>IF(TableWRMaster[[#This Row],[Player]]&lt;&gt;0,A188+1,A188)</f>
        <v>162</v>
      </c>
      <c r="B189" s="59">
        <f>TB!A18</f>
        <v>0</v>
      </c>
      <c r="C189" s="59" t="s">
        <v>115</v>
      </c>
      <c r="D189" s="59">
        <f>TB!C18</f>
        <v>11</v>
      </c>
      <c r="E189" s="60">
        <f>TB!J18</f>
        <v>0</v>
      </c>
      <c r="F189" s="60">
        <f>TB!K18</f>
        <v>0</v>
      </c>
      <c r="G189" s="60">
        <f>TB!L18</f>
        <v>0</v>
      </c>
      <c r="H189" s="60">
        <f>TB!M18</f>
        <v>0</v>
      </c>
      <c r="I189" s="60">
        <f>TB!N18</f>
        <v>0</v>
      </c>
      <c r="J189" s="60">
        <f>TB!O18</f>
        <v>0</v>
      </c>
      <c r="K189" s="60">
        <f t="shared" si="18"/>
        <v>0</v>
      </c>
      <c r="L189" s="60">
        <f t="shared" si="21"/>
        <v>0</v>
      </c>
      <c r="M189" s="60">
        <f t="shared" si="22"/>
        <v>0</v>
      </c>
      <c r="N189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189" s="96">
        <v>0</v>
      </c>
    </row>
    <row r="190" spans="1:15" x14ac:dyDescent="0.25">
      <c r="A190" s="59">
        <f>IF(TableWRMaster[[#This Row],[Player]]&lt;&gt;0,A189+1,A189)</f>
        <v>163</v>
      </c>
      <c r="B190" s="59" t="str">
        <f>TEN!A13</f>
        <v>DeAndre Hopkins</v>
      </c>
      <c r="C190" s="59" t="s">
        <v>116</v>
      </c>
      <c r="D190" s="59">
        <f>TEN!C13</f>
        <v>5</v>
      </c>
      <c r="E190" s="60">
        <f>TEN!J13</f>
        <v>0</v>
      </c>
      <c r="F190" s="60">
        <f>TEN!K13</f>
        <v>0</v>
      </c>
      <c r="G190" s="60">
        <f>TEN!L13</f>
        <v>123.21316853999998</v>
      </c>
      <c r="H190" s="60">
        <f>TEN!M13</f>
        <v>71.956490427359981</v>
      </c>
      <c r="I190" s="60">
        <f>TEN!N13</f>
        <v>978.60826981209573</v>
      </c>
      <c r="J190" s="60">
        <f>TEN!O13</f>
        <v>6.0596069195461588</v>
      </c>
      <c r="K190" s="60">
        <f t="shared" si="18"/>
        <v>134.21846849848652</v>
      </c>
      <c r="L190" s="60">
        <f t="shared" si="21"/>
        <v>170.19671371216651</v>
      </c>
      <c r="M190" s="60">
        <f t="shared" si="22"/>
        <v>206.17495892584651</v>
      </c>
      <c r="N190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170.19671371216654</v>
      </c>
      <c r="O190" s="96">
        <v>28.948651715259452</v>
      </c>
    </row>
    <row r="191" spans="1:15" x14ac:dyDescent="0.25">
      <c r="A191" s="59">
        <f>IF(TableWRMaster[[#This Row],[Player]]&lt;&gt;0,A190+1,A190)</f>
        <v>164</v>
      </c>
      <c r="B191" s="59" t="str">
        <f>TEN!A14</f>
        <v>Calvin Ridley</v>
      </c>
      <c r="C191" s="59" t="s">
        <v>116</v>
      </c>
      <c r="D191" s="59">
        <f>TEN!C14</f>
        <v>5</v>
      </c>
      <c r="E191" s="60">
        <f>TEN!J14</f>
        <v>0</v>
      </c>
      <c r="F191" s="60">
        <f>TEN!K14</f>
        <v>0</v>
      </c>
      <c r="G191" s="60">
        <f>TEN!L14</f>
        <v>130.73322107999999</v>
      </c>
      <c r="H191" s="60">
        <f>TEN!M14</f>
        <v>73.341337025880009</v>
      </c>
      <c r="I191" s="60">
        <f>TEN!N14</f>
        <v>1039.9801590269785</v>
      </c>
      <c r="J191" s="60">
        <f>TEN!O14</f>
        <v>7.0407683544844808</v>
      </c>
      <c r="K191" s="60">
        <f t="shared" si="18"/>
        <v>146.24262602960474</v>
      </c>
      <c r="L191" s="60">
        <f t="shared" si="21"/>
        <v>182.91329454254475</v>
      </c>
      <c r="M191" s="60">
        <f t="shared" si="22"/>
        <v>219.58396305548473</v>
      </c>
      <c r="N191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182.91329454254475</v>
      </c>
      <c r="O191" s="96">
        <v>21.847416721339776</v>
      </c>
    </row>
    <row r="192" spans="1:15" x14ac:dyDescent="0.25">
      <c r="A192" s="59">
        <f>IF(TableWRMaster[[#This Row],[Player]]&lt;&gt;0,A191+1,A191)</f>
        <v>165</v>
      </c>
      <c r="B192" s="59" t="str">
        <f>TEN!A15</f>
        <v>Tyler Boyd</v>
      </c>
      <c r="C192" s="59" t="s">
        <v>116</v>
      </c>
      <c r="D192" s="59">
        <f>TEN!C15</f>
        <v>5</v>
      </c>
      <c r="E192" s="60">
        <f>TEN!J15</f>
        <v>0</v>
      </c>
      <c r="F192" s="60">
        <f>TEN!K15</f>
        <v>0</v>
      </c>
      <c r="G192" s="60">
        <f>TEN!L15</f>
        <v>65.366610539999996</v>
      </c>
      <c r="H192" s="60">
        <f>TEN!M15</f>
        <v>40.8541315875</v>
      </c>
      <c r="I192" s="60">
        <f>TEN!N15</f>
        <v>466.55418272924999</v>
      </c>
      <c r="J192" s="60">
        <f>TEN!O15</f>
        <v>2.4122013247784739</v>
      </c>
      <c r="K192" s="60">
        <f t="shared" si="18"/>
        <v>61.128626221595837</v>
      </c>
      <c r="L192" s="60">
        <f t="shared" si="21"/>
        <v>81.555692015345841</v>
      </c>
      <c r="M192" s="60">
        <f t="shared" si="22"/>
        <v>101.98275780909583</v>
      </c>
      <c r="N192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81.555692015345855</v>
      </c>
      <c r="O192" s="96">
        <v>0</v>
      </c>
    </row>
    <row r="193" spans="1:15" x14ac:dyDescent="0.25">
      <c r="A193" s="59">
        <f>IF(TableWRMaster[[#This Row],[Player]]&lt;&gt;0,A192+1,A192)</f>
        <v>166</v>
      </c>
      <c r="B193" s="59" t="str">
        <f>TEN!A16</f>
        <v>Treylon Burks</v>
      </c>
      <c r="C193" s="59" t="s">
        <v>116</v>
      </c>
      <c r="D193" s="59">
        <f>TEN!C16</f>
        <v>5</v>
      </c>
      <c r="E193" s="60">
        <f>TEN!J16</f>
        <v>0</v>
      </c>
      <c r="F193" s="60">
        <f>TEN!K16</f>
        <v>0</v>
      </c>
      <c r="G193" s="60">
        <f>TEN!L16</f>
        <v>21.981692039999995</v>
      </c>
      <c r="H193" s="60">
        <f>TEN!M16</f>
        <v>12.859289843399996</v>
      </c>
      <c r="I193" s="60">
        <f>TEN!N16</f>
        <v>175.50014692074271</v>
      </c>
      <c r="J193" s="60">
        <f>TEN!O16</f>
        <v>0.793082619589497</v>
      </c>
      <c r="K193" s="60">
        <f t="shared" si="18"/>
        <v>22.308510409611252</v>
      </c>
      <c r="L193" s="60">
        <f t="shared" si="21"/>
        <v>28.738155331311248</v>
      </c>
      <c r="M193" s="60">
        <f t="shared" si="22"/>
        <v>35.167800253011251</v>
      </c>
      <c r="N193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28.738155331311248</v>
      </c>
      <c r="O193" s="96">
        <v>0</v>
      </c>
    </row>
    <row r="194" spans="1:15" x14ac:dyDescent="0.25">
      <c r="A194" s="59">
        <f>IF(TableWRMaster[[#This Row],[Player]]&lt;&gt;0,A193+1,A193)</f>
        <v>167</v>
      </c>
      <c r="B194" s="59" t="str">
        <f>TEN!A17</f>
        <v>Nick Westbrook-Ikhine</v>
      </c>
      <c r="C194" s="59" t="s">
        <v>116</v>
      </c>
      <c r="D194" s="59">
        <f>TEN!C17</f>
        <v>5</v>
      </c>
      <c r="E194" s="60">
        <f>TEN!J17</f>
        <v>0</v>
      </c>
      <c r="F194" s="60">
        <f>TEN!K17</f>
        <v>0</v>
      </c>
      <c r="G194" s="60">
        <f>TEN!L17</f>
        <v>15.61857066</v>
      </c>
      <c r="H194" s="60">
        <f>TEN!M17</f>
        <v>9.2930495426999986</v>
      </c>
      <c r="I194" s="60">
        <f>TEN!N17</f>
        <v>107.52896919621344</v>
      </c>
      <c r="J194" s="60">
        <f>TEN!O17</f>
        <v>0.5436624076441573</v>
      </c>
      <c r="K194" s="60">
        <f t="shared" ref="K194:K203" si="23">(E194/10)+(F194*6)+(I194/10)+(J194*6)</f>
        <v>14.014871365486288</v>
      </c>
      <c r="L194" s="60">
        <f t="shared" si="21"/>
        <v>18.661396136836288</v>
      </c>
      <c r="M194" s="60">
        <f t="shared" si="22"/>
        <v>23.307920908186286</v>
      </c>
      <c r="N194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18.661396136836288</v>
      </c>
      <c r="O194" s="96">
        <v>0</v>
      </c>
    </row>
    <row r="195" spans="1:15" x14ac:dyDescent="0.25">
      <c r="A195" s="59">
        <f>IF(TableWRMaster[[#This Row],[Player]]&lt;&gt;0,A194+1,A194)</f>
        <v>168</v>
      </c>
      <c r="B195" s="59" t="str">
        <f>TEN!A18</f>
        <v>Kyle Philips</v>
      </c>
      <c r="C195" s="59" t="s">
        <v>116</v>
      </c>
      <c r="D195" s="59">
        <f>TEN!C18</f>
        <v>5</v>
      </c>
      <c r="E195" s="60">
        <f>TEN!J18</f>
        <v>0</v>
      </c>
      <c r="F195" s="60">
        <f>TEN!K18</f>
        <v>0</v>
      </c>
      <c r="G195" s="60">
        <f>TEN!L18</f>
        <v>5.7846557999999995</v>
      </c>
      <c r="H195" s="60">
        <f>TEN!M18</f>
        <v>3.5691326285999989</v>
      </c>
      <c r="I195" s="60">
        <f>TEN!N18</f>
        <v>44.423951259866186</v>
      </c>
      <c r="J195" s="60">
        <f>TEN!O18</f>
        <v>0.23097231149554279</v>
      </c>
      <c r="K195" s="60">
        <f t="shared" si="23"/>
        <v>5.8282289949598756</v>
      </c>
      <c r="L195" s="60">
        <f t="shared" si="21"/>
        <v>7.6127953092598748</v>
      </c>
      <c r="M195" s="60">
        <f t="shared" si="22"/>
        <v>9.397361623559874</v>
      </c>
      <c r="N195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7.6127953092598748</v>
      </c>
      <c r="O195" s="96">
        <v>0</v>
      </c>
    </row>
    <row r="196" spans="1:15" x14ac:dyDescent="0.25">
      <c r="A196" s="59">
        <f>IF(TableWRMaster[[#This Row],[Player]]&lt;&gt;0,A195+1,A195)</f>
        <v>169</v>
      </c>
      <c r="B196" s="59" t="str">
        <f>TEN!A19</f>
        <v>Jha'Quan Jackson</v>
      </c>
      <c r="C196" s="59" t="s">
        <v>116</v>
      </c>
      <c r="D196" s="59">
        <f>TEN!C19</f>
        <v>5</v>
      </c>
      <c r="E196" s="60">
        <f>TEN!J19</f>
        <v>0</v>
      </c>
      <c r="F196" s="60">
        <f>TEN!K19</f>
        <v>0</v>
      </c>
      <c r="G196" s="60">
        <f>TEN!L19</f>
        <v>5.7846557999999995</v>
      </c>
      <c r="H196" s="60">
        <f>TEN!M19</f>
        <v>3.3493157081999994</v>
      </c>
      <c r="I196" s="60">
        <f>TEN!N19</f>
        <v>39.990829555907993</v>
      </c>
      <c r="J196" s="60">
        <f>TEN!O19</f>
        <v>0.20095894249199994</v>
      </c>
      <c r="K196" s="60">
        <f t="shared" si="23"/>
        <v>5.2048366105427988</v>
      </c>
      <c r="L196" s="60">
        <f t="shared" si="21"/>
        <v>6.8794944646427982</v>
      </c>
      <c r="M196" s="60">
        <f t="shared" si="22"/>
        <v>8.5541523187427977</v>
      </c>
      <c r="N196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6.8794944646427991</v>
      </c>
      <c r="O196" s="96">
        <v>0</v>
      </c>
    </row>
    <row r="197" spans="1:15" x14ac:dyDescent="0.25">
      <c r="A197" s="59">
        <f>IF(TableWRMaster[[#This Row],[Player]]&lt;&gt;0,A196+1,A196)</f>
        <v>170</v>
      </c>
      <c r="B197" s="59" t="str">
        <f>WSH!A13</f>
        <v>Terry McLaurin</v>
      </c>
      <c r="C197" s="59" t="s">
        <v>119</v>
      </c>
      <c r="D197" s="59">
        <f>WSH!C13</f>
        <v>14</v>
      </c>
      <c r="E197" s="60">
        <f>WSH!J13</f>
        <v>0</v>
      </c>
      <c r="F197" s="60">
        <f>WSH!K13</f>
        <v>0</v>
      </c>
      <c r="G197" s="60">
        <f>WSH!L13</f>
        <v>139.37799120000003</v>
      </c>
      <c r="H197" s="60">
        <f>WSH!M13</f>
        <v>85.717464588000013</v>
      </c>
      <c r="I197" s="60">
        <f>WSH!N13</f>
        <v>1146.8996761874403</v>
      </c>
      <c r="J197" s="60">
        <f>WSH!O13</f>
        <v>6.5145273086880007</v>
      </c>
      <c r="K197" s="60">
        <f t="shared" si="23"/>
        <v>153.77713147087201</v>
      </c>
      <c r="L197" s="60">
        <f t="shared" si="21"/>
        <v>196.635863764872</v>
      </c>
      <c r="M197" s="60">
        <f t="shared" si="22"/>
        <v>239.49459605887202</v>
      </c>
      <c r="N197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196.63586376487206</v>
      </c>
      <c r="O197" s="96">
        <v>22.911193602736972</v>
      </c>
    </row>
    <row r="198" spans="1:15" x14ac:dyDescent="0.25">
      <c r="A198" s="59">
        <f>IF(TableWRMaster[[#This Row],[Player]]&lt;&gt;0,A197+1,A197)</f>
        <v>171</v>
      </c>
      <c r="B198" s="59" t="str">
        <f>WSH!A14</f>
        <v>Luke McCaffrey</v>
      </c>
      <c r="C198" s="59" t="s">
        <v>119</v>
      </c>
      <c r="D198" s="59">
        <f>WSH!C14</f>
        <v>14</v>
      </c>
      <c r="E198" s="60">
        <f>WSH!J14</f>
        <v>29.908659199999995</v>
      </c>
      <c r="F198" s="60">
        <f>WSH!K14</f>
        <v>4.4541704374999998E-2</v>
      </c>
      <c r="G198" s="60">
        <f>WSH!L14</f>
        <v>55.52456560000001</v>
      </c>
      <c r="H198" s="60">
        <f>WSH!M14</f>
        <v>34.258656975200012</v>
      </c>
      <c r="I198" s="60">
        <f>WSH!N14</f>
        <v>390.54868951728014</v>
      </c>
      <c r="J198" s="60">
        <f>WSH!O14</f>
        <v>2.0555194185120005</v>
      </c>
      <c r="K198" s="60">
        <f t="shared" si="23"/>
        <v>54.646101609050007</v>
      </c>
      <c r="L198" s="60">
        <f t="shared" si="21"/>
        <v>71.775430096650013</v>
      </c>
      <c r="M198" s="60">
        <f t="shared" si="22"/>
        <v>88.904758584250018</v>
      </c>
      <c r="N198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71.775430096650027</v>
      </c>
      <c r="O198" s="96">
        <v>14.799876020862852</v>
      </c>
    </row>
    <row r="199" spans="1:15" x14ac:dyDescent="0.25">
      <c r="A199" s="59">
        <f>IF(TableWRMaster[[#This Row],[Player]]&lt;&gt;0,A198+1,A198)</f>
        <v>172</v>
      </c>
      <c r="B199" s="59" t="str">
        <f>WSH!A15</f>
        <v>Jamison Crowder</v>
      </c>
      <c r="C199" s="59" t="s">
        <v>119</v>
      </c>
      <c r="D199" s="59">
        <f>WSH!C15</f>
        <v>14</v>
      </c>
      <c r="E199" s="60">
        <f>WSH!J15</f>
        <v>0</v>
      </c>
      <c r="F199" s="60">
        <f>WSH!K15</f>
        <v>0</v>
      </c>
      <c r="G199" s="60">
        <f>WSH!L15</f>
        <v>11.898121200000002</v>
      </c>
      <c r="H199" s="60">
        <f>WSH!M15</f>
        <v>7.4958163559999997</v>
      </c>
      <c r="I199" s="60">
        <f>WSH!N15</f>
        <v>75.257996214239995</v>
      </c>
      <c r="J199" s="60">
        <f>WSH!O15</f>
        <v>0.44225316500399997</v>
      </c>
      <c r="K199" s="60">
        <f t="shared" si="23"/>
        <v>10.179318611448</v>
      </c>
      <c r="L199" s="60">
        <f t="shared" si="21"/>
        <v>13.927226789448</v>
      </c>
      <c r="M199" s="60">
        <f t="shared" si="22"/>
        <v>17.675134967447999</v>
      </c>
      <c r="N199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13.927226789448</v>
      </c>
      <c r="O199" s="96">
        <v>0</v>
      </c>
    </row>
    <row r="200" spans="1:15" x14ac:dyDescent="0.25">
      <c r="A200" s="59">
        <f>IF(TableWRMaster[[#This Row],[Player]]&lt;&gt;0,A199+1,A199)</f>
        <v>173</v>
      </c>
      <c r="B200" s="59" t="str">
        <f>WSH!A16</f>
        <v>Olamide Zaccheaus</v>
      </c>
      <c r="C200" s="59" t="s">
        <v>119</v>
      </c>
      <c r="D200" s="59">
        <f>WSH!C16</f>
        <v>14</v>
      </c>
      <c r="E200" s="60">
        <f>WSH!J16</f>
        <v>0</v>
      </c>
      <c r="F200" s="60">
        <f>WSH!K16</f>
        <v>0</v>
      </c>
      <c r="G200" s="60">
        <f>WSH!L16</f>
        <v>41.926712800000011</v>
      </c>
      <c r="H200" s="60">
        <f>WSH!M16</f>
        <v>24.904467403200005</v>
      </c>
      <c r="I200" s="60">
        <f>WSH!N16</f>
        <v>261.99499708166405</v>
      </c>
      <c r="J200" s="60">
        <f>WSH!O16</f>
        <v>1.8429305878368003</v>
      </c>
      <c r="K200" s="60">
        <f t="shared" si="23"/>
        <v>37.25708323518721</v>
      </c>
      <c r="L200" s="60">
        <f t="shared" si="21"/>
        <v>49.709316936787211</v>
      </c>
      <c r="M200" s="60">
        <f t="shared" si="22"/>
        <v>62.161550638387212</v>
      </c>
      <c r="N200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49.709316936787211</v>
      </c>
      <c r="O200" s="96">
        <v>0</v>
      </c>
    </row>
    <row r="201" spans="1:15" x14ac:dyDescent="0.25">
      <c r="A201" s="59">
        <f>IF(TableWRMaster[[#This Row],[Player]]&lt;&gt;0,A200+1,A200)</f>
        <v>174</v>
      </c>
      <c r="B201" s="59" t="str">
        <f>WSH!A17</f>
        <v>Dyami Brown</v>
      </c>
      <c r="C201" s="59" t="s">
        <v>119</v>
      </c>
      <c r="D201" s="59">
        <f>WSH!C17</f>
        <v>14</v>
      </c>
      <c r="E201" s="60">
        <f>WSH!J17</f>
        <v>0</v>
      </c>
      <c r="F201" s="60">
        <f>WSH!K17</f>
        <v>0</v>
      </c>
      <c r="G201" s="60">
        <f>WSH!L17</f>
        <v>75.921344800000014</v>
      </c>
      <c r="H201" s="60">
        <f>WSH!M17</f>
        <v>40.314234088799999</v>
      </c>
      <c r="I201" s="60">
        <f>WSH!N17</f>
        <v>566.01184660675199</v>
      </c>
      <c r="J201" s="60">
        <f>WSH!O17</f>
        <v>3.7492237702583999</v>
      </c>
      <c r="K201" s="60">
        <f t="shared" si="23"/>
        <v>79.096527282225594</v>
      </c>
      <c r="L201" s="60">
        <f t="shared" si="21"/>
        <v>99.25364432662559</v>
      </c>
      <c r="M201" s="60">
        <f t="shared" si="22"/>
        <v>119.41076137102559</v>
      </c>
      <c r="N201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99.25364432662559</v>
      </c>
      <c r="O201" s="96">
        <v>0</v>
      </c>
    </row>
    <row r="202" spans="1:15" x14ac:dyDescent="0.25">
      <c r="A202" s="59">
        <f>IF(TableWRMaster[[#This Row],[Player]]&lt;&gt;0,A201+1,A201)</f>
        <v>175</v>
      </c>
      <c r="B202" s="59" t="str">
        <f>WSH!A18</f>
        <v>Noah Brown</v>
      </c>
      <c r="C202" s="59" t="s">
        <v>119</v>
      </c>
      <c r="D202" s="59">
        <f>WSH!C18</f>
        <v>14</v>
      </c>
      <c r="E202" s="60">
        <f>WSH!J18</f>
        <v>0</v>
      </c>
      <c r="F202" s="60">
        <f>WSH!K18</f>
        <v>0</v>
      </c>
      <c r="G202" s="60">
        <f>WSH!L18</f>
        <v>28.328860000000006</v>
      </c>
      <c r="H202" s="60">
        <f>WSH!M18</f>
        <v>16.572383100000003</v>
      </c>
      <c r="I202" s="60">
        <f>WSH!N18</f>
        <v>224.39006717400002</v>
      </c>
      <c r="J202" s="60">
        <f>WSH!O18</f>
        <v>1.3257906480000003</v>
      </c>
      <c r="K202" s="60">
        <f t="shared" si="23"/>
        <v>30.393750605400005</v>
      </c>
      <c r="L202" s="60">
        <f t="shared" si="21"/>
        <v>38.679942155400006</v>
      </c>
      <c r="M202" s="60">
        <f t="shared" si="22"/>
        <v>46.966133705400011</v>
      </c>
      <c r="N202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38.679942155400006</v>
      </c>
      <c r="O202" s="96">
        <v>0</v>
      </c>
    </row>
    <row r="203" spans="1:15" x14ac:dyDescent="0.25">
      <c r="A203" s="59">
        <f>IF(TableWRMaster[[#This Row],[Player]]&lt;&gt;0,A202+1,A202)</f>
        <v>175</v>
      </c>
      <c r="B203" s="59">
        <f>WSH!A19</f>
        <v>0</v>
      </c>
      <c r="C203" s="59" t="s">
        <v>119</v>
      </c>
      <c r="D203" s="59">
        <f>WSH!C19</f>
        <v>14</v>
      </c>
      <c r="E203" s="60">
        <f>WSH!J19</f>
        <v>0</v>
      </c>
      <c r="F203" s="60">
        <f>WSH!K19</f>
        <v>0</v>
      </c>
      <c r="G203" s="60">
        <f>WSH!L19</f>
        <v>0</v>
      </c>
      <c r="H203" s="60">
        <f>WSH!M19</f>
        <v>0</v>
      </c>
      <c r="I203" s="60">
        <f>WSH!N19</f>
        <v>0</v>
      </c>
      <c r="J203" s="60">
        <f>WSH!O19</f>
        <v>0</v>
      </c>
      <c r="K203" s="60">
        <f t="shared" si="23"/>
        <v>0</v>
      </c>
      <c r="L203" s="60">
        <f t="shared" si="21"/>
        <v>0</v>
      </c>
      <c r="M203" s="60">
        <f t="shared" si="22"/>
        <v>0</v>
      </c>
      <c r="N203" s="95">
        <f>(TableWRMaster[[#This Row],[RUYD]]*RUSH_YARDS)+(TableWRMaster[[#This Row],[RUTD]]*RUSH_TDS)+(TableWRMaster[[#This Row],[TGT]]*TARGETS)+(TableWRMaster[[#This Row],[REC]]*RECEPTIONS_WR)+(TableWRMaster[[#This Row],[RCYD]]*RECV_YARDS)+(TableWRMaster[[#This Row],[RCTD]]*RECV_TDS)</f>
        <v>0</v>
      </c>
      <c r="O203" s="96">
        <v>0</v>
      </c>
    </row>
  </sheetData>
  <sortState xmlns:xlrd2="http://schemas.microsoft.com/office/spreadsheetml/2017/richdata2" ref="B2:M172">
    <sortCondition ref="C2:C172"/>
  </sortState>
  <phoneticPr fontId="19" type="noConversion"/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"/>
  <dimension ref="A1:M97"/>
  <sheetViews>
    <sheetView showGridLines="0" zoomScale="85" zoomScaleNormal="85" workbookViewId="0">
      <selection activeCell="A3" sqref="A3"/>
    </sheetView>
  </sheetViews>
  <sheetFormatPr defaultColWidth="9.140625" defaultRowHeight="15" x14ac:dyDescent="0.25"/>
  <cols>
    <col min="1" max="1" width="8.7109375" style="59" bestFit="1" customWidth="1"/>
    <col min="2" max="2" width="21.140625" style="59" bestFit="1" customWidth="1"/>
    <col min="3" max="3" width="6.5703125" style="59" bestFit="1" customWidth="1"/>
    <col min="4" max="4" width="7" style="59" bestFit="1" customWidth="1"/>
    <col min="5" max="5" width="7.140625" style="59" bestFit="1" customWidth="1"/>
    <col min="6" max="6" width="7" style="59" bestFit="1" customWidth="1"/>
    <col min="7" max="8" width="8.42578125" style="59" bestFit="1" customWidth="1"/>
    <col min="9" max="9" width="6.85546875" style="59" bestFit="1" customWidth="1"/>
    <col min="10" max="10" width="8.140625" style="59" bestFit="1" customWidth="1"/>
    <col min="11" max="11" width="7" style="59" bestFit="1" customWidth="1"/>
    <col min="12" max="12" width="10" style="59" bestFit="1" customWidth="1"/>
    <col min="13" max="13" width="8.42578125" style="59" bestFit="1" customWidth="1"/>
    <col min="14" max="16384" width="9.140625" style="59"/>
  </cols>
  <sheetData>
    <row r="1" spans="1:13" x14ac:dyDescent="0.25">
      <c r="A1" s="88" t="s">
        <v>363</v>
      </c>
      <c r="B1" s="88" t="s">
        <v>325</v>
      </c>
      <c r="C1" s="88" t="s">
        <v>86</v>
      </c>
      <c r="D1" s="88" t="s">
        <v>122</v>
      </c>
      <c r="E1" s="87" t="s">
        <v>3</v>
      </c>
      <c r="F1" s="87" t="s">
        <v>4</v>
      </c>
      <c r="G1" s="87" t="s">
        <v>138</v>
      </c>
      <c r="H1" s="87" t="s">
        <v>139</v>
      </c>
      <c r="I1" s="88" t="s">
        <v>117</v>
      </c>
      <c r="J1" s="88" t="s">
        <v>120</v>
      </c>
      <c r="K1" s="88" t="s">
        <v>121</v>
      </c>
      <c r="L1" s="88" t="s">
        <v>321</v>
      </c>
      <c r="M1" s="88" t="s">
        <v>295</v>
      </c>
    </row>
    <row r="2" spans="1:13" x14ac:dyDescent="0.25">
      <c r="A2" s="59">
        <v>1</v>
      </c>
      <c r="B2" s="59" t="str">
        <f>ARI!A$22</f>
        <v>Trey McBride</v>
      </c>
      <c r="C2" s="59" t="s">
        <v>87</v>
      </c>
      <c r="D2" s="61">
        <f>ARI!C$22</f>
        <v>11</v>
      </c>
      <c r="E2" s="60">
        <f>ARI!L$22</f>
        <v>122.0659335</v>
      </c>
      <c r="F2" s="60">
        <f>ARI!M$22</f>
        <v>88.986065521499981</v>
      </c>
      <c r="G2" s="60">
        <f>ARI!N$22</f>
        <v>913.88689290580476</v>
      </c>
      <c r="H2" s="60">
        <f>ARI!O$22</f>
        <v>5.6951081933759991</v>
      </c>
      <c r="I2" s="60">
        <f t="shared" ref="I2:I33" si="0">(G2/10)+(H2*6)</f>
        <v>125.55933845083646</v>
      </c>
      <c r="J2" s="60">
        <f t="shared" ref="J2:J33" si="1">I2+(F2*0.5)</f>
        <v>170.05237121158646</v>
      </c>
      <c r="K2" s="60">
        <f t="shared" ref="K2:K33" si="2">I2+F2</f>
        <v>214.54540397233643</v>
      </c>
      <c r="L2" s="95">
        <f>(TableTEMaster[[#This Row],[TGT]]*TARGETS)+(TableTEMaster[[#This Row],[REC]]*RECEPTIONS_TE)+(TableTEMaster[[#This Row],[RCYD]]*RECV_YARDS)+(TableTEMaster[[#This Row],[RCTD]]*RECV_TDS)</f>
        <v>170.05237121158649</v>
      </c>
      <c r="M2" s="96">
        <v>0</v>
      </c>
    </row>
    <row r="3" spans="1:13" x14ac:dyDescent="0.25">
      <c r="A3" s="59">
        <f>IF(TableTEMaster[[#This Row],[Player]]&lt;&gt;0,A2+1,A2)</f>
        <v>2</v>
      </c>
      <c r="B3" s="59" t="str">
        <f>ARI!A$23</f>
        <v>Tip Reiman</v>
      </c>
      <c r="C3" s="59" t="s">
        <v>87</v>
      </c>
      <c r="D3" s="61">
        <f>ARI!C$23</f>
        <v>11</v>
      </c>
      <c r="E3" s="60">
        <f>ARI!L$23</f>
        <v>5.8969050000000003</v>
      </c>
      <c r="F3" s="60">
        <f>ARI!M$23</f>
        <v>3.9686170649999997</v>
      </c>
      <c r="G3" s="60">
        <f>ARI!N$23</f>
        <v>38.256669855700601</v>
      </c>
      <c r="H3" s="60">
        <f>ARI!O$23</f>
        <v>0.25796010922500001</v>
      </c>
      <c r="I3" s="60">
        <f t="shared" si="0"/>
        <v>5.3734276409200605</v>
      </c>
      <c r="J3" s="60">
        <f t="shared" si="1"/>
        <v>7.3577361734200606</v>
      </c>
      <c r="K3" s="60">
        <f t="shared" si="2"/>
        <v>9.3420447059200598</v>
      </c>
      <c r="L3" s="95">
        <f>(TableTEMaster[[#This Row],[TGT]]*TARGETS)+(TableTEMaster[[#This Row],[REC]]*RECEPTIONS_TE)+(TableTEMaster[[#This Row],[RCYD]]*RECV_YARDS)+(TableTEMaster[[#This Row],[RCTD]]*RECV_TDS)</f>
        <v>7.3577361734200606</v>
      </c>
      <c r="M3" s="96">
        <v>0</v>
      </c>
    </row>
    <row r="4" spans="1:13" x14ac:dyDescent="0.25">
      <c r="A4" s="59">
        <f>IF(TableTEMaster[[#This Row],[Player]]&lt;&gt;0,A3+1,A3)</f>
        <v>3</v>
      </c>
      <c r="B4" s="59" t="str">
        <f>ARI!A$24</f>
        <v>Elijah Higgins</v>
      </c>
      <c r="C4" s="59" t="s">
        <v>87</v>
      </c>
      <c r="D4" s="61">
        <f>ARI!C$24</f>
        <v>11</v>
      </c>
      <c r="E4" s="60">
        <f>ARI!L$24</f>
        <v>14.742262500000001</v>
      </c>
      <c r="F4" s="60">
        <f>ARI!M$24</f>
        <v>9.8773158750000007</v>
      </c>
      <c r="G4" s="60">
        <f>ARI!N$24</f>
        <v>99.563344020000002</v>
      </c>
      <c r="H4" s="60">
        <f>ARI!O$24</f>
        <v>0.57278511638731122</v>
      </c>
      <c r="I4" s="60">
        <f t="shared" si="0"/>
        <v>13.393045100323867</v>
      </c>
      <c r="J4" s="60">
        <f t="shared" si="1"/>
        <v>18.331703037823868</v>
      </c>
      <c r="K4" s="60">
        <f t="shared" si="2"/>
        <v>23.270360975323868</v>
      </c>
      <c r="L4" s="95">
        <f>(TableTEMaster[[#This Row],[TGT]]*TARGETS)+(TableTEMaster[[#This Row],[REC]]*RECEPTIONS_TE)+(TableTEMaster[[#This Row],[RCYD]]*RECV_YARDS)+(TableTEMaster[[#This Row],[RCTD]]*RECV_TDS)</f>
        <v>18.331703037823868</v>
      </c>
      <c r="M4" s="96">
        <v>0</v>
      </c>
    </row>
    <row r="5" spans="1:13" x14ac:dyDescent="0.25">
      <c r="A5" s="59">
        <f>IF(TableTEMaster[[#This Row],[Player]]&lt;&gt;0,A4+1,A4)</f>
        <v>4</v>
      </c>
      <c r="B5" s="59" t="str">
        <f>ATL!A$22</f>
        <v>Kyle Pitts</v>
      </c>
      <c r="C5" s="59" t="s">
        <v>88</v>
      </c>
      <c r="D5" s="61">
        <f>ATL!C$22</f>
        <v>12</v>
      </c>
      <c r="E5" s="60">
        <f>ATL!L$22</f>
        <v>126.52960319999998</v>
      </c>
      <c r="F5" s="60">
        <f>ATL!M$22</f>
        <v>78.70141319039999</v>
      </c>
      <c r="G5" s="60">
        <f>ATL!N$22</f>
        <v>1000.294961649984</v>
      </c>
      <c r="H5" s="60">
        <f>ATL!O$22</f>
        <v>6.3748144684223993</v>
      </c>
      <c r="I5" s="60">
        <f t="shared" si="0"/>
        <v>138.27838297553279</v>
      </c>
      <c r="J5" s="60">
        <f t="shared" si="1"/>
        <v>177.62908957073279</v>
      </c>
      <c r="K5" s="60">
        <f t="shared" si="2"/>
        <v>216.97979616593278</v>
      </c>
      <c r="L5" s="95">
        <f>(TableTEMaster[[#This Row],[TGT]]*TARGETS)+(TableTEMaster[[#This Row],[REC]]*RECEPTIONS_TE)+(TableTEMaster[[#This Row],[RCYD]]*RECV_YARDS)+(TableTEMaster[[#This Row],[RCTD]]*RECV_TDS)</f>
        <v>177.62908957073282</v>
      </c>
      <c r="M5" s="96">
        <v>12.114545855777624</v>
      </c>
    </row>
    <row r="6" spans="1:13" x14ac:dyDescent="0.25">
      <c r="A6" s="59">
        <f>IF(TableTEMaster[[#This Row],[Player]]&lt;&gt;0,A5+1,A5)</f>
        <v>5</v>
      </c>
      <c r="B6" s="59" t="str">
        <f>ATL!A$23</f>
        <v>Charlie Woerner</v>
      </c>
      <c r="C6" s="59" t="s">
        <v>88</v>
      </c>
      <c r="D6" s="61">
        <f>ATL!C$23</f>
        <v>12</v>
      </c>
      <c r="E6" s="60">
        <f>ATL!L$23</f>
        <v>23.005382399999998</v>
      </c>
      <c r="F6" s="60">
        <f>ATL!M$23</f>
        <v>14.723444735999994</v>
      </c>
      <c r="G6" s="60">
        <f>ATL!N$23</f>
        <v>136.21587343973044</v>
      </c>
      <c r="H6" s="60">
        <f>ATL!O$23</f>
        <v>1.1218617632780226</v>
      </c>
      <c r="I6" s="60">
        <f t="shared" si="0"/>
        <v>20.352757923641178</v>
      </c>
      <c r="J6" s="60">
        <f t="shared" si="1"/>
        <v>27.714480291641173</v>
      </c>
      <c r="K6" s="60">
        <f t="shared" si="2"/>
        <v>35.076202659641169</v>
      </c>
      <c r="L6" s="95">
        <f>(TableTEMaster[[#This Row],[TGT]]*TARGETS)+(TableTEMaster[[#This Row],[REC]]*RECEPTIONS_TE)+(TableTEMaster[[#This Row],[RCYD]]*RECV_YARDS)+(TableTEMaster[[#This Row],[RCTD]]*RECV_TDS)</f>
        <v>27.714480291641177</v>
      </c>
      <c r="M6" s="96">
        <v>0</v>
      </c>
    </row>
    <row r="7" spans="1:13" x14ac:dyDescent="0.25">
      <c r="A7" s="59">
        <f>IF(TableTEMaster[[#This Row],[Player]]&lt;&gt;0,A6+1,A6)</f>
        <v>5</v>
      </c>
      <c r="B7" s="59">
        <f>ATL!A$24</f>
        <v>0</v>
      </c>
      <c r="C7" s="59" t="s">
        <v>88</v>
      </c>
      <c r="D7" s="61">
        <f>ATL!C$24</f>
        <v>12</v>
      </c>
      <c r="E7" s="60">
        <f>ATL!L$24</f>
        <v>0</v>
      </c>
      <c r="F7" s="60">
        <f>ATL!M$24</f>
        <v>0</v>
      </c>
      <c r="G7" s="60">
        <f>ATL!N$24</f>
        <v>0</v>
      </c>
      <c r="H7" s="60">
        <f>ATL!O$24</f>
        <v>0</v>
      </c>
      <c r="I7" s="60">
        <f t="shared" si="0"/>
        <v>0</v>
      </c>
      <c r="J7" s="60">
        <f t="shared" si="1"/>
        <v>0</v>
      </c>
      <c r="K7" s="60">
        <f t="shared" si="2"/>
        <v>0</v>
      </c>
      <c r="L7" s="95">
        <f>(TableTEMaster[[#This Row],[TGT]]*TARGETS)+(TableTEMaster[[#This Row],[REC]]*RECEPTIONS_TE)+(TableTEMaster[[#This Row],[RCYD]]*RECV_YARDS)+(TableTEMaster[[#This Row],[RCTD]]*RECV_TDS)</f>
        <v>0</v>
      </c>
      <c r="M7" s="96">
        <v>0</v>
      </c>
    </row>
    <row r="8" spans="1:13" x14ac:dyDescent="0.25">
      <c r="A8" s="59">
        <f>IF(TableTEMaster[[#This Row],[Player]]&lt;&gt;0,A7+1,A7)</f>
        <v>6</v>
      </c>
      <c r="B8" s="59" t="str">
        <f>BAL!A$22</f>
        <v>Mark Andrews</v>
      </c>
      <c r="C8" s="59" t="s">
        <v>89</v>
      </c>
      <c r="D8" s="61">
        <f>BAL!C$22</f>
        <v>14</v>
      </c>
      <c r="E8" s="60">
        <f>BAL!L$22</f>
        <v>116.45677120000001</v>
      </c>
      <c r="F8" s="60">
        <f>BAL!M$22</f>
        <v>81.51973984</v>
      </c>
      <c r="G8" s="60">
        <f>BAL!N$22</f>
        <v>931.10389580398976</v>
      </c>
      <c r="H8" s="60">
        <f>BAL!O$22</f>
        <v>8.0704542441600005</v>
      </c>
      <c r="I8" s="60">
        <f t="shared" si="0"/>
        <v>141.53311504535898</v>
      </c>
      <c r="J8" s="60">
        <f t="shared" si="1"/>
        <v>182.29298496535898</v>
      </c>
      <c r="K8" s="60">
        <f t="shared" si="2"/>
        <v>223.05285488535898</v>
      </c>
      <c r="L8" s="95">
        <f>(TableTEMaster[[#This Row],[TGT]]*TARGETS)+(TableTEMaster[[#This Row],[REC]]*RECEPTIONS_TE)+(TableTEMaster[[#This Row],[RCYD]]*RECV_YARDS)+(TableTEMaster[[#This Row],[RCTD]]*RECV_TDS)</f>
        <v>182.29298496535898</v>
      </c>
      <c r="M8" s="96">
        <v>10.707949016487902</v>
      </c>
    </row>
    <row r="9" spans="1:13" x14ac:dyDescent="0.25">
      <c r="A9" s="59">
        <f>IF(TableTEMaster[[#This Row],[Player]]&lt;&gt;0,A8+1,A8)</f>
        <v>7</v>
      </c>
      <c r="B9" s="59" t="str">
        <f>BAL!A$23</f>
        <v>Isaiah Likely</v>
      </c>
      <c r="C9" s="59" t="s">
        <v>89</v>
      </c>
      <c r="D9" s="61">
        <f>BAL!C$23</f>
        <v>14</v>
      </c>
      <c r="E9" s="60">
        <f>BAL!L$23</f>
        <v>48.700104320000001</v>
      </c>
      <c r="F9" s="60">
        <f>BAL!M$23</f>
        <v>34.333573545599997</v>
      </c>
      <c r="G9" s="60">
        <f>BAL!N$23</f>
        <v>409.8781154720719</v>
      </c>
      <c r="H9" s="60">
        <f>BAL!O$23</f>
        <v>3.6736923693791996</v>
      </c>
      <c r="I9" s="60">
        <f t="shared" si="0"/>
        <v>63.02996576348238</v>
      </c>
      <c r="J9" s="60">
        <f t="shared" si="1"/>
        <v>80.196752536282375</v>
      </c>
      <c r="K9" s="60">
        <f t="shared" si="2"/>
        <v>97.36353930908237</v>
      </c>
      <c r="L9" s="95">
        <f>(TableTEMaster[[#This Row],[TGT]]*TARGETS)+(TableTEMaster[[#This Row],[REC]]*RECEPTIONS_TE)+(TableTEMaster[[#This Row],[RCYD]]*RECV_YARDS)+(TableTEMaster[[#This Row],[RCTD]]*RECV_TDS)</f>
        <v>80.196752536282389</v>
      </c>
      <c r="M9" s="96">
        <v>0</v>
      </c>
    </row>
    <row r="10" spans="1:13" x14ac:dyDescent="0.25">
      <c r="A10" s="59">
        <f>IF(TableTEMaster[[#This Row],[Player]]&lt;&gt;0,A9+1,A9)</f>
        <v>8</v>
      </c>
      <c r="B10" s="59" t="str">
        <f>BAL!A$24</f>
        <v>Charlie Kolar</v>
      </c>
      <c r="C10" s="59" t="s">
        <v>89</v>
      </c>
      <c r="D10" s="61">
        <f>BAL!C$24</f>
        <v>14</v>
      </c>
      <c r="E10" s="60">
        <f>BAL!L$24</f>
        <v>5.2934896</v>
      </c>
      <c r="F10" s="60">
        <f>BAL!M$24</f>
        <v>3.4725291776000007</v>
      </c>
      <c r="G10" s="60">
        <f>BAL!N$24</f>
        <v>39.430584905367567</v>
      </c>
      <c r="H10" s="60">
        <f>BAL!O$24</f>
        <v>0.31252762598400002</v>
      </c>
      <c r="I10" s="60">
        <f t="shared" si="0"/>
        <v>5.8182242464407565</v>
      </c>
      <c r="J10" s="60">
        <f t="shared" si="1"/>
        <v>7.5544888352407567</v>
      </c>
      <c r="K10" s="60">
        <f t="shared" si="2"/>
        <v>9.2907534240407568</v>
      </c>
      <c r="L10" s="95">
        <f>(TableTEMaster[[#This Row],[TGT]]*TARGETS)+(TableTEMaster[[#This Row],[REC]]*RECEPTIONS_TE)+(TableTEMaster[[#This Row],[RCYD]]*RECV_YARDS)+(TableTEMaster[[#This Row],[RCTD]]*RECV_TDS)</f>
        <v>7.5544888352407575</v>
      </c>
      <c r="M10" s="96">
        <v>0</v>
      </c>
    </row>
    <row r="11" spans="1:13" x14ac:dyDescent="0.25">
      <c r="A11" s="59">
        <f>IF(TableTEMaster[[#This Row],[Player]]&lt;&gt;0,A10+1,A10)</f>
        <v>9</v>
      </c>
      <c r="B11" s="59" t="str">
        <f>BUF!A$22</f>
        <v>Dalton Kincaid</v>
      </c>
      <c r="C11" s="59" t="s">
        <v>90</v>
      </c>
      <c r="D11" s="61">
        <f>BUF!C$22</f>
        <v>12</v>
      </c>
      <c r="E11" s="60">
        <f>BUF!L$22</f>
        <v>111.15062783999998</v>
      </c>
      <c r="F11" s="60">
        <f>BUF!M$22</f>
        <v>78.138891371519989</v>
      </c>
      <c r="G11" s="60">
        <f>BUF!N$22</f>
        <v>794.78433277757927</v>
      </c>
      <c r="H11" s="60">
        <f>BUF!O$22</f>
        <v>6.4855279838361595</v>
      </c>
      <c r="I11" s="60">
        <f t="shared" si="0"/>
        <v>118.39160118077488</v>
      </c>
      <c r="J11" s="60">
        <f t="shared" si="1"/>
        <v>157.46104686653487</v>
      </c>
      <c r="K11" s="60">
        <f t="shared" si="2"/>
        <v>196.53049255229487</v>
      </c>
      <c r="L11" s="95">
        <f>(TableTEMaster[[#This Row],[TGT]]*TARGETS)+(TableTEMaster[[#This Row],[REC]]*RECEPTIONS_TE)+(TableTEMaster[[#This Row],[RCYD]]*RECV_YARDS)+(TableTEMaster[[#This Row],[RCTD]]*RECV_TDS)</f>
        <v>157.46104686653487</v>
      </c>
      <c r="M11" s="96">
        <v>0</v>
      </c>
    </row>
    <row r="12" spans="1:13" x14ac:dyDescent="0.25">
      <c r="A12" s="59">
        <f>IF(TableTEMaster[[#This Row],[Player]]&lt;&gt;0,A11+1,A11)</f>
        <v>10</v>
      </c>
      <c r="B12" s="59" t="str">
        <f>BUF!A$23</f>
        <v>Dawson Knox</v>
      </c>
      <c r="C12" s="59" t="s">
        <v>90</v>
      </c>
      <c r="D12" s="61">
        <f>BUF!C$23</f>
        <v>12</v>
      </c>
      <c r="E12" s="60">
        <f>BUF!L$23</f>
        <v>43.124014079999988</v>
      </c>
      <c r="F12" s="60">
        <f>BUF!M$23</f>
        <v>26.736888729599993</v>
      </c>
      <c r="G12" s="60">
        <f>BUF!N$23</f>
        <v>277.76425325555408</v>
      </c>
      <c r="H12" s="60">
        <f>BUF!O$23</f>
        <v>2.8341102053375993</v>
      </c>
      <c r="I12" s="60">
        <f t="shared" si="0"/>
        <v>44.781086557581006</v>
      </c>
      <c r="J12" s="60">
        <f t="shared" si="1"/>
        <v>58.149530922381004</v>
      </c>
      <c r="K12" s="60">
        <f t="shared" si="2"/>
        <v>71.517975287181002</v>
      </c>
      <c r="L12" s="95">
        <f>(TableTEMaster[[#This Row],[TGT]]*TARGETS)+(TableTEMaster[[#This Row],[REC]]*RECEPTIONS_TE)+(TableTEMaster[[#This Row],[RCYD]]*RECV_YARDS)+(TableTEMaster[[#This Row],[RCTD]]*RECV_TDS)</f>
        <v>58.149530922381004</v>
      </c>
      <c r="M12" s="96">
        <v>0</v>
      </c>
    </row>
    <row r="13" spans="1:13" x14ac:dyDescent="0.25">
      <c r="A13" s="59">
        <f>IF(TableTEMaster[[#This Row],[Player]]&lt;&gt;0,A12+1,A12)</f>
        <v>11</v>
      </c>
      <c r="B13" s="59" t="str">
        <f>BUF!A$24</f>
        <v>Quintin Morris</v>
      </c>
      <c r="C13" s="59" t="s">
        <v>90</v>
      </c>
      <c r="D13" s="61">
        <f>BUF!C$24</f>
        <v>12</v>
      </c>
      <c r="E13" s="60">
        <f>BUF!L$24</f>
        <v>6.0738047999999996</v>
      </c>
      <c r="F13" s="60">
        <f>BUF!M$24</f>
        <v>3.6442828799999996</v>
      </c>
      <c r="G13" s="60">
        <f>BUF!N$24</f>
        <v>37.558275018066539</v>
      </c>
      <c r="H13" s="60">
        <f>BUF!O$24</f>
        <v>0.34620687359999996</v>
      </c>
      <c r="I13" s="60">
        <f t="shared" si="0"/>
        <v>5.8330687434066544</v>
      </c>
      <c r="J13" s="60">
        <f t="shared" si="1"/>
        <v>7.6552101834066537</v>
      </c>
      <c r="K13" s="60">
        <f t="shared" si="2"/>
        <v>9.4773516234066548</v>
      </c>
      <c r="L13" s="95">
        <f>(TableTEMaster[[#This Row],[TGT]]*TARGETS)+(TableTEMaster[[#This Row],[REC]]*RECEPTIONS_TE)+(TableTEMaster[[#This Row],[RCYD]]*RECV_YARDS)+(TableTEMaster[[#This Row],[RCTD]]*RECV_TDS)</f>
        <v>7.6552101834066537</v>
      </c>
      <c r="M13" s="96">
        <v>0</v>
      </c>
    </row>
    <row r="14" spans="1:13" x14ac:dyDescent="0.25">
      <c r="A14" s="59">
        <f>IF(TableTEMaster[[#This Row],[Player]]&lt;&gt;0,A13+1,A13)</f>
        <v>12</v>
      </c>
      <c r="B14" s="59" t="str">
        <f>CAR!A$22</f>
        <v>Ja'Tavion Sanders</v>
      </c>
      <c r="C14" s="59" t="s">
        <v>91</v>
      </c>
      <c r="D14" s="61">
        <f>CAR!C$22</f>
        <v>11</v>
      </c>
      <c r="E14" s="60">
        <f>CAR!L$22</f>
        <v>46.912786199999992</v>
      </c>
      <c r="F14" s="60">
        <f>CAR!M$22</f>
        <v>29.695793664599996</v>
      </c>
      <c r="G14" s="60">
        <f>CAR!N$22</f>
        <v>312.88245187448638</v>
      </c>
      <c r="H14" s="60">
        <f>CAR!O$22</f>
        <v>2.1794191658372144</v>
      </c>
      <c r="I14" s="60">
        <f t="shared" si="0"/>
        <v>44.364760182471926</v>
      </c>
      <c r="J14" s="60">
        <f t="shared" si="1"/>
        <v>59.212657014771921</v>
      </c>
      <c r="K14" s="60">
        <f t="shared" si="2"/>
        <v>74.06055384707193</v>
      </c>
      <c r="L14" s="95">
        <f>(TableTEMaster[[#This Row],[TGT]]*TARGETS)+(TableTEMaster[[#This Row],[REC]]*RECEPTIONS_TE)+(TableTEMaster[[#This Row],[RCYD]]*RECV_YARDS)+(TableTEMaster[[#This Row],[RCTD]]*RECV_TDS)</f>
        <v>59.212657014771921</v>
      </c>
      <c r="M14" s="96">
        <v>0</v>
      </c>
    </row>
    <row r="15" spans="1:13" x14ac:dyDescent="0.25">
      <c r="A15" s="59">
        <f>IF(TableTEMaster[[#This Row],[Player]]&lt;&gt;0,A14+1,A14)</f>
        <v>13</v>
      </c>
      <c r="B15" s="59" t="str">
        <f>CAR!A$23</f>
        <v>Tommy Tremble</v>
      </c>
      <c r="C15" s="59" t="s">
        <v>91</v>
      </c>
      <c r="D15" s="61">
        <f>CAR!C$23</f>
        <v>11</v>
      </c>
      <c r="E15" s="60">
        <f>CAR!L$23</f>
        <v>48.071126599999999</v>
      </c>
      <c r="F15" s="60">
        <f>CAR!M$23</f>
        <v>30.188667504799994</v>
      </c>
      <c r="G15" s="60">
        <f>CAR!N$23</f>
        <v>298.56592162247199</v>
      </c>
      <c r="H15" s="60">
        <f>CAR!O$23</f>
        <v>2.4150934003839994</v>
      </c>
      <c r="I15" s="60">
        <f t="shared" si="0"/>
        <v>44.347152564551195</v>
      </c>
      <c r="J15" s="60">
        <f t="shared" si="1"/>
        <v>59.441486316951192</v>
      </c>
      <c r="K15" s="60">
        <f t="shared" si="2"/>
        <v>74.535820069351189</v>
      </c>
      <c r="L15" s="95">
        <f>(TableTEMaster[[#This Row],[TGT]]*TARGETS)+(TableTEMaster[[#This Row],[REC]]*RECEPTIONS_TE)+(TableTEMaster[[#This Row],[RCYD]]*RECV_YARDS)+(TableTEMaster[[#This Row],[RCTD]]*RECV_TDS)</f>
        <v>59.441486316951199</v>
      </c>
      <c r="M15" s="96">
        <v>0</v>
      </c>
    </row>
    <row r="16" spans="1:13" x14ac:dyDescent="0.25">
      <c r="A16" s="59">
        <f>IF(TableTEMaster[[#This Row],[Player]]&lt;&gt;0,A15+1,A15)</f>
        <v>14</v>
      </c>
      <c r="B16" s="59" t="str">
        <f>CAR!A$24</f>
        <v>Ian Thomas</v>
      </c>
      <c r="C16" s="59" t="s">
        <v>91</v>
      </c>
      <c r="D16" s="61">
        <f>CAR!C$24</f>
        <v>11</v>
      </c>
      <c r="E16" s="60">
        <f>CAR!L$24</f>
        <v>9.8458933999999996</v>
      </c>
      <c r="F16" s="60">
        <f>CAR!M$24</f>
        <v>5.9370737201999999</v>
      </c>
      <c r="G16" s="60">
        <f>CAR!N$24</f>
        <v>59.744008272387262</v>
      </c>
      <c r="H16" s="60">
        <f>CAR!O$24</f>
        <v>0.34435027577159999</v>
      </c>
      <c r="I16" s="60">
        <f t="shared" si="0"/>
        <v>8.0405024818683266</v>
      </c>
      <c r="J16" s="60">
        <f t="shared" si="1"/>
        <v>11.009039341968327</v>
      </c>
      <c r="K16" s="60">
        <f t="shared" si="2"/>
        <v>13.977576202068327</v>
      </c>
      <c r="L16" s="95">
        <f>(TableTEMaster[[#This Row],[TGT]]*TARGETS)+(TableTEMaster[[#This Row],[REC]]*RECEPTIONS_TE)+(TableTEMaster[[#This Row],[RCYD]]*RECV_YARDS)+(TableTEMaster[[#This Row],[RCTD]]*RECV_TDS)</f>
        <v>11.009039341968327</v>
      </c>
      <c r="M16" s="96">
        <v>0</v>
      </c>
    </row>
    <row r="17" spans="1:13" x14ac:dyDescent="0.25">
      <c r="A17" s="59">
        <f>IF(TableTEMaster[[#This Row],[Player]]&lt;&gt;0,A16+1,A16)</f>
        <v>15</v>
      </c>
      <c r="B17" s="59" t="str">
        <f>CHI!A$22</f>
        <v>Cole Kmet</v>
      </c>
      <c r="C17" s="59" t="s">
        <v>92</v>
      </c>
      <c r="D17" s="61">
        <f>CHI!C$22</f>
        <v>7</v>
      </c>
      <c r="E17" s="60">
        <f>CHI!L$22</f>
        <v>76.519144799999992</v>
      </c>
      <c r="F17" s="60">
        <f>CHI!M$22</f>
        <v>51.267827015999998</v>
      </c>
      <c r="G17" s="60">
        <f>CHI!N$22</f>
        <v>505.9149762291255</v>
      </c>
      <c r="H17" s="60">
        <f>CHI!O$22</f>
        <v>3.8888148377086442</v>
      </c>
      <c r="I17" s="60">
        <f t="shared" si="0"/>
        <v>73.924386649164418</v>
      </c>
      <c r="J17" s="60">
        <f t="shared" si="1"/>
        <v>99.55830015716441</v>
      </c>
      <c r="K17" s="60">
        <f t="shared" si="2"/>
        <v>125.19221366516442</v>
      </c>
      <c r="L17" s="95">
        <f>(TableTEMaster[[#This Row],[TGT]]*TARGETS)+(TableTEMaster[[#This Row],[REC]]*RECEPTIONS_TE)+(TableTEMaster[[#This Row],[RCYD]]*RECV_YARDS)+(TableTEMaster[[#This Row],[RCTD]]*RECV_TDS)</f>
        <v>99.558300157164425</v>
      </c>
      <c r="M17" s="96">
        <v>1.8058939937235041</v>
      </c>
    </row>
    <row r="18" spans="1:13" x14ac:dyDescent="0.25">
      <c r="A18" s="59">
        <f>IF(TableTEMaster[[#This Row],[Player]]&lt;&gt;0,A17+1,A17)</f>
        <v>16</v>
      </c>
      <c r="B18" s="59" t="str">
        <f>CHI!A$23</f>
        <v>Gerald Everett</v>
      </c>
      <c r="C18" s="59" t="s">
        <v>92</v>
      </c>
      <c r="D18" s="61">
        <f>CHI!C$23</f>
        <v>7</v>
      </c>
      <c r="E18" s="60">
        <f>CHI!L$23</f>
        <v>22.6723392</v>
      </c>
      <c r="F18" s="60">
        <f>CHI!M$23</f>
        <v>14.737020479999998</v>
      </c>
      <c r="G18" s="60">
        <f>CHI!N$23</f>
        <v>140.20428061375699</v>
      </c>
      <c r="H18" s="60">
        <f>CHI!O$23</f>
        <v>1.128424237287815</v>
      </c>
      <c r="I18" s="60">
        <f t="shared" si="0"/>
        <v>20.79097348510259</v>
      </c>
      <c r="J18" s="60">
        <f t="shared" si="1"/>
        <v>28.159483725102589</v>
      </c>
      <c r="K18" s="60">
        <f t="shared" si="2"/>
        <v>35.527993965102588</v>
      </c>
      <c r="L18" s="95">
        <f>(TableTEMaster[[#This Row],[TGT]]*TARGETS)+(TableTEMaster[[#This Row],[REC]]*RECEPTIONS_TE)+(TableTEMaster[[#This Row],[RCYD]]*RECV_YARDS)+(TableTEMaster[[#This Row],[RCTD]]*RECV_TDS)</f>
        <v>28.159483725102589</v>
      </c>
      <c r="M18" s="96">
        <v>0</v>
      </c>
    </row>
    <row r="19" spans="1:13" x14ac:dyDescent="0.25">
      <c r="A19" s="59">
        <f>IF(TableTEMaster[[#This Row],[Player]]&lt;&gt;0,A18+1,A18)</f>
        <v>16</v>
      </c>
      <c r="B19" s="59">
        <f>CHI!A$24</f>
        <v>0</v>
      </c>
      <c r="C19" s="59" t="s">
        <v>92</v>
      </c>
      <c r="D19" s="61">
        <f>CHI!C$24</f>
        <v>7</v>
      </c>
      <c r="E19" s="60">
        <f>CHI!L$24</f>
        <v>0</v>
      </c>
      <c r="F19" s="60">
        <f>CHI!M$24</f>
        <v>0</v>
      </c>
      <c r="G19" s="60">
        <f>CHI!N$24</f>
        <v>0</v>
      </c>
      <c r="H19" s="60">
        <f>CHI!O$24</f>
        <v>0</v>
      </c>
      <c r="I19" s="60">
        <f t="shared" si="0"/>
        <v>0</v>
      </c>
      <c r="J19" s="60">
        <f t="shared" si="1"/>
        <v>0</v>
      </c>
      <c r="K19" s="60">
        <f t="shared" si="2"/>
        <v>0</v>
      </c>
      <c r="L19" s="95">
        <f>(TableTEMaster[[#This Row],[TGT]]*TARGETS)+(TableTEMaster[[#This Row],[REC]]*RECEPTIONS_TE)+(TableTEMaster[[#This Row],[RCYD]]*RECV_YARDS)+(TableTEMaster[[#This Row],[RCTD]]*RECV_TDS)</f>
        <v>0</v>
      </c>
      <c r="M19" s="96">
        <v>0</v>
      </c>
    </row>
    <row r="20" spans="1:13" x14ac:dyDescent="0.25">
      <c r="A20" s="59">
        <f>IF(TableTEMaster[[#This Row],[Player]]&lt;&gt;0,A19+1,A19)</f>
        <v>17</v>
      </c>
      <c r="B20" s="59" t="str">
        <f>CIN!A$22</f>
        <v>Mike Gesicki</v>
      </c>
      <c r="C20" s="59" t="s">
        <v>93</v>
      </c>
      <c r="D20" s="61">
        <f>CIN!C$22</f>
        <v>12</v>
      </c>
      <c r="E20" s="60">
        <f>CIN!L$22</f>
        <v>70.463197559999998</v>
      </c>
      <c r="F20" s="60">
        <f>CIN!M$22</f>
        <v>49.747017477359996</v>
      </c>
      <c r="G20" s="60">
        <f>CIN!N$22</f>
        <v>484.26218078086788</v>
      </c>
      <c r="H20" s="60">
        <f>CIN!O$22</f>
        <v>3.9300143807114396</v>
      </c>
      <c r="I20" s="60">
        <f t="shared" si="0"/>
        <v>72.006304362355422</v>
      </c>
      <c r="J20" s="60">
        <f t="shared" si="1"/>
        <v>96.879813101035424</v>
      </c>
      <c r="K20" s="60">
        <f t="shared" si="2"/>
        <v>121.75332183971543</v>
      </c>
      <c r="L20" s="95">
        <f>(TableTEMaster[[#This Row],[TGT]]*TARGETS)+(TableTEMaster[[#This Row],[REC]]*RECEPTIONS_TE)+(TableTEMaster[[#This Row],[RCYD]]*RECV_YARDS)+(TableTEMaster[[#This Row],[RCTD]]*RECV_TDS)</f>
        <v>96.879813101035438</v>
      </c>
      <c r="M20" s="96">
        <v>0</v>
      </c>
    </row>
    <row r="21" spans="1:13" x14ac:dyDescent="0.25">
      <c r="A21" s="59">
        <f>IF(TableTEMaster[[#This Row],[Player]]&lt;&gt;0,A20+1,A20)</f>
        <v>18</v>
      </c>
      <c r="B21" s="59" t="str">
        <f>CIN!A$23</f>
        <v>Tanner Hudson</v>
      </c>
      <c r="C21" s="59" t="s">
        <v>93</v>
      </c>
      <c r="D21" s="61">
        <f>CIN!C$23</f>
        <v>12</v>
      </c>
      <c r="E21" s="60">
        <f>CIN!L$23</f>
        <v>6.2356811999999993</v>
      </c>
      <c r="F21" s="60">
        <f>CIN!M$23</f>
        <v>4.5832256819999984</v>
      </c>
      <c r="G21" s="60">
        <f>CIN!N$23</f>
        <v>42.766274116007132</v>
      </c>
      <c r="H21" s="60">
        <f>CIN!O$23</f>
        <v>0.30539196773932936</v>
      </c>
      <c r="I21" s="60">
        <f t="shared" si="0"/>
        <v>6.1089792180366889</v>
      </c>
      <c r="J21" s="60">
        <f t="shared" si="1"/>
        <v>8.400592059036688</v>
      </c>
      <c r="K21" s="60">
        <f t="shared" si="2"/>
        <v>10.692204900036687</v>
      </c>
      <c r="L21" s="95">
        <f>(TableTEMaster[[#This Row],[TGT]]*TARGETS)+(TableTEMaster[[#This Row],[REC]]*RECEPTIONS_TE)+(TableTEMaster[[#This Row],[RCYD]]*RECV_YARDS)+(TableTEMaster[[#This Row],[RCTD]]*RECV_TDS)</f>
        <v>8.400592059036688</v>
      </c>
      <c r="M21" s="96">
        <v>0</v>
      </c>
    </row>
    <row r="22" spans="1:13" x14ac:dyDescent="0.25">
      <c r="A22" s="59">
        <f>IF(TableTEMaster[[#This Row],[Player]]&lt;&gt;0,A21+1,A21)</f>
        <v>19</v>
      </c>
      <c r="B22" s="59" t="str">
        <f>CIN!A$24</f>
        <v>Erick All</v>
      </c>
      <c r="C22" s="59" t="s">
        <v>93</v>
      </c>
      <c r="D22" s="61">
        <f>CIN!C$24</f>
        <v>12</v>
      </c>
      <c r="E22" s="60">
        <f>CIN!L$24</f>
        <v>13.71849864</v>
      </c>
      <c r="F22" s="60">
        <f>CIN!M$24</f>
        <v>9.3697345711200004</v>
      </c>
      <c r="G22" s="60">
        <f>CIN!N$24</f>
        <v>89.519754170492931</v>
      </c>
      <c r="H22" s="60">
        <f>CIN!O$24</f>
        <v>0.66525115454952</v>
      </c>
      <c r="I22" s="60">
        <f t="shared" si="0"/>
        <v>12.943482344346414</v>
      </c>
      <c r="J22" s="60">
        <f t="shared" si="1"/>
        <v>17.628349629906413</v>
      </c>
      <c r="K22" s="60">
        <f t="shared" si="2"/>
        <v>22.313216915466413</v>
      </c>
      <c r="L22" s="95">
        <f>(TableTEMaster[[#This Row],[TGT]]*TARGETS)+(TableTEMaster[[#This Row],[REC]]*RECEPTIONS_TE)+(TableTEMaster[[#This Row],[RCYD]]*RECV_YARDS)+(TableTEMaster[[#This Row],[RCTD]]*RECV_TDS)</f>
        <v>17.628349629906413</v>
      </c>
      <c r="M22" s="96">
        <v>0</v>
      </c>
    </row>
    <row r="23" spans="1:13" x14ac:dyDescent="0.25">
      <c r="A23" s="59">
        <f>IF(TableTEMaster[[#This Row],[Player]]&lt;&gt;0,A22+1,A22)</f>
        <v>20</v>
      </c>
      <c r="B23" s="59" t="str">
        <f>CLE!A$22</f>
        <v>David Njoku</v>
      </c>
      <c r="C23" s="59" t="s">
        <v>94</v>
      </c>
      <c r="D23" s="61">
        <f>CLE!C$22</f>
        <v>10</v>
      </c>
      <c r="E23" s="60">
        <f>CLE!L$22</f>
        <v>102.15397499999997</v>
      </c>
      <c r="F23" s="60">
        <f>CLE!M$22</f>
        <v>68.443163249999984</v>
      </c>
      <c r="G23" s="60">
        <f>CLE!N$22</f>
        <v>718.65321412499986</v>
      </c>
      <c r="H23" s="60">
        <f>CLE!O$22</f>
        <v>5.3385667334999987</v>
      </c>
      <c r="I23" s="60">
        <f t="shared" si="0"/>
        <v>103.89672181349997</v>
      </c>
      <c r="J23" s="60">
        <f t="shared" si="1"/>
        <v>138.11830343849996</v>
      </c>
      <c r="K23" s="60">
        <f t="shared" si="2"/>
        <v>172.33988506349993</v>
      </c>
      <c r="L23" s="95">
        <f>(TableTEMaster[[#This Row],[TGT]]*TARGETS)+(TableTEMaster[[#This Row],[REC]]*RECEPTIONS_TE)+(TableTEMaster[[#This Row],[RCYD]]*RECV_YARDS)+(TableTEMaster[[#This Row],[RCTD]]*RECV_TDS)</f>
        <v>138.11830343849996</v>
      </c>
      <c r="M23" s="96">
        <v>0.40204588310140438</v>
      </c>
    </row>
    <row r="24" spans="1:13" x14ac:dyDescent="0.25">
      <c r="A24" s="59">
        <f>IF(TableTEMaster[[#This Row],[Player]]&lt;&gt;0,A23+1,A23)</f>
        <v>21</v>
      </c>
      <c r="B24" s="59" t="str">
        <f>CLE!A$23</f>
        <v>Jordan Akins</v>
      </c>
      <c r="C24" s="59" t="s">
        <v>94</v>
      </c>
      <c r="D24" s="61">
        <f>CLE!C$23</f>
        <v>10</v>
      </c>
      <c r="E24" s="60">
        <f>CLE!L$23</f>
        <v>16.129574999999996</v>
      </c>
      <c r="F24" s="60">
        <f>CLE!M$23</f>
        <v>10.887463125000002</v>
      </c>
      <c r="G24" s="60">
        <f>CLE!N$23</f>
        <v>106.11131499374042</v>
      </c>
      <c r="H24" s="60">
        <f>CLE!O$23</f>
        <v>0.7185725662500001</v>
      </c>
      <c r="I24" s="60">
        <f t="shared" si="0"/>
        <v>14.922566896874043</v>
      </c>
      <c r="J24" s="60">
        <f t="shared" si="1"/>
        <v>20.366298459374043</v>
      </c>
      <c r="K24" s="60">
        <f t="shared" si="2"/>
        <v>25.810030021874045</v>
      </c>
      <c r="L24" s="95">
        <f>(TableTEMaster[[#This Row],[TGT]]*TARGETS)+(TableTEMaster[[#This Row],[REC]]*RECEPTIONS_TE)+(TableTEMaster[[#This Row],[RCYD]]*RECV_YARDS)+(TableTEMaster[[#This Row],[RCTD]]*RECV_TDS)</f>
        <v>20.366298459374043</v>
      </c>
      <c r="M24" s="96">
        <v>0</v>
      </c>
    </row>
    <row r="25" spans="1:13" x14ac:dyDescent="0.25">
      <c r="A25" s="59">
        <f>IF(TableTEMaster[[#This Row],[Player]]&lt;&gt;0,A24+1,A24)</f>
        <v>21</v>
      </c>
      <c r="B25" s="59">
        <f>CLE!A$24</f>
        <v>0</v>
      </c>
      <c r="C25" s="59" t="s">
        <v>94</v>
      </c>
      <c r="D25" s="61">
        <f>CLE!C$24</f>
        <v>10</v>
      </c>
      <c r="E25" s="60">
        <f>CLE!L$24</f>
        <v>0</v>
      </c>
      <c r="F25" s="60">
        <f>CLE!M$24</f>
        <v>0</v>
      </c>
      <c r="G25" s="60">
        <f>CLE!N$24</f>
        <v>0</v>
      </c>
      <c r="H25" s="60">
        <f>CLE!O$24</f>
        <v>0</v>
      </c>
      <c r="I25" s="60">
        <f t="shared" si="0"/>
        <v>0</v>
      </c>
      <c r="J25" s="60">
        <f t="shared" si="1"/>
        <v>0</v>
      </c>
      <c r="K25" s="60">
        <f t="shared" si="2"/>
        <v>0</v>
      </c>
      <c r="L25" s="95">
        <f>(TableTEMaster[[#This Row],[TGT]]*TARGETS)+(TableTEMaster[[#This Row],[REC]]*RECEPTIONS_TE)+(TableTEMaster[[#This Row],[RCYD]]*RECV_YARDS)+(TableTEMaster[[#This Row],[RCTD]]*RECV_TDS)</f>
        <v>0</v>
      </c>
      <c r="M25" s="96">
        <v>0</v>
      </c>
    </row>
    <row r="26" spans="1:13" x14ac:dyDescent="0.25">
      <c r="A26" s="59">
        <f>IF(TableTEMaster[[#This Row],[Player]]&lt;&gt;0,A25+1,A25)</f>
        <v>22</v>
      </c>
      <c r="B26" s="59" t="str">
        <f>DAL!A$22</f>
        <v>Jake Ferguson</v>
      </c>
      <c r="C26" s="59" t="s">
        <v>95</v>
      </c>
      <c r="D26" s="61">
        <f>DAL!C$22</f>
        <v>7</v>
      </c>
      <c r="E26" s="60">
        <f>DAL!L$22</f>
        <v>110.37967163999996</v>
      </c>
      <c r="F26" s="60">
        <f>DAL!M$22</f>
        <v>78.590326207679965</v>
      </c>
      <c r="G26" s="60">
        <f>DAL!N$22</f>
        <v>824.32652155622793</v>
      </c>
      <c r="H26" s="60">
        <f>DAL!O$22</f>
        <v>6.9945390324835168</v>
      </c>
      <c r="I26" s="60">
        <f t="shared" si="0"/>
        <v>124.3998863505239</v>
      </c>
      <c r="J26" s="60">
        <f t="shared" si="1"/>
        <v>163.69504945436387</v>
      </c>
      <c r="K26" s="60">
        <f t="shared" si="2"/>
        <v>202.99021255820387</v>
      </c>
      <c r="L26" s="95">
        <f>(TableTEMaster[[#This Row],[TGT]]*TARGETS)+(TableTEMaster[[#This Row],[REC]]*RECEPTIONS_TE)+(TableTEMaster[[#This Row],[RCYD]]*RECV_YARDS)+(TableTEMaster[[#This Row],[RCTD]]*RECV_TDS)</f>
        <v>163.6950494543639</v>
      </c>
      <c r="M26" s="96">
        <v>1.1488415014446289</v>
      </c>
    </row>
    <row r="27" spans="1:13" x14ac:dyDescent="0.25">
      <c r="A27" s="59">
        <f>IF(TableTEMaster[[#This Row],[Player]]&lt;&gt;0,A26+1,A26)</f>
        <v>23</v>
      </c>
      <c r="B27" s="59" t="str">
        <f>DAL!A$23</f>
        <v>Luke Schoonmaker</v>
      </c>
      <c r="C27" s="59" t="s">
        <v>95</v>
      </c>
      <c r="D27" s="61">
        <f>DAL!C$23</f>
        <v>7</v>
      </c>
      <c r="E27" s="60">
        <f>DAL!L$23</f>
        <v>18.294973199999994</v>
      </c>
      <c r="F27" s="60">
        <f>DAL!M$23</f>
        <v>12.202747124399998</v>
      </c>
      <c r="G27" s="60">
        <f>DAL!N$23</f>
        <v>120.19705917533997</v>
      </c>
      <c r="H27" s="60">
        <f>DAL!O$23</f>
        <v>0.98842251707639994</v>
      </c>
      <c r="I27" s="60">
        <f t="shared" si="0"/>
        <v>17.950241019992397</v>
      </c>
      <c r="J27" s="60">
        <f t="shared" si="1"/>
        <v>24.051614582192396</v>
      </c>
      <c r="K27" s="60">
        <f t="shared" si="2"/>
        <v>30.152988144392395</v>
      </c>
      <c r="L27" s="95">
        <f>(TableTEMaster[[#This Row],[TGT]]*TARGETS)+(TableTEMaster[[#This Row],[REC]]*RECEPTIONS_TE)+(TableTEMaster[[#This Row],[RCYD]]*RECV_YARDS)+(TableTEMaster[[#This Row],[RCTD]]*RECV_TDS)</f>
        <v>24.051614582192396</v>
      </c>
      <c r="M27" s="96">
        <v>0</v>
      </c>
    </row>
    <row r="28" spans="1:13" x14ac:dyDescent="0.25">
      <c r="A28" s="59">
        <f>IF(TableTEMaster[[#This Row],[Player]]&lt;&gt;0,A27+1,A27)</f>
        <v>23</v>
      </c>
      <c r="B28" s="59">
        <f>DAL!A$24</f>
        <v>0</v>
      </c>
      <c r="C28" s="59" t="s">
        <v>95</v>
      </c>
      <c r="D28" s="61">
        <f>DAL!C$24</f>
        <v>7</v>
      </c>
      <c r="E28" s="60">
        <f>DAL!L$24</f>
        <v>0</v>
      </c>
      <c r="F28" s="60">
        <f>DAL!M$24</f>
        <v>0</v>
      </c>
      <c r="G28" s="60">
        <f>DAL!N$24</f>
        <v>0</v>
      </c>
      <c r="H28" s="60">
        <f>DAL!O$24</f>
        <v>0</v>
      </c>
      <c r="I28" s="60">
        <f t="shared" si="0"/>
        <v>0</v>
      </c>
      <c r="J28" s="60">
        <f t="shared" si="1"/>
        <v>0</v>
      </c>
      <c r="K28" s="60">
        <f t="shared" si="2"/>
        <v>0</v>
      </c>
      <c r="L28" s="95">
        <f>(TableTEMaster[[#This Row],[TGT]]*TARGETS)+(TableTEMaster[[#This Row],[REC]]*RECEPTIONS_TE)+(TableTEMaster[[#This Row],[RCYD]]*RECV_YARDS)+(TableTEMaster[[#This Row],[RCTD]]*RECV_TDS)</f>
        <v>0</v>
      </c>
      <c r="M28" s="96">
        <v>0</v>
      </c>
    </row>
    <row r="29" spans="1:13" x14ac:dyDescent="0.25">
      <c r="A29" s="59">
        <f>IF(TableTEMaster[[#This Row],[Player]]&lt;&gt;0,A28+1,A28)</f>
        <v>24</v>
      </c>
      <c r="B29" s="59" t="str">
        <f>DEN!A$22</f>
        <v>Greg Dulcich</v>
      </c>
      <c r="C29" s="59" t="s">
        <v>96</v>
      </c>
      <c r="D29" s="61">
        <f>DEN!C$22</f>
        <v>14</v>
      </c>
      <c r="E29" s="60">
        <f>DEN!L$22</f>
        <v>60.242003517587932</v>
      </c>
      <c r="F29" s="60">
        <f>DEN!M$22</f>
        <v>37.229558173869336</v>
      </c>
      <c r="G29" s="60">
        <f>DEN!N$22</f>
        <v>401.33463711431142</v>
      </c>
      <c r="H29" s="60">
        <f>DEN!O$22</f>
        <v>2.3082326067798986</v>
      </c>
      <c r="I29" s="60">
        <f t="shared" si="0"/>
        <v>53.98285935211053</v>
      </c>
      <c r="J29" s="60">
        <f t="shared" si="1"/>
        <v>72.597638439045198</v>
      </c>
      <c r="K29" s="60">
        <f t="shared" si="2"/>
        <v>91.212417525979873</v>
      </c>
      <c r="L29" s="95">
        <f>(TableTEMaster[[#This Row],[TGT]]*TARGETS)+(TableTEMaster[[#This Row],[REC]]*RECEPTIONS_TE)+(TableTEMaster[[#This Row],[RCYD]]*RECV_YARDS)+(TableTEMaster[[#This Row],[RCTD]]*RECV_TDS)</f>
        <v>72.597638439045213</v>
      </c>
      <c r="M29" s="96">
        <v>7.4353334434863179</v>
      </c>
    </row>
    <row r="30" spans="1:13" x14ac:dyDescent="0.25">
      <c r="A30" s="59">
        <f>IF(TableTEMaster[[#This Row],[Player]]&lt;&gt;0,A29+1,A29)</f>
        <v>25</v>
      </c>
      <c r="B30" s="59" t="str">
        <f>DEN!A$23</f>
        <v>Adam Trautman</v>
      </c>
      <c r="C30" s="59" t="s">
        <v>96</v>
      </c>
      <c r="D30" s="61">
        <f>DEN!C$23</f>
        <v>14</v>
      </c>
      <c r="E30" s="60">
        <f>DEN!L$23</f>
        <v>21.801867939698489</v>
      </c>
      <c r="F30" s="60">
        <f>DEN!M$23</f>
        <v>13.299139443216076</v>
      </c>
      <c r="G30" s="60">
        <f>DEN!N$23</f>
        <v>127.01160192857439</v>
      </c>
      <c r="H30" s="60">
        <f>DEN!O$23</f>
        <v>0.86444406380904493</v>
      </c>
      <c r="I30" s="60">
        <f t="shared" si="0"/>
        <v>17.887824575711711</v>
      </c>
      <c r="J30" s="60">
        <f t="shared" si="1"/>
        <v>24.53739429731975</v>
      </c>
      <c r="K30" s="60">
        <f t="shared" si="2"/>
        <v>31.186964018927789</v>
      </c>
      <c r="L30" s="95">
        <f>(TableTEMaster[[#This Row],[TGT]]*TARGETS)+(TableTEMaster[[#This Row],[REC]]*RECEPTIONS_TE)+(TableTEMaster[[#This Row],[RCYD]]*RECV_YARDS)+(TableTEMaster[[#This Row],[RCTD]]*RECV_TDS)</f>
        <v>24.53739429731975</v>
      </c>
      <c r="M30" s="96">
        <v>0</v>
      </c>
    </row>
    <row r="31" spans="1:13" x14ac:dyDescent="0.25">
      <c r="A31" s="59">
        <f>IF(TableTEMaster[[#This Row],[Player]]&lt;&gt;0,A30+1,A30)</f>
        <v>25</v>
      </c>
      <c r="B31" s="59">
        <f>DEN!A$24</f>
        <v>0</v>
      </c>
      <c r="C31" s="59" t="s">
        <v>96</v>
      </c>
      <c r="D31" s="61">
        <f>DEN!C$24</f>
        <v>14</v>
      </c>
      <c r="E31" s="60">
        <f>DEN!L$24</f>
        <v>0</v>
      </c>
      <c r="F31" s="60">
        <f>DEN!M$24</f>
        <v>0</v>
      </c>
      <c r="G31" s="60">
        <f>DEN!N$24</f>
        <v>0</v>
      </c>
      <c r="H31" s="60">
        <f>DEN!O$24</f>
        <v>0</v>
      </c>
      <c r="I31" s="60">
        <f t="shared" si="0"/>
        <v>0</v>
      </c>
      <c r="J31" s="60">
        <f t="shared" si="1"/>
        <v>0</v>
      </c>
      <c r="K31" s="60">
        <f t="shared" si="2"/>
        <v>0</v>
      </c>
      <c r="L31" s="95">
        <f>(TableTEMaster[[#This Row],[TGT]]*TARGETS)+(TableTEMaster[[#This Row],[REC]]*RECEPTIONS_TE)+(TableTEMaster[[#This Row],[RCYD]]*RECV_YARDS)+(TableTEMaster[[#This Row],[RCTD]]*RECV_TDS)</f>
        <v>0</v>
      </c>
      <c r="M31" s="96">
        <v>0</v>
      </c>
    </row>
    <row r="32" spans="1:13" x14ac:dyDescent="0.25">
      <c r="A32" s="59">
        <f>IF(TableTEMaster[[#This Row],[Player]]&lt;&gt;0,A31+1,A31)</f>
        <v>26</v>
      </c>
      <c r="B32" s="59" t="str">
        <f>DET!A$22</f>
        <v>Sam LaPorta</v>
      </c>
      <c r="C32" s="59" t="s">
        <v>97</v>
      </c>
      <c r="D32" s="61">
        <f>DET!C$22</f>
        <v>5</v>
      </c>
      <c r="E32" s="60">
        <f>DET!L$22</f>
        <v>121.49829299999999</v>
      </c>
      <c r="F32" s="60">
        <f>DET!M$22</f>
        <v>86.263788029999972</v>
      </c>
      <c r="G32" s="60">
        <f>DET!N$22</f>
        <v>896.26531845526756</v>
      </c>
      <c r="H32" s="60">
        <f>DET!O$22</f>
        <v>8.2963843386541338</v>
      </c>
      <c r="I32" s="60">
        <f t="shared" si="0"/>
        <v>139.40483787745154</v>
      </c>
      <c r="J32" s="60">
        <f t="shared" si="1"/>
        <v>182.53673189245154</v>
      </c>
      <c r="K32" s="60">
        <f t="shared" si="2"/>
        <v>225.66862590745151</v>
      </c>
      <c r="L32" s="95">
        <f>(TableTEMaster[[#This Row],[TGT]]*TARGETS)+(TableTEMaster[[#This Row],[REC]]*RECEPTIONS_TE)+(TableTEMaster[[#This Row],[RCYD]]*RECV_YARDS)+(TableTEMaster[[#This Row],[RCTD]]*RECV_TDS)</f>
        <v>182.53673189245154</v>
      </c>
      <c r="M32" s="96">
        <v>13.317786717850336</v>
      </c>
    </row>
    <row r="33" spans="1:13" x14ac:dyDescent="0.25">
      <c r="A33" s="59">
        <f>IF(TableTEMaster[[#This Row],[Player]]&lt;&gt;0,A32+1,A32)</f>
        <v>27</v>
      </c>
      <c r="B33" s="59" t="str">
        <f>DET!A$23</f>
        <v>James Mitchell</v>
      </c>
      <c r="C33" s="59" t="s">
        <v>97</v>
      </c>
      <c r="D33" s="61">
        <f>DET!C$23</f>
        <v>5</v>
      </c>
      <c r="E33" s="60">
        <f>DET!L$23</f>
        <v>14.816865</v>
      </c>
      <c r="F33" s="60">
        <f>DET!M$23</f>
        <v>9.7346803050000013</v>
      </c>
      <c r="G33" s="60">
        <f>DET!N$23</f>
        <v>91.616653065463851</v>
      </c>
      <c r="H33" s="60">
        <f>DET!O$23</f>
        <v>0.73762301057938029</v>
      </c>
      <c r="I33" s="60">
        <f t="shared" si="0"/>
        <v>13.587403370022667</v>
      </c>
      <c r="J33" s="60">
        <f t="shared" si="1"/>
        <v>18.454743522522669</v>
      </c>
      <c r="K33" s="60">
        <f t="shared" si="2"/>
        <v>23.322083675022668</v>
      </c>
      <c r="L33" s="95">
        <f>(TableTEMaster[[#This Row],[TGT]]*TARGETS)+(TableTEMaster[[#This Row],[REC]]*RECEPTIONS_TE)+(TableTEMaster[[#This Row],[RCYD]]*RECV_YARDS)+(TableTEMaster[[#This Row],[RCTD]]*RECV_TDS)</f>
        <v>18.454743522522669</v>
      </c>
      <c r="M33" s="96">
        <v>0</v>
      </c>
    </row>
    <row r="34" spans="1:13" x14ac:dyDescent="0.25">
      <c r="A34" s="59">
        <f>IF(TableTEMaster[[#This Row],[Player]]&lt;&gt;0,A33+1,A33)</f>
        <v>28</v>
      </c>
      <c r="B34" s="59" t="str">
        <f>DET!A$24</f>
        <v>Brock Wright</v>
      </c>
      <c r="C34" s="59" t="s">
        <v>97</v>
      </c>
      <c r="D34" s="61">
        <f>DET!C$24</f>
        <v>5</v>
      </c>
      <c r="E34" s="60">
        <f>DET!L$24</f>
        <v>8.8901190000000003</v>
      </c>
      <c r="F34" s="60">
        <f>DET!M$24</f>
        <v>5.8852587779999999</v>
      </c>
      <c r="G34" s="60">
        <f>DET!N$24</f>
        <v>56.587348622931877</v>
      </c>
      <c r="H34" s="60">
        <f>DET!O$24</f>
        <v>0.54736741581672876</v>
      </c>
      <c r="I34" s="60">
        <f t="shared" ref="I34:I65" si="3">(G34/10)+(H34*6)</f>
        <v>8.9429393571935609</v>
      </c>
      <c r="J34" s="60">
        <f t="shared" ref="J34:J65" si="4">I34+(F34*0.5)</f>
        <v>11.885568746193561</v>
      </c>
      <c r="K34" s="60">
        <f t="shared" ref="K34:K65" si="5">I34+F34</f>
        <v>14.82819813519356</v>
      </c>
      <c r="L34" s="95">
        <f>(TableTEMaster[[#This Row],[TGT]]*TARGETS)+(TableTEMaster[[#This Row],[REC]]*RECEPTIONS_TE)+(TableTEMaster[[#This Row],[RCYD]]*RECV_YARDS)+(TableTEMaster[[#This Row],[RCTD]]*RECV_TDS)</f>
        <v>11.88556874619356</v>
      </c>
      <c r="M34" s="96">
        <v>0</v>
      </c>
    </row>
    <row r="35" spans="1:13" x14ac:dyDescent="0.25">
      <c r="A35" s="59">
        <f>IF(TableTEMaster[[#This Row],[Player]]&lt;&gt;0,A34+1,A34)</f>
        <v>29</v>
      </c>
      <c r="B35" s="59" t="str">
        <f>GB!A$22</f>
        <v>Luke Musgrave</v>
      </c>
      <c r="C35" s="59" t="s">
        <v>98</v>
      </c>
      <c r="D35" s="61">
        <f>GB!C$22</f>
        <v>10</v>
      </c>
      <c r="E35" s="60">
        <f>GB!L$22</f>
        <v>66.713774400000005</v>
      </c>
      <c r="F35" s="60">
        <f>GB!M$22</f>
        <v>47.500207372800006</v>
      </c>
      <c r="G35" s="60">
        <f>GB!N$22</f>
        <v>511.02483660131139</v>
      </c>
      <c r="H35" s="60">
        <f>GB!O$22</f>
        <v>3.4923484555538193</v>
      </c>
      <c r="I35" s="60">
        <f t="shared" si="3"/>
        <v>72.056574393454056</v>
      </c>
      <c r="J35" s="60">
        <f t="shared" si="4"/>
        <v>95.806678079854066</v>
      </c>
      <c r="K35" s="60">
        <f t="shared" si="5"/>
        <v>119.55678176625406</v>
      </c>
      <c r="L35" s="95">
        <f>(TableTEMaster[[#This Row],[TGT]]*TARGETS)+(TableTEMaster[[#This Row],[REC]]*RECEPTIONS_TE)+(TableTEMaster[[#This Row],[RCYD]]*RECV_YARDS)+(TableTEMaster[[#This Row],[RCTD]]*RECV_TDS)</f>
        <v>95.806678079854066</v>
      </c>
      <c r="M35" s="96">
        <v>4.8807128154445154</v>
      </c>
    </row>
    <row r="36" spans="1:13" x14ac:dyDescent="0.25">
      <c r="A36" s="59">
        <f>IF(TableTEMaster[[#This Row],[Player]]&lt;&gt;0,A35+1,A35)</f>
        <v>30</v>
      </c>
      <c r="B36" s="59" t="str">
        <f>GB!A$23</f>
        <v>Tucker Kraft</v>
      </c>
      <c r="C36" s="59" t="s">
        <v>98</v>
      </c>
      <c r="D36" s="61">
        <f>GB!C$23</f>
        <v>10</v>
      </c>
      <c r="E36" s="60">
        <f>GB!L$23</f>
        <v>44.475849599999997</v>
      </c>
      <c r="F36" s="60">
        <f>GB!M$23</f>
        <v>32.511846057600003</v>
      </c>
      <c r="G36" s="60">
        <f>GB!N$23</f>
        <v>336.3689061118107</v>
      </c>
      <c r="H36" s="60">
        <f>GB!O$23</f>
        <v>2.5390911281621866</v>
      </c>
      <c r="I36" s="60">
        <f t="shared" si="3"/>
        <v>48.871437380154191</v>
      </c>
      <c r="J36" s="60">
        <f t="shared" si="4"/>
        <v>65.127360408954189</v>
      </c>
      <c r="K36" s="60">
        <f t="shared" si="5"/>
        <v>81.383283437754187</v>
      </c>
      <c r="L36" s="95">
        <f>(TableTEMaster[[#This Row],[TGT]]*TARGETS)+(TableTEMaster[[#This Row],[REC]]*RECEPTIONS_TE)+(TableTEMaster[[#This Row],[RCYD]]*RECV_YARDS)+(TableTEMaster[[#This Row],[RCTD]]*RECV_TDS)</f>
        <v>65.127360408954189</v>
      </c>
      <c r="M36" s="96">
        <v>0</v>
      </c>
    </row>
    <row r="37" spans="1:13" x14ac:dyDescent="0.25">
      <c r="A37" s="59">
        <f>IF(TableTEMaster[[#This Row],[Player]]&lt;&gt;0,A36+1,A36)</f>
        <v>30</v>
      </c>
      <c r="B37" s="59">
        <f>GB!A$24</f>
        <v>0</v>
      </c>
      <c r="C37" s="59" t="s">
        <v>98</v>
      </c>
      <c r="D37" s="61">
        <f>GB!C$24</f>
        <v>10</v>
      </c>
      <c r="E37" s="60">
        <f>GB!L$24</f>
        <v>0</v>
      </c>
      <c r="F37" s="60">
        <f>GB!M$24</f>
        <v>0</v>
      </c>
      <c r="G37" s="60">
        <f>GB!N$24</f>
        <v>0</v>
      </c>
      <c r="H37" s="60">
        <f>GB!O$24</f>
        <v>0</v>
      </c>
      <c r="I37" s="60">
        <f t="shared" si="3"/>
        <v>0</v>
      </c>
      <c r="J37" s="60">
        <f t="shared" si="4"/>
        <v>0</v>
      </c>
      <c r="K37" s="60">
        <f t="shared" si="5"/>
        <v>0</v>
      </c>
      <c r="L37" s="95">
        <f>(TableTEMaster[[#This Row],[TGT]]*TARGETS)+(TableTEMaster[[#This Row],[REC]]*RECEPTIONS_TE)+(TableTEMaster[[#This Row],[RCYD]]*RECV_YARDS)+(TableTEMaster[[#This Row],[RCTD]]*RECV_TDS)</f>
        <v>0</v>
      </c>
      <c r="M37" s="96">
        <v>0</v>
      </c>
    </row>
    <row r="38" spans="1:13" x14ac:dyDescent="0.25">
      <c r="A38" s="59">
        <f>IF(TableTEMaster[[#This Row],[Player]]&lt;&gt;0,A37+1,A37)</f>
        <v>31</v>
      </c>
      <c r="B38" s="59" t="str">
        <f>HOU!A$22</f>
        <v>Dalton Schultz</v>
      </c>
      <c r="C38" s="59" t="s">
        <v>99</v>
      </c>
      <c r="D38" s="61">
        <f>HOU!C$22</f>
        <v>14</v>
      </c>
      <c r="E38" s="60">
        <f>HOU!L$22</f>
        <v>68.926457599999992</v>
      </c>
      <c r="F38" s="60">
        <f>HOU!M$22</f>
        <v>47.007844083199998</v>
      </c>
      <c r="G38" s="60">
        <f>HOU!N$22</f>
        <v>511.44534362521603</v>
      </c>
      <c r="H38" s="60">
        <f>HOU!O$22</f>
        <v>3.9685813344360383</v>
      </c>
      <c r="I38" s="60">
        <f t="shared" si="3"/>
        <v>74.956022369137827</v>
      </c>
      <c r="J38" s="60">
        <f t="shared" si="4"/>
        <v>98.459944410737819</v>
      </c>
      <c r="K38" s="60">
        <f t="shared" si="5"/>
        <v>121.96386645233783</v>
      </c>
      <c r="L38" s="95">
        <f>(TableTEMaster[[#This Row],[TGT]]*TARGETS)+(TableTEMaster[[#This Row],[REC]]*RECEPTIONS_TE)+(TableTEMaster[[#This Row],[RCYD]]*RECV_YARDS)+(TableTEMaster[[#This Row],[RCTD]]*RECV_TDS)</f>
        <v>98.459944410737833</v>
      </c>
      <c r="M38" s="96">
        <v>0</v>
      </c>
    </row>
    <row r="39" spans="1:13" x14ac:dyDescent="0.25">
      <c r="A39" s="59">
        <f>IF(TableTEMaster[[#This Row],[Player]]&lt;&gt;0,A38+1,A38)</f>
        <v>32</v>
      </c>
      <c r="B39" s="59" t="str">
        <f>HOU!A$23</f>
        <v>Cade Stover</v>
      </c>
      <c r="C39" s="59" t="s">
        <v>99</v>
      </c>
      <c r="D39" s="61">
        <f>HOU!C$23</f>
        <v>14</v>
      </c>
      <c r="E39" s="60">
        <f>HOU!L$23</f>
        <v>23.767743999999997</v>
      </c>
      <c r="F39" s="60">
        <f>HOU!M$23</f>
        <v>15.995691711999999</v>
      </c>
      <c r="G39" s="60">
        <f>HOU!N$23</f>
        <v>168.91197013890178</v>
      </c>
      <c r="H39" s="60">
        <f>HOU!O$23</f>
        <v>1.2972052419868549</v>
      </c>
      <c r="I39" s="60">
        <f t="shared" si="3"/>
        <v>24.674428465811307</v>
      </c>
      <c r="J39" s="60">
        <f t="shared" si="4"/>
        <v>32.672274321811308</v>
      </c>
      <c r="K39" s="60">
        <f t="shared" si="5"/>
        <v>40.670120177811306</v>
      </c>
      <c r="L39" s="95">
        <f>(TableTEMaster[[#This Row],[TGT]]*TARGETS)+(TableTEMaster[[#This Row],[REC]]*RECEPTIONS_TE)+(TableTEMaster[[#This Row],[RCYD]]*RECV_YARDS)+(TableTEMaster[[#This Row],[RCTD]]*RECV_TDS)</f>
        <v>32.672274321811308</v>
      </c>
      <c r="M39" s="96">
        <v>0</v>
      </c>
    </row>
    <row r="40" spans="1:13" x14ac:dyDescent="0.25">
      <c r="A40" s="59">
        <f>IF(TableTEMaster[[#This Row],[Player]]&lt;&gt;0,A39+1,A39)</f>
        <v>33</v>
      </c>
      <c r="B40" s="59" t="str">
        <f>HOU!A$24</f>
        <v>Brevin Jordan</v>
      </c>
      <c r="C40" s="59" t="s">
        <v>99</v>
      </c>
      <c r="D40" s="61">
        <f>HOU!C$24</f>
        <v>14</v>
      </c>
      <c r="E40" s="60">
        <f>HOU!L$24</f>
        <v>5.9419359999999992</v>
      </c>
      <c r="F40" s="60">
        <f>HOU!M$24</f>
        <v>4.0642842239999988</v>
      </c>
      <c r="G40" s="60">
        <f>HOU!N$24</f>
        <v>44.138126672639984</v>
      </c>
      <c r="H40" s="60">
        <f>HOU!O$24</f>
        <v>0.3332713063679999</v>
      </c>
      <c r="I40" s="60">
        <f t="shared" si="3"/>
        <v>6.4134405054719981</v>
      </c>
      <c r="J40" s="60">
        <f t="shared" si="4"/>
        <v>8.445582617471997</v>
      </c>
      <c r="K40" s="60">
        <f t="shared" si="5"/>
        <v>10.477724729471998</v>
      </c>
      <c r="L40" s="95">
        <f>(TableTEMaster[[#This Row],[TGT]]*TARGETS)+(TableTEMaster[[#This Row],[REC]]*RECEPTIONS_TE)+(TableTEMaster[[#This Row],[RCYD]]*RECV_YARDS)+(TableTEMaster[[#This Row],[RCTD]]*RECV_TDS)</f>
        <v>8.445582617471997</v>
      </c>
      <c r="M40" s="96">
        <v>0</v>
      </c>
    </row>
    <row r="41" spans="1:13" x14ac:dyDescent="0.25">
      <c r="A41" s="59">
        <f>IF(TableTEMaster[[#This Row],[Player]]&lt;&gt;0,A40+1,A40)</f>
        <v>34</v>
      </c>
      <c r="B41" s="59" t="str">
        <f>IND!A$22</f>
        <v>Drew Ogletree</v>
      </c>
      <c r="C41" s="59" t="s">
        <v>100</v>
      </c>
      <c r="D41" s="61">
        <f>IND!C$22</f>
        <v>14</v>
      </c>
      <c r="E41" s="60">
        <f>IND!L$22</f>
        <v>6.4395408000000005</v>
      </c>
      <c r="F41" s="60">
        <f>IND!M$22</f>
        <v>3.8894826432</v>
      </c>
      <c r="G41" s="60">
        <f>IND!N$22</f>
        <v>41.850833240832003</v>
      </c>
      <c r="H41" s="60">
        <f>IND!O$22</f>
        <v>0.33060602467200001</v>
      </c>
      <c r="I41" s="60">
        <f t="shared" si="3"/>
        <v>6.1687194721151997</v>
      </c>
      <c r="J41" s="60">
        <f t="shared" si="4"/>
        <v>8.1134607937152001</v>
      </c>
      <c r="K41" s="60">
        <f t="shared" si="5"/>
        <v>10.058202115315201</v>
      </c>
      <c r="L41" s="95">
        <f>(TableTEMaster[[#This Row],[TGT]]*TARGETS)+(TableTEMaster[[#This Row],[REC]]*RECEPTIONS_TE)+(TableTEMaster[[#This Row],[RCYD]]*RECV_YARDS)+(TableTEMaster[[#This Row],[RCTD]]*RECV_TDS)</f>
        <v>8.1134607937152001</v>
      </c>
      <c r="M41" s="96">
        <v>0</v>
      </c>
    </row>
    <row r="42" spans="1:13" x14ac:dyDescent="0.25">
      <c r="A42" s="59">
        <f>IF(TableTEMaster[[#This Row],[Player]]&lt;&gt;0,A41+1,A41)</f>
        <v>35</v>
      </c>
      <c r="B42" s="59" t="str">
        <f>IND!A$23</f>
        <v>Mo Alie-Cox</v>
      </c>
      <c r="C42" s="59" t="s">
        <v>100</v>
      </c>
      <c r="D42" s="61">
        <f>IND!C$23</f>
        <v>14</v>
      </c>
      <c r="E42" s="60">
        <f>IND!L$23</f>
        <v>33.270960800000005</v>
      </c>
      <c r="F42" s="60">
        <f>IND!M$23</f>
        <v>20.395098970400003</v>
      </c>
      <c r="G42" s="60">
        <f>IND!N$23</f>
        <v>237.34846304434652</v>
      </c>
      <c r="H42" s="60">
        <f>IND!O$23</f>
        <v>2.3046461836552004</v>
      </c>
      <c r="I42" s="60">
        <f t="shared" si="3"/>
        <v>37.562723406365855</v>
      </c>
      <c r="J42" s="60">
        <f t="shared" si="4"/>
        <v>47.760272891565855</v>
      </c>
      <c r="K42" s="60">
        <f t="shared" si="5"/>
        <v>57.957822376765861</v>
      </c>
      <c r="L42" s="95">
        <f>(TableTEMaster[[#This Row],[TGT]]*TARGETS)+(TableTEMaster[[#This Row],[REC]]*RECEPTIONS_TE)+(TableTEMaster[[#This Row],[RCYD]]*RECV_YARDS)+(TableTEMaster[[#This Row],[RCTD]]*RECV_TDS)</f>
        <v>47.760272891565855</v>
      </c>
      <c r="M42" s="96">
        <v>0</v>
      </c>
    </row>
    <row r="43" spans="1:13" x14ac:dyDescent="0.25">
      <c r="A43" s="59">
        <f>IF(TableTEMaster[[#This Row],[Player]]&lt;&gt;0,A42+1,A42)</f>
        <v>36</v>
      </c>
      <c r="B43" s="59" t="str">
        <f>IND!A$24</f>
        <v>Kylen Granson</v>
      </c>
      <c r="C43" s="59" t="s">
        <v>100</v>
      </c>
      <c r="D43" s="61">
        <f>IND!C$24</f>
        <v>14</v>
      </c>
      <c r="E43" s="60">
        <f>IND!L$24</f>
        <v>40.247129999999999</v>
      </c>
      <c r="F43" s="60">
        <f>IND!M$24</f>
        <v>24.832479209999999</v>
      </c>
      <c r="G43" s="60">
        <f>IND!N$24</f>
        <v>276.35942204912243</v>
      </c>
      <c r="H43" s="60">
        <f>IND!O$24</f>
        <v>1.9865983368</v>
      </c>
      <c r="I43" s="60">
        <f t="shared" si="3"/>
        <v>39.555532225712241</v>
      </c>
      <c r="J43" s="60">
        <f t="shared" si="4"/>
        <v>51.971771830712242</v>
      </c>
      <c r="K43" s="60">
        <f t="shared" si="5"/>
        <v>64.388011435712244</v>
      </c>
      <c r="L43" s="95">
        <f>(TableTEMaster[[#This Row],[TGT]]*TARGETS)+(TableTEMaster[[#This Row],[REC]]*RECEPTIONS_TE)+(TableTEMaster[[#This Row],[RCYD]]*RECV_YARDS)+(TableTEMaster[[#This Row],[RCTD]]*RECV_TDS)</f>
        <v>51.971771830712242</v>
      </c>
      <c r="M43" s="96">
        <v>0</v>
      </c>
    </row>
    <row r="44" spans="1:13" x14ac:dyDescent="0.25">
      <c r="A44" s="59">
        <f>IF(TableTEMaster[[#This Row],[Player]]&lt;&gt;0,A43+1,A43)</f>
        <v>37</v>
      </c>
      <c r="B44" s="59" t="str">
        <f>JAX!A$22</f>
        <v>Evan Engram</v>
      </c>
      <c r="C44" s="59" t="s">
        <v>118</v>
      </c>
      <c r="D44" s="61">
        <f>JAX!C$22</f>
        <v>12</v>
      </c>
      <c r="E44" s="60">
        <f>JAX!L$22</f>
        <v>125.25601087999999</v>
      </c>
      <c r="F44" s="60">
        <f>JAX!M$22</f>
        <v>91.687399964159994</v>
      </c>
      <c r="G44" s="60">
        <f>JAX!N$22</f>
        <v>851.11767420050876</v>
      </c>
      <c r="H44" s="60">
        <f>JAX!O$22</f>
        <v>5.1969700216565844</v>
      </c>
      <c r="I44" s="60">
        <f t="shared" si="3"/>
        <v>116.29358754999039</v>
      </c>
      <c r="J44" s="60">
        <f t="shared" si="4"/>
        <v>162.13728753207039</v>
      </c>
      <c r="K44" s="60">
        <f t="shared" si="5"/>
        <v>207.9809875141504</v>
      </c>
      <c r="L44" s="95">
        <f>(TableTEMaster[[#This Row],[TGT]]*TARGETS)+(TableTEMaster[[#This Row],[REC]]*RECEPTIONS_TE)+(TableTEMaster[[#This Row],[RCYD]]*RECV_YARDS)+(TableTEMaster[[#This Row],[RCTD]]*RECV_TDS)</f>
        <v>162.13728753207036</v>
      </c>
      <c r="M44" s="96">
        <v>0</v>
      </c>
    </row>
    <row r="45" spans="1:13" x14ac:dyDescent="0.25">
      <c r="A45" s="59">
        <f>IF(TableTEMaster[[#This Row],[Player]]&lt;&gt;0,A44+1,A44)</f>
        <v>38</v>
      </c>
      <c r="B45" s="59" t="str">
        <f>JAX!A$23</f>
        <v>Brenton Strange</v>
      </c>
      <c r="C45" s="59" t="s">
        <v>118</v>
      </c>
      <c r="D45" s="61">
        <f>JAX!C$23</f>
        <v>12</v>
      </c>
      <c r="E45" s="60">
        <f>JAX!L$23</f>
        <v>18.065770799999999</v>
      </c>
      <c r="F45" s="60">
        <f>JAX!M$23</f>
        <v>11.977606040399998</v>
      </c>
      <c r="G45" s="60">
        <f>JAX!N$23</f>
        <v>112.97281335824182</v>
      </c>
      <c r="H45" s="60">
        <f>JAX!O$23</f>
        <v>0.95820848323199981</v>
      </c>
      <c r="I45" s="60">
        <f t="shared" si="3"/>
        <v>17.046532235216183</v>
      </c>
      <c r="J45" s="60">
        <f t="shared" si="4"/>
        <v>23.035335255416182</v>
      </c>
      <c r="K45" s="60">
        <f t="shared" si="5"/>
        <v>29.024138275616181</v>
      </c>
      <c r="L45" s="95">
        <f>(TableTEMaster[[#This Row],[TGT]]*TARGETS)+(TableTEMaster[[#This Row],[REC]]*RECEPTIONS_TE)+(TableTEMaster[[#This Row],[RCYD]]*RECV_YARDS)+(TableTEMaster[[#This Row],[RCTD]]*RECV_TDS)</f>
        <v>23.035335255416182</v>
      </c>
      <c r="M45" s="96">
        <v>0</v>
      </c>
    </row>
    <row r="46" spans="1:13" x14ac:dyDescent="0.25">
      <c r="A46" s="59">
        <f>IF(TableTEMaster[[#This Row],[Player]]&lt;&gt;0,A45+1,A45)</f>
        <v>39</v>
      </c>
      <c r="B46" s="59" t="str">
        <f>JAX!A$24</f>
        <v>Luke Farrell</v>
      </c>
      <c r="C46" s="59" t="s">
        <v>118</v>
      </c>
      <c r="D46" s="61">
        <f>JAX!C$24</f>
        <v>12</v>
      </c>
      <c r="E46" s="60">
        <f>JAX!L$24</f>
        <v>9.0328853999999996</v>
      </c>
      <c r="F46" s="60">
        <f>JAX!M$24</f>
        <v>6.1423620719999992</v>
      </c>
      <c r="G46" s="60">
        <f>JAX!N$24</f>
        <v>60.14511884123884</v>
      </c>
      <c r="H46" s="60">
        <f>JAX!O$24</f>
        <v>0.45995885566280226</v>
      </c>
      <c r="I46" s="60">
        <f t="shared" si="3"/>
        <v>8.7742650181006976</v>
      </c>
      <c r="J46" s="60">
        <f t="shared" si="4"/>
        <v>11.845446054100698</v>
      </c>
      <c r="K46" s="60">
        <f t="shared" si="5"/>
        <v>14.916627090100697</v>
      </c>
      <c r="L46" s="95">
        <f>(TableTEMaster[[#This Row],[TGT]]*TARGETS)+(TableTEMaster[[#This Row],[REC]]*RECEPTIONS_TE)+(TableTEMaster[[#This Row],[RCYD]]*RECV_YARDS)+(TableTEMaster[[#This Row],[RCTD]]*RECV_TDS)</f>
        <v>11.845446054100696</v>
      </c>
      <c r="M46" s="96">
        <v>0</v>
      </c>
    </row>
    <row r="47" spans="1:13" x14ac:dyDescent="0.25">
      <c r="A47" s="59">
        <f>IF(TableTEMaster[[#This Row],[Player]]&lt;&gt;0,A46+1,A46)</f>
        <v>40</v>
      </c>
      <c r="B47" s="59" t="str">
        <f>KC!A$22</f>
        <v>Travis Kelce</v>
      </c>
      <c r="C47" s="59" t="s">
        <v>102</v>
      </c>
      <c r="D47" s="61">
        <f>KC!C$22</f>
        <v>6</v>
      </c>
      <c r="E47" s="60">
        <f>KC!L$22</f>
        <v>129.21887999999998</v>
      </c>
      <c r="F47" s="60">
        <f>KC!M$22</f>
        <v>96.009627840000007</v>
      </c>
      <c r="G47" s="60">
        <f>KC!N$22</f>
        <v>1034.0236918368</v>
      </c>
      <c r="H47" s="60">
        <f>KC!O$22</f>
        <v>8.25682799424</v>
      </c>
      <c r="I47" s="60">
        <f t="shared" si="3"/>
        <v>152.94333714912</v>
      </c>
      <c r="J47" s="60">
        <f t="shared" si="4"/>
        <v>200.94815106912</v>
      </c>
      <c r="K47" s="60">
        <f t="shared" si="5"/>
        <v>248.95296498912001</v>
      </c>
      <c r="L47" s="95">
        <f>(TableTEMaster[[#This Row],[TGT]]*TARGETS)+(TableTEMaster[[#This Row],[REC]]*RECEPTIONS_TE)+(TableTEMaster[[#This Row],[RCYD]]*RECV_YARDS)+(TableTEMaster[[#This Row],[RCTD]]*RECV_TDS)</f>
        <v>200.94815106912</v>
      </c>
      <c r="M47" s="96">
        <v>30</v>
      </c>
    </row>
    <row r="48" spans="1:13" x14ac:dyDescent="0.25">
      <c r="A48" s="59">
        <f>IF(TableTEMaster[[#This Row],[Player]]&lt;&gt;0,A47+1,A47)</f>
        <v>41</v>
      </c>
      <c r="B48" s="59" t="str">
        <f>KC!A$23</f>
        <v>Jared Wiley</v>
      </c>
      <c r="C48" s="59" t="s">
        <v>102</v>
      </c>
      <c r="D48" s="61">
        <f>KC!C$23</f>
        <v>6</v>
      </c>
      <c r="E48" s="60">
        <f>KC!L$23</f>
        <v>18.910079999999997</v>
      </c>
      <c r="F48" s="60">
        <f>KC!M$23</f>
        <v>13.142505599999996</v>
      </c>
      <c r="G48" s="60">
        <f>KC!N$23</f>
        <v>131.95075622399995</v>
      </c>
      <c r="H48" s="60">
        <f>KC!O$23</f>
        <v>1.0119532691757369</v>
      </c>
      <c r="I48" s="60">
        <f t="shared" si="3"/>
        <v>19.266795237454417</v>
      </c>
      <c r="J48" s="60">
        <f t="shared" si="4"/>
        <v>25.838048037454413</v>
      </c>
      <c r="K48" s="60">
        <f t="shared" si="5"/>
        <v>32.40930083745441</v>
      </c>
      <c r="L48" s="95">
        <f>(TableTEMaster[[#This Row],[TGT]]*TARGETS)+(TableTEMaster[[#This Row],[REC]]*RECEPTIONS_TE)+(TableTEMaster[[#This Row],[RCYD]]*RECV_YARDS)+(TableTEMaster[[#This Row],[RCTD]]*RECV_TDS)</f>
        <v>25.838048037454413</v>
      </c>
      <c r="M48" s="96">
        <v>0</v>
      </c>
    </row>
    <row r="49" spans="1:13" x14ac:dyDescent="0.25">
      <c r="A49" s="59">
        <f>IF(TableTEMaster[[#This Row],[Player]]&lt;&gt;0,A48+1,A48)</f>
        <v>41</v>
      </c>
      <c r="B49" s="59">
        <f>KC!A$24</f>
        <v>0</v>
      </c>
      <c r="C49" s="59" t="s">
        <v>102</v>
      </c>
      <c r="D49" s="61">
        <f>KC!C$24</f>
        <v>6</v>
      </c>
      <c r="E49" s="60">
        <f>KC!L$24</f>
        <v>0</v>
      </c>
      <c r="F49" s="60">
        <f>KC!M$24</f>
        <v>0</v>
      </c>
      <c r="G49" s="60">
        <f>KC!N$24</f>
        <v>0</v>
      </c>
      <c r="H49" s="60">
        <f>KC!O$24</f>
        <v>0</v>
      </c>
      <c r="I49" s="60">
        <f t="shared" si="3"/>
        <v>0</v>
      </c>
      <c r="J49" s="60">
        <f t="shared" si="4"/>
        <v>0</v>
      </c>
      <c r="K49" s="60">
        <f t="shared" si="5"/>
        <v>0</v>
      </c>
      <c r="L49" s="95">
        <f>(TableTEMaster[[#This Row],[TGT]]*TARGETS)+(TableTEMaster[[#This Row],[REC]]*RECEPTIONS_TE)+(TableTEMaster[[#This Row],[RCYD]]*RECV_YARDS)+(TableTEMaster[[#This Row],[RCTD]]*RECV_TDS)</f>
        <v>0</v>
      </c>
      <c r="M49" s="96">
        <v>0</v>
      </c>
    </row>
    <row r="50" spans="1:13" x14ac:dyDescent="0.25">
      <c r="A50" s="59">
        <f>IF(TableTEMaster[[#This Row],[Player]]&lt;&gt;0,A49+1,A49)</f>
        <v>42</v>
      </c>
      <c r="B50" s="59" t="str">
        <f>LAC!A$22</f>
        <v>Will Dissly</v>
      </c>
      <c r="C50" s="59" t="s">
        <v>103</v>
      </c>
      <c r="D50" s="61">
        <f>LAC!C$22</f>
        <v>5</v>
      </c>
      <c r="E50" s="60">
        <f>LAC!L$22</f>
        <v>34.060073460000012</v>
      </c>
      <c r="F50" s="60">
        <f>LAC!M$22</f>
        <v>24.489192817740005</v>
      </c>
      <c r="G50" s="60">
        <f>LAC!N$22</f>
        <v>242.13702387302234</v>
      </c>
      <c r="H50" s="60">
        <f>LAC!O$22</f>
        <v>2.5713652458627005</v>
      </c>
      <c r="I50" s="60">
        <f t="shared" si="3"/>
        <v>39.64189386247844</v>
      </c>
      <c r="J50" s="60">
        <f t="shared" si="4"/>
        <v>51.886490271348443</v>
      </c>
      <c r="K50" s="60">
        <f t="shared" si="5"/>
        <v>64.131086680218445</v>
      </c>
      <c r="L50" s="95">
        <f>(TableTEMaster[[#This Row],[TGT]]*TARGETS)+(TableTEMaster[[#This Row],[REC]]*RECEPTIONS_TE)+(TableTEMaster[[#This Row],[RCYD]]*RECV_YARDS)+(TableTEMaster[[#This Row],[RCTD]]*RECV_TDS)</f>
        <v>51.886490271348435</v>
      </c>
      <c r="M50" s="96">
        <v>0</v>
      </c>
    </row>
    <row r="51" spans="1:13" x14ac:dyDescent="0.25">
      <c r="A51" s="59">
        <f>IF(TableTEMaster[[#This Row],[Player]]&lt;&gt;0,A50+1,A50)</f>
        <v>43</v>
      </c>
      <c r="B51" s="59" t="str">
        <f>LAC!A$23</f>
        <v>Hayden Hurst</v>
      </c>
      <c r="C51" s="59" t="s">
        <v>103</v>
      </c>
      <c r="D51" s="61">
        <f>LAC!C$23</f>
        <v>5</v>
      </c>
      <c r="E51" s="60">
        <f>LAC!L$23</f>
        <v>56.394547860000024</v>
      </c>
      <c r="F51" s="60">
        <f>LAC!M$23</f>
        <v>39.645367145580011</v>
      </c>
      <c r="G51" s="60">
        <f>LAC!N$23</f>
        <v>399.22884715599071</v>
      </c>
      <c r="H51" s="60">
        <f>LAC!O$23</f>
        <v>3.3302108402287209</v>
      </c>
      <c r="I51" s="60">
        <f t="shared" si="3"/>
        <v>59.904149756971393</v>
      </c>
      <c r="J51" s="60">
        <f t="shared" si="4"/>
        <v>79.726833329761405</v>
      </c>
      <c r="K51" s="60">
        <f t="shared" si="5"/>
        <v>99.549516902551403</v>
      </c>
      <c r="L51" s="95">
        <f>(TableTEMaster[[#This Row],[TGT]]*TARGETS)+(TableTEMaster[[#This Row],[REC]]*RECEPTIONS_TE)+(TableTEMaster[[#This Row],[RCYD]]*RECV_YARDS)+(TableTEMaster[[#This Row],[RCTD]]*RECV_TDS)</f>
        <v>79.726833329761405</v>
      </c>
      <c r="M51" s="96">
        <v>0</v>
      </c>
    </row>
    <row r="52" spans="1:13" x14ac:dyDescent="0.25">
      <c r="A52" s="59">
        <f>IF(TableTEMaster[[#This Row],[Player]]&lt;&gt;0,A51+1,A51)</f>
        <v>43</v>
      </c>
      <c r="B52" s="59">
        <f>LAC!A$24</f>
        <v>0</v>
      </c>
      <c r="C52" s="59" t="s">
        <v>103</v>
      </c>
      <c r="D52" s="61">
        <f>LAC!C$24</f>
        <v>5</v>
      </c>
      <c r="E52" s="60">
        <f>LAC!L$24</f>
        <v>0</v>
      </c>
      <c r="F52" s="60">
        <f>LAC!M$24</f>
        <v>0</v>
      </c>
      <c r="G52" s="60">
        <f>LAC!N$24</f>
        <v>0</v>
      </c>
      <c r="H52" s="60">
        <f>LAC!O$24</f>
        <v>0</v>
      </c>
      <c r="I52" s="60">
        <f t="shared" si="3"/>
        <v>0</v>
      </c>
      <c r="J52" s="60">
        <f t="shared" si="4"/>
        <v>0</v>
      </c>
      <c r="K52" s="60">
        <f t="shared" si="5"/>
        <v>0</v>
      </c>
      <c r="L52" s="95">
        <f>(TableTEMaster[[#This Row],[TGT]]*TARGETS)+(TableTEMaster[[#This Row],[REC]]*RECEPTIONS_TE)+(TableTEMaster[[#This Row],[RCYD]]*RECV_YARDS)+(TableTEMaster[[#This Row],[RCTD]]*RECV_TDS)</f>
        <v>0</v>
      </c>
      <c r="M52" s="96">
        <v>0</v>
      </c>
    </row>
    <row r="53" spans="1:13" x14ac:dyDescent="0.25">
      <c r="A53" s="59">
        <f>IF(TableTEMaster[[#This Row],[Player]]&lt;&gt;0,A52+1,A52)</f>
        <v>44</v>
      </c>
      <c r="B53" s="59" t="str">
        <f>LAR!A$22</f>
        <v>Tyler Higbee</v>
      </c>
      <c r="C53" s="59" t="s">
        <v>104</v>
      </c>
      <c r="D53" s="61">
        <f>LAR!C$22</f>
        <v>6</v>
      </c>
      <c r="E53" s="60">
        <f>LAR!L$22</f>
        <v>31.999922359999996</v>
      </c>
      <c r="F53" s="60">
        <f>LAR!M$22</f>
        <v>21.663947437719994</v>
      </c>
      <c r="G53" s="60">
        <f>LAR!N$22</f>
        <v>221.43123881704204</v>
      </c>
      <c r="H53" s="60">
        <f>LAR!O$22</f>
        <v>1.3037944325522695</v>
      </c>
      <c r="I53" s="60">
        <f t="shared" si="3"/>
        <v>29.965890477017822</v>
      </c>
      <c r="J53" s="60">
        <f t="shared" si="4"/>
        <v>40.797864195877821</v>
      </c>
      <c r="K53" s="60">
        <f t="shared" si="5"/>
        <v>51.62983791473782</v>
      </c>
      <c r="L53" s="95">
        <f>(TableTEMaster[[#This Row],[TGT]]*TARGETS)+(TableTEMaster[[#This Row],[REC]]*RECEPTIONS_TE)+(TableTEMaster[[#This Row],[RCYD]]*RECV_YARDS)+(TableTEMaster[[#This Row],[RCTD]]*RECV_TDS)</f>
        <v>40.797864195877821</v>
      </c>
      <c r="M53" s="96">
        <v>6.8828272271244249</v>
      </c>
    </row>
    <row r="54" spans="1:13" x14ac:dyDescent="0.25">
      <c r="A54" s="59">
        <f>IF(TableTEMaster[[#This Row],[Player]]&lt;&gt;0,A53+1,A53)</f>
        <v>45</v>
      </c>
      <c r="B54" s="59" t="str">
        <f>LAR!A$23</f>
        <v>Colby Parkinson</v>
      </c>
      <c r="C54" s="59" t="s">
        <v>104</v>
      </c>
      <c r="D54" s="61">
        <f>LAR!C$23</f>
        <v>6</v>
      </c>
      <c r="E54" s="60">
        <f>LAR!L$23</f>
        <v>62.792300479999994</v>
      </c>
      <c r="F54" s="60">
        <f>LAR!M$23</f>
        <v>41.56850291776</v>
      </c>
      <c r="G54" s="60">
        <f>LAR!N$23</f>
        <v>422.57731804449213</v>
      </c>
      <c r="H54" s="60">
        <f>LAR!O$23</f>
        <v>3.0222667348114851</v>
      </c>
      <c r="I54" s="60">
        <f t="shared" si="3"/>
        <v>60.391332213318123</v>
      </c>
      <c r="J54" s="60">
        <f t="shared" si="4"/>
        <v>81.175583672198115</v>
      </c>
      <c r="K54" s="60">
        <f t="shared" si="5"/>
        <v>101.95983513107812</v>
      </c>
      <c r="L54" s="95">
        <f>(TableTEMaster[[#This Row],[TGT]]*TARGETS)+(TableTEMaster[[#This Row],[REC]]*RECEPTIONS_TE)+(TableTEMaster[[#This Row],[RCYD]]*RECV_YARDS)+(TableTEMaster[[#This Row],[RCTD]]*RECV_TDS)</f>
        <v>81.17558367219813</v>
      </c>
      <c r="M54" s="96">
        <v>0</v>
      </c>
    </row>
    <row r="55" spans="1:13" x14ac:dyDescent="0.25">
      <c r="A55" s="59">
        <f>IF(TableTEMaster[[#This Row],[Player]]&lt;&gt;0,A54+1,A54)</f>
        <v>45</v>
      </c>
      <c r="B55" s="59">
        <f>LAR!A$24</f>
        <v>0</v>
      </c>
      <c r="C55" s="59" t="s">
        <v>104</v>
      </c>
      <c r="D55" s="61">
        <f>LAR!C$24</f>
        <v>6</v>
      </c>
      <c r="E55" s="60">
        <f>LAR!L$24</f>
        <v>0</v>
      </c>
      <c r="F55" s="60">
        <f>LAR!M$24</f>
        <v>0</v>
      </c>
      <c r="G55" s="60">
        <f>LAR!N$24</f>
        <v>0</v>
      </c>
      <c r="H55" s="60">
        <f>LAR!O$24</f>
        <v>0</v>
      </c>
      <c r="I55" s="60">
        <f t="shared" si="3"/>
        <v>0</v>
      </c>
      <c r="J55" s="60">
        <f t="shared" si="4"/>
        <v>0</v>
      </c>
      <c r="K55" s="60">
        <f t="shared" si="5"/>
        <v>0</v>
      </c>
      <c r="L55" s="95">
        <f>(TableTEMaster[[#This Row],[TGT]]*TARGETS)+(TableTEMaster[[#This Row],[REC]]*RECEPTIONS_TE)+(TableTEMaster[[#This Row],[RCYD]]*RECV_YARDS)+(TableTEMaster[[#This Row],[RCTD]]*RECV_TDS)</f>
        <v>0</v>
      </c>
      <c r="M55" s="96">
        <v>0</v>
      </c>
    </row>
    <row r="56" spans="1:13" x14ac:dyDescent="0.25">
      <c r="A56" s="59">
        <f>IF(TableTEMaster[[#This Row],[Player]]&lt;&gt;0,A55+1,A55)</f>
        <v>46</v>
      </c>
      <c r="B56" s="59" t="str">
        <f>MIA!A$22</f>
        <v>Jonnu Smith</v>
      </c>
      <c r="C56" s="59" t="s">
        <v>105</v>
      </c>
      <c r="D56" s="61">
        <f>MIA!C$22</f>
        <v>6</v>
      </c>
      <c r="E56" s="60">
        <f>MIA!L$22</f>
        <v>61.564658399999971</v>
      </c>
      <c r="F56" s="60">
        <f>MIA!M$22</f>
        <v>41.925532370399992</v>
      </c>
      <c r="G56" s="60">
        <f>MIA!N$22</f>
        <v>461.20501993138794</v>
      </c>
      <c r="H56" s="60">
        <f>MIA!O$22</f>
        <v>3.0905162053528943</v>
      </c>
      <c r="I56" s="60">
        <f t="shared" si="3"/>
        <v>64.663599225256164</v>
      </c>
      <c r="J56" s="60">
        <f t="shared" si="4"/>
        <v>85.62636541045616</v>
      </c>
      <c r="K56" s="60">
        <f t="shared" si="5"/>
        <v>106.58913159565616</v>
      </c>
      <c r="L56" s="95">
        <f>(TableTEMaster[[#This Row],[TGT]]*TARGETS)+(TableTEMaster[[#This Row],[REC]]*RECEPTIONS_TE)+(TableTEMaster[[#This Row],[RCYD]]*RECV_YARDS)+(TableTEMaster[[#This Row],[RCTD]]*RECV_TDS)</f>
        <v>85.626365410456145</v>
      </c>
      <c r="M56" s="96">
        <v>2.0133601251060926</v>
      </c>
    </row>
    <row r="57" spans="1:13" x14ac:dyDescent="0.25">
      <c r="A57" s="59">
        <f>IF(TableTEMaster[[#This Row],[Player]]&lt;&gt;0,A56+1,A56)</f>
        <v>47</v>
      </c>
      <c r="B57" s="59" t="str">
        <f>MIA!A$23</f>
        <v>Durham Smythe</v>
      </c>
      <c r="C57" s="59" t="s">
        <v>105</v>
      </c>
      <c r="D57" s="61">
        <f>MIA!C$23</f>
        <v>6</v>
      </c>
      <c r="E57" s="60">
        <f>MIA!L$23</f>
        <v>7.6222910399999968</v>
      </c>
      <c r="F57" s="60">
        <f>MIA!M$23</f>
        <v>5.564272459199997</v>
      </c>
      <c r="G57" s="60">
        <f>MIA!N$23</f>
        <v>52.716665398698375</v>
      </c>
      <c r="H57" s="60">
        <f>MIA!O$23</f>
        <v>0.27821362295999985</v>
      </c>
      <c r="I57" s="60">
        <f t="shared" si="3"/>
        <v>6.9409482776298361</v>
      </c>
      <c r="J57" s="60">
        <f t="shared" si="4"/>
        <v>9.7230845072298351</v>
      </c>
      <c r="K57" s="60">
        <f t="shared" si="5"/>
        <v>12.505220736829834</v>
      </c>
      <c r="L57" s="95">
        <f>(TableTEMaster[[#This Row],[TGT]]*TARGETS)+(TableTEMaster[[#This Row],[REC]]*RECEPTIONS_TE)+(TableTEMaster[[#This Row],[RCYD]]*RECV_YARDS)+(TableTEMaster[[#This Row],[RCTD]]*RECV_TDS)</f>
        <v>9.7230845072298351</v>
      </c>
      <c r="M57" s="96">
        <v>0</v>
      </c>
    </row>
    <row r="58" spans="1:13" x14ac:dyDescent="0.25">
      <c r="A58" s="59">
        <f>IF(TableTEMaster[[#This Row],[Player]]&lt;&gt;0,A57+1,A57)</f>
        <v>48</v>
      </c>
      <c r="B58" s="59" t="str">
        <f>MIA!A$24</f>
        <v>Julian Hill</v>
      </c>
      <c r="C58" s="59" t="s">
        <v>105</v>
      </c>
      <c r="D58" s="61">
        <f>MIA!C$24</f>
        <v>6</v>
      </c>
      <c r="E58" s="60">
        <f>MIA!L$24</f>
        <v>8.7949511999999963</v>
      </c>
      <c r="F58" s="60">
        <f>MIA!M$24</f>
        <v>6.209235547199996</v>
      </c>
      <c r="G58" s="60">
        <f>MIA!N$24</f>
        <v>54.906433383179603</v>
      </c>
      <c r="H58" s="60">
        <f>MIA!O$24</f>
        <v>0.37764677441980432</v>
      </c>
      <c r="I58" s="60">
        <f t="shared" si="3"/>
        <v>7.7565239848367868</v>
      </c>
      <c r="J58" s="60">
        <f t="shared" si="4"/>
        <v>10.861141758436785</v>
      </c>
      <c r="K58" s="60">
        <f t="shared" si="5"/>
        <v>13.965759532036783</v>
      </c>
      <c r="L58" s="95">
        <f>(TableTEMaster[[#This Row],[TGT]]*TARGETS)+(TableTEMaster[[#This Row],[REC]]*RECEPTIONS_TE)+(TableTEMaster[[#This Row],[RCYD]]*RECV_YARDS)+(TableTEMaster[[#This Row],[RCTD]]*RECV_TDS)</f>
        <v>10.861141758436784</v>
      </c>
      <c r="M58" s="96">
        <v>0</v>
      </c>
    </row>
    <row r="59" spans="1:13" x14ac:dyDescent="0.25">
      <c r="A59" s="59">
        <f>IF(TableTEMaster[[#This Row],[Player]]&lt;&gt;0,A58+1,A58)</f>
        <v>49</v>
      </c>
      <c r="B59" s="59" t="str">
        <f>MIN!A$22</f>
        <v>T.J. Hockenson</v>
      </c>
      <c r="C59" s="59" t="s">
        <v>106</v>
      </c>
      <c r="D59" s="61">
        <f>MIN!C$22</f>
        <v>6</v>
      </c>
      <c r="E59" s="60">
        <f>MIN!L$22</f>
        <v>102.64716</v>
      </c>
      <c r="F59" s="60">
        <f>MIN!M$22</f>
        <v>67.541831280000025</v>
      </c>
      <c r="G59" s="60">
        <f>MIN!N$22</f>
        <v>682.84791424080026</v>
      </c>
      <c r="H59" s="60">
        <f>MIN!O$22</f>
        <v>4.9305536834400012</v>
      </c>
      <c r="I59" s="60">
        <f t="shared" si="3"/>
        <v>97.86811352472003</v>
      </c>
      <c r="J59" s="60">
        <f t="shared" si="4"/>
        <v>131.63902916472006</v>
      </c>
      <c r="K59" s="60">
        <f t="shared" si="5"/>
        <v>165.40994480472006</v>
      </c>
      <c r="L59" s="95">
        <f>(TableTEMaster[[#This Row],[TGT]]*TARGETS)+(TableTEMaster[[#This Row],[REC]]*RECEPTIONS_TE)+(TableTEMaster[[#This Row],[RCYD]]*RECV_YARDS)+(TableTEMaster[[#This Row],[RCTD]]*RECV_TDS)</f>
        <v>131.63902916472006</v>
      </c>
      <c r="M59" s="96">
        <v>2.3510155315424002</v>
      </c>
    </row>
    <row r="60" spans="1:13" x14ac:dyDescent="0.25">
      <c r="A60" s="59">
        <f>IF(TableTEMaster[[#This Row],[Player]]&lt;&gt;0,A59+1,A59)</f>
        <v>50</v>
      </c>
      <c r="B60" s="59" t="str">
        <f>MIN!A$23</f>
        <v>Josh Oliver</v>
      </c>
      <c r="C60" s="59" t="s">
        <v>106</v>
      </c>
      <c r="D60" s="61">
        <f>MIN!C$23</f>
        <v>6</v>
      </c>
      <c r="E60" s="60">
        <f>MIN!L$23</f>
        <v>36.082031999999998</v>
      </c>
      <c r="F60" s="60">
        <f>MIN!M$23</f>
        <v>23.200746576</v>
      </c>
      <c r="G60" s="60">
        <f>MIN!N$23</f>
        <v>220.66166838756078</v>
      </c>
      <c r="H60" s="60">
        <f>MIN!O$23</f>
        <v>1.5776507671680002</v>
      </c>
      <c r="I60" s="60">
        <f t="shared" si="3"/>
        <v>31.532071441764081</v>
      </c>
      <c r="J60" s="60">
        <f t="shared" si="4"/>
        <v>43.132444729764082</v>
      </c>
      <c r="K60" s="60">
        <f t="shared" si="5"/>
        <v>54.732818017764082</v>
      </c>
      <c r="L60" s="95">
        <f>(TableTEMaster[[#This Row],[TGT]]*TARGETS)+(TableTEMaster[[#This Row],[REC]]*RECEPTIONS_TE)+(TableTEMaster[[#This Row],[RCYD]]*RECV_YARDS)+(TableTEMaster[[#This Row],[RCTD]]*RECV_TDS)</f>
        <v>43.132444729764075</v>
      </c>
      <c r="M60" s="96">
        <v>0</v>
      </c>
    </row>
    <row r="61" spans="1:13" x14ac:dyDescent="0.25">
      <c r="A61" s="59">
        <f>IF(TableTEMaster[[#This Row],[Player]]&lt;&gt;0,A60+1,A60)</f>
        <v>51</v>
      </c>
      <c r="B61" s="59" t="str">
        <f>MIN!A$24</f>
        <v>Robert Tonyan</v>
      </c>
      <c r="C61" s="59" t="s">
        <v>106</v>
      </c>
      <c r="D61" s="61">
        <f>MIN!C$24</f>
        <v>6</v>
      </c>
      <c r="E61" s="60">
        <f>MIN!L$24</f>
        <v>15.5526</v>
      </c>
      <c r="F61" s="60">
        <f>MIN!M$24</f>
        <v>9.7981380000000016</v>
      </c>
      <c r="G61" s="60">
        <f>MIN!N$24</f>
        <v>90.840604437177802</v>
      </c>
      <c r="H61" s="60">
        <f>MIN!O$24</f>
        <v>0.63400331384696529</v>
      </c>
      <c r="I61" s="60">
        <f t="shared" si="3"/>
        <v>12.888080326799571</v>
      </c>
      <c r="J61" s="60">
        <f t="shared" si="4"/>
        <v>17.787149326799572</v>
      </c>
      <c r="K61" s="60">
        <f t="shared" si="5"/>
        <v>22.686218326799573</v>
      </c>
      <c r="L61" s="95">
        <f>(TableTEMaster[[#This Row],[TGT]]*TARGETS)+(TableTEMaster[[#This Row],[REC]]*RECEPTIONS_TE)+(TableTEMaster[[#This Row],[RCYD]]*RECV_YARDS)+(TableTEMaster[[#This Row],[RCTD]]*RECV_TDS)</f>
        <v>17.787149326799572</v>
      </c>
      <c r="M61" s="96">
        <v>0</v>
      </c>
    </row>
    <row r="62" spans="1:13" x14ac:dyDescent="0.25">
      <c r="A62" s="59">
        <f>IF(TableTEMaster[[#This Row],[Player]]&lt;&gt;0,A61+1,A61)</f>
        <v>52</v>
      </c>
      <c r="B62" s="59" t="str">
        <f>NE!A$22</f>
        <v>Hunter Henry</v>
      </c>
      <c r="C62" s="59" t="s">
        <v>107</v>
      </c>
      <c r="D62" s="61">
        <f>NE!C$22</f>
        <v>14</v>
      </c>
      <c r="E62" s="60">
        <f>NE!L$22</f>
        <v>75.962316639999997</v>
      </c>
      <c r="F62" s="60">
        <f>NE!M$22</f>
        <v>48.843769599520002</v>
      </c>
      <c r="G62" s="60">
        <f>NE!N$22</f>
        <v>520.18614623488804</v>
      </c>
      <c r="H62" s="60">
        <f>NE!O$22</f>
        <v>4.2005641855587195</v>
      </c>
      <c r="I62" s="60">
        <f t="shared" si="3"/>
        <v>77.221999736841127</v>
      </c>
      <c r="J62" s="60">
        <f t="shared" si="4"/>
        <v>101.64388453660112</v>
      </c>
      <c r="K62" s="60">
        <f t="shared" si="5"/>
        <v>126.06576933636113</v>
      </c>
      <c r="L62" s="95">
        <f>(TableTEMaster[[#This Row],[TGT]]*TARGETS)+(TableTEMaster[[#This Row],[REC]]*RECEPTIONS_TE)+(TableTEMaster[[#This Row],[RCYD]]*RECV_YARDS)+(TableTEMaster[[#This Row],[RCTD]]*RECV_TDS)</f>
        <v>101.64388453660112</v>
      </c>
      <c r="M62" s="96">
        <v>0.99153406386620913</v>
      </c>
    </row>
    <row r="63" spans="1:13" x14ac:dyDescent="0.25">
      <c r="A63" s="59">
        <f>IF(TableTEMaster[[#This Row],[Player]]&lt;&gt;0,A62+1,A62)</f>
        <v>53</v>
      </c>
      <c r="B63" s="59" t="str">
        <f>NE!A$23</f>
        <v>Austin Hooper</v>
      </c>
      <c r="C63" s="59" t="s">
        <v>107</v>
      </c>
      <c r="D63" s="61">
        <f>NE!C$23</f>
        <v>14</v>
      </c>
      <c r="E63" s="60">
        <f>NE!L$23</f>
        <v>30.611679840000001</v>
      </c>
      <c r="F63" s="60">
        <f>NE!M$23</f>
        <v>19.866980216160002</v>
      </c>
      <c r="G63" s="60">
        <f>NE!N$23</f>
        <v>187.84907374737665</v>
      </c>
      <c r="H63" s="60">
        <f>NE!O$23</f>
        <v>1.1920188129696001</v>
      </c>
      <c r="I63" s="60">
        <f t="shared" si="3"/>
        <v>25.937020252555264</v>
      </c>
      <c r="J63" s="60">
        <f t="shared" si="4"/>
        <v>35.870510360635265</v>
      </c>
      <c r="K63" s="60">
        <f t="shared" si="5"/>
        <v>45.804000468715266</v>
      </c>
      <c r="L63" s="95">
        <f>(TableTEMaster[[#This Row],[TGT]]*TARGETS)+(TableTEMaster[[#This Row],[REC]]*RECEPTIONS_TE)+(TableTEMaster[[#This Row],[RCYD]]*RECV_YARDS)+(TableTEMaster[[#This Row],[RCTD]]*RECV_TDS)</f>
        <v>35.870510360635265</v>
      </c>
      <c r="M63" s="96">
        <v>3.6313142252330555</v>
      </c>
    </row>
    <row r="64" spans="1:13" x14ac:dyDescent="0.25">
      <c r="A64" s="59">
        <f>IF(TableTEMaster[[#This Row],[Player]]&lt;&gt;0,A63+1,A63)</f>
        <v>53</v>
      </c>
      <c r="B64" s="59">
        <f>NE!A$24</f>
        <v>0</v>
      </c>
      <c r="C64" s="59" t="s">
        <v>107</v>
      </c>
      <c r="D64" s="61">
        <f>NE!C$24</f>
        <v>14</v>
      </c>
      <c r="E64" s="60">
        <f>NE!L$24</f>
        <v>0</v>
      </c>
      <c r="F64" s="60">
        <f>NE!M$24</f>
        <v>0</v>
      </c>
      <c r="G64" s="60">
        <f>NE!N$24</f>
        <v>0</v>
      </c>
      <c r="H64" s="60">
        <f>NE!O$24</f>
        <v>0</v>
      </c>
      <c r="I64" s="60">
        <f t="shared" si="3"/>
        <v>0</v>
      </c>
      <c r="J64" s="60">
        <f t="shared" si="4"/>
        <v>0</v>
      </c>
      <c r="K64" s="60">
        <f t="shared" si="5"/>
        <v>0</v>
      </c>
      <c r="L64" s="95">
        <f>(TableTEMaster[[#This Row],[TGT]]*TARGETS)+(TableTEMaster[[#This Row],[REC]]*RECEPTIONS_TE)+(TableTEMaster[[#This Row],[RCYD]]*RECV_YARDS)+(TableTEMaster[[#This Row],[RCTD]]*RECV_TDS)</f>
        <v>0</v>
      </c>
      <c r="M64" s="96">
        <v>0</v>
      </c>
    </row>
    <row r="65" spans="1:13" x14ac:dyDescent="0.25">
      <c r="A65" s="59">
        <f>IF(TableTEMaster[[#This Row],[Player]]&lt;&gt;0,A64+1,A64)</f>
        <v>54</v>
      </c>
      <c r="B65" s="59" t="str">
        <f>NO!A$22</f>
        <v>Juwan Johnson</v>
      </c>
      <c r="C65" s="59" t="s">
        <v>108</v>
      </c>
      <c r="D65" s="61">
        <f>NO!C$22</f>
        <v>12</v>
      </c>
      <c r="E65" s="60">
        <f>NO!L$22</f>
        <v>67.872619460799996</v>
      </c>
      <c r="F65" s="60">
        <f>NO!M$22</f>
        <v>43.574221693833607</v>
      </c>
      <c r="G65" s="60">
        <f>NO!N$22</f>
        <v>456.22210113443788</v>
      </c>
      <c r="H65" s="60">
        <f>NO!O$22</f>
        <v>4.0959768392203593</v>
      </c>
      <c r="I65" s="60">
        <f t="shared" si="3"/>
        <v>70.198071148765933</v>
      </c>
      <c r="J65" s="60">
        <f t="shared" si="4"/>
        <v>91.985181995682737</v>
      </c>
      <c r="K65" s="60">
        <f t="shared" si="5"/>
        <v>113.77229284259954</v>
      </c>
      <c r="L65" s="95">
        <f>(TableTEMaster[[#This Row],[TGT]]*TARGETS)+(TableTEMaster[[#This Row],[REC]]*RECEPTIONS_TE)+(TableTEMaster[[#This Row],[RCYD]]*RECV_YARDS)+(TableTEMaster[[#This Row],[RCTD]]*RECV_TDS)</f>
        <v>91.985181995682751</v>
      </c>
      <c r="M65" s="96">
        <v>3.3816406319297219</v>
      </c>
    </row>
    <row r="66" spans="1:13" x14ac:dyDescent="0.25">
      <c r="A66" s="59">
        <f>IF(TableTEMaster[[#This Row],[Player]]&lt;&gt;0,A65+1,A65)</f>
        <v>55</v>
      </c>
      <c r="B66" s="59" t="str">
        <f>NO!A$23</f>
        <v>Taysom Hill</v>
      </c>
      <c r="C66" s="59" t="s">
        <v>108</v>
      </c>
      <c r="D66" s="61">
        <f>NO!C$23</f>
        <v>12</v>
      </c>
      <c r="E66" s="60">
        <f>NO!L$23</f>
        <v>30.598312051999994</v>
      </c>
      <c r="F66" s="60">
        <f>NO!M$23</f>
        <v>21.174031939983998</v>
      </c>
      <c r="G66" s="60">
        <f>NO!N$23</f>
        <v>201.78852438804748</v>
      </c>
      <c r="H66" s="60">
        <f>NO!O$23</f>
        <v>1.5880523954987997</v>
      </c>
      <c r="I66" s="60">
        <f t="shared" ref="I66:I97" si="6">(G66/10)+(H66*6)</f>
        <v>29.707166811797546</v>
      </c>
      <c r="J66" s="60">
        <f t="shared" ref="J66:J97" si="7">I66+(F66*0.5)</f>
        <v>40.294182781789544</v>
      </c>
      <c r="K66" s="60">
        <f t="shared" ref="K66:K97" si="8">I66+F66</f>
        <v>50.88119875178154</v>
      </c>
      <c r="L66" s="95">
        <f>(TableTEMaster[[#This Row],[TGT]]*TARGETS)+(TableTEMaster[[#This Row],[REC]]*RECEPTIONS_TE)+(TableTEMaster[[#This Row],[RCYD]]*RECV_YARDS)+(TableTEMaster[[#This Row],[RCTD]]*RECV_TDS)</f>
        <v>40.294182781789544</v>
      </c>
      <c r="M66" s="96">
        <v>0</v>
      </c>
    </row>
    <row r="67" spans="1:13" x14ac:dyDescent="0.25">
      <c r="A67" s="59">
        <f>IF(TableTEMaster[[#This Row],[Player]]&lt;&gt;0,A66+1,A66)</f>
        <v>56</v>
      </c>
      <c r="B67" s="59" t="str">
        <f>NO!A$24</f>
        <v>Foster Moreau</v>
      </c>
      <c r="C67" s="59" t="s">
        <v>108</v>
      </c>
      <c r="D67" s="61">
        <f>NO!C$24</f>
        <v>12</v>
      </c>
      <c r="E67" s="60">
        <f>NO!L$24</f>
        <v>5.5633294639999988</v>
      </c>
      <c r="F67" s="60">
        <f>NO!M$24</f>
        <v>3.9555272489039988</v>
      </c>
      <c r="G67" s="60">
        <f>NO!N$24</f>
        <v>42.086809928338546</v>
      </c>
      <c r="H67" s="60">
        <f>NO!O$24</f>
        <v>0.32967620805979231</v>
      </c>
      <c r="I67" s="60">
        <f t="shared" si="6"/>
        <v>6.1867382411926082</v>
      </c>
      <c r="J67" s="60">
        <f t="shared" si="7"/>
        <v>8.164501865644608</v>
      </c>
      <c r="K67" s="60">
        <f t="shared" si="8"/>
        <v>10.142265490096607</v>
      </c>
      <c r="L67" s="95">
        <f>(TableTEMaster[[#This Row],[TGT]]*TARGETS)+(TableTEMaster[[#This Row],[REC]]*RECEPTIONS_TE)+(TableTEMaster[[#This Row],[RCYD]]*RECV_YARDS)+(TableTEMaster[[#This Row],[RCTD]]*RECV_TDS)+((NO!F24/10)+(NO!G24*6)+(NO!H24*-0.5)+(NO!J24/10)+(NO!K24*6))</f>
        <v>8.164501865644608</v>
      </c>
      <c r="M67" s="96">
        <v>0</v>
      </c>
    </row>
    <row r="68" spans="1:13" x14ac:dyDescent="0.25">
      <c r="A68" s="59">
        <f>IF(TableTEMaster[[#This Row],[Player]]&lt;&gt;0,A67+1,A67)</f>
        <v>57</v>
      </c>
      <c r="B68" s="59" t="str">
        <f>NYG!A$22</f>
        <v>Daniel Bellinger</v>
      </c>
      <c r="C68" s="59" t="s">
        <v>109</v>
      </c>
      <c r="D68" s="61">
        <f>NYG!C$22</f>
        <v>11</v>
      </c>
      <c r="E68" s="60">
        <f>NYG!L$22</f>
        <v>45.314031839999991</v>
      </c>
      <c r="F68" s="60">
        <f>NYG!M$22</f>
        <v>31.447938096959991</v>
      </c>
      <c r="G68" s="60">
        <f>NYG!N$22</f>
        <v>274.52286199733612</v>
      </c>
      <c r="H68" s="60">
        <f>NYG!O$22</f>
        <v>1.6352927810419196</v>
      </c>
      <c r="I68" s="60">
        <f t="shared" si="6"/>
        <v>37.264042885985134</v>
      </c>
      <c r="J68" s="60">
        <f t="shared" si="7"/>
        <v>52.988011934465128</v>
      </c>
      <c r="K68" s="60">
        <f t="shared" si="8"/>
        <v>68.711980982945121</v>
      </c>
      <c r="L68" s="95">
        <f>(TableTEMaster[[#This Row],[TGT]]*TARGETS)+(TableTEMaster[[#This Row],[REC]]*RECEPTIONS_TE)+(TableTEMaster[[#This Row],[RCYD]]*RECV_YARDS)+(TableTEMaster[[#This Row],[RCTD]]*RECV_TDS)</f>
        <v>52.988011934465121</v>
      </c>
      <c r="M68" s="96">
        <v>1.0370412640107298</v>
      </c>
    </row>
    <row r="69" spans="1:13" x14ac:dyDescent="0.25">
      <c r="A69" s="59">
        <f>IF(TableTEMaster[[#This Row],[Player]]&lt;&gt;0,A68+1,A68)</f>
        <v>58</v>
      </c>
      <c r="B69" s="59" t="str">
        <f>NYG!A$23</f>
        <v>Theo Johnson</v>
      </c>
      <c r="C69" s="59" t="s">
        <v>109</v>
      </c>
      <c r="D69" s="61">
        <f>NYG!C$23</f>
        <v>11</v>
      </c>
      <c r="E69" s="60">
        <f>NYG!L$23</f>
        <v>60.02637983999999</v>
      </c>
      <c r="F69" s="60">
        <f>NYG!M$23</f>
        <v>40.937991050879994</v>
      </c>
      <c r="G69" s="60">
        <f>NYG!N$23</f>
        <v>391.01696787087036</v>
      </c>
      <c r="H69" s="60">
        <f>NYG!O$23</f>
        <v>2.4562794630527995</v>
      </c>
      <c r="I69" s="60">
        <f t="shared" si="6"/>
        <v>53.839373565403832</v>
      </c>
      <c r="J69" s="60">
        <f t="shared" si="7"/>
        <v>74.308369090843826</v>
      </c>
      <c r="K69" s="60">
        <f t="shared" si="8"/>
        <v>94.777364616283819</v>
      </c>
      <c r="L69" s="95">
        <f>(TableTEMaster[[#This Row],[TGT]]*TARGETS)+(TableTEMaster[[#This Row],[REC]]*RECEPTIONS_TE)+(TableTEMaster[[#This Row],[RCYD]]*RECV_YARDS)+(TableTEMaster[[#This Row],[RCTD]]*RECV_TDS)</f>
        <v>74.308369090843826</v>
      </c>
      <c r="M69" s="96">
        <v>0</v>
      </c>
    </row>
    <row r="70" spans="1:13" x14ac:dyDescent="0.25">
      <c r="A70" s="59">
        <f>IF(TableTEMaster[[#This Row],[Player]]&lt;&gt;0,A69+1,A69)</f>
        <v>59</v>
      </c>
      <c r="B70" s="59" t="str">
        <f>NYG!A$24</f>
        <v>Chris Manhertz</v>
      </c>
      <c r="C70" s="59" t="s">
        <v>109</v>
      </c>
      <c r="D70" s="61">
        <f>NYG!C$24</f>
        <v>11</v>
      </c>
      <c r="E70" s="60">
        <f>NYG!L$24</f>
        <v>7.6504209599999982</v>
      </c>
      <c r="F70" s="60">
        <f>NYG!M$24</f>
        <v>4.9727736239999984</v>
      </c>
      <c r="G70" s="60">
        <f>NYG!N$24</f>
        <v>44.652935908304407</v>
      </c>
      <c r="H70" s="60">
        <f>NYG!O$24</f>
        <v>0.24991401504619476</v>
      </c>
      <c r="I70" s="60">
        <f t="shared" si="6"/>
        <v>5.9647776811076092</v>
      </c>
      <c r="J70" s="60">
        <f t="shared" si="7"/>
        <v>8.4511644931076084</v>
      </c>
      <c r="K70" s="60">
        <f t="shared" si="8"/>
        <v>10.937551305107608</v>
      </c>
      <c r="L70" s="95">
        <f>(TableTEMaster[[#This Row],[TGT]]*TARGETS)+(TableTEMaster[[#This Row],[REC]]*RECEPTIONS_TE)+(TableTEMaster[[#This Row],[RCYD]]*RECV_YARDS)+(TableTEMaster[[#This Row],[RCTD]]*RECV_TDS)</f>
        <v>8.4511644931076084</v>
      </c>
      <c r="M70" s="96">
        <v>0</v>
      </c>
    </row>
    <row r="71" spans="1:13" x14ac:dyDescent="0.25">
      <c r="A71" s="59">
        <f>IF(TableTEMaster[[#This Row],[Player]]&lt;&gt;0,A70+1,A70)</f>
        <v>60</v>
      </c>
      <c r="B71" s="59" t="str">
        <f>NYJ!A$22</f>
        <v>Tyler Conklin</v>
      </c>
      <c r="C71" s="59" t="s">
        <v>110</v>
      </c>
      <c r="D71" s="61">
        <f>NYJ!C$22</f>
        <v>12</v>
      </c>
      <c r="E71" s="60">
        <f>NYJ!L$22</f>
        <v>67.546358879999971</v>
      </c>
      <c r="F71" s="60">
        <f>NYJ!M$22</f>
        <v>47.822822087039974</v>
      </c>
      <c r="G71" s="60">
        <f>NYJ!N$22</f>
        <v>480.80830174130097</v>
      </c>
      <c r="H71" s="60">
        <f>NYJ!O$22</f>
        <v>3.3475975460927985</v>
      </c>
      <c r="I71" s="60">
        <f t="shared" si="6"/>
        <v>68.166415450686884</v>
      </c>
      <c r="J71" s="60">
        <f t="shared" si="7"/>
        <v>92.077826494206874</v>
      </c>
      <c r="K71" s="60">
        <f t="shared" si="8"/>
        <v>115.98923753772686</v>
      </c>
      <c r="L71" s="95">
        <f>(TableTEMaster[[#This Row],[TGT]]*TARGETS)+(TableTEMaster[[#This Row],[REC]]*RECEPTIONS_TE)+(TableTEMaster[[#This Row],[RCYD]]*RECV_YARDS)+(TableTEMaster[[#This Row],[RCTD]]*RECV_TDS)</f>
        <v>92.077826494206874</v>
      </c>
      <c r="M71" s="96">
        <v>0</v>
      </c>
    </row>
    <row r="72" spans="1:13" x14ac:dyDescent="0.25">
      <c r="A72" s="59">
        <f>IF(TableTEMaster[[#This Row],[Player]]&lt;&gt;0,A71+1,A71)</f>
        <v>61</v>
      </c>
      <c r="B72" s="59" t="str">
        <f>NYJ!A$23</f>
        <v>Jeremy Ruckert</v>
      </c>
      <c r="C72" s="59" t="s">
        <v>110</v>
      </c>
      <c r="D72" s="61">
        <f>NYJ!C$23</f>
        <v>12</v>
      </c>
      <c r="E72" s="60">
        <f>NYJ!L$23</f>
        <v>30.218107919999987</v>
      </c>
      <c r="F72" s="60">
        <f>NYJ!M$23</f>
        <v>20.699403925199992</v>
      </c>
      <c r="G72" s="60">
        <f>NYJ!N$23</f>
        <v>207.80391532112876</v>
      </c>
      <c r="H72" s="60">
        <f>NYJ!O$23</f>
        <v>1.4903570826143993</v>
      </c>
      <c r="I72" s="60">
        <f t="shared" si="6"/>
        <v>29.72253402779927</v>
      </c>
      <c r="J72" s="60">
        <f t="shared" si="7"/>
        <v>40.072235990399264</v>
      </c>
      <c r="K72" s="60">
        <f t="shared" si="8"/>
        <v>50.421937952999258</v>
      </c>
      <c r="L72" s="95">
        <f>(TableTEMaster[[#This Row],[TGT]]*TARGETS)+(TableTEMaster[[#This Row],[REC]]*RECEPTIONS_TE)+(TableTEMaster[[#This Row],[RCYD]]*RECV_YARDS)+(TableTEMaster[[#This Row],[RCTD]]*RECV_TDS)</f>
        <v>40.072235990399271</v>
      </c>
      <c r="M72" s="96">
        <v>0</v>
      </c>
    </row>
    <row r="73" spans="1:13" x14ac:dyDescent="0.25">
      <c r="A73" s="59">
        <f>IF(TableTEMaster[[#This Row],[Player]]&lt;&gt;0,A72+1,A72)</f>
        <v>61</v>
      </c>
      <c r="B73" s="59">
        <f>NYJ!A$24</f>
        <v>0</v>
      </c>
      <c r="C73" s="59" t="s">
        <v>110</v>
      </c>
      <c r="D73" s="61">
        <f>NYJ!C$24</f>
        <v>12</v>
      </c>
      <c r="E73" s="60">
        <f>NYJ!L$24</f>
        <v>0</v>
      </c>
      <c r="F73" s="60">
        <f>NYJ!M$24</f>
        <v>0</v>
      </c>
      <c r="G73" s="60">
        <f>NYJ!N$24</f>
        <v>0</v>
      </c>
      <c r="H73" s="60">
        <f>NYJ!O$24</f>
        <v>0</v>
      </c>
      <c r="I73" s="60">
        <f t="shared" si="6"/>
        <v>0</v>
      </c>
      <c r="J73" s="60">
        <f t="shared" si="7"/>
        <v>0</v>
      </c>
      <c r="K73" s="60">
        <f t="shared" si="8"/>
        <v>0</v>
      </c>
      <c r="L73" s="95">
        <f>(TableTEMaster[[#This Row],[TGT]]*TARGETS)+(TableTEMaster[[#This Row],[REC]]*RECEPTIONS_TE)+(TableTEMaster[[#This Row],[RCYD]]*RECV_YARDS)+(TableTEMaster[[#This Row],[RCTD]]*RECV_TDS)</f>
        <v>0</v>
      </c>
      <c r="M73" s="96">
        <v>0</v>
      </c>
    </row>
    <row r="74" spans="1:13" x14ac:dyDescent="0.25">
      <c r="A74" s="59">
        <f>IF(TableTEMaster[[#This Row],[Player]]&lt;&gt;0,A73+1,A73)</f>
        <v>62</v>
      </c>
      <c r="B74" s="59" t="str">
        <f>LV!A$22</f>
        <v>Brock Bowers</v>
      </c>
      <c r="C74" s="59" t="s">
        <v>162</v>
      </c>
      <c r="D74" s="61">
        <f>LV!C$22</f>
        <v>10</v>
      </c>
      <c r="E74" s="60">
        <f>LV!L$22</f>
        <v>103.12196999999999</v>
      </c>
      <c r="F74" s="60">
        <f>LV!M$22</f>
        <v>70.226061570000013</v>
      </c>
      <c r="G74" s="60">
        <f>LV!N$22</f>
        <v>781.61606527410015</v>
      </c>
      <c r="H74" s="60">
        <f>LV!O$22</f>
        <v>4.891287895631244</v>
      </c>
      <c r="I74" s="60">
        <f t="shared" si="6"/>
        <v>107.50933390119748</v>
      </c>
      <c r="J74" s="60">
        <f t="shared" si="7"/>
        <v>142.6223646861975</v>
      </c>
      <c r="K74" s="60">
        <f t="shared" si="8"/>
        <v>177.73539547119748</v>
      </c>
      <c r="L74" s="95">
        <f>(TableTEMaster[[#This Row],[TGT]]*TARGETS)+(TableTEMaster[[#This Row],[REC]]*RECEPTIONS_TE)+(TableTEMaster[[#This Row],[RCYD]]*RECV_YARDS)+(TableTEMaster[[#This Row],[RCTD]]*RECV_TDS)</f>
        <v>142.6223646861975</v>
      </c>
      <c r="M74" s="96">
        <v>21.587220110897501</v>
      </c>
    </row>
    <row r="75" spans="1:13" x14ac:dyDescent="0.25">
      <c r="A75" s="59">
        <f>IF(TableTEMaster[[#This Row],[Player]]&lt;&gt;0,A74+1,A74)</f>
        <v>63</v>
      </c>
      <c r="B75" s="59" t="str">
        <f>LV!A$23</f>
        <v>Michael Mayer</v>
      </c>
      <c r="C75" s="59" t="s">
        <v>162</v>
      </c>
      <c r="D75" s="61">
        <f>LV!C$23</f>
        <v>10</v>
      </c>
      <c r="E75" s="60">
        <f>LV!L$23</f>
        <v>48.356630000000003</v>
      </c>
      <c r="F75" s="60">
        <f>LV!M$23</f>
        <v>32.398942099999999</v>
      </c>
      <c r="G75" s="60">
        <f>LV!N$23</f>
        <v>351.20453236399999</v>
      </c>
      <c r="H75" s="60">
        <f>LV!O$23</f>
        <v>2.0368929904691835</v>
      </c>
      <c r="I75" s="60">
        <f t="shared" si="6"/>
        <v>47.3418111792151</v>
      </c>
      <c r="J75" s="60">
        <f t="shared" si="7"/>
        <v>63.541282229215099</v>
      </c>
      <c r="K75" s="60">
        <f t="shared" si="8"/>
        <v>79.740753279215099</v>
      </c>
      <c r="L75" s="95">
        <f>(TableTEMaster[[#This Row],[TGT]]*TARGETS)+(TableTEMaster[[#This Row],[REC]]*RECEPTIONS_TE)+(TableTEMaster[[#This Row],[RCYD]]*RECV_YARDS)+(TableTEMaster[[#This Row],[RCTD]]*RECV_TDS)</f>
        <v>63.541282229215099</v>
      </c>
      <c r="M75" s="96">
        <v>0</v>
      </c>
    </row>
    <row r="76" spans="1:13" x14ac:dyDescent="0.25">
      <c r="A76" s="59">
        <f>IF(TableTEMaster[[#This Row],[Player]]&lt;&gt;0,A75+1,A75)</f>
        <v>64</v>
      </c>
      <c r="B76" s="59" t="str">
        <f>LV!A$24</f>
        <v>Harrison Bryant</v>
      </c>
      <c r="C76" s="59" t="s">
        <v>162</v>
      </c>
      <c r="D76" s="61">
        <f>LV!C$24</f>
        <v>10</v>
      </c>
      <c r="E76" s="60">
        <f>LV!L$24</f>
        <v>11.069589999999998</v>
      </c>
      <c r="F76" s="60">
        <f>LV!M$24</f>
        <v>7.2395118599999986</v>
      </c>
      <c r="G76" s="60">
        <f>LV!N$24</f>
        <v>75.4428654611837</v>
      </c>
      <c r="H76" s="60">
        <f>LV!O$24</f>
        <v>0.46121763581338121</v>
      </c>
      <c r="I76" s="60">
        <f t="shared" si="6"/>
        <v>10.311592360998656</v>
      </c>
      <c r="J76" s="60">
        <f t="shared" si="7"/>
        <v>13.931348290998656</v>
      </c>
      <c r="K76" s="60">
        <f t="shared" si="8"/>
        <v>17.551104220998653</v>
      </c>
      <c r="L76" s="95">
        <f>(TableTEMaster[[#This Row],[TGT]]*TARGETS)+(TableTEMaster[[#This Row],[REC]]*RECEPTIONS_TE)+(TableTEMaster[[#This Row],[RCYD]]*RECV_YARDS)+(TableTEMaster[[#This Row],[RCTD]]*RECV_TDS)</f>
        <v>13.931348290998656</v>
      </c>
      <c r="M76" s="96">
        <v>0</v>
      </c>
    </row>
    <row r="77" spans="1:13" x14ac:dyDescent="0.25">
      <c r="A77" s="59">
        <f>IF(TableTEMaster[[#This Row],[Player]]&lt;&gt;0,A76+1,A76)</f>
        <v>65</v>
      </c>
      <c r="B77" s="59" t="str">
        <f>PHI!A$22</f>
        <v>Dallas Goedert</v>
      </c>
      <c r="C77" s="59" t="s">
        <v>111</v>
      </c>
      <c r="D77" s="61">
        <f>PHI!C$22</f>
        <v>5</v>
      </c>
      <c r="E77" s="60">
        <f>PHI!L$22</f>
        <v>90.929119680000014</v>
      </c>
      <c r="F77" s="60">
        <f>PHI!M$22</f>
        <v>62.195517861120017</v>
      </c>
      <c r="G77" s="60">
        <f>PHI!N$22</f>
        <v>691.61415861565456</v>
      </c>
      <c r="H77" s="60">
        <f>PHI!O$22</f>
        <v>3.8323909307243671</v>
      </c>
      <c r="I77" s="60">
        <f t="shared" si="6"/>
        <v>92.155761445911665</v>
      </c>
      <c r="J77" s="60">
        <f t="shared" si="7"/>
        <v>123.25352037647167</v>
      </c>
      <c r="K77" s="60">
        <f t="shared" si="8"/>
        <v>154.35127930703169</v>
      </c>
      <c r="L77" s="95">
        <f>(TableTEMaster[[#This Row],[TGT]]*TARGETS)+(TableTEMaster[[#This Row],[REC]]*RECEPTIONS_TE)+(TableTEMaster[[#This Row],[RCYD]]*RECV_YARDS)+(TableTEMaster[[#This Row],[RCTD]]*RECV_TDS)</f>
        <v>123.25352037647167</v>
      </c>
      <c r="M77" s="96">
        <v>7.0149645980123587</v>
      </c>
    </row>
    <row r="78" spans="1:13" x14ac:dyDescent="0.25">
      <c r="A78" s="59">
        <f>IF(TableTEMaster[[#This Row],[Player]]&lt;&gt;0,A77+1,A77)</f>
        <v>66</v>
      </c>
      <c r="B78" s="59" t="str">
        <f>PHI!A$23</f>
        <v>Grant Calcaterra</v>
      </c>
      <c r="C78" s="59" t="s">
        <v>111</v>
      </c>
      <c r="D78" s="61">
        <f>PHI!C$23</f>
        <v>5</v>
      </c>
      <c r="E78" s="60">
        <f>PHI!L$23</f>
        <v>15.619726080000001</v>
      </c>
      <c r="F78" s="60">
        <f>PHI!M$23</f>
        <v>10.309019212800001</v>
      </c>
      <c r="G78" s="60">
        <f>PHI!N$23</f>
        <v>106.28598808396801</v>
      </c>
      <c r="H78" s="60">
        <f>PHI!O$23</f>
        <v>0.76286742174720001</v>
      </c>
      <c r="I78" s="60">
        <f t="shared" si="6"/>
        <v>15.205803338880001</v>
      </c>
      <c r="J78" s="60">
        <f t="shared" si="7"/>
        <v>20.36031294528</v>
      </c>
      <c r="K78" s="60">
        <f t="shared" si="8"/>
        <v>25.514822551680002</v>
      </c>
      <c r="L78" s="95">
        <f>(TableTEMaster[[#This Row],[TGT]]*TARGETS)+(TableTEMaster[[#This Row],[REC]]*RECEPTIONS_TE)+(TableTEMaster[[#This Row],[RCYD]]*RECV_YARDS)+(TableTEMaster[[#This Row],[RCTD]]*RECV_TDS)</f>
        <v>20.360312945280004</v>
      </c>
      <c r="M78" s="96">
        <v>0</v>
      </c>
    </row>
    <row r="79" spans="1:13" x14ac:dyDescent="0.25">
      <c r="A79" s="59">
        <f>IF(TableTEMaster[[#This Row],[Player]]&lt;&gt;0,A78+1,A78)</f>
        <v>67</v>
      </c>
      <c r="B79" s="59" t="str">
        <f>PHI!A$24</f>
        <v>Albert Okwuegbunam</v>
      </c>
      <c r="C79" s="59" t="s">
        <v>111</v>
      </c>
      <c r="D79" s="61">
        <f>PHI!C$24</f>
        <v>5</v>
      </c>
      <c r="E79" s="60">
        <f>PHI!L$24</f>
        <v>5.5784736000000006</v>
      </c>
      <c r="F79" s="60">
        <f>PHI!M$24</f>
        <v>3.6650571552000004</v>
      </c>
      <c r="G79" s="60">
        <f>PHI!N$24</f>
        <v>37.206524341865247</v>
      </c>
      <c r="H79" s="60">
        <f>PHI!O$24</f>
        <v>0.25655400086400004</v>
      </c>
      <c r="I79" s="60">
        <f t="shared" si="6"/>
        <v>5.2599764393705248</v>
      </c>
      <c r="J79" s="60">
        <f t="shared" si="7"/>
        <v>7.0925050169705255</v>
      </c>
      <c r="K79" s="60">
        <f t="shared" si="8"/>
        <v>8.9250335945705253</v>
      </c>
      <c r="L79" s="95">
        <f>(TableTEMaster[[#This Row],[TGT]]*TARGETS)+(TableTEMaster[[#This Row],[REC]]*RECEPTIONS_TE)+(TableTEMaster[[#This Row],[RCYD]]*RECV_YARDS)+(TableTEMaster[[#This Row],[RCTD]]*RECV_TDS)</f>
        <v>7.0925050169705255</v>
      </c>
      <c r="M79" s="96">
        <v>0</v>
      </c>
    </row>
    <row r="80" spans="1:13" x14ac:dyDescent="0.25">
      <c r="A80" s="59">
        <f>IF(TableTEMaster[[#This Row],[Player]]&lt;&gt;0,A79+1,A79)</f>
        <v>68</v>
      </c>
      <c r="B80" s="59" t="str">
        <f>PIT!A$22</f>
        <v>Pat Freiermuth</v>
      </c>
      <c r="C80" s="59" t="s">
        <v>112</v>
      </c>
      <c r="D80" s="61">
        <f>PIT!C$22</f>
        <v>9</v>
      </c>
      <c r="E80" s="60">
        <f>PIT!L$22</f>
        <v>61.657679999999999</v>
      </c>
      <c r="F80" s="60">
        <f>PIT!M$22</f>
        <v>42.790429919999987</v>
      </c>
      <c r="G80" s="60">
        <f>PIT!N$22</f>
        <v>427.10386273936177</v>
      </c>
      <c r="H80" s="60">
        <f>PIT!O$22</f>
        <v>3.3582417357386869</v>
      </c>
      <c r="I80" s="60">
        <f t="shared" si="6"/>
        <v>62.859836688368304</v>
      </c>
      <c r="J80" s="60">
        <f t="shared" si="7"/>
        <v>84.255051648368294</v>
      </c>
      <c r="K80" s="60">
        <f t="shared" si="8"/>
        <v>105.6502666083683</v>
      </c>
      <c r="L80" s="95">
        <f>(TableTEMaster[[#This Row],[TGT]]*TARGETS)+(TableTEMaster[[#This Row],[REC]]*RECEPTIONS_TE)+(TableTEMaster[[#This Row],[RCYD]]*RECV_YARDS)+(TableTEMaster[[#This Row],[RCTD]]*RECV_TDS)</f>
        <v>84.255051648368294</v>
      </c>
      <c r="M80" s="96">
        <v>0</v>
      </c>
    </row>
    <row r="81" spans="1:13" x14ac:dyDescent="0.25">
      <c r="A81" s="59">
        <f>IF(TableTEMaster[[#This Row],[Player]]&lt;&gt;0,A80+1,A80)</f>
        <v>69</v>
      </c>
      <c r="B81" s="59" t="str">
        <f>PIT!A$23</f>
        <v>Darnell Washington</v>
      </c>
      <c r="C81" s="59" t="s">
        <v>112</v>
      </c>
      <c r="D81" s="61">
        <f>PIT!C$23</f>
        <v>9</v>
      </c>
      <c r="E81" s="60">
        <f>PIT!L$23</f>
        <v>34.682445000000001</v>
      </c>
      <c r="F81" s="60">
        <f>PIT!M$23</f>
        <v>23.410650374999999</v>
      </c>
      <c r="G81" s="60">
        <f>PIT!N$23</f>
        <v>226.06959061951173</v>
      </c>
      <c r="H81" s="60">
        <f>PIT!O$23</f>
        <v>1.802620078875</v>
      </c>
      <c r="I81" s="60">
        <f t="shared" si="6"/>
        <v>33.422679535201169</v>
      </c>
      <c r="J81" s="60">
        <f t="shared" si="7"/>
        <v>45.128004722701171</v>
      </c>
      <c r="K81" s="60">
        <f t="shared" si="8"/>
        <v>56.833329910201172</v>
      </c>
      <c r="L81" s="95">
        <f>(TableTEMaster[[#This Row],[TGT]]*TARGETS)+(TableTEMaster[[#This Row],[REC]]*RECEPTIONS_TE)+(TableTEMaster[[#This Row],[RCYD]]*RECV_YARDS)+(TableTEMaster[[#This Row],[RCTD]]*RECV_TDS)</f>
        <v>45.128004722701178</v>
      </c>
      <c r="M81" s="96">
        <v>0</v>
      </c>
    </row>
    <row r="82" spans="1:13" x14ac:dyDescent="0.25">
      <c r="A82" s="59">
        <f>IF(TableTEMaster[[#This Row],[Player]]&lt;&gt;0,A81+1,A81)</f>
        <v>69</v>
      </c>
      <c r="B82" s="59">
        <f>PIT!A$24</f>
        <v>0</v>
      </c>
      <c r="C82" s="59" t="s">
        <v>112</v>
      </c>
      <c r="D82" s="61">
        <f>PIT!C$24</f>
        <v>9</v>
      </c>
      <c r="E82" s="60">
        <f>PIT!L$24</f>
        <v>0</v>
      </c>
      <c r="F82" s="60">
        <f>PIT!M$24</f>
        <v>0</v>
      </c>
      <c r="G82" s="60">
        <f>PIT!N$24</f>
        <v>0</v>
      </c>
      <c r="H82" s="60">
        <f>PIT!O$24</f>
        <v>0</v>
      </c>
      <c r="I82" s="60">
        <f t="shared" si="6"/>
        <v>0</v>
      </c>
      <c r="J82" s="60">
        <f t="shared" si="7"/>
        <v>0</v>
      </c>
      <c r="K82" s="60">
        <f t="shared" si="8"/>
        <v>0</v>
      </c>
      <c r="L82" s="95">
        <f>(TableTEMaster[[#This Row],[TGT]]*TARGETS)+(TableTEMaster[[#This Row],[REC]]*RECEPTIONS_TE)+(TableTEMaster[[#This Row],[RCYD]]*RECV_YARDS)+(TableTEMaster[[#This Row],[RCTD]]*RECV_TDS)</f>
        <v>0</v>
      </c>
      <c r="M82" s="96">
        <v>0</v>
      </c>
    </row>
    <row r="83" spans="1:13" x14ac:dyDescent="0.25">
      <c r="A83" s="59">
        <f>IF(TableTEMaster[[#This Row],[Player]]&lt;&gt;0,A82+1,A82)</f>
        <v>70</v>
      </c>
      <c r="B83" s="59" t="str">
        <f>SEA!A$22</f>
        <v>Noah Fant</v>
      </c>
      <c r="C83" s="59" t="s">
        <v>113</v>
      </c>
      <c r="D83" s="61">
        <f>SEA!C$22</f>
        <v>10</v>
      </c>
      <c r="E83" s="60">
        <f>SEA!L$22</f>
        <v>56.887277159999996</v>
      </c>
      <c r="F83" s="60">
        <f>SEA!M$22</f>
        <v>39.422883071879994</v>
      </c>
      <c r="G83" s="60">
        <f>SEA!N$22</f>
        <v>424.1451221671137</v>
      </c>
      <c r="H83" s="60">
        <f>SEA!O$22</f>
        <v>2.3773813994617345</v>
      </c>
      <c r="I83" s="60">
        <f t="shared" si="6"/>
        <v>56.678800613481783</v>
      </c>
      <c r="J83" s="60">
        <f t="shared" si="7"/>
        <v>76.39024214942178</v>
      </c>
      <c r="K83" s="60">
        <f t="shared" si="8"/>
        <v>96.101683685361778</v>
      </c>
      <c r="L83" s="95">
        <f>(TableTEMaster[[#This Row],[TGT]]*TARGETS)+(TableTEMaster[[#This Row],[REC]]*RECEPTIONS_TE)+(TableTEMaster[[#This Row],[RCYD]]*RECV_YARDS)+(TableTEMaster[[#This Row],[RCTD]]*RECV_TDS)</f>
        <v>76.39024214942178</v>
      </c>
      <c r="M83" s="96">
        <v>1.3392541066845682</v>
      </c>
    </row>
    <row r="84" spans="1:13" x14ac:dyDescent="0.25">
      <c r="A84" s="59">
        <f>IF(TableTEMaster[[#This Row],[Player]]&lt;&gt;0,A83+1,A83)</f>
        <v>71</v>
      </c>
      <c r="B84" s="59" t="str">
        <f>SEA!A$23</f>
        <v>Pharaoh Brown</v>
      </c>
      <c r="C84" s="59" t="s">
        <v>113</v>
      </c>
      <c r="D84" s="61">
        <f>SEA!C$23</f>
        <v>10</v>
      </c>
      <c r="E84" s="60">
        <f>SEA!L$23</f>
        <v>17.414472599999996</v>
      </c>
      <c r="F84" s="60">
        <f>SEA!M$23</f>
        <v>11.319407189999996</v>
      </c>
      <c r="G84" s="60">
        <f>SEA!N$23</f>
        <v>117.37499404445633</v>
      </c>
      <c r="H84" s="60">
        <f>SEA!O$23</f>
        <v>0.67231172218580615</v>
      </c>
      <c r="I84" s="60">
        <f t="shared" si="6"/>
        <v>15.77136973756047</v>
      </c>
      <c r="J84" s="60">
        <f t="shared" si="7"/>
        <v>21.431073332560466</v>
      </c>
      <c r="K84" s="60">
        <f t="shared" si="8"/>
        <v>27.090776927560466</v>
      </c>
      <c r="L84" s="95">
        <f>(TableTEMaster[[#This Row],[TGT]]*TARGETS)+(TableTEMaster[[#This Row],[REC]]*RECEPTIONS_TE)+(TableTEMaster[[#This Row],[RCYD]]*RECV_YARDS)+(TableTEMaster[[#This Row],[RCTD]]*RECV_TDS)</f>
        <v>21.431073332560469</v>
      </c>
      <c r="M84" s="96">
        <v>0</v>
      </c>
    </row>
    <row r="85" spans="1:13" x14ac:dyDescent="0.25">
      <c r="A85" s="59">
        <f>IF(TableTEMaster[[#This Row],[Player]]&lt;&gt;0,A84+1,A84)</f>
        <v>72</v>
      </c>
      <c r="B85" s="59" t="str">
        <f>SEA!A$24</f>
        <v>AJ Barner</v>
      </c>
      <c r="C85" s="59" t="s">
        <v>113</v>
      </c>
      <c r="D85" s="61">
        <f>SEA!C$24</f>
        <v>10</v>
      </c>
      <c r="E85" s="60">
        <f>SEA!L$24</f>
        <v>5.8048241999999997</v>
      </c>
      <c r="F85" s="60">
        <f>SEA!M$24</f>
        <v>3.8950370381999995</v>
      </c>
      <c r="G85" s="60">
        <f>SEA!N$24</f>
        <v>38.793821749006035</v>
      </c>
      <c r="H85" s="60">
        <f>SEA!O$24</f>
        <v>0.28922159791899582</v>
      </c>
      <c r="I85" s="60">
        <f t="shared" si="6"/>
        <v>5.6147117624145784</v>
      </c>
      <c r="J85" s="60">
        <f t="shared" si="7"/>
        <v>7.5622302815145783</v>
      </c>
      <c r="K85" s="60">
        <f t="shared" si="8"/>
        <v>9.5097488006145774</v>
      </c>
      <c r="L85" s="95">
        <f>(TableTEMaster[[#This Row],[TGT]]*TARGETS)+(TableTEMaster[[#This Row],[REC]]*RECEPTIONS_TE)+(TableTEMaster[[#This Row],[RCYD]]*RECV_YARDS)+(TableTEMaster[[#This Row],[RCTD]]*RECV_TDS)</f>
        <v>7.5622302815145783</v>
      </c>
      <c r="M85" s="96">
        <v>0</v>
      </c>
    </row>
    <row r="86" spans="1:13" x14ac:dyDescent="0.25">
      <c r="A86" s="59">
        <f>IF(TableTEMaster[[#This Row],[Player]]&lt;&gt;0,A85+1,A85)</f>
        <v>73</v>
      </c>
      <c r="B86" s="59" t="str">
        <f>SF!A$22</f>
        <v>George Kittle</v>
      </c>
      <c r="C86" s="59" t="s">
        <v>114</v>
      </c>
      <c r="D86" s="61">
        <f>SF!C$22</f>
        <v>9</v>
      </c>
      <c r="E86" s="60">
        <f>SF!L$22</f>
        <v>96.388646759999972</v>
      </c>
      <c r="F86" s="60">
        <f>SF!M$22</f>
        <v>68.821493786639977</v>
      </c>
      <c r="G86" s="60">
        <f>SF!N$22</f>
        <v>905.0026432943157</v>
      </c>
      <c r="H86" s="60">
        <f>SF!O$22</f>
        <v>6.1251129470109573</v>
      </c>
      <c r="I86" s="60">
        <f t="shared" si="6"/>
        <v>127.25094201149732</v>
      </c>
      <c r="J86" s="60">
        <f t="shared" si="7"/>
        <v>161.66168890481731</v>
      </c>
      <c r="K86" s="60">
        <f t="shared" si="8"/>
        <v>196.07243579813729</v>
      </c>
      <c r="L86" s="95">
        <f>(TableTEMaster[[#This Row],[TGT]]*TARGETS)+(TableTEMaster[[#This Row],[REC]]*RECEPTIONS_TE)+(TableTEMaster[[#This Row],[RCYD]]*RECV_YARDS)+(TableTEMaster[[#This Row],[RCTD]]*RECV_TDS)</f>
        <v>161.66168890481731</v>
      </c>
      <c r="M86" s="96">
        <v>20.864054671782846</v>
      </c>
    </row>
    <row r="87" spans="1:13" x14ac:dyDescent="0.25">
      <c r="A87" s="59">
        <f>IF(TableTEMaster[[#This Row],[Player]]&lt;&gt;0,A86+1,A86)</f>
        <v>74</v>
      </c>
      <c r="B87" s="59" t="str">
        <f>SF!A$23</f>
        <v>Logan Thomas</v>
      </c>
      <c r="C87" s="59" t="s">
        <v>114</v>
      </c>
      <c r="D87" s="61">
        <f>SF!C$23</f>
        <v>9</v>
      </c>
      <c r="E87" s="60">
        <f>SF!L$23</f>
        <v>10.650679199999999</v>
      </c>
      <c r="F87" s="60">
        <f>SF!M$23</f>
        <v>6.8164346879999993</v>
      </c>
      <c r="G87" s="60">
        <f>SF!N$23</f>
        <v>74.691955717254558</v>
      </c>
      <c r="H87" s="60">
        <f>SF!O$23</f>
        <v>0.64756129535999996</v>
      </c>
      <c r="I87" s="60">
        <f t="shared" si="6"/>
        <v>11.354563343885456</v>
      </c>
      <c r="J87" s="60">
        <f t="shared" si="7"/>
        <v>14.762780687885456</v>
      </c>
      <c r="K87" s="60">
        <f t="shared" si="8"/>
        <v>18.170998031885453</v>
      </c>
      <c r="L87" s="95">
        <f>(TableTEMaster[[#This Row],[TGT]]*TARGETS)+(TableTEMaster[[#This Row],[REC]]*RECEPTIONS_TE)+(TableTEMaster[[#This Row],[RCYD]]*RECV_YARDS)+(TableTEMaster[[#This Row],[RCTD]]*RECV_TDS)</f>
        <v>14.762780687885456</v>
      </c>
      <c r="M87" s="96">
        <v>0</v>
      </c>
    </row>
    <row r="88" spans="1:13" x14ac:dyDescent="0.25">
      <c r="A88" s="59">
        <f>IF(TableTEMaster[[#This Row],[Player]]&lt;&gt;0,A87+1,A87)</f>
        <v>74</v>
      </c>
      <c r="B88" s="59">
        <f>SF!A$24</f>
        <v>0</v>
      </c>
      <c r="C88" s="59" t="s">
        <v>114</v>
      </c>
      <c r="D88" s="61">
        <f>SF!C$24</f>
        <v>9</v>
      </c>
      <c r="E88" s="60">
        <f>SF!L$24</f>
        <v>0</v>
      </c>
      <c r="F88" s="60">
        <f>SF!M$24</f>
        <v>0</v>
      </c>
      <c r="G88" s="60">
        <f>SF!N$24</f>
        <v>0</v>
      </c>
      <c r="H88" s="60">
        <f>SF!O$24</f>
        <v>0</v>
      </c>
      <c r="I88" s="60">
        <f t="shared" si="6"/>
        <v>0</v>
      </c>
      <c r="J88" s="60">
        <f t="shared" si="7"/>
        <v>0</v>
      </c>
      <c r="K88" s="60">
        <f t="shared" si="8"/>
        <v>0</v>
      </c>
      <c r="L88" s="95">
        <f>(TableTEMaster[[#This Row],[TGT]]*TARGETS)+(TableTEMaster[[#This Row],[REC]]*RECEPTIONS_TE)+(TableTEMaster[[#This Row],[RCYD]]*RECV_YARDS)+(TableTEMaster[[#This Row],[RCTD]]*RECV_TDS)</f>
        <v>0</v>
      </c>
      <c r="M88" s="96">
        <v>0</v>
      </c>
    </row>
    <row r="89" spans="1:13" x14ac:dyDescent="0.25">
      <c r="A89" s="59">
        <f>IF(TableTEMaster[[#This Row],[Player]]&lt;&gt;0,A88+1,A88)</f>
        <v>75</v>
      </c>
      <c r="B89" s="59" t="str">
        <f>TB!A$22</f>
        <v>Cade Otton</v>
      </c>
      <c r="C89" s="59" t="s">
        <v>115</v>
      </c>
      <c r="D89" s="61">
        <f>TB!C$22</f>
        <v>11</v>
      </c>
      <c r="E89" s="60">
        <f>TB!L$22</f>
        <v>73.538314080000006</v>
      </c>
      <c r="F89" s="60">
        <f>TB!M$22</f>
        <v>48.167595722400009</v>
      </c>
      <c r="G89" s="60">
        <f>TB!N$22</f>
        <v>481.12730607497372</v>
      </c>
      <c r="H89" s="60">
        <f>TB!O$22</f>
        <v>3.5836691217465604</v>
      </c>
      <c r="I89" s="60">
        <f t="shared" si="6"/>
        <v>69.614745337976728</v>
      </c>
      <c r="J89" s="60">
        <f t="shared" si="7"/>
        <v>93.698543199176726</v>
      </c>
      <c r="K89" s="60">
        <f t="shared" si="8"/>
        <v>117.78234106037674</v>
      </c>
      <c r="L89" s="95">
        <f>(TableTEMaster[[#This Row],[TGT]]*TARGETS)+(TableTEMaster[[#This Row],[REC]]*RECEPTIONS_TE)+(TableTEMaster[[#This Row],[RCYD]]*RECV_YARDS)+(TableTEMaster[[#This Row],[RCTD]]*RECV_TDS)</f>
        <v>93.69854319917674</v>
      </c>
      <c r="M89" s="96">
        <v>2.4875712692474092</v>
      </c>
    </row>
    <row r="90" spans="1:13" x14ac:dyDescent="0.25">
      <c r="A90" s="59">
        <f>IF(TableTEMaster[[#This Row],[Player]]&lt;&gt;0,A89+1,A89)</f>
        <v>76</v>
      </c>
      <c r="B90" s="59" t="str">
        <f>TB!A$23</f>
        <v>Ko Kieft</v>
      </c>
      <c r="C90" s="59" t="s">
        <v>115</v>
      </c>
      <c r="D90" s="61">
        <f>TB!C$23</f>
        <v>11</v>
      </c>
      <c r="E90" s="60">
        <f>TB!L$23</f>
        <v>20.756782200000004</v>
      </c>
      <c r="F90" s="60">
        <f>TB!M$23</f>
        <v>12.661637142000002</v>
      </c>
      <c r="G90" s="60">
        <f>TB!N$23</f>
        <v>116.49334482614039</v>
      </c>
      <c r="H90" s="60">
        <f>TB!O$23</f>
        <v>0.70905167995200014</v>
      </c>
      <c r="I90" s="60">
        <f t="shared" si="6"/>
        <v>15.90364456232604</v>
      </c>
      <c r="J90" s="60">
        <f t="shared" si="7"/>
        <v>22.234463133326042</v>
      </c>
      <c r="K90" s="60">
        <f t="shared" si="8"/>
        <v>28.56528170432604</v>
      </c>
      <c r="L90" s="95">
        <f>(TableTEMaster[[#This Row],[TGT]]*TARGETS)+(TableTEMaster[[#This Row],[REC]]*RECEPTIONS_TE)+(TableTEMaster[[#This Row],[RCYD]]*RECV_YARDS)+(TableTEMaster[[#This Row],[RCTD]]*RECV_TDS)</f>
        <v>22.234463133326038</v>
      </c>
      <c r="M90" s="96">
        <v>0</v>
      </c>
    </row>
    <row r="91" spans="1:13" x14ac:dyDescent="0.25">
      <c r="A91" s="59">
        <f>IF(TableTEMaster[[#This Row],[Player]]&lt;&gt;0,A90+1,A90)</f>
        <v>77</v>
      </c>
      <c r="B91" s="59" t="str">
        <f>TB!A$24</f>
        <v>Payne Durham</v>
      </c>
      <c r="C91" s="59" t="s">
        <v>115</v>
      </c>
      <c r="D91" s="61">
        <f>TB!C$24</f>
        <v>11</v>
      </c>
      <c r="E91" s="60">
        <f>TB!L$24</f>
        <v>5.9305091999999995</v>
      </c>
      <c r="F91" s="60">
        <f>TB!M$24</f>
        <v>3.6057495936000001</v>
      </c>
      <c r="G91" s="60">
        <f>TB!N$24</f>
        <v>38.338544183838074</v>
      </c>
      <c r="H91" s="60">
        <f>TB!O$24</f>
        <v>0.25240247155200002</v>
      </c>
      <c r="I91" s="60">
        <f t="shared" si="6"/>
        <v>5.3482692476958071</v>
      </c>
      <c r="J91" s="60">
        <f t="shared" si="7"/>
        <v>7.1511440444958074</v>
      </c>
      <c r="K91" s="60">
        <f t="shared" si="8"/>
        <v>8.9540188412958077</v>
      </c>
      <c r="L91" s="95">
        <f>(TableTEMaster[[#This Row],[TGT]]*TARGETS)+(TableTEMaster[[#This Row],[REC]]*RECEPTIONS_TE)+(TableTEMaster[[#This Row],[RCYD]]*RECV_YARDS)+(TableTEMaster[[#This Row],[RCTD]]*RECV_TDS)</f>
        <v>7.1511440444958074</v>
      </c>
      <c r="M91" s="96">
        <v>0</v>
      </c>
    </row>
    <row r="92" spans="1:13" x14ac:dyDescent="0.25">
      <c r="A92" s="59">
        <f>IF(TableTEMaster[[#This Row],[Player]]&lt;&gt;0,A91+1,A91)</f>
        <v>78</v>
      </c>
      <c r="B92" s="59" t="str">
        <f>TEN!A$22</f>
        <v>Chigoziem Okonkwo</v>
      </c>
      <c r="C92" s="59" t="s">
        <v>116</v>
      </c>
      <c r="D92" s="61">
        <f>TEN!C$22</f>
        <v>5</v>
      </c>
      <c r="E92" s="60">
        <f>TEN!L$22</f>
        <v>82.720577939999984</v>
      </c>
      <c r="F92" s="60">
        <f>TEN!M$22</f>
        <v>54.595581440399975</v>
      </c>
      <c r="G92" s="60">
        <f>TEN!N$22</f>
        <v>601.64330747320776</v>
      </c>
      <c r="H92" s="60">
        <f>TEN!O$22</f>
        <v>3.8216907008279986</v>
      </c>
      <c r="I92" s="60">
        <f t="shared" si="6"/>
        <v>83.094474952288763</v>
      </c>
      <c r="J92" s="60">
        <f t="shared" si="7"/>
        <v>110.39226567248875</v>
      </c>
      <c r="K92" s="60">
        <f t="shared" si="8"/>
        <v>137.69005639268875</v>
      </c>
      <c r="L92" s="95">
        <f>(TableTEMaster[[#This Row],[TGT]]*TARGETS)+(TableTEMaster[[#This Row],[REC]]*RECEPTIONS_TE)+(TableTEMaster[[#This Row],[RCYD]]*RECV_YARDS)+(TableTEMaster[[#This Row],[RCTD]]*RECV_TDS)</f>
        <v>110.39226567248875</v>
      </c>
      <c r="M92" s="96">
        <v>0.26292251074426737</v>
      </c>
    </row>
    <row r="93" spans="1:13" x14ac:dyDescent="0.25">
      <c r="A93" s="59">
        <f>IF(TableTEMaster[[#This Row],[Player]]&lt;&gt;0,A92+1,A92)</f>
        <v>79</v>
      </c>
      <c r="B93" s="59" t="str">
        <f>TEN!A$23</f>
        <v>Josh Whyle</v>
      </c>
      <c r="C93" s="59" t="s">
        <v>116</v>
      </c>
      <c r="D93" s="61">
        <f>TEN!C$23</f>
        <v>5</v>
      </c>
      <c r="E93" s="60">
        <f>TEN!L$23</f>
        <v>14.461639499999999</v>
      </c>
      <c r="F93" s="60">
        <f>TEN!M$23</f>
        <v>9.414527314499999</v>
      </c>
      <c r="G93" s="60">
        <f>TEN!N$23</f>
        <v>98.473787421521408</v>
      </c>
      <c r="H93" s="60">
        <f>TEN!O$23</f>
        <v>0.58257469683816998</v>
      </c>
      <c r="I93" s="60">
        <f t="shared" si="6"/>
        <v>13.34282692318116</v>
      </c>
      <c r="J93" s="60">
        <f t="shared" si="7"/>
        <v>18.05009058043116</v>
      </c>
      <c r="K93" s="60">
        <f t="shared" si="8"/>
        <v>22.75735423768116</v>
      </c>
      <c r="L93" s="95">
        <f>(TableTEMaster[[#This Row],[TGT]]*TARGETS)+(TableTEMaster[[#This Row],[REC]]*RECEPTIONS_TE)+(TableTEMaster[[#This Row],[RCYD]]*RECV_YARDS)+(TableTEMaster[[#This Row],[RCTD]]*RECV_TDS)</f>
        <v>18.05009058043116</v>
      </c>
      <c r="M93" s="96">
        <v>0</v>
      </c>
    </row>
    <row r="94" spans="1:13" x14ac:dyDescent="0.25">
      <c r="A94" s="59">
        <f>IF(TableTEMaster[[#This Row],[Player]]&lt;&gt;0,A93+1,A93)</f>
        <v>79</v>
      </c>
      <c r="B94" s="59">
        <f>TEN!A$24</f>
        <v>0</v>
      </c>
      <c r="C94" s="59" t="s">
        <v>116</v>
      </c>
      <c r="D94" s="61">
        <f>TEN!C$24</f>
        <v>5</v>
      </c>
      <c r="E94" s="60">
        <f>TEN!L$24</f>
        <v>0</v>
      </c>
      <c r="F94" s="60">
        <f>TEN!M$24</f>
        <v>0</v>
      </c>
      <c r="G94" s="60">
        <f>TEN!N$24</f>
        <v>0</v>
      </c>
      <c r="H94" s="60">
        <f>TEN!O$24</f>
        <v>0</v>
      </c>
      <c r="I94" s="60">
        <f t="shared" si="6"/>
        <v>0</v>
      </c>
      <c r="J94" s="60">
        <f t="shared" si="7"/>
        <v>0</v>
      </c>
      <c r="K94" s="60">
        <f t="shared" si="8"/>
        <v>0</v>
      </c>
      <c r="L94" s="95">
        <f>(TableTEMaster[[#This Row],[TGT]]*TARGETS)+(TableTEMaster[[#This Row],[REC]]*RECEPTIONS_TE)+(TableTEMaster[[#This Row],[RCYD]]*RECV_YARDS)+(TableTEMaster[[#This Row],[RCTD]]*RECV_TDS)</f>
        <v>0</v>
      </c>
      <c r="M94" s="96">
        <v>0</v>
      </c>
    </row>
    <row r="95" spans="1:13" x14ac:dyDescent="0.25">
      <c r="A95" s="59">
        <f>IF(TableTEMaster[[#This Row],[Player]]&lt;&gt;0,A94+1,A94)</f>
        <v>80</v>
      </c>
      <c r="B95" s="59" t="str">
        <f>WSH!A$22</f>
        <v>Zach Ertz</v>
      </c>
      <c r="C95" s="59" t="s">
        <v>119</v>
      </c>
      <c r="D95" s="61">
        <f>WSH!C$22</f>
        <v>14</v>
      </c>
      <c r="E95" s="60">
        <f>WSH!L$22</f>
        <v>45.892753200000008</v>
      </c>
      <c r="F95" s="60">
        <f>WSH!M$22</f>
        <v>29.784396826800005</v>
      </c>
      <c r="G95" s="60">
        <f>WSH!N$22</f>
        <v>287.41942937862007</v>
      </c>
      <c r="H95" s="60">
        <f>WSH!O$22</f>
        <v>2.0849077778760008</v>
      </c>
      <c r="I95" s="60">
        <f t="shared" si="6"/>
        <v>41.251389605118007</v>
      </c>
      <c r="J95" s="60">
        <f t="shared" si="7"/>
        <v>56.14358801851801</v>
      </c>
      <c r="K95" s="60">
        <f t="shared" si="8"/>
        <v>71.035786431918012</v>
      </c>
      <c r="L95" s="95">
        <f>(TableTEMaster[[#This Row],[TGT]]*TARGETS)+(TableTEMaster[[#This Row],[REC]]*RECEPTIONS_TE)+(TableTEMaster[[#This Row],[RCYD]]*RECV_YARDS)+(TableTEMaster[[#This Row],[RCTD]]*RECV_TDS)</f>
        <v>56.143588018518017</v>
      </c>
      <c r="M95" s="96">
        <v>4.5112693426953232</v>
      </c>
    </row>
    <row r="96" spans="1:13" x14ac:dyDescent="0.25">
      <c r="A96" s="59">
        <f>IF(TableTEMaster[[#This Row],[Player]]&lt;&gt;0,A95+1,A95)</f>
        <v>81</v>
      </c>
      <c r="B96" s="59" t="str">
        <f>WSH!A$23</f>
        <v>Ben Sinnott</v>
      </c>
      <c r="C96" s="59" t="s">
        <v>119</v>
      </c>
      <c r="D96" s="61">
        <f>WSH!C$23</f>
        <v>14</v>
      </c>
      <c r="E96" s="60">
        <f>WSH!L$23</f>
        <v>60.057183200000011</v>
      </c>
      <c r="F96" s="60">
        <f>WSH!M$23</f>
        <v>39.157283446400008</v>
      </c>
      <c r="G96" s="60">
        <f>WSH!N$23</f>
        <v>411.1514761872001</v>
      </c>
      <c r="H96" s="60">
        <f>WSH!O$23</f>
        <v>3.1325826757120008</v>
      </c>
      <c r="I96" s="60">
        <f t="shared" si="6"/>
        <v>59.910643672992009</v>
      </c>
      <c r="J96" s="60">
        <f t="shared" si="7"/>
        <v>79.489285396192017</v>
      </c>
      <c r="K96" s="60">
        <f t="shared" si="8"/>
        <v>99.06792711939201</v>
      </c>
      <c r="L96" s="95">
        <f>(TableTEMaster[[#This Row],[TGT]]*TARGETS)+(TableTEMaster[[#This Row],[REC]]*RECEPTIONS_TE)+(TableTEMaster[[#This Row],[RCYD]]*RECV_YARDS)+(TableTEMaster[[#This Row],[RCTD]]*RECV_TDS)</f>
        <v>79.489285396192031</v>
      </c>
      <c r="M96" s="96">
        <v>0</v>
      </c>
    </row>
    <row r="97" spans="1:13" x14ac:dyDescent="0.25">
      <c r="A97" s="59">
        <f>IF(TableTEMaster[[#This Row],[Player]]&lt;&gt;0,A96+1,A96)</f>
        <v>81</v>
      </c>
      <c r="B97" s="59">
        <f>WSH!A$24</f>
        <v>0</v>
      </c>
      <c r="C97" s="59" t="s">
        <v>119</v>
      </c>
      <c r="D97" s="61">
        <f>WSH!C$24</f>
        <v>14</v>
      </c>
      <c r="E97" s="60">
        <f>WSH!L$24</f>
        <v>0</v>
      </c>
      <c r="F97" s="60">
        <f>WSH!M$24</f>
        <v>0</v>
      </c>
      <c r="G97" s="60">
        <f>WSH!N$24</f>
        <v>0</v>
      </c>
      <c r="H97" s="60">
        <f>WSH!O$24</f>
        <v>0</v>
      </c>
      <c r="I97" s="60">
        <f t="shared" si="6"/>
        <v>0</v>
      </c>
      <c r="J97" s="60">
        <f t="shared" si="7"/>
        <v>0</v>
      </c>
      <c r="K97" s="60">
        <f t="shared" si="8"/>
        <v>0</v>
      </c>
      <c r="L97" s="95">
        <f>(TableTEMaster[[#This Row],[TGT]]*TARGETS)+(TableTEMaster[[#This Row],[REC]]*RECEPTIONS_TE)+(TableTEMaster[[#This Row],[RCYD]]*RECV_YARDS)+(TableTEMaster[[#This Row],[RCTD]]*RECV_TDS)</f>
        <v>0</v>
      </c>
      <c r="M97" s="96">
        <v>0</v>
      </c>
    </row>
  </sheetData>
  <sortState xmlns:xlrd2="http://schemas.microsoft.com/office/spreadsheetml/2017/richdata2" ref="B2:K97">
    <sortCondition ref="C2:C129"/>
  </sortState>
  <phoneticPr fontId="19" type="noConversion"/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5"/>
  <dimension ref="A1:E33"/>
  <sheetViews>
    <sheetView showGridLines="0" zoomScale="85" zoomScaleNormal="85" workbookViewId="0">
      <selection activeCell="B33" sqref="B33"/>
    </sheetView>
  </sheetViews>
  <sheetFormatPr defaultColWidth="9.140625" defaultRowHeight="15" x14ac:dyDescent="0.25"/>
  <cols>
    <col min="1" max="1" width="10" style="59" bestFit="1" customWidth="1"/>
    <col min="2" max="2" width="26.5703125" style="59" bestFit="1" customWidth="1"/>
    <col min="3" max="3" width="7" style="59" bestFit="1" customWidth="1"/>
    <col min="4" max="4" width="10" style="59" bestFit="1" customWidth="1"/>
    <col min="5" max="5" width="8.42578125" style="59" bestFit="1" customWidth="1"/>
    <col min="6" max="16384" width="9.140625" style="59"/>
  </cols>
  <sheetData>
    <row r="1" spans="1:5" x14ac:dyDescent="0.25">
      <c r="A1" s="58" t="s">
        <v>364</v>
      </c>
      <c r="B1" s="58" t="s">
        <v>325</v>
      </c>
      <c r="C1" s="58" t="s">
        <v>122</v>
      </c>
      <c r="D1" s="58" t="s">
        <v>321</v>
      </c>
      <c r="E1" s="58" t="s">
        <v>295</v>
      </c>
    </row>
    <row r="2" spans="1:5" x14ac:dyDescent="0.25">
      <c r="A2" s="59">
        <v>1</v>
      </c>
      <c r="B2" s="59" t="str">
        <f>DST!B2</f>
        <v>Arizona Cardinals</v>
      </c>
      <c r="C2" s="61">
        <f>DST!D2</f>
        <v>11</v>
      </c>
      <c r="D2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97.050000000000011</v>
      </c>
      <c r="E2" s="98">
        <v>0.1601309495188814</v>
      </c>
    </row>
    <row r="3" spans="1:5" x14ac:dyDescent="0.25">
      <c r="A3" s="59">
        <v>2</v>
      </c>
      <c r="B3" s="59" t="str">
        <f>DST!B3</f>
        <v>Atlanta Falcons</v>
      </c>
      <c r="C3" s="61">
        <f>DST!D3</f>
        <v>12</v>
      </c>
      <c r="D3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100.60000000000001</v>
      </c>
      <c r="E3" s="98">
        <v>0</v>
      </c>
    </row>
    <row r="4" spans="1:5" x14ac:dyDescent="0.25">
      <c r="A4" s="59">
        <v>3</v>
      </c>
      <c r="B4" s="59" t="str">
        <f>DST!B4</f>
        <v>Baltimore Ravens</v>
      </c>
      <c r="C4" s="61">
        <f>DST!D4</f>
        <v>14</v>
      </c>
      <c r="D4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117.27500000000001</v>
      </c>
      <c r="E4" s="98">
        <v>0.26989971239398014</v>
      </c>
    </row>
    <row r="5" spans="1:5" x14ac:dyDescent="0.25">
      <c r="A5" s="59">
        <v>4</v>
      </c>
      <c r="B5" s="59" t="str">
        <f>DST!B5</f>
        <v>Buffalo Bills</v>
      </c>
      <c r="C5" s="61">
        <f>DST!D5</f>
        <v>12</v>
      </c>
      <c r="D5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113.47500000000001</v>
      </c>
      <c r="E5" s="98">
        <v>0.12648798533843186</v>
      </c>
    </row>
    <row r="6" spans="1:5" x14ac:dyDescent="0.25">
      <c r="A6" s="59">
        <v>5</v>
      </c>
      <c r="B6" s="59" t="str">
        <f>DST!B6</f>
        <v>Carolina Panthers</v>
      </c>
      <c r="C6" s="61">
        <f>DST!D6</f>
        <v>11</v>
      </c>
      <c r="D6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94.75</v>
      </c>
      <c r="E6" s="98">
        <v>0</v>
      </c>
    </row>
    <row r="7" spans="1:5" x14ac:dyDescent="0.25">
      <c r="A7" s="59">
        <v>6</v>
      </c>
      <c r="B7" s="59" t="str">
        <f>DST!B7</f>
        <v>Chicago Bears</v>
      </c>
      <c r="C7" s="61">
        <f>DST!D7</f>
        <v>7</v>
      </c>
      <c r="D7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99.5</v>
      </c>
      <c r="E7" s="98">
        <v>0</v>
      </c>
    </row>
    <row r="8" spans="1:5" x14ac:dyDescent="0.25">
      <c r="A8" s="59">
        <v>7</v>
      </c>
      <c r="B8" s="59" t="str">
        <f>DST!B8</f>
        <v>Cincinnati Bengals</v>
      </c>
      <c r="C8" s="61">
        <f>DST!D8</f>
        <v>12</v>
      </c>
      <c r="D8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111.22500000000001</v>
      </c>
      <c r="E8" s="98">
        <v>0</v>
      </c>
    </row>
    <row r="9" spans="1:5" x14ac:dyDescent="0.25">
      <c r="A9" s="59">
        <v>8</v>
      </c>
      <c r="B9" s="59" t="str">
        <f>DST!B9</f>
        <v>Cleveland Browns</v>
      </c>
      <c r="C9" s="61">
        <f>DST!D9</f>
        <v>10</v>
      </c>
      <c r="D9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113.54999999999998</v>
      </c>
      <c r="E9" s="98">
        <v>5.739541041219344E-2</v>
      </c>
    </row>
    <row r="10" spans="1:5" x14ac:dyDescent="0.25">
      <c r="A10" s="59">
        <v>9</v>
      </c>
      <c r="B10" s="59" t="str">
        <f>DST!B10</f>
        <v>Dallas Cowboys</v>
      </c>
      <c r="C10" s="61">
        <f>DST!D10</f>
        <v>7</v>
      </c>
      <c r="D10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119.25000000000001</v>
      </c>
      <c r="E10" s="98">
        <v>0</v>
      </c>
    </row>
    <row r="11" spans="1:5" x14ac:dyDescent="0.25">
      <c r="A11" s="59">
        <v>10</v>
      </c>
      <c r="B11" s="59" t="str">
        <f>DST!B11</f>
        <v>Denver Broncos</v>
      </c>
      <c r="C11" s="61">
        <f>DST!D11</f>
        <v>14</v>
      </c>
      <c r="D11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104.35</v>
      </c>
      <c r="E11" s="98">
        <v>0</v>
      </c>
    </row>
    <row r="12" spans="1:5" x14ac:dyDescent="0.25">
      <c r="A12" s="59">
        <v>11</v>
      </c>
      <c r="B12" s="59" t="str">
        <f>DST!B12</f>
        <v>Detroit Lions</v>
      </c>
      <c r="C12" s="61">
        <f>DST!D12</f>
        <v>5</v>
      </c>
      <c r="D12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105.14999999999999</v>
      </c>
      <c r="E12" s="98">
        <v>0</v>
      </c>
    </row>
    <row r="13" spans="1:5" x14ac:dyDescent="0.25">
      <c r="A13" s="59">
        <v>12</v>
      </c>
      <c r="B13" s="59" t="str">
        <f>DST!B13</f>
        <v>Green Bay Packers</v>
      </c>
      <c r="C13" s="61">
        <f>DST!D13</f>
        <v>10</v>
      </c>
      <c r="D13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106.97499999999999</v>
      </c>
      <c r="E13" s="98">
        <v>0.11135103317964741</v>
      </c>
    </row>
    <row r="14" spans="1:5" x14ac:dyDescent="0.25">
      <c r="A14" s="59">
        <v>13</v>
      </c>
      <c r="B14" s="59" t="str">
        <f>DST!B14</f>
        <v>Houston Texans</v>
      </c>
      <c r="C14" s="61">
        <f>DST!D14</f>
        <v>14</v>
      </c>
      <c r="D14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111.77500000000001</v>
      </c>
      <c r="E14" s="98">
        <v>0</v>
      </c>
    </row>
    <row r="15" spans="1:5" x14ac:dyDescent="0.25">
      <c r="A15" s="59">
        <v>14</v>
      </c>
      <c r="B15" s="59" t="str">
        <f>DST!B15</f>
        <v>Indianapolis Colts</v>
      </c>
      <c r="C15" s="61">
        <f>DST!D15</f>
        <v>14</v>
      </c>
      <c r="D15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113.37500000000001</v>
      </c>
      <c r="E15" s="98">
        <v>0.30436492593653164</v>
      </c>
    </row>
    <row r="16" spans="1:5" x14ac:dyDescent="0.25">
      <c r="A16" s="59">
        <v>15</v>
      </c>
      <c r="B16" s="59" t="str">
        <f>DST!B16</f>
        <v>Jacksonville Jaguars</v>
      </c>
      <c r="C16" s="61">
        <f>DST!D16</f>
        <v>12</v>
      </c>
      <c r="D16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106.37500000000001</v>
      </c>
      <c r="E16" s="98">
        <v>0</v>
      </c>
    </row>
    <row r="17" spans="1:5" x14ac:dyDescent="0.25">
      <c r="A17" s="59">
        <v>16</v>
      </c>
      <c r="B17" s="59" t="str">
        <f>DST!B17</f>
        <v>Kansas City Chiefs</v>
      </c>
      <c r="C17" s="61">
        <f>DST!D17</f>
        <v>6</v>
      </c>
      <c r="D17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112.17499999999998</v>
      </c>
      <c r="E17" s="98">
        <v>0</v>
      </c>
    </row>
    <row r="18" spans="1:5" x14ac:dyDescent="0.25">
      <c r="A18" s="59">
        <v>17</v>
      </c>
      <c r="B18" s="59" t="str">
        <f>DST!B18</f>
        <v>Las Vegas Raiders</v>
      </c>
      <c r="C18" s="61">
        <f>DST!D18</f>
        <v>10</v>
      </c>
      <c r="D18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103.30000000000001</v>
      </c>
      <c r="E18" s="98">
        <v>0</v>
      </c>
    </row>
    <row r="19" spans="1:5" x14ac:dyDescent="0.25">
      <c r="A19" s="59">
        <v>18</v>
      </c>
      <c r="B19" s="59" t="str">
        <f>DST!B19</f>
        <v>Los Angeles Chargers</v>
      </c>
      <c r="C19" s="61">
        <f>DST!D19</f>
        <v>5</v>
      </c>
      <c r="D19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109.97499999999999</v>
      </c>
      <c r="E19" s="98">
        <v>0</v>
      </c>
    </row>
    <row r="20" spans="1:5" x14ac:dyDescent="0.25">
      <c r="A20" s="59">
        <v>19</v>
      </c>
      <c r="B20" s="59" t="str">
        <f>DST!B20</f>
        <v>Los Angeles Rams</v>
      </c>
      <c r="C20" s="61">
        <f>DST!D20</f>
        <v>6</v>
      </c>
      <c r="D20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99.85</v>
      </c>
      <c r="E20" s="98">
        <v>1.4689537351671356</v>
      </c>
    </row>
    <row r="21" spans="1:5" x14ac:dyDescent="0.25">
      <c r="A21" s="59">
        <v>20</v>
      </c>
      <c r="B21" s="59" t="str">
        <f>DST!B21</f>
        <v>Miami Dolphins</v>
      </c>
      <c r="C21" s="61">
        <f>DST!D21</f>
        <v>6</v>
      </c>
      <c r="D21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111.72500000000002</v>
      </c>
      <c r="E21" s="98">
        <v>0</v>
      </c>
    </row>
    <row r="22" spans="1:5" x14ac:dyDescent="0.25">
      <c r="A22" s="59">
        <v>21</v>
      </c>
      <c r="B22" s="59" t="str">
        <f>DST!B22</f>
        <v>Minnesota Vikings</v>
      </c>
      <c r="C22" s="61">
        <f>DST!D22</f>
        <v>6</v>
      </c>
      <c r="D22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106.425</v>
      </c>
      <c r="E22" s="98">
        <v>0</v>
      </c>
    </row>
    <row r="23" spans="1:5" x14ac:dyDescent="0.25">
      <c r="A23" s="59">
        <v>22</v>
      </c>
      <c r="B23" s="59" t="str">
        <f>DST!B23</f>
        <v>New England Patriots</v>
      </c>
      <c r="C23" s="61">
        <f>DST!D23</f>
        <v>14</v>
      </c>
      <c r="D23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100.6</v>
      </c>
      <c r="E23" s="98">
        <v>0</v>
      </c>
    </row>
    <row r="24" spans="1:5" x14ac:dyDescent="0.25">
      <c r="A24" s="59">
        <v>23</v>
      </c>
      <c r="B24" s="59" t="str">
        <f>DST!B24</f>
        <v>New Orleans Saints</v>
      </c>
      <c r="C24" s="61">
        <f>DST!D24</f>
        <v>12</v>
      </c>
      <c r="D24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105.37499999999999</v>
      </c>
      <c r="E24" s="98">
        <v>0</v>
      </c>
    </row>
    <row r="25" spans="1:5" x14ac:dyDescent="0.25">
      <c r="A25" s="59">
        <v>24</v>
      </c>
      <c r="B25" s="59" t="str">
        <f>DST!B25</f>
        <v>New York Giants</v>
      </c>
      <c r="C25" s="61">
        <f>DST!D25</f>
        <v>11</v>
      </c>
      <c r="D25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110.4</v>
      </c>
      <c r="E25" s="98">
        <v>0</v>
      </c>
    </row>
    <row r="26" spans="1:5" x14ac:dyDescent="0.25">
      <c r="A26" s="59">
        <v>25</v>
      </c>
      <c r="B26" s="59" t="str">
        <f>DST!B26</f>
        <v>New York Jets</v>
      </c>
      <c r="C26" s="61">
        <f>DST!D26</f>
        <v>12</v>
      </c>
      <c r="D26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115.575</v>
      </c>
      <c r="E26" s="98">
        <v>0</v>
      </c>
    </row>
    <row r="27" spans="1:5" x14ac:dyDescent="0.25">
      <c r="A27" s="59">
        <v>26</v>
      </c>
      <c r="B27" s="59" t="str">
        <f>DST!B27</f>
        <v>Philadelphia Eagles</v>
      </c>
      <c r="C27" s="61">
        <f>DST!D27</f>
        <v>5</v>
      </c>
      <c r="D27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115.47500000000001</v>
      </c>
      <c r="E27" s="98">
        <v>0</v>
      </c>
    </row>
    <row r="28" spans="1:5" x14ac:dyDescent="0.25">
      <c r="A28" s="59">
        <v>27</v>
      </c>
      <c r="B28" s="59" t="str">
        <f>DST!B28</f>
        <v>Pittsburgh Steelers</v>
      </c>
      <c r="C28" s="61">
        <f>DST!D28</f>
        <v>9</v>
      </c>
      <c r="D28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112.375</v>
      </c>
      <c r="E28" s="98">
        <v>0.69174930560247694</v>
      </c>
    </row>
    <row r="29" spans="1:5" x14ac:dyDescent="0.25">
      <c r="A29" s="59">
        <v>28</v>
      </c>
      <c r="B29" s="59" t="str">
        <f>DST!B29</f>
        <v>San Francisco 49ers</v>
      </c>
      <c r="C29" s="61">
        <f>DST!D29</f>
        <v>9</v>
      </c>
      <c r="D29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110.55000000000001</v>
      </c>
      <c r="E29" s="98">
        <v>0.21909806626723186</v>
      </c>
    </row>
    <row r="30" spans="1:5" x14ac:dyDescent="0.25">
      <c r="A30" s="59">
        <v>29</v>
      </c>
      <c r="B30" s="59" t="str">
        <f>DST!B30</f>
        <v>Seattle Seahawks</v>
      </c>
      <c r="C30" s="61">
        <f>DST!D30</f>
        <v>10</v>
      </c>
      <c r="D30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106.5</v>
      </c>
      <c r="E30" s="98">
        <v>0</v>
      </c>
    </row>
    <row r="31" spans="1:5" x14ac:dyDescent="0.25">
      <c r="A31" s="59">
        <v>30</v>
      </c>
      <c r="B31" s="59" t="str">
        <f>DST!B31</f>
        <v>Tampa Bay Buccaneers</v>
      </c>
      <c r="C31" s="61">
        <f>DST!D31</f>
        <v>11</v>
      </c>
      <c r="D31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109.27499999999999</v>
      </c>
      <c r="E31" s="98">
        <v>2</v>
      </c>
    </row>
    <row r="32" spans="1:5" x14ac:dyDescent="0.25">
      <c r="A32" s="59">
        <v>31</v>
      </c>
      <c r="B32" s="59" t="str">
        <f>DST!B32</f>
        <v>Tennessee Titans</v>
      </c>
      <c r="C32" s="61">
        <f>DST!D32</f>
        <v>5</v>
      </c>
      <c r="D32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97.949999999999974</v>
      </c>
      <c r="E32" s="98">
        <v>0</v>
      </c>
    </row>
    <row r="33" spans="1:5" x14ac:dyDescent="0.25">
      <c r="A33" s="59">
        <v>32</v>
      </c>
      <c r="B33" s="59" t="str">
        <f>DST!B33</f>
        <v>Washington Commanders</v>
      </c>
      <c r="C33" s="61">
        <f>DST!D33</f>
        <v>14</v>
      </c>
      <c r="D33" s="60">
        <f>(TableDSTOverall[[#This Row],[SACKS]]*DEF_SACKS)+(TableDSTOverall[[#This Row],[INT]]*DEF_INT)+(TableDSTOverall[[#This Row],[FORCED FUMBLE]]*DEF_FORCE_FUMBLE)+(TableDSTOverall[[#This Row],[RECOV''D FUMBLE]]*DEF_RECOVER_FUMBLE)+(TableDSTOverall[[#This Row],[SAFETIES]]*DEF_SAFETIES)+(TableDSTOverall[[#This Row],[DEF TD]]*DEF_TOUCHDOWN)+(TableDSTOverall[[#This Row],[0 PT GAMES]]*DEF_0_PTS_ALLOW)+(TableDSTOverall[[#This Row],[1-6 PT GAMES]]*DEF_1_6_PTS_ALLOW)+(TableDSTOverall[[#This Row],[7-13 PT GAMES]]*DEF_7_13_PTS_ALLOW)+(TableDSTOverall[[#This Row],[14-21 PT GAMES]]*DEF_14_21_PTS_ALLOW)+(TableDSTOverall[[#This Row],[22-26 PT GAMES]]*DEF_22_27_PTS_ALLOW)+(TableDSTOverall[[#This Row],[27-34 PT GAMES]]*DEF_28_35_PTS_ALLOW)+(TableDSTOverall[[#This Row],[35+ PT GAMES]]*DEF_35__PTS_ALLOW)</f>
        <v>108.67500000000001</v>
      </c>
      <c r="E33" s="98">
        <v>1.1054705371824296</v>
      </c>
    </row>
  </sheetData>
  <phoneticPr fontId="19" type="noConversion"/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50A53-FD7F-45F9-8CCB-FEE11D881F35}">
  <sheetPr>
    <tabColor rgb="FFFFD5D5"/>
  </sheetPr>
  <dimension ref="A1:AZ221"/>
  <sheetViews>
    <sheetView showGridLines="0" zoomScale="85" zoomScaleNormal="85" workbookViewId="0">
      <selection activeCell="B1" sqref="B1"/>
    </sheetView>
  </sheetViews>
  <sheetFormatPr defaultRowHeight="12.75" x14ac:dyDescent="0.2"/>
  <cols>
    <col min="1" max="1" width="3.5703125" bestFit="1" customWidth="1"/>
    <col min="2" max="2" width="19.5703125" bestFit="1" customWidth="1"/>
    <col min="3" max="3" width="5.28515625" bestFit="1" customWidth="1"/>
    <col min="4" max="4" width="4.28515625" bestFit="1" customWidth="1"/>
    <col min="5" max="12" width="6.7109375" style="83" customWidth="1"/>
    <col min="13" max="13" width="7.7109375" bestFit="1" customWidth="1"/>
    <col min="14" max="14" width="5.85546875" bestFit="1" customWidth="1"/>
    <col min="15" max="15" width="5.7109375" customWidth="1"/>
    <col min="16" max="16" width="4.140625" bestFit="1" customWidth="1"/>
    <col min="17" max="17" width="22.28515625" bestFit="1" customWidth="1"/>
    <col min="18" max="18" width="5.140625" bestFit="1" customWidth="1"/>
    <col min="19" max="19" width="4.28515625" bestFit="1" customWidth="1"/>
    <col min="20" max="26" width="6.7109375" style="83" customWidth="1"/>
    <col min="27" max="27" width="7.7109375" bestFit="1" customWidth="1"/>
    <col min="28" max="28" width="5.85546875" bestFit="1" customWidth="1"/>
    <col min="29" max="29" width="5.7109375" customWidth="1"/>
    <col min="30" max="30" width="4.140625" bestFit="1" customWidth="1"/>
    <col min="31" max="31" width="25.5703125" bestFit="1" customWidth="1"/>
    <col min="32" max="32" width="5.28515625" bestFit="1" customWidth="1"/>
    <col min="33" max="33" width="4.28515625" bestFit="1" customWidth="1"/>
    <col min="34" max="39" width="6.7109375" style="83" customWidth="1"/>
    <col min="40" max="40" width="7.7109375" bestFit="1" customWidth="1"/>
    <col min="41" max="41" width="5.85546875" bestFit="1" customWidth="1"/>
    <col min="42" max="42" width="5.7109375" customWidth="1"/>
    <col min="43" max="43" width="4.140625" bestFit="1" customWidth="1"/>
    <col min="44" max="44" width="21.42578125" bestFit="1" customWidth="1"/>
    <col min="45" max="45" width="5.28515625" bestFit="1" customWidth="1"/>
    <col min="46" max="46" width="4.28515625" customWidth="1"/>
    <col min="47" max="50" width="6.7109375" style="83" customWidth="1"/>
    <col min="51" max="51" width="7.7109375" bestFit="1" customWidth="1"/>
    <col min="52" max="52" width="5.85546875" bestFit="1" customWidth="1"/>
  </cols>
  <sheetData>
    <row r="1" spans="1:52" s="128" customFormat="1" ht="25.5" x14ac:dyDescent="0.2">
      <c r="A1" s="127" t="s">
        <v>136</v>
      </c>
      <c r="B1" s="127" t="s">
        <v>325</v>
      </c>
      <c r="C1" s="127" t="s">
        <v>86</v>
      </c>
      <c r="D1" s="127" t="s">
        <v>122</v>
      </c>
      <c r="E1" s="129" t="s">
        <v>210</v>
      </c>
      <c r="F1" s="129" t="s">
        <v>1</v>
      </c>
      <c r="G1" s="129" t="s">
        <v>213</v>
      </c>
      <c r="H1" s="129" t="s">
        <v>228</v>
      </c>
      <c r="I1" s="129" t="s">
        <v>2</v>
      </c>
      <c r="J1" s="129" t="s">
        <v>229</v>
      </c>
      <c r="K1" s="129" t="s">
        <v>217</v>
      </c>
      <c r="L1" s="129" t="s">
        <v>230</v>
      </c>
      <c r="M1" s="127" t="s">
        <v>117</v>
      </c>
      <c r="N1" s="127" t="s">
        <v>295</v>
      </c>
      <c r="P1" s="127" t="s">
        <v>136</v>
      </c>
      <c r="Q1" s="127" t="s">
        <v>325</v>
      </c>
      <c r="R1" s="127" t="s">
        <v>86</v>
      </c>
      <c r="S1" s="127" t="s">
        <v>122</v>
      </c>
      <c r="T1" s="129" t="s">
        <v>229</v>
      </c>
      <c r="U1" s="129" t="s">
        <v>217</v>
      </c>
      <c r="V1" s="129" t="s">
        <v>230</v>
      </c>
      <c r="W1" s="129" t="s">
        <v>453</v>
      </c>
      <c r="X1" s="129" t="s">
        <v>4</v>
      </c>
      <c r="Y1" s="129" t="s">
        <v>223</v>
      </c>
      <c r="Z1" s="129" t="s">
        <v>231</v>
      </c>
      <c r="AA1" s="127" t="s">
        <v>117</v>
      </c>
      <c r="AB1" s="127" t="s">
        <v>295</v>
      </c>
      <c r="AD1" s="127" t="s">
        <v>136</v>
      </c>
      <c r="AE1" s="127" t="s">
        <v>325</v>
      </c>
      <c r="AF1" s="127" t="s">
        <v>86</v>
      </c>
      <c r="AG1" s="127" t="s">
        <v>122</v>
      </c>
      <c r="AH1" s="129" t="s">
        <v>217</v>
      </c>
      <c r="AI1" s="129" t="s">
        <v>230</v>
      </c>
      <c r="AJ1" s="129" t="s">
        <v>453</v>
      </c>
      <c r="AK1" s="129" t="s">
        <v>4</v>
      </c>
      <c r="AL1" s="129" t="s">
        <v>223</v>
      </c>
      <c r="AM1" s="129" t="s">
        <v>231</v>
      </c>
      <c r="AN1" s="127" t="s">
        <v>117</v>
      </c>
      <c r="AO1" s="127" t="s">
        <v>295</v>
      </c>
      <c r="AQ1" s="127" t="s">
        <v>136</v>
      </c>
      <c r="AR1" s="127" t="s">
        <v>325</v>
      </c>
      <c r="AS1" s="127" t="s">
        <v>86</v>
      </c>
      <c r="AT1" s="127" t="s">
        <v>122</v>
      </c>
      <c r="AU1" s="129" t="s">
        <v>453</v>
      </c>
      <c r="AV1" s="129" t="s">
        <v>4</v>
      </c>
      <c r="AW1" s="129" t="s">
        <v>223</v>
      </c>
      <c r="AX1" s="129" t="s">
        <v>231</v>
      </c>
      <c r="AY1" s="127" t="s">
        <v>117</v>
      </c>
      <c r="AZ1" s="127" t="s">
        <v>295</v>
      </c>
    </row>
    <row r="2" spans="1:52" x14ac:dyDescent="0.2">
      <c r="A2">
        <v>1</v>
      </c>
      <c r="B2" t="str">
        <f>IFERROR(INDEX(TableQBCalcPts[PLAYER],MATCH(TableQBRanks30[[#This Row],[RK]],TableQBCalcPts[RK],0)),"")</f>
        <v>Josh Allen</v>
      </c>
      <c r="C2" t="str">
        <f>IFERROR(INDEX(TableQBCalcPts[TM],MATCH(TableQBRanks30[[#This Row],[Player]],TableQBCalcPts[PLAYER],0)),"")</f>
        <v>BUF</v>
      </c>
      <c r="D2">
        <f>IFERROR(INDEX(TableQBCalcPts[BYE],MATCH(TableQBRanks30[[#This Row],[Player]],TableQBCalcPts[PLAYER],0)),"")</f>
        <v>12</v>
      </c>
      <c r="E2" s="83">
        <f>IFERROR((VLOOKUP(TableQBRanks30[[#This Row],[Player]],QB!B:O,4,FALSE)),"")</f>
        <v>613.57823999999994</v>
      </c>
      <c r="F2" s="83">
        <f>IFERROR((VLOOKUP(TableQBRanks30[[#This Row],[Player]],QB!B:O,5,FALSE)),"")</f>
        <v>397.42344650894228</v>
      </c>
      <c r="G2" s="83">
        <f>IFERROR((VLOOKUP(TableQBRanks30[[#This Row],[Player]],QB!B:O,6,FALSE)),"")</f>
        <v>4459.0910698303323</v>
      </c>
      <c r="H2" s="83">
        <f>IFERROR((VLOOKUP(TableQBRanks30[[#This Row],[Player]],QB!B:O,7,FALSE)),"")</f>
        <v>30.678911999999997</v>
      </c>
      <c r="I2" s="83">
        <f>IFERROR((VLOOKUP(TableQBRanks30[[#This Row],[Player]],QB!B:O,8,FALSE)),"")</f>
        <v>8.2570027479375891</v>
      </c>
      <c r="J2" s="83">
        <f>IFERROR((VLOOKUP(TableQBRanks30[[#This Row],[Player]],QB!B:O,9,FALSE)),"")</f>
        <v>116.24587520000003</v>
      </c>
      <c r="K2" s="83">
        <f>IFERROR((VLOOKUP(TableQBRanks30[[#This Row],[Player]],QB!B:O,10,FALSE)),"")</f>
        <v>596.92711573120982</v>
      </c>
      <c r="L2" s="83">
        <f>IFERROR((VLOOKUP(TableQBRanks30[[#This Row],[Player]],QB!B:O,11,FALSE)),"")</f>
        <v>8.6830743453311445</v>
      </c>
      <c r="M2" s="57">
        <f>IFERROR(INDEX(TableQBCalcPts[Custom],MATCH(TableQBRanks30[[#This Row],[RK]],TableQBCalcPts[RK],0)),"")</f>
        <v>396.35644294244599</v>
      </c>
      <c r="N2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35.24880014496636</v>
      </c>
      <c r="P2">
        <v>1</v>
      </c>
      <c r="Q2" t="str">
        <f>IFERROR(INDEX(TableRBCalcPts[PLAYER],MATCH(TableRBRanks31[[#This Row],[RK]],TableRBCalcPts[RK],0)),"")</f>
        <v>Christian McCaffrey</v>
      </c>
      <c r="R2" t="str">
        <f>IFERROR(INDEX(TableRBCalcPts[TM],MATCH(TableRBRanks31[[#This Row],[Player]],TableRBCalcPts[PLAYER],0)),"")</f>
        <v>SF</v>
      </c>
      <c r="S2">
        <f>IFERROR(INDEX(TableRBCalcPts[BYE],MATCH(TableRBRanks31[[#This Row],[Player]],TableRBCalcPts[PLAYER],0)),"")</f>
        <v>9</v>
      </c>
      <c r="T2" s="83">
        <f>IFERROR((VLOOKUP(TableRBRanks31[[#This Row],[Player]],RB!B:O,4,FALSE)),"")</f>
        <v>257.47710912000002</v>
      </c>
      <c r="U2" s="83">
        <f>IFERROR((VLOOKUP(TableRBRanks31[[#This Row],[Player]],RB!B:O,5,FALSE)),"")</f>
        <v>1230.7405815936002</v>
      </c>
      <c r="V2" s="83">
        <f>IFERROR((VLOOKUP(TableRBRanks31[[#This Row],[Player]],RB!B:O,6,FALSE)),"")</f>
        <v>13.543295939712001</v>
      </c>
      <c r="W2" s="83">
        <f>IFERROR((VLOOKUP(TableRBRanks31[[#This Row],[Player]],RB!B:O,7,FALSE)),"")</f>
        <v>82.010229839999994</v>
      </c>
      <c r="X2" s="83">
        <f>IFERROR((VLOOKUP(TableRBRanks31[[#This Row],[Player]],RB!B:O,8,FALSE)),"")</f>
        <v>65.608183872000012</v>
      </c>
      <c r="Y2" s="83">
        <f>IFERROR((VLOOKUP(TableRBRanks31[[#This Row],[Player]],RB!B:O,9,FALSE)),"")</f>
        <v>536.29453959869898</v>
      </c>
      <c r="Z2" s="83">
        <f>IFERROR((VLOOKUP(TableRBRanks31[[#This Row],[Player]],RB!B:O,10,FALSE)),"")</f>
        <v>4.5669319513021414</v>
      </c>
      <c r="AA2" s="57">
        <f>IFERROR((IFERROR(INDEX(TableRBCalcPts[Custom],MATCH(TableRBRanks31[[#This Row],[RK]],TableRBCalcPts[RK],0)),"")),"")</f>
        <v>318.16897140131476</v>
      </c>
      <c r="AB2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70.701289145915453</v>
      </c>
      <c r="AD2">
        <v>1</v>
      </c>
      <c r="AE2" t="str">
        <f>IFERROR(INDEX(TableWRCalcPts[PLAYER],MATCH(TableWRRanks32[[#This Row],[RK]],TableWRCalcPts[RK],0)),"")</f>
        <v>CeeDee Lamb</v>
      </c>
      <c r="AF2" t="str">
        <f>IFERROR(INDEX(TableWRCalcPts[TM],MATCH(TableWRRanks32[[#This Row],[Player]],TableWRCalcPts[PLAYER],0)),"")</f>
        <v>DAL</v>
      </c>
      <c r="AG2">
        <f>IFERROR(INDEX(TableWRCalcPts[BYE],MATCH(TableWRRanks32[[#This Row],[Player]],TableWRCalcPts[PLAYER],0)),"")</f>
        <v>7</v>
      </c>
      <c r="AH2" s="83">
        <f>IFERROR((VLOOKUP(TableWRRanks32[[#This Row],[Player]],WR!B:O,4,FALSE)),"")</f>
        <v>78.801206903999997</v>
      </c>
      <c r="AI2" s="83">
        <f>IFERROR((VLOOKUP(TableWRRanks32[[#This Row],[Player]],WR!B:O,5,FALSE)),"")</f>
        <v>0.36355804800000002</v>
      </c>
      <c r="AJ2" s="83">
        <f>IFERROR((VLOOKUP(TableWRRanks32[[#This Row],[Player]],WR!B:O,6,FALSE)),"")</f>
        <v>160.99576415999994</v>
      </c>
      <c r="AK2" s="83">
        <f>IFERROR((VLOOKUP(TableWRRanks32[[#This Row],[Player]],WR!B:O,7,FALSE)),"")</f>
        <v>111.89205609119995</v>
      </c>
      <c r="AL2" s="83">
        <f>IFERROR((VLOOKUP(TableWRRanks32[[#This Row],[Player]],WR!B:O,8,FALSE)),"")</f>
        <v>1444.4786463175233</v>
      </c>
      <c r="AM2" s="83">
        <f>IFERROR((VLOOKUP(TableWRRanks32[[#This Row],[Player]],WR!B:O,9,FALSE)),"")</f>
        <v>10.18363511452486</v>
      </c>
      <c r="AN2" s="57">
        <f>IFERROR((IFERROR(INDEX(TableWRCalcPts[Custom],MATCH(TableWRRanks32[[#This Row],[RK]],TableWRCalcPts[RK],0)),"")),"")</f>
        <v>271.55717234290148</v>
      </c>
      <c r="AO2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54.174855244517012</v>
      </c>
      <c r="AQ2">
        <v>1</v>
      </c>
      <c r="AR2" t="str">
        <f>IFERROR(INDEX(TableTECalcPts[PLAYER],MATCH(TableTERanks33[[#This Row],[RK]],TableTECalcPts[RK],0)),"")</f>
        <v>Travis Kelce</v>
      </c>
      <c r="AS2" t="str">
        <f>IFERROR(INDEX(TableTECalcPts[TM],MATCH(TableTERanks33[[#This Row],[Player]],TableTECalcPts[PLAYER],0)),"")</f>
        <v>KC</v>
      </c>
      <c r="AT2">
        <f>IFERROR(INDEX(TableTECalcPts[BYE],MATCH(TableTERanks33[[#This Row],[Player]],TableTECalcPts[PLAYER],0)),"")</f>
        <v>6</v>
      </c>
      <c r="AU2" s="83">
        <f>IFERROR((VLOOKUP(TableTERanks33[[#This Row],[Player]],TE!B:O,4,FALSE)),"")</f>
        <v>129.21887999999998</v>
      </c>
      <c r="AV2" s="83">
        <f>IFERROR((VLOOKUP(TableTERanks33[[#This Row],[Player]],TE!B:O,5,FALSE)),"")</f>
        <v>96.009627840000007</v>
      </c>
      <c r="AW2" s="83">
        <f>IFERROR((VLOOKUP(TableTERanks33[[#This Row],[Player]],TE!B:O,6,FALSE)),"")</f>
        <v>1034.0236918368</v>
      </c>
      <c r="AX2" s="83">
        <f>IFERROR((VLOOKUP(TableTERanks33[[#This Row],[Player]],TE!B:O,7,FALSE)),"")</f>
        <v>8.25682799424</v>
      </c>
      <c r="AY2" s="57">
        <f>IFERROR((IFERROR(INDEX(TableTECalcPts[Custom],MATCH(TableTERanks33[[#This Row],[RK]],TableTECalcPts[RK],0)),"")),"")</f>
        <v>200.94815106912</v>
      </c>
      <c r="AZ2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28.143774613780923</v>
      </c>
    </row>
    <row r="3" spans="1:52" x14ac:dyDescent="0.2">
      <c r="A3">
        <v>2</v>
      </c>
      <c r="B3" t="str">
        <f>IFERROR(INDEX(TableQBCalcPts[PLAYER],MATCH(TableQBRanks30[[#This Row],[RK]],TableQBCalcPts[RK],0)),"")</f>
        <v>Jalen Hurts</v>
      </c>
      <c r="C3" t="str">
        <f>IFERROR(INDEX(TableQBCalcPts[TM],MATCH(TableQBRanks30[[#This Row],[Player]],TableQBCalcPts[PLAYER],0)),"")</f>
        <v>PHI</v>
      </c>
      <c r="D3">
        <f>IFERROR(INDEX(TableQBCalcPts[BYE],MATCH(TableQBRanks30[[#This Row],[Player]],TableQBCalcPts[PLAYER],0)),"")</f>
        <v>5</v>
      </c>
      <c r="E3" s="83">
        <f>IFERROR((VLOOKUP(TableQBRanks30[[#This Row],[Player]],QB!B:O,4,FALSE)),"")</f>
        <v>557.84736000000009</v>
      </c>
      <c r="F3" s="83">
        <f>IFERROR((VLOOKUP(TableQBRanks30[[#This Row],[Player]],QB!B:O,5,FALSE)),"")</f>
        <v>366.20220121605729</v>
      </c>
      <c r="G3" s="83">
        <f>IFERROR((VLOOKUP(TableQBRanks30[[#This Row],[Player]],QB!B:O,6,FALSE)),"")</f>
        <v>4243.8447920510216</v>
      </c>
      <c r="H3" s="83">
        <f>IFERROR((VLOOKUP(TableQBRanks30[[#This Row],[Player]],QB!B:O,7,FALSE)),"")</f>
        <v>25.64723704164253</v>
      </c>
      <c r="I3" s="83">
        <f>IFERROR((VLOOKUP(TableQBRanks30[[#This Row],[Player]],QB!B:O,8,FALSE)),"")</f>
        <v>7.2849514790596315</v>
      </c>
      <c r="J3" s="83">
        <f>IFERROR((VLOOKUP(TableQBRanks30[[#This Row],[Player]],QB!B:O,9,FALSE)),"")</f>
        <v>127.97184959999998</v>
      </c>
      <c r="K3" s="83">
        <f>IFERROR((VLOOKUP(TableQBRanks30[[#This Row],[Player]],QB!B:O,10,FALSE)),"")</f>
        <v>563.07613823999998</v>
      </c>
      <c r="L3" s="83">
        <f>IFERROR((VLOOKUP(TableQBRanks30[[#This Row],[Player]],QB!B:O,11,FALSE)),"")</f>
        <v>9.7258605695999982</v>
      </c>
      <c r="M3" s="57">
        <f>IFERROR(INDEX(TableQBCalcPts[Custom],MATCH(TableQBRanks30[[#This Row],[RK]],TableQBCalcPts[RK],0)),"")</f>
        <v>372.4356141320917</v>
      </c>
      <c r="N3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22.754730975739278</v>
      </c>
      <c r="P3">
        <v>2</v>
      </c>
      <c r="Q3" t="str">
        <f>IFERROR(INDEX(TableRBCalcPts[PLAYER],MATCH(TableRBRanks31[[#This Row],[RK]],TableRBCalcPts[RK],0)),"")</f>
        <v>Jonathan Taylor</v>
      </c>
      <c r="R3" t="str">
        <f>IFERROR(INDEX(TableRBCalcPts[TM],MATCH(TableRBRanks31[[#This Row],[Player]],TableRBCalcPts[PLAYER],0)),"")</f>
        <v>IND</v>
      </c>
      <c r="S3">
        <f>IFERROR(INDEX(TableRBCalcPts[BYE],MATCH(TableRBRanks31[[#This Row],[Player]],TableRBCalcPts[PLAYER],0)),"")</f>
        <v>14</v>
      </c>
      <c r="T3" s="83">
        <f>IFERROR((VLOOKUP(TableRBRanks31[[#This Row],[Player]],RB!B:O,4,FALSE)),"")</f>
        <v>292.48295999999993</v>
      </c>
      <c r="U3" s="83">
        <f>IFERROR((VLOOKUP(TableRBRanks31[[#This Row],[Player]],RB!B:O,5,FALSE)),"")</f>
        <v>1318.4647511290004</v>
      </c>
      <c r="V3" s="83">
        <f>IFERROR((VLOOKUP(TableRBRanks31[[#This Row],[Player]],RB!B:O,6,FALSE)),"")</f>
        <v>11.114352479999997</v>
      </c>
      <c r="W3" s="83">
        <f>IFERROR((VLOOKUP(TableRBRanks31[[#This Row],[Player]],RB!B:O,7,FALSE)),"")</f>
        <v>54.199468400000001</v>
      </c>
      <c r="X3" s="83">
        <f>IFERROR((VLOOKUP(TableRBRanks31[[#This Row],[Player]],RB!B:O,8,FALSE)),"")</f>
        <v>39.782409805599997</v>
      </c>
      <c r="Y3" s="83">
        <f>IFERROR((VLOOKUP(TableRBRanks31[[#This Row],[Player]],RB!B:O,9,FALSE)),"")</f>
        <v>313.48538926812796</v>
      </c>
      <c r="Z3" s="83">
        <f>IFERROR((VLOOKUP(TableRBRanks31[[#This Row],[Player]],RB!B:O,10,FALSE)),"")</f>
        <v>1.9891204902799999</v>
      </c>
      <c r="AA3" s="57">
        <f>IFERROR((IFERROR(INDEX(TableRBCalcPts[Custom],MATCH(TableRBRanks31[[#This Row],[RK]],TableRBCalcPts[RK],0)),"")),"")</f>
        <v>261.70705676419283</v>
      </c>
      <c r="AB3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50.566068834976171</v>
      </c>
      <c r="AD3">
        <v>2</v>
      </c>
      <c r="AE3" t="str">
        <f>IFERROR(INDEX(TableWRCalcPts[PLAYER],MATCH(TableWRRanks32[[#This Row],[RK]],TableWRCalcPts[RK],0)),"")</f>
        <v>Tyreek Hill</v>
      </c>
      <c r="AF3" t="str">
        <f>IFERROR(INDEX(TableWRCalcPts[TM],MATCH(TableWRRanks32[[#This Row],[Player]],TableWRCalcPts[PLAYER],0)),"")</f>
        <v>MIA</v>
      </c>
      <c r="AG3">
        <f>IFERROR(INDEX(TableWRCalcPts[BYE],MATCH(TableWRRanks32[[#This Row],[Player]],TableWRCalcPts[PLAYER],0)),"")</f>
        <v>6</v>
      </c>
      <c r="AH3" s="83">
        <f>IFERROR((VLOOKUP(TableWRRanks32[[#This Row],[Player]],WR!B:O,4,FALSE)),"")</f>
        <v>33.541405128000001</v>
      </c>
      <c r="AI3" s="83">
        <f>IFERROR((VLOOKUP(TableWRRanks32[[#This Row],[Player]],WR!B:O,5,FALSE)),"")</f>
        <v>0.3158324400000001</v>
      </c>
      <c r="AJ3" s="83">
        <f>IFERROR((VLOOKUP(TableWRRanks32[[#This Row],[Player]],WR!B:O,6,FALSE)),"")</f>
        <v>155.96380127999996</v>
      </c>
      <c r="AK3" s="83">
        <f>IFERROR((VLOOKUP(TableWRRanks32[[#This Row],[Player]],WR!B:O,7,FALSE)),"")</f>
        <v>105.11960206271996</v>
      </c>
      <c r="AL3" s="83">
        <f>IFERROR((VLOOKUP(TableWRRanks32[[#This Row],[Player]],WR!B:O,8,FALSE)),"")</f>
        <v>1506.753388178435</v>
      </c>
      <c r="AM3" s="83">
        <f>IFERROR((VLOOKUP(TableWRRanks32[[#This Row],[Player]],WR!B:O,9,FALSE)),"")</f>
        <v>9.6458276903413687</v>
      </c>
      <c r="AN3" s="57">
        <f>IFERROR((IFERROR(INDEX(TableWRCalcPts[Custom],MATCH(TableWRRanks32[[#This Row],[RK]],TableWRCalcPts[RK],0)),"")),"")</f>
        <v>266.35924114405168</v>
      </c>
      <c r="AO3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51.910084754006128</v>
      </c>
      <c r="AQ3">
        <v>2</v>
      </c>
      <c r="AR3" t="str">
        <f>IFERROR(INDEX(TableTECalcPts[PLAYER],MATCH(TableTERanks33[[#This Row],[RK]],TableTECalcPts[RK],0)),"")</f>
        <v>Sam LaPorta</v>
      </c>
      <c r="AS3" t="str">
        <f>IFERROR(INDEX(TableTECalcPts[TM],MATCH(TableTERanks33[[#This Row],[Player]],TableTECalcPts[PLAYER],0)),"")</f>
        <v>DET</v>
      </c>
      <c r="AT3">
        <f>IFERROR(INDEX(TableTECalcPts[BYE],MATCH(TableTERanks33[[#This Row],[Player]],TableTECalcPts[PLAYER],0)),"")</f>
        <v>5</v>
      </c>
      <c r="AU3" s="83">
        <f>IFERROR((VLOOKUP(TableTERanks33[[#This Row],[Player]],TE!B:O,4,FALSE)),"")</f>
        <v>121.49829299999999</v>
      </c>
      <c r="AV3" s="83">
        <f>IFERROR((VLOOKUP(TableTERanks33[[#This Row],[Player]],TE!B:O,5,FALSE)),"")</f>
        <v>86.263788029999972</v>
      </c>
      <c r="AW3" s="83">
        <f>IFERROR((VLOOKUP(TableTERanks33[[#This Row],[Player]],TE!B:O,6,FALSE)),"")</f>
        <v>896.26531845526756</v>
      </c>
      <c r="AX3" s="83">
        <f>IFERROR((VLOOKUP(TableTERanks33[[#This Row],[Player]],TE!B:O,7,FALSE)),"")</f>
        <v>8.2963843386541338</v>
      </c>
      <c r="AY3" s="57">
        <f>IFERROR((IFERROR(INDEX(TableTECalcPts[Custom],MATCH(TableTERanks33[[#This Row],[RK]],TableTECalcPts[RK],0)),"")),"")</f>
        <v>182.53673189245154</v>
      </c>
      <c r="AZ3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20.667603838702814</v>
      </c>
    </row>
    <row r="4" spans="1:52" x14ac:dyDescent="0.2">
      <c r="A4">
        <v>3</v>
      </c>
      <c r="B4" t="str">
        <f>IFERROR(INDEX(TableQBCalcPts[PLAYER],MATCH(TableQBRanks30[[#This Row],[RK]],TableQBCalcPts[RK],0)),"")</f>
        <v>Lamar Jackson</v>
      </c>
      <c r="C4" t="str">
        <f>IFERROR(INDEX(TableQBCalcPts[TM],MATCH(TableQBRanks30[[#This Row],[Player]],TableQBCalcPts[PLAYER],0)),"")</f>
        <v>BAL</v>
      </c>
      <c r="D4">
        <f>IFERROR(INDEX(TableQBCalcPts[BYE],MATCH(TableQBRanks30[[#This Row],[Player]],TableQBCalcPts[PLAYER],0)),"")</f>
        <v>14</v>
      </c>
      <c r="E4" s="83">
        <f>IFERROR((VLOOKUP(TableQBRanks30[[#This Row],[Player]],QB!B:O,4,FALSE)),"")</f>
        <v>513.14440000000002</v>
      </c>
      <c r="F4" s="83">
        <f>IFERROR((VLOOKUP(TableQBRanks30[[#This Row],[Player]],QB!B:O,5,FALSE)),"")</f>
        <v>338.15568117642169</v>
      </c>
      <c r="G4" s="83">
        <f>IFERROR((VLOOKUP(TableQBRanks30[[#This Row],[Player]],QB!B:O,6,FALSE)),"")</f>
        <v>3938.5025075402932</v>
      </c>
      <c r="H4" s="83">
        <f>IFERROR((VLOOKUP(TableQBRanks30[[#This Row],[Player]],QB!B:O,7,FALSE)),"")</f>
        <v>27.00731983910633</v>
      </c>
      <c r="I4" s="83">
        <f>IFERROR((VLOOKUP(TableQBRanks30[[#This Row],[Player]],QB!B:O,8,FALSE)),"")</f>
        <v>6.5285855002725803</v>
      </c>
      <c r="J4" s="83">
        <f>IFERROR((VLOOKUP(TableQBRanks30[[#This Row],[Player]],QB!B:O,9,FALSE)),"")</f>
        <v>147.03669120000001</v>
      </c>
      <c r="K4" s="83">
        <f>IFERROR((VLOOKUP(TableQBRanks30[[#This Row],[Player]],QB!B:O,10,FALSE)),"")</f>
        <v>855.45770716797324</v>
      </c>
      <c r="L4" s="83">
        <f>IFERROR((VLOOKUP(TableQBRanks30[[#This Row],[Player]],QB!B:O,11,FALSE)),"")</f>
        <v>5.464757583408181</v>
      </c>
      <c r="M4" s="57">
        <f>IFERROR(INDEX(TableQBCalcPts[Custom],MATCH(TableQBRanks30[[#This Row],[RK]],TableQBCalcPts[RK],0)),"")</f>
        <v>370.84652487473829</v>
      </c>
      <c r="N4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21.721939194300639</v>
      </c>
      <c r="P4">
        <v>3</v>
      </c>
      <c r="Q4" t="str">
        <f>IFERROR(INDEX(TableRBCalcPts[PLAYER],MATCH(TableRBRanks31[[#This Row],[RK]],TableRBCalcPts[RK],0)),"")</f>
        <v>Breece Hall</v>
      </c>
      <c r="R4" t="str">
        <f>IFERROR(INDEX(TableRBCalcPts[TM],MATCH(TableRBRanks31[[#This Row],[Player]],TableRBCalcPts[PLAYER],0)),"")</f>
        <v>NYJ</v>
      </c>
      <c r="S4">
        <f>IFERROR(INDEX(TableRBCalcPts[BYE],MATCH(TableRBRanks31[[#This Row],[Player]],TableRBCalcPts[PLAYER],0)),"")</f>
        <v>12</v>
      </c>
      <c r="T4" s="83">
        <f>IFERROR((VLOOKUP(TableRBRanks31[[#This Row],[Player]],RB!B:O,4,FALSE)),"")</f>
        <v>241.62470360000006</v>
      </c>
      <c r="U4" s="83">
        <f>IFERROR((VLOOKUP(TableRBRanks31[[#This Row],[Player]],RB!B:O,5,FALSE)),"")</f>
        <v>1081.152639879771</v>
      </c>
      <c r="V4" s="83">
        <f>IFERROR((VLOOKUP(TableRBRanks31[[#This Row],[Player]],RB!B:O,6,FALSE)),"")</f>
        <v>9.1817387368000016</v>
      </c>
      <c r="W4" s="83">
        <f>IFERROR((VLOOKUP(TableRBRanks31[[#This Row],[Player]],RB!B:O,7,FALSE)),"")</f>
        <v>72.878966159999976</v>
      </c>
      <c r="X4" s="83">
        <f>IFERROR((VLOOKUP(TableRBRanks31[[#This Row],[Player]],RB!B:O,8,FALSE)),"")</f>
        <v>57.137109469439984</v>
      </c>
      <c r="Y4" s="83">
        <f>IFERROR((VLOOKUP(TableRBRanks31[[#This Row],[Player]],RB!B:O,9,FALSE)),"")</f>
        <v>453.72342684389395</v>
      </c>
      <c r="Z4" s="83">
        <f>IFERROR((VLOOKUP(TableRBRanks31[[#This Row],[Player]],RB!B:O,10,FALSE)),"")</f>
        <v>3.2576542327528428</v>
      </c>
      <c r="AA4" s="57">
        <f>IFERROR((IFERROR(INDEX(TableRBCalcPts[Custom],MATCH(TableRBRanks31[[#This Row],[RK]],TableRBCalcPts[RK],0)),"")),"")</f>
        <v>256.69251922440355</v>
      </c>
      <c r="AB4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48.777804679039306</v>
      </c>
      <c r="AD4">
        <v>3</v>
      </c>
      <c r="AE4" t="str">
        <f>IFERROR(INDEX(TableWRCalcPts[PLAYER],MATCH(TableWRRanks32[[#This Row],[RK]],TableWRCalcPts[RK],0)),"")</f>
        <v>Amon-Ra St. Brown</v>
      </c>
      <c r="AF4" t="str">
        <f>IFERROR(INDEX(TableWRCalcPts[TM],MATCH(TableWRRanks32[[#This Row],[Player]],TableWRCalcPts[PLAYER],0)),"")</f>
        <v>DET</v>
      </c>
      <c r="AG4">
        <f>IFERROR(INDEX(TableWRCalcPts[BYE],MATCH(TableWRRanks32[[#This Row],[Player]],TableWRCalcPts[PLAYER],0)),"")</f>
        <v>5</v>
      </c>
      <c r="AH4" s="83">
        <f>IFERROR((VLOOKUP(TableWRRanks32[[#This Row],[Player]],WR!B:O,4,FALSE)),"")</f>
        <v>123.26695878000001</v>
      </c>
      <c r="AI4" s="83">
        <f>IFERROR((VLOOKUP(TableWRRanks32[[#This Row],[Player]],WR!B:O,5,FALSE)),"")</f>
        <v>0.28167640200000005</v>
      </c>
      <c r="AJ4" s="83">
        <f>IFERROR((VLOOKUP(TableWRRanks32[[#This Row],[Player]],WR!B:O,6,FALSE)),"")</f>
        <v>151.72469759999998</v>
      </c>
      <c r="AK4" s="83">
        <f>IFERROR((VLOOKUP(TableWRRanks32[[#This Row],[Player]],WR!B:O,7,FALSE)),"")</f>
        <v>108.17970938880001</v>
      </c>
      <c r="AL4" s="83">
        <f>IFERROR((VLOOKUP(TableWRRanks32[[#This Row],[Player]],WR!B:O,8,FALSE)),"")</f>
        <v>1337.101208045568</v>
      </c>
      <c r="AM4" s="83">
        <f>IFERROR((VLOOKUP(TableWRRanks32[[#This Row],[Player]],WR!B:O,9,FALSE)),"")</f>
        <v>8.2331388766299778</v>
      </c>
      <c r="AN4" s="57">
        <f>IFERROR((IFERROR(INDEX(TableWRCalcPts[Custom],MATCH(TableWRRanks32[[#This Row],[RK]],TableWRCalcPts[RK],0)),"")),"")</f>
        <v>251.21556304873667</v>
      </c>
      <c r="AO4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45.311891365903037</v>
      </c>
      <c r="AQ4">
        <v>3</v>
      </c>
      <c r="AR4" t="str">
        <f>IFERROR(INDEX(TableTECalcPts[PLAYER],MATCH(TableTERanks33[[#This Row],[RK]],TableTECalcPts[RK],0)),"")</f>
        <v>Mark Andrews</v>
      </c>
      <c r="AS4" t="str">
        <f>IFERROR(INDEX(TableTECalcPts[TM],MATCH(TableTERanks33[[#This Row],[Player]],TableTECalcPts[PLAYER],0)),"")</f>
        <v>BAL</v>
      </c>
      <c r="AT4">
        <f>IFERROR(INDEX(TableTECalcPts[BYE],MATCH(TableTERanks33[[#This Row],[Player]],TableTECalcPts[PLAYER],0)),"")</f>
        <v>14</v>
      </c>
      <c r="AU4" s="83">
        <f>IFERROR((VLOOKUP(TableTERanks33[[#This Row],[Player]],TE!B:O,4,FALSE)),"")</f>
        <v>116.45677120000001</v>
      </c>
      <c r="AV4" s="83">
        <f>IFERROR((VLOOKUP(TableTERanks33[[#This Row],[Player]],TE!B:O,5,FALSE)),"")</f>
        <v>81.51973984</v>
      </c>
      <c r="AW4" s="83">
        <f>IFERROR((VLOOKUP(TableTERanks33[[#This Row],[Player]],TE!B:O,6,FALSE)),"")</f>
        <v>931.10389580398976</v>
      </c>
      <c r="AX4" s="83">
        <f>IFERROR((VLOOKUP(TableTERanks33[[#This Row],[Player]],TE!B:O,7,FALSE)),"")</f>
        <v>8.0704542441600005</v>
      </c>
      <c r="AY4" s="57">
        <f>IFERROR((IFERROR(INDEX(TableTECalcPts[Custom],MATCH(TableTERanks33[[#This Row],[RK]],TableTECalcPts[RK],0)),"")),"")</f>
        <v>182.29298496535898</v>
      </c>
      <c r="AZ4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20.568627565588908</v>
      </c>
    </row>
    <row r="5" spans="1:52" x14ac:dyDescent="0.2">
      <c r="A5">
        <v>4</v>
      </c>
      <c r="B5" t="str">
        <f>IFERROR(INDEX(TableQBCalcPts[PLAYER],MATCH(TableQBRanks30[[#This Row],[RK]],TableQBCalcPts[RK],0)),"")</f>
        <v>Patrick Mahomes</v>
      </c>
      <c r="C5" t="str">
        <f>IFERROR(INDEX(TableQBCalcPts[TM],MATCH(TableQBRanks30[[#This Row],[Player]],TableQBCalcPts[PLAYER],0)),"")</f>
        <v>KC</v>
      </c>
      <c r="D5">
        <f>IFERROR(INDEX(TableQBCalcPts[BYE],MATCH(TableQBRanks30[[#This Row],[Player]],TableQBCalcPts[PLAYER],0)),"")</f>
        <v>6</v>
      </c>
      <c r="E5" s="83">
        <f>IFERROR((VLOOKUP(TableQBRanks30[[#This Row],[Player]],QB!B:O,4,FALSE)),"")</f>
        <v>636.76799999999992</v>
      </c>
      <c r="F5" s="83">
        <f>IFERROR((VLOOKUP(TableQBRanks30[[#This Row],[Player]],QB!B:O,5,FALSE)),"")</f>
        <v>429.18163199999998</v>
      </c>
      <c r="G5" s="83">
        <f>IFERROR((VLOOKUP(TableQBRanks30[[#This Row],[Player]],QB!B:O,6,FALSE)),"")</f>
        <v>4871.2115231999996</v>
      </c>
      <c r="H5" s="83">
        <f>IFERROR((VLOOKUP(TableQBRanks30[[#This Row],[Player]],QB!B:O,7,FALSE)),"")</f>
        <v>35.659007999999993</v>
      </c>
      <c r="I5" s="83">
        <f>IFERROR((VLOOKUP(TableQBRanks30[[#This Row],[Player]],QB!B:O,8,FALSE)),"")</f>
        <v>6.9918730139150211</v>
      </c>
      <c r="J5" s="83">
        <f>IFERROR((VLOOKUP(TableQBRanks30[[#This Row],[Player]],QB!B:O,9,FALSE)),"")</f>
        <v>58.831360000000011</v>
      </c>
      <c r="K5" s="83">
        <f>IFERROR((VLOOKUP(TableQBRanks30[[#This Row],[Player]],QB!B:O,10,FALSE)),"")</f>
        <v>311.80620800000003</v>
      </c>
      <c r="L5" s="83">
        <f>IFERROR((VLOOKUP(TableQBRanks30[[#This Row],[Player]],QB!B:O,11,FALSE)),"")</f>
        <v>2.0002662400000006</v>
      </c>
      <c r="M5" s="57">
        <f>IFERROR(INDEX(TableQBCalcPts[Custom],MATCH(TableQBRanks30[[#This Row],[RK]],TableQBCalcPts[RK],0)),"")</f>
        <v>366.68296514016993</v>
      </c>
      <c r="N5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19.35150474991466</v>
      </c>
      <c r="P5">
        <v>4</v>
      </c>
      <c r="Q5" t="str">
        <f>IFERROR(INDEX(TableRBCalcPts[PLAYER],MATCH(TableRBRanks31[[#This Row],[RK]],TableRBCalcPts[RK],0)),"")</f>
        <v>Bijan Robinson</v>
      </c>
      <c r="R5" t="str">
        <f>IFERROR(INDEX(TableRBCalcPts[TM],MATCH(TableRBRanks31[[#This Row],[Player]],TableRBCalcPts[PLAYER],0)),"")</f>
        <v>ATL</v>
      </c>
      <c r="S5">
        <f>IFERROR(INDEX(TableRBCalcPts[BYE],MATCH(TableRBRanks31[[#This Row],[Player]],TableRBCalcPts[PLAYER],0)),"")</f>
        <v>12</v>
      </c>
      <c r="T5" s="83">
        <f>IFERROR((VLOOKUP(TableRBRanks31[[#This Row],[Player]],RB!B:O,4,FALSE)),"")</f>
        <v>262.51071840000003</v>
      </c>
      <c r="U5" s="83">
        <f>IFERROR((VLOOKUP(TableRBRanks31[[#This Row],[Player]],RB!B:O,5,FALSE)),"")</f>
        <v>1198.3646580486595</v>
      </c>
      <c r="V5" s="83">
        <f>IFERROR((VLOOKUP(TableRBRanks31[[#This Row],[Player]],RB!B:O,6,FALSE)),"")</f>
        <v>9.7128965808000007</v>
      </c>
      <c r="W5" s="83">
        <f>IFERROR((VLOOKUP(TableRBRanks31[[#This Row],[Player]],RB!B:O,7,FALSE)),"")</f>
        <v>51.762110399999997</v>
      </c>
      <c r="X5" s="83">
        <f>IFERROR((VLOOKUP(TableRBRanks31[[#This Row],[Player]],RB!B:O,8,FALSE)),"")</f>
        <v>38.562772247999987</v>
      </c>
      <c r="Y5" s="83">
        <f>IFERROR((VLOOKUP(TableRBRanks31[[#This Row],[Player]],RB!B:O,9,FALSE)),"")</f>
        <v>320.68214668517703</v>
      </c>
      <c r="Z5" s="83">
        <f>IFERROR((VLOOKUP(TableRBRanks31[[#This Row],[Player]],RB!B:O,10,FALSE)),"")</f>
        <v>2.6969384384134791</v>
      </c>
      <c r="AA5" s="57">
        <f>IFERROR((IFERROR(INDEX(TableRBCalcPts[Custom],MATCH(TableRBRanks31[[#This Row],[RK]],TableRBCalcPts[RK],0)),"")),"")</f>
        <v>245.64507671266452</v>
      </c>
      <c r="AB5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44.838110280152357</v>
      </c>
      <c r="AD5">
        <v>4</v>
      </c>
      <c r="AE5" t="str">
        <f>IFERROR(INDEX(TableWRCalcPts[PLAYER],MATCH(TableWRRanks32[[#This Row],[RK]],TableWRCalcPts[RK],0)),"")</f>
        <v>Ja'Marr Chase</v>
      </c>
      <c r="AF5" t="str">
        <f>IFERROR(INDEX(TableWRCalcPts[TM],MATCH(TableWRRanks32[[#This Row],[Player]],TableWRCalcPts[PLAYER],0)),"")</f>
        <v>CIN</v>
      </c>
      <c r="AG5">
        <f>IFERROR(INDEX(TableWRCalcPts[BYE],MATCH(TableWRRanks32[[#This Row],[Player]],TableWRCalcPts[PLAYER],0)),"")</f>
        <v>12</v>
      </c>
      <c r="AH5" s="83">
        <f>IFERROR((VLOOKUP(TableWRRanks32[[#This Row],[Player]],WR!B:O,4,FALSE)),"")</f>
        <v>0</v>
      </c>
      <c r="AI5" s="83">
        <f>IFERROR((VLOOKUP(TableWRRanks32[[#This Row],[Player]],WR!B:O,5,FALSE)),"")</f>
        <v>0</v>
      </c>
      <c r="AJ5" s="83">
        <f>IFERROR((VLOOKUP(TableWRRanks32[[#This Row],[Player]],WR!B:O,6,FALSE)),"")</f>
        <v>156.51559811999999</v>
      </c>
      <c r="AK5" s="83">
        <f>IFERROR((VLOOKUP(TableWRRanks32[[#This Row],[Player]],WR!B:O,7,FALSE)),"")</f>
        <v>106.27409112348001</v>
      </c>
      <c r="AL5" s="83">
        <f>IFERROR((VLOOKUP(TableWRRanks32[[#This Row],[Player]],WR!B:O,8,FALSE)),"")</f>
        <v>1317.7987299311521</v>
      </c>
      <c r="AM5" s="83">
        <f>IFERROR((VLOOKUP(TableWRRanks32[[#This Row],[Player]],WR!B:O,9,FALSE)),"")</f>
        <v>9.6292480890477261</v>
      </c>
      <c r="AN5" s="57">
        <f>IFERROR((IFERROR(INDEX(TableWRCalcPts[Custom],MATCH(TableWRRanks32[[#This Row],[RK]],TableWRCalcPts[RK],0)),"")),"")</f>
        <v>242.69240708914157</v>
      </c>
      <c r="AO5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41.598300061042288</v>
      </c>
      <c r="AQ5">
        <v>4</v>
      </c>
      <c r="AR5" t="str">
        <f>IFERROR(INDEX(TableTECalcPts[PLAYER],MATCH(TableTERanks33[[#This Row],[RK]],TableTECalcPts[RK],0)),"")</f>
        <v>Kyle Pitts</v>
      </c>
      <c r="AS5" t="str">
        <f>IFERROR(INDEX(TableTECalcPts[TM],MATCH(TableTERanks33[[#This Row],[Player]],TableTECalcPts[PLAYER],0)),"")</f>
        <v>ATL</v>
      </c>
      <c r="AT5">
        <f>IFERROR(INDEX(TableTECalcPts[BYE],MATCH(TableTERanks33[[#This Row],[Player]],TableTECalcPts[PLAYER],0)),"")</f>
        <v>12</v>
      </c>
      <c r="AU5" s="83">
        <f>IFERROR((VLOOKUP(TableTERanks33[[#This Row],[Player]],TE!B:O,4,FALSE)),"")</f>
        <v>126.52960319999998</v>
      </c>
      <c r="AV5" s="83">
        <f>IFERROR((VLOOKUP(TableTERanks33[[#This Row],[Player]],TE!B:O,5,FALSE)),"")</f>
        <v>78.70141319039999</v>
      </c>
      <c r="AW5" s="83">
        <f>IFERROR((VLOOKUP(TableTERanks33[[#This Row],[Player]],TE!B:O,6,FALSE)),"")</f>
        <v>1000.294961649984</v>
      </c>
      <c r="AX5" s="83">
        <f>IFERROR((VLOOKUP(TableTERanks33[[#This Row],[Player]],TE!B:O,7,FALSE)),"")</f>
        <v>6.3748144684223993</v>
      </c>
      <c r="AY5" s="57">
        <f>IFERROR((IFERROR(INDEX(TableTECalcPts[Custom],MATCH(TableTERanks33[[#This Row],[RK]],TableTECalcPts[RK],0)),"")),"")</f>
        <v>177.62908957073282</v>
      </c>
      <c r="AZ5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18.674798626453597</v>
      </c>
    </row>
    <row r="6" spans="1:52" x14ac:dyDescent="0.2">
      <c r="A6">
        <v>5</v>
      </c>
      <c r="B6" t="str">
        <f>IFERROR(INDEX(TableQBCalcPts[PLAYER],MATCH(TableQBRanks30[[#This Row],[RK]],TableQBCalcPts[RK],0)),"")</f>
        <v>Anthony Richardson</v>
      </c>
      <c r="C6" t="str">
        <f>IFERROR(INDEX(TableQBCalcPts[TM],MATCH(TableQBRanks30[[#This Row],[Player]],TableQBCalcPts[PLAYER],0)),"")</f>
        <v>IND</v>
      </c>
      <c r="D6">
        <f>IFERROR(INDEX(TableQBCalcPts[BYE],MATCH(TableQBRanks30[[#This Row],[Player]],TableQBCalcPts[PLAYER],0)),"")</f>
        <v>14</v>
      </c>
      <c r="E6" s="83">
        <f>IFERROR((VLOOKUP(TableQBRanks30[[#This Row],[Player]],QB!B:O,4,FALSE)),"")</f>
        <v>520.20100000000002</v>
      </c>
      <c r="F6" s="83">
        <f>IFERROR((VLOOKUP(TableQBRanks30[[#This Row],[Player]],QB!B:O,5,FALSE)),"")</f>
        <v>326.36403489000071</v>
      </c>
      <c r="G6" s="83">
        <f>IFERROR((VLOOKUP(TableQBRanks30[[#This Row],[Player]],QB!B:O,6,FALSE)),"")</f>
        <v>3655.8084668775996</v>
      </c>
      <c r="H6" s="83">
        <f>IFERROR((VLOOKUP(TableQBRanks30[[#This Row],[Player]],QB!B:O,7,FALSE)),"")</f>
        <v>22.368642999999999</v>
      </c>
      <c r="I6" s="83">
        <f>IFERROR((VLOOKUP(TableQBRanks30[[#This Row],[Player]],QB!B:O,8,FALSE)),"")</f>
        <v>6.0357611036852434</v>
      </c>
      <c r="J6" s="83">
        <f>IFERROR((VLOOKUP(TableQBRanks30[[#This Row],[Player]],QB!B:O,9,FALSE)),"")</f>
        <v>136.49204800000001</v>
      </c>
      <c r="K6" s="83">
        <f>IFERROR((VLOOKUP(TableQBRanks30[[#This Row],[Player]],QB!B:O,10,FALSE)),"")</f>
        <v>686.03471248911717</v>
      </c>
      <c r="L6" s="83">
        <f>IFERROR((VLOOKUP(TableQBRanks30[[#This Row],[Player]],QB!B:O,11,FALSE)),"")</f>
        <v>8.5105514237598872</v>
      </c>
      <c r="M6" s="57">
        <f>IFERROR(INDEX(TableQBCalcPts[Custom],MATCH(TableQBRanks30[[#This Row],[RK]],TableQBCalcPts[RK],0)),"")</f>
        <v>343.30216825920456</v>
      </c>
      <c r="N6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15.369908826064485</v>
      </c>
      <c r="P6">
        <v>5</v>
      </c>
      <c r="Q6" t="str">
        <f>IFERROR(INDEX(TableRBCalcPts[PLAYER],MATCH(TableRBRanks31[[#This Row],[RK]],TableRBCalcPts[RK],0)),"")</f>
        <v>Saquon Barkley</v>
      </c>
      <c r="R6" t="str">
        <f>IFERROR(INDEX(TableRBCalcPts[TM],MATCH(TableRBRanks31[[#This Row],[Player]],TableRBCalcPts[PLAYER],0)),"")</f>
        <v>PHI</v>
      </c>
      <c r="S6">
        <f>IFERROR(INDEX(TableRBCalcPts[BYE],MATCH(TableRBRanks31[[#This Row],[Player]],TableRBCalcPts[PLAYER],0)),"")</f>
        <v>5</v>
      </c>
      <c r="T6" s="83">
        <f>IFERROR((VLOOKUP(TableRBRanks31[[#This Row],[Player]],RB!B:O,4,FALSE)),"")</f>
        <v>251.11457280000002</v>
      </c>
      <c r="U6" s="83">
        <f>IFERROR((VLOOKUP(TableRBRanks31[[#This Row],[Player]],RB!B:O,5,FALSE)),"")</f>
        <v>1107.4152660480001</v>
      </c>
      <c r="V6" s="83">
        <f>IFERROR((VLOOKUP(TableRBRanks31[[#This Row],[Player]],RB!B:O,6,FALSE)),"")</f>
        <v>9.5423537663999998</v>
      </c>
      <c r="W6" s="83">
        <f>IFERROR((VLOOKUP(TableRBRanks31[[#This Row],[Player]],RB!B:O,7,FALSE)),"")</f>
        <v>63.594599040000013</v>
      </c>
      <c r="X6" s="83">
        <f>IFERROR((VLOOKUP(TableRBRanks31[[#This Row],[Player]],RB!B:O,8,FALSE)),"")</f>
        <v>48.459084468479993</v>
      </c>
      <c r="Y6" s="83">
        <f>IFERROR((VLOOKUP(TableRBRanks31[[#This Row],[Player]],RB!B:O,9,FALSE)),"")</f>
        <v>358.54282797919461</v>
      </c>
      <c r="Z6" s="83">
        <f>IFERROR((VLOOKUP(TableRBRanks31[[#This Row],[Player]],RB!B:O,10,FALSE)),"")</f>
        <v>2.2775769700185595</v>
      </c>
      <c r="AA6" s="57">
        <f>IFERROR((IFERROR(INDEX(TableRBCalcPts[Custom],MATCH(TableRBRanks31[[#This Row],[RK]],TableRBCalcPts[RK],0)),"")),"")</f>
        <v>241.74493605547082</v>
      </c>
      <c r="AB6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43.447257846596806</v>
      </c>
      <c r="AD6">
        <v>5</v>
      </c>
      <c r="AE6" t="str">
        <f>IFERROR(INDEX(TableWRCalcPts[PLAYER],MATCH(TableWRRanks32[[#This Row],[RK]],TableWRCalcPts[RK],0)),"")</f>
        <v>Justin Jefferson</v>
      </c>
      <c r="AF6" t="str">
        <f>IFERROR(INDEX(TableWRCalcPts[TM],MATCH(TableWRRanks32[[#This Row],[Player]],TableWRCalcPts[PLAYER],0)),"")</f>
        <v>MIN</v>
      </c>
      <c r="AG6">
        <f>IFERROR(INDEX(TableWRCalcPts[BYE],MATCH(TableWRRanks32[[#This Row],[Player]],TableWRCalcPts[PLAYER],0)),"")</f>
        <v>6</v>
      </c>
      <c r="AH6" s="83">
        <f>IFERROR((VLOOKUP(TableWRRanks32[[#This Row],[Player]],WR!B:O,4,FALSE)),"")</f>
        <v>17.335964799999999</v>
      </c>
      <c r="AI6" s="83">
        <f>IFERROR((VLOOKUP(TableWRRanks32[[#This Row],[Player]],WR!B:O,5,FALSE)),"")</f>
        <v>2.2637369823745219E-2</v>
      </c>
      <c r="AJ6" s="83">
        <f>IFERROR((VLOOKUP(TableWRRanks32[[#This Row],[Player]],WR!B:O,6,FALSE)),"")</f>
        <v>160.50283199999998</v>
      </c>
      <c r="AK6" s="83">
        <f>IFERROR((VLOOKUP(TableWRRanks32[[#This Row],[Player]],WR!B:O,7,FALSE)),"")</f>
        <v>103.52432663999997</v>
      </c>
      <c r="AL6" s="83">
        <f>IFERROR((VLOOKUP(TableWRRanks32[[#This Row],[Player]],WR!B:O,8,FALSE)),"")</f>
        <v>1423.4594912999996</v>
      </c>
      <c r="AM6" s="83">
        <f>IFERROR((VLOOKUP(TableWRRanks32[[#This Row],[Player]],WR!B:O,9,FALSE)),"")</f>
        <v>7.5572758447199977</v>
      </c>
      <c r="AN6" s="57">
        <f>IFERROR((IFERROR(INDEX(TableWRCalcPts[Custom],MATCH(TableWRRanks32[[#This Row],[RK]],TableWRCalcPts[RK],0)),"")),"")</f>
        <v>241.32118821726243</v>
      </c>
      <c r="AO6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41.000851591976236</v>
      </c>
      <c r="AQ6">
        <v>5</v>
      </c>
      <c r="AR6" t="str">
        <f>IFERROR(INDEX(TableTECalcPts[PLAYER],MATCH(TableTERanks33[[#This Row],[RK]],TableTECalcPts[RK],0)),"")</f>
        <v>Trey McBride</v>
      </c>
      <c r="AS6" t="str">
        <f>IFERROR(INDEX(TableTECalcPts[TM],MATCH(TableTERanks33[[#This Row],[Player]],TableTECalcPts[PLAYER],0)),"")</f>
        <v>ARI</v>
      </c>
      <c r="AT6">
        <f>IFERROR(INDEX(TableTECalcPts[BYE],MATCH(TableTERanks33[[#This Row],[Player]],TableTECalcPts[PLAYER],0)),"")</f>
        <v>11</v>
      </c>
      <c r="AU6" s="83">
        <f>IFERROR((VLOOKUP(TableTERanks33[[#This Row],[Player]],TE!B:O,4,FALSE)),"")</f>
        <v>122.0659335</v>
      </c>
      <c r="AV6" s="83">
        <f>IFERROR((VLOOKUP(TableTERanks33[[#This Row],[Player]],TE!B:O,5,FALSE)),"")</f>
        <v>88.986065521499981</v>
      </c>
      <c r="AW6" s="83">
        <f>IFERROR((VLOOKUP(TableTERanks33[[#This Row],[Player]],TE!B:O,6,FALSE)),"")</f>
        <v>913.88689290580476</v>
      </c>
      <c r="AX6" s="83">
        <f>IFERROR((VLOOKUP(TableTERanks33[[#This Row],[Player]],TE!B:O,7,FALSE)),"")</f>
        <v>5.6951081933759991</v>
      </c>
      <c r="AY6" s="57">
        <f>IFERROR((IFERROR(INDEX(TableTECalcPts[Custom],MATCH(TableTERanks33[[#This Row],[RK]],TableTECalcPts[RK],0)),"")),"")</f>
        <v>170.05237121158649</v>
      </c>
      <c r="AZ6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15.598184063279145</v>
      </c>
    </row>
    <row r="7" spans="1:52" x14ac:dyDescent="0.2">
      <c r="A7">
        <v>6</v>
      </c>
      <c r="B7" t="str">
        <f>IFERROR(INDEX(TableQBCalcPts[PLAYER],MATCH(TableQBRanks30[[#This Row],[RK]],TableQBCalcPts[RK],0)),"")</f>
        <v>Jayden Daniels</v>
      </c>
      <c r="C7" t="str">
        <f>IFERROR(INDEX(TableQBCalcPts[TM],MATCH(TableQBRanks30[[#This Row],[Player]],TableQBCalcPts[PLAYER],0)),"")</f>
        <v>WSH</v>
      </c>
      <c r="D7">
        <f>IFERROR(INDEX(TableQBCalcPts[BYE],MATCH(TableQBRanks30[[#This Row],[Player]],TableQBCalcPts[PLAYER],0)),"")</f>
        <v>14</v>
      </c>
      <c r="E7" s="83">
        <f>IFERROR((VLOOKUP(TableQBRanks30[[#This Row],[Player]],QB!B:O,4,FALSE)),"")</f>
        <v>549.23300000000006</v>
      </c>
      <c r="F7" s="83">
        <f>IFERROR((VLOOKUP(TableQBRanks30[[#This Row],[Player]],QB!B:O,5,FALSE)),"")</f>
        <v>345.9729880268273</v>
      </c>
      <c r="G7" s="83">
        <f>IFERROR((VLOOKUP(TableQBRanks30[[#This Row],[Player]],QB!B:O,6,FALSE)),"")</f>
        <v>3836.8404372175146</v>
      </c>
      <c r="H7" s="83">
        <f>IFERROR((VLOOKUP(TableQBRanks30[[#This Row],[Player]],QB!B:O,7,FALSE)),"")</f>
        <v>24.276098600000005</v>
      </c>
      <c r="I7" s="83">
        <f>IFERROR((VLOOKUP(TableQBRanks30[[#This Row],[Player]],QB!B:O,8,FALSE)),"")</f>
        <v>7.8683544631080684</v>
      </c>
      <c r="J7" s="83">
        <f>IFERROR((VLOOKUP(TableQBRanks30[[#This Row],[Player]],QB!B:O,9,FALSE)),"")</f>
        <v>121.503928</v>
      </c>
      <c r="K7" s="83">
        <f>IFERROR((VLOOKUP(TableQBRanks30[[#This Row],[Player]],QB!B:O,10,FALSE)),"")</f>
        <v>721.73333232000005</v>
      </c>
      <c r="L7" s="83">
        <f>IFERROR((VLOOKUP(TableQBRanks30[[#This Row],[Player]],QB!B:O,11,FALSE)),"")</f>
        <v>5.6134814736000003</v>
      </c>
      <c r="M7" s="57">
        <f>IFERROR(INDEX(TableQBCalcPts[Custom],MATCH(TableQBRanks30[[#This Row],[RK]],TableQBCalcPts[RK],0)),"")</f>
        <v>340.69552503608452</v>
      </c>
      <c r="N7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14.005054037894336</v>
      </c>
      <c r="P7">
        <v>6</v>
      </c>
      <c r="Q7" t="str">
        <f>IFERROR(INDEX(TableRBCalcPts[PLAYER],MATCH(TableRBRanks31[[#This Row],[RK]],TableRBCalcPts[RK],0)),"")</f>
        <v>Derrick Henry</v>
      </c>
      <c r="R7" t="str">
        <f>IFERROR(INDEX(TableRBCalcPts[TM],MATCH(TableRBRanks31[[#This Row],[Player]],TableRBCalcPts[PLAYER],0)),"")</f>
        <v>BAL</v>
      </c>
      <c r="S7">
        <f>IFERROR(INDEX(TableRBCalcPts[BYE],MATCH(TableRBRanks31[[#This Row],[Player]],TableRBCalcPts[PLAYER],0)),"")</f>
        <v>14</v>
      </c>
      <c r="T7" s="83">
        <f>IFERROR((VLOOKUP(TableRBRanks31[[#This Row],[Player]],RB!B:O,4,FALSE)),"")</f>
        <v>259.41473375999999</v>
      </c>
      <c r="U7" s="83">
        <f>IFERROR((VLOOKUP(TableRBRanks31[[#This Row],[Player]],RB!B:O,5,FALSE)),"")</f>
        <v>1168.9415810283683</v>
      </c>
      <c r="V7" s="83">
        <f>IFERROR((VLOOKUP(TableRBRanks31[[#This Row],[Player]],RB!B:O,6,FALSE)),"")</f>
        <v>13.723039415904001</v>
      </c>
      <c r="W7" s="83">
        <f>IFERROR((VLOOKUP(TableRBRanks31[[#This Row],[Player]],RB!B:O,7,FALSE)),"")</f>
        <v>31.760937600000002</v>
      </c>
      <c r="X7" s="83">
        <f>IFERROR((VLOOKUP(TableRBRanks31[[#This Row],[Player]],RB!B:O,8,FALSE)),"")</f>
        <v>23.820703200000001</v>
      </c>
      <c r="Y7" s="83">
        <f>IFERROR((VLOOKUP(TableRBRanks31[[#This Row],[Player]],RB!B:O,9,FALSE)),"")</f>
        <v>192.46229869443019</v>
      </c>
      <c r="Z7" s="83">
        <f>IFERROR((VLOOKUP(TableRBRanks31[[#This Row],[Player]],RB!B:O,10,FALSE)),"")</f>
        <v>0.86370982678436103</v>
      </c>
      <c r="AA7" s="57">
        <f>IFERROR((IFERROR(INDEX(TableRBCalcPts[Custom],MATCH(TableRBRanks31[[#This Row],[RK]],TableRBCalcPts[RK],0)),"")),"")</f>
        <v>235.57123502841006</v>
      </c>
      <c r="AB7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41.245617482243816</v>
      </c>
      <c r="AD7">
        <v>6</v>
      </c>
      <c r="AE7" t="str">
        <f>IFERROR(INDEX(TableWRCalcPts[PLAYER],MATCH(TableWRRanks32[[#This Row],[RK]],TableWRCalcPts[RK],0)),"")</f>
        <v>Puka Nacua</v>
      </c>
      <c r="AF7" t="str">
        <f>IFERROR(INDEX(TableWRCalcPts[TM],MATCH(TableWRRanks32[[#This Row],[Player]],TableWRCalcPts[PLAYER],0)),"")</f>
        <v>LAR</v>
      </c>
      <c r="AG7">
        <f>IFERROR(INDEX(TableWRCalcPts[BYE],MATCH(TableWRRanks32[[#This Row],[Player]],TableWRCalcPts[PLAYER],0)),"")</f>
        <v>6</v>
      </c>
      <c r="AH7" s="83">
        <f>IFERROR((VLOOKUP(TableWRRanks32[[#This Row],[Player]],WR!B:O,4,FALSE)),"")</f>
        <v>90.244147895999987</v>
      </c>
      <c r="AI7" s="83">
        <f>IFERROR((VLOOKUP(TableWRRanks32[[#This Row],[Player]],WR!B:O,5,FALSE)),"")</f>
        <v>0.1121566998292951</v>
      </c>
      <c r="AJ7" s="83">
        <f>IFERROR((VLOOKUP(TableWRRanks32[[#This Row],[Player]],WR!B:O,6,FALSE)),"")</f>
        <v>144.30153667999997</v>
      </c>
      <c r="AK7" s="83">
        <f>IFERROR((VLOOKUP(TableWRRanks32[[#This Row],[Player]],WR!B:O,7,FALSE)),"")</f>
        <v>93.940300378679979</v>
      </c>
      <c r="AL7" s="83">
        <f>IFERROR((VLOOKUP(TableWRRanks32[[#This Row],[Player]],WR!B:O,8,FALSE)),"")</f>
        <v>1298.2549512333574</v>
      </c>
      <c r="AM7" s="83">
        <f>IFERROR((VLOOKUP(TableWRRanks32[[#This Row],[Player]],WR!B:O,9,FALSE)),"")</f>
        <v>7.1173925145519492</v>
      </c>
      <c r="AN7" s="57">
        <f>IFERROR((IFERROR(INDEX(TableWRCalcPts[Custom],MATCH(TableWRRanks32[[#This Row],[RK]],TableWRCalcPts[RK],0)),"")),"")</f>
        <v>229.19735538856321</v>
      </c>
      <c r="AO7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35.71842330042805</v>
      </c>
      <c r="AQ7">
        <v>6</v>
      </c>
      <c r="AR7" t="str">
        <f>IFERROR(INDEX(TableTECalcPts[PLAYER],MATCH(TableTERanks33[[#This Row],[RK]],TableTECalcPts[RK],0)),"")</f>
        <v>Jake Ferguson</v>
      </c>
      <c r="AS7" t="str">
        <f>IFERROR(INDEX(TableTECalcPts[TM],MATCH(TableTERanks33[[#This Row],[Player]],TableTECalcPts[PLAYER],0)),"")</f>
        <v>DAL</v>
      </c>
      <c r="AT7">
        <f>IFERROR(INDEX(TableTECalcPts[BYE],MATCH(TableTERanks33[[#This Row],[Player]],TableTECalcPts[PLAYER],0)),"")</f>
        <v>7</v>
      </c>
      <c r="AU7" s="83">
        <f>IFERROR((VLOOKUP(TableTERanks33[[#This Row],[Player]],TE!B:O,4,FALSE)),"")</f>
        <v>110.37967163999996</v>
      </c>
      <c r="AV7" s="83">
        <f>IFERROR((VLOOKUP(TableTERanks33[[#This Row],[Player]],TE!B:O,5,FALSE)),"")</f>
        <v>78.590326207679965</v>
      </c>
      <c r="AW7" s="83">
        <f>IFERROR((VLOOKUP(TableTERanks33[[#This Row],[Player]],TE!B:O,6,FALSE)),"")</f>
        <v>824.32652155622793</v>
      </c>
      <c r="AX7" s="83">
        <f>IFERROR((VLOOKUP(TableTERanks33[[#This Row],[Player]],TE!B:O,7,FALSE)),"")</f>
        <v>6.9945390324835168</v>
      </c>
      <c r="AY7" s="57">
        <f>IFERROR((IFERROR(INDEX(TableTECalcPts[Custom],MATCH(TableTERanks33[[#This Row],[RK]],TableTECalcPts[RK],0)),"")),"")</f>
        <v>163.6950494543639</v>
      </c>
      <c r="AZ7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13.016719664850518</v>
      </c>
    </row>
    <row r="8" spans="1:52" x14ac:dyDescent="0.2">
      <c r="A8">
        <v>7</v>
      </c>
      <c r="B8" t="str">
        <f>IFERROR(INDEX(TableQBCalcPts[PLAYER],MATCH(TableQBRanks30[[#This Row],[RK]],TableQBCalcPts[RK],0)),"")</f>
        <v>Dak Prescott</v>
      </c>
      <c r="C8" t="str">
        <f>IFERROR(INDEX(TableQBCalcPts[TM],MATCH(TableQBRanks30[[#This Row],[Player]],TableQBCalcPts[PLAYER],0)),"")</f>
        <v>DAL</v>
      </c>
      <c r="D8">
        <f>IFERROR(INDEX(TableQBCalcPts[BYE],MATCH(TableQBRanks30[[#This Row],[Player]],TableQBCalcPts[PLAYER],0)),"")</f>
        <v>7</v>
      </c>
      <c r="E8" s="83">
        <f>IFERROR((VLOOKUP(TableQBRanks30[[#This Row],[Player]],QB!B:O,4,FALSE)),"")</f>
        <v>609.83243999999991</v>
      </c>
      <c r="F8" s="83">
        <f>IFERROR((VLOOKUP(TableQBRanks30[[#This Row],[Player]],QB!B:O,5,FALSE)),"")</f>
        <v>411.99441147158257</v>
      </c>
      <c r="G8" s="83">
        <f>IFERROR((VLOOKUP(TableQBRanks30[[#This Row],[Player]],QB!B:O,6,FALSE)),"")</f>
        <v>4556.6581908757034</v>
      </c>
      <c r="H8" s="83">
        <f>IFERROR((VLOOKUP(TableQBRanks30[[#This Row],[Player]],QB!B:O,7,FALSE)),"")</f>
        <v>32.930951759999992</v>
      </c>
      <c r="I8" s="83">
        <f>IFERROR((VLOOKUP(TableQBRanks30[[#This Row],[Player]],QB!B:O,8,FALSE)),"")</f>
        <v>7.5420368362322785</v>
      </c>
      <c r="J8" s="83">
        <f>IFERROR((VLOOKUP(TableQBRanks30[[#This Row],[Player]],QB!B:O,9,FALSE)),"")</f>
        <v>46.808098680000001</v>
      </c>
      <c r="K8" s="83">
        <f>IFERROR((VLOOKUP(TableQBRanks30[[#This Row],[Player]],QB!B:O,10,FALSE)),"")</f>
        <v>209.70028208640002</v>
      </c>
      <c r="L8" s="83">
        <f>IFERROR((VLOOKUP(TableQBRanks30[[#This Row],[Player]],QB!B:O,11,FALSE)),"")</f>
        <v>1.82551584852</v>
      </c>
      <c r="M8" s="57">
        <f>IFERROR(INDEX(TableQBCalcPts[Custom],MATCH(TableQBRanks30[[#This Row],[RK]],TableQBCalcPts[RK],0)),"")</f>
        <v>330.82918430232354</v>
      </c>
      <c r="N8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10.345189312590385</v>
      </c>
      <c r="P8">
        <v>7</v>
      </c>
      <c r="Q8" t="str">
        <f>IFERROR(INDEX(TableRBCalcPts[PLAYER],MATCH(TableRBRanks31[[#This Row],[RK]],TableRBCalcPts[RK],0)),"")</f>
        <v>Joe Mixon</v>
      </c>
      <c r="R8" t="str">
        <f>IFERROR(INDEX(TableRBCalcPts[TM],MATCH(TableRBRanks31[[#This Row],[Player]],TableRBCalcPts[PLAYER],0)),"")</f>
        <v>HOU</v>
      </c>
      <c r="S8">
        <f>IFERROR(INDEX(TableRBCalcPts[BYE],MATCH(TableRBRanks31[[#This Row],[Player]],TableRBCalcPts[PLAYER],0)),"")</f>
        <v>14</v>
      </c>
      <c r="T8" s="83">
        <f>IFERROR((VLOOKUP(TableRBRanks31[[#This Row],[Player]],RB!B:O,4,FALSE)),"")</f>
        <v>255.00384000000003</v>
      </c>
      <c r="U8" s="83">
        <f>IFERROR((VLOOKUP(TableRBRanks31[[#This Row],[Player]],RB!B:O,5,FALSE)),"")</f>
        <v>1081.2162816000002</v>
      </c>
      <c r="V8" s="83">
        <f>IFERROR((VLOOKUP(TableRBRanks31[[#This Row],[Player]],RB!B:O,6,FALSE)),"")</f>
        <v>9.6901459200000009</v>
      </c>
      <c r="W8" s="83">
        <f>IFERROR((VLOOKUP(TableRBRanks31[[#This Row],[Player]],RB!B:O,7,FALSE)),"")</f>
        <v>46.347100799999993</v>
      </c>
      <c r="X8" s="83">
        <f>IFERROR((VLOOKUP(TableRBRanks31[[#This Row],[Player]],RB!B:O,8,FALSE)),"")</f>
        <v>35.733614716799998</v>
      </c>
      <c r="Y8" s="83">
        <f>IFERROR((VLOOKUP(TableRBRanks31[[#This Row],[Player]],RB!B:O,9,FALSE)),"")</f>
        <v>267.39757649316999</v>
      </c>
      <c r="Z8" s="83">
        <f>IFERROR((VLOOKUP(TableRBRanks31[[#This Row],[Player]],RB!B:O,10,FALSE)),"")</f>
        <v>1.7866807358400001</v>
      </c>
      <c r="AA8" s="57">
        <f>IFERROR((IFERROR(INDEX(TableRBCalcPts[Custom],MATCH(TableRBRanks31[[#This Row],[RK]],TableRBCalcPts[RK],0)),"")),"")</f>
        <v>221.58915310275702</v>
      </c>
      <c r="AB8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36.259383809722777</v>
      </c>
      <c r="AD8">
        <v>7</v>
      </c>
      <c r="AE8" t="str">
        <f>IFERROR(INDEX(TableWRCalcPts[PLAYER],MATCH(TableWRRanks32[[#This Row],[RK]],TableWRCalcPts[RK],0)),"")</f>
        <v>A.J. Brown</v>
      </c>
      <c r="AF8" t="str">
        <f>IFERROR(INDEX(TableWRCalcPts[TM],MATCH(TableWRRanks32[[#This Row],[Player]],TableWRCalcPts[PLAYER],0)),"")</f>
        <v>PHI</v>
      </c>
      <c r="AG8">
        <f>IFERROR(INDEX(TableWRCalcPts[BYE],MATCH(TableWRRanks32[[#This Row],[Player]],TableWRCalcPts[PLAYER],0)),"")</f>
        <v>5</v>
      </c>
      <c r="AH8" s="83">
        <f>IFERROR((VLOOKUP(TableWRRanks32[[#This Row],[Player]],WR!B:O,4,FALSE)),"")</f>
        <v>0</v>
      </c>
      <c r="AI8" s="83">
        <f>IFERROR((VLOOKUP(TableWRRanks32[[#This Row],[Player]],WR!B:O,5,FALSE)),"")</f>
        <v>0</v>
      </c>
      <c r="AJ8" s="83">
        <f>IFERROR((VLOOKUP(TableWRRanks32[[#This Row],[Player]],WR!B:O,6,FALSE)),"")</f>
        <v>142.80892416</v>
      </c>
      <c r="AK8" s="83">
        <f>IFERROR((VLOOKUP(TableWRRanks32[[#This Row],[Player]],WR!B:O,7,FALSE)),"")</f>
        <v>90.112431144959999</v>
      </c>
      <c r="AL8" s="83">
        <f>IFERROR((VLOOKUP(TableWRRanks32[[#This Row],[Player]],WR!B:O,8,FALSE)),"")</f>
        <v>1286.8055167500288</v>
      </c>
      <c r="AM8" s="83">
        <f>IFERROR((VLOOKUP(TableWRRanks32[[#This Row],[Player]],WR!B:O,9,FALSE)),"")</f>
        <v>8.2002312341913601</v>
      </c>
      <c r="AN8" s="57">
        <f>IFERROR((IFERROR(INDEX(TableWRCalcPts[Custom],MATCH(TableWRRanks32[[#This Row],[RK]],TableWRCalcPts[RK],0)),"")),"")</f>
        <v>222.93815465263103</v>
      </c>
      <c r="AO8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32.991251166241277</v>
      </c>
      <c r="AQ8">
        <v>7</v>
      </c>
      <c r="AR8" t="str">
        <f>IFERROR(INDEX(TableTECalcPts[PLAYER],MATCH(TableTERanks33[[#This Row],[RK]],TableTECalcPts[RK],0)),"")</f>
        <v>Evan Engram</v>
      </c>
      <c r="AS8" t="str">
        <f>IFERROR(INDEX(TableTECalcPts[TM],MATCH(TableTERanks33[[#This Row],[Player]],TableTECalcPts[PLAYER],0)),"")</f>
        <v>JAX</v>
      </c>
      <c r="AT8">
        <f>IFERROR(INDEX(TableTECalcPts[BYE],MATCH(TableTERanks33[[#This Row],[Player]],TableTECalcPts[PLAYER],0)),"")</f>
        <v>12</v>
      </c>
      <c r="AU8" s="83">
        <f>IFERROR((VLOOKUP(TableTERanks33[[#This Row],[Player]],TE!B:O,4,FALSE)),"")</f>
        <v>125.25601087999999</v>
      </c>
      <c r="AV8" s="83">
        <f>IFERROR((VLOOKUP(TableTERanks33[[#This Row],[Player]],TE!B:O,5,FALSE)),"")</f>
        <v>91.687399964159994</v>
      </c>
      <c r="AW8" s="83">
        <f>IFERROR((VLOOKUP(TableTERanks33[[#This Row],[Player]],TE!B:O,6,FALSE)),"")</f>
        <v>851.11767420050876</v>
      </c>
      <c r="AX8" s="83">
        <f>IFERROR((VLOOKUP(TableTERanks33[[#This Row],[Player]],TE!B:O,7,FALSE)),"")</f>
        <v>5.1969700216565844</v>
      </c>
      <c r="AY8" s="57">
        <f>IFERROR((IFERROR(INDEX(TableTECalcPts[Custom],MATCH(TableTERanks33[[#This Row],[RK]],TableTECalcPts[RK],0)),"")),"")</f>
        <v>162.13728753207036</v>
      </c>
      <c r="AZ8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12.384172328535522</v>
      </c>
    </row>
    <row r="9" spans="1:52" x14ac:dyDescent="0.2">
      <c r="A9">
        <v>8</v>
      </c>
      <c r="B9" t="str">
        <f>IFERROR(INDEX(TableQBCalcPts[PLAYER],MATCH(TableQBRanks30[[#This Row],[RK]],TableQBCalcPts[RK],0)),"")</f>
        <v>C.J. Stroud</v>
      </c>
      <c r="C9" t="str">
        <f>IFERROR(INDEX(TableQBCalcPts[TM],MATCH(TableQBRanks30[[#This Row],[Player]],TableQBCalcPts[PLAYER],0)),"")</f>
        <v>HOU</v>
      </c>
      <c r="D9">
        <f>IFERROR(INDEX(TableQBCalcPts[BYE],MATCH(TableQBRanks30[[#This Row],[Player]],TableQBCalcPts[PLAYER],0)),"")</f>
        <v>14</v>
      </c>
      <c r="E9" s="83">
        <f>IFERROR((VLOOKUP(TableQBRanks30[[#This Row],[Player]],QB!B:O,4,FALSE)),"")</f>
        <v>600.25679999999988</v>
      </c>
      <c r="F9" s="83">
        <f>IFERROR((VLOOKUP(TableQBRanks30[[#This Row],[Player]],QB!B:O,5,FALSE)),"")</f>
        <v>392.76631066734694</v>
      </c>
      <c r="G9" s="83">
        <f>IFERROR((VLOOKUP(TableQBRanks30[[#This Row],[Player]],QB!B:O,6,FALSE)),"")</f>
        <v>4705.3404017948169</v>
      </c>
      <c r="H9" s="83">
        <f>IFERROR((VLOOKUP(TableQBRanks30[[#This Row],[Player]],QB!B:O,7,FALSE)),"")</f>
        <v>31.513481999999993</v>
      </c>
      <c r="I9" s="83">
        <f>IFERROR((VLOOKUP(TableQBRanks30[[#This Row],[Player]],QB!B:O,8,FALSE)),"")</f>
        <v>5.6543183371276093</v>
      </c>
      <c r="J9" s="83">
        <f>IFERROR((VLOOKUP(TableQBRanks30[[#This Row],[Player]],QB!B:O,9,FALSE)),"")</f>
        <v>38.250576000000002</v>
      </c>
      <c r="K9" s="83">
        <f>IFERROR((VLOOKUP(TableQBRanks30[[#This Row],[Player]],QB!B:O,10,FALSE)),"")</f>
        <v>158.51481338402735</v>
      </c>
      <c r="L9" s="83">
        <f>IFERROR((VLOOKUP(TableQBRanks30[[#This Row],[Player]],QB!B:O,11,FALSE)),"")</f>
        <v>1.9242119760818577</v>
      </c>
      <c r="M9" s="57">
        <f>IFERROR(INDEX(TableQBCalcPts[Custom],MATCH(TableQBRanks30[[#This Row],[RK]],TableQBCalcPts[RK],0)),"")</f>
        <v>330.35566059243126</v>
      </c>
      <c r="N9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9.1295158501057792</v>
      </c>
      <c r="P9">
        <v>8</v>
      </c>
      <c r="Q9" t="str">
        <f>IFERROR(INDEX(TableRBCalcPts[PLAYER],MATCH(TableRBRanks31[[#This Row],[RK]],TableRBCalcPts[RK],0)),"")</f>
        <v>Kyren Williams</v>
      </c>
      <c r="R9" t="str">
        <f>IFERROR(INDEX(TableRBCalcPts[TM],MATCH(TableRBRanks31[[#This Row],[Player]],TableRBCalcPts[PLAYER],0)),"")</f>
        <v>LAR</v>
      </c>
      <c r="S9">
        <f>IFERROR(INDEX(TableRBCalcPts[BYE],MATCH(TableRBRanks31[[#This Row],[Player]],TableRBCalcPts[PLAYER],0)),"")</f>
        <v>6</v>
      </c>
      <c r="T9" s="83">
        <f>IFERROR((VLOOKUP(TableRBRanks31[[#This Row],[Player]],RB!B:O,4,FALSE)),"")</f>
        <v>220.34402123999999</v>
      </c>
      <c r="U9" s="83">
        <f>IFERROR((VLOOKUP(TableRBRanks31[[#This Row],[Player]],RB!B:O,5,FALSE)),"")</f>
        <v>1002.5652966419999</v>
      </c>
      <c r="V9" s="83">
        <f>IFERROR((VLOOKUP(TableRBRanks31[[#This Row],[Player]],RB!B:O,6,FALSE)),"")</f>
        <v>9.7392057388079998</v>
      </c>
      <c r="W9" s="83">
        <f>IFERROR((VLOOKUP(TableRBRanks31[[#This Row],[Player]],RB!B:O,7,FALSE)),"")</f>
        <v>50.716858079999994</v>
      </c>
      <c r="X9" s="83">
        <f>IFERROR((VLOOKUP(TableRBRanks31[[#This Row],[Player]],RB!B:O,8,FALSE)),"")</f>
        <v>36.110402952959987</v>
      </c>
      <c r="Y9" s="83">
        <f>IFERROR((VLOOKUP(TableRBRanks31[[#This Row],[Player]],RB!B:O,9,FALSE)),"")</f>
        <v>264.23875923441426</v>
      </c>
      <c r="Z9" s="83">
        <f>IFERROR((VLOOKUP(TableRBRanks31[[#This Row],[Player]],RB!B:O,10,FALSE)),"")</f>
        <v>1.8777409535539193</v>
      </c>
      <c r="AA9" s="57">
        <f>IFERROR((IFERROR(INDEX(TableRBCalcPts[Custom],MATCH(TableRBRanks31[[#This Row],[RK]],TableRBCalcPts[RK],0)),"")),"")</f>
        <v>214.43728721829297</v>
      </c>
      <c r="AB9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33.70891423844656</v>
      </c>
      <c r="AD9">
        <v>8</v>
      </c>
      <c r="AE9" t="str">
        <f>IFERROR(INDEX(TableWRCalcPts[PLAYER],MATCH(TableWRRanks32[[#This Row],[RK]],TableWRCalcPts[RK],0)),"")</f>
        <v>Cooper Kupp</v>
      </c>
      <c r="AF9" t="str">
        <f>IFERROR(INDEX(TableWRCalcPts[TM],MATCH(TableWRRanks32[[#This Row],[Player]],TableWRCalcPts[PLAYER],0)),"")</f>
        <v>LAR</v>
      </c>
      <c r="AG9">
        <f>IFERROR(INDEX(TableWRCalcPts[BYE],MATCH(TableWRRanks32[[#This Row],[Player]],TableWRCalcPts[PLAYER],0)),"")</f>
        <v>6</v>
      </c>
      <c r="AH9" s="83">
        <f>IFERROR((VLOOKUP(TableWRRanks32[[#This Row],[Player]],WR!B:O,4,FALSE)),"")</f>
        <v>0</v>
      </c>
      <c r="AI9" s="83">
        <f>IFERROR((VLOOKUP(TableWRRanks32[[#This Row],[Player]],WR!B:O,5,FALSE)),"")</f>
        <v>0</v>
      </c>
      <c r="AJ9" s="83">
        <f>IFERROR((VLOOKUP(TableWRRanks32[[#This Row],[Player]],WR!B:O,6,FALSE)),"")</f>
        <v>144.90530879999997</v>
      </c>
      <c r="AK9" s="83">
        <f>IFERROR((VLOOKUP(TableWRRanks32[[#This Row],[Player]],WR!B:O,7,FALSE)),"")</f>
        <v>92.739397631999978</v>
      </c>
      <c r="AL9" s="83">
        <f>IFERROR((VLOOKUP(TableWRRanks32[[#This Row],[Player]],WR!B:O,8,FALSE)),"")</f>
        <v>1161.0972583526398</v>
      </c>
      <c r="AM9" s="83">
        <f>IFERROR((VLOOKUP(TableWRRanks32[[#This Row],[Player]],WR!B:O,9,FALSE)),"")</f>
        <v>8.2538794016278363</v>
      </c>
      <c r="AN9" s="57">
        <f>IFERROR((IFERROR(INDEX(TableWRCalcPts[Custom],MATCH(TableWRRanks32[[#This Row],[RK]],TableWRCalcPts[RK],0)),"")),"")</f>
        <v>212.00270106103099</v>
      </c>
      <c r="AO9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28.226606993943005</v>
      </c>
      <c r="AQ9">
        <v>8</v>
      </c>
      <c r="AR9" t="str">
        <f>IFERROR(INDEX(TableTECalcPts[PLAYER],MATCH(TableTERanks33[[#This Row],[RK]],TableTECalcPts[RK],0)),"")</f>
        <v>George Kittle</v>
      </c>
      <c r="AS9" t="str">
        <f>IFERROR(INDEX(TableTECalcPts[TM],MATCH(TableTERanks33[[#This Row],[Player]],TableTECalcPts[PLAYER],0)),"")</f>
        <v>SF</v>
      </c>
      <c r="AT9">
        <f>IFERROR(INDEX(TableTECalcPts[BYE],MATCH(TableTERanks33[[#This Row],[Player]],TableTECalcPts[PLAYER],0)),"")</f>
        <v>9</v>
      </c>
      <c r="AU9" s="83">
        <f>IFERROR((VLOOKUP(TableTERanks33[[#This Row],[Player]],TE!B:O,4,FALSE)),"")</f>
        <v>96.388646759999972</v>
      </c>
      <c r="AV9" s="83">
        <f>IFERROR((VLOOKUP(TableTERanks33[[#This Row],[Player]],TE!B:O,5,FALSE)),"")</f>
        <v>68.821493786639977</v>
      </c>
      <c r="AW9" s="83">
        <f>IFERROR((VLOOKUP(TableTERanks33[[#This Row],[Player]],TE!B:O,6,FALSE)),"")</f>
        <v>905.0026432943157</v>
      </c>
      <c r="AX9" s="83">
        <f>IFERROR((VLOOKUP(TableTERanks33[[#This Row],[Player]],TE!B:O,7,FALSE)),"")</f>
        <v>6.1251129470109573</v>
      </c>
      <c r="AY9" s="57">
        <f>IFERROR((IFERROR(INDEX(TableTECalcPts[Custom],MATCH(TableTERanks33[[#This Row],[RK]],TableTECalcPts[RK],0)),"")),"")</f>
        <v>161.66168890481731</v>
      </c>
      <c r="AZ9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12.19104997747622</v>
      </c>
    </row>
    <row r="10" spans="1:52" x14ac:dyDescent="0.2">
      <c r="A10">
        <v>9</v>
      </c>
      <c r="B10" t="str">
        <f>IFERROR(INDEX(TableQBCalcPts[PLAYER],MATCH(TableQBRanks30[[#This Row],[RK]],TableQBCalcPts[RK],0)),"")</f>
        <v>Joe Burrow</v>
      </c>
      <c r="C10" t="str">
        <f>IFERROR(INDEX(TableQBCalcPts[TM],MATCH(TableQBRanks30[[#This Row],[Player]],TableQBCalcPts[PLAYER],0)),"")</f>
        <v>CIN</v>
      </c>
      <c r="D10">
        <f>IFERROR(INDEX(TableQBCalcPts[BYE],MATCH(TableQBRanks30[[#This Row],[Player]],TableQBCalcPts[PLAYER],0)),"")</f>
        <v>12</v>
      </c>
      <c r="E10" s="83">
        <f>IFERROR((VLOOKUP(TableQBRanks30[[#This Row],[Player]],QB!B:O,4,FALSE)),"")</f>
        <v>604.47929999999997</v>
      </c>
      <c r="F10" s="83">
        <f>IFERROR((VLOOKUP(TableQBRanks30[[#This Row],[Player]],QB!B:O,5,FALSE)),"")</f>
        <v>407.60775129211197</v>
      </c>
      <c r="G10" s="83">
        <f>IFERROR((VLOOKUP(TableQBRanks30[[#This Row],[Player]],QB!B:O,6,FALSE)),"")</f>
        <v>4524.4460393424424</v>
      </c>
      <c r="H10" s="83">
        <f>IFERROR((VLOOKUP(TableQBRanks30[[#This Row],[Player]],QB!B:O,7,FALSE)),"")</f>
        <v>32.037402899999996</v>
      </c>
      <c r="I10" s="83">
        <f>IFERROR((VLOOKUP(TableQBRanks30[[#This Row],[Player]],QB!B:O,8,FALSE)),"")</f>
        <v>7.053831499284132</v>
      </c>
      <c r="J10" s="83">
        <f>IFERROR((VLOOKUP(TableQBRanks30[[#This Row],[Player]],QB!B:O,9,FALSE)),"")</f>
        <v>55.114063200000011</v>
      </c>
      <c r="K10" s="83">
        <f>IFERROR((VLOOKUP(TableQBRanks30[[#This Row],[Player]],QB!B:O,10,FALSE)),"")</f>
        <v>189.84159137213015</v>
      </c>
      <c r="L10" s="83">
        <f>IFERROR((VLOOKUP(TableQBRanks30[[#This Row],[Player]],QB!B:O,11,FALSE)),"")</f>
        <v>2.2254943124328137</v>
      </c>
      <c r="M10" s="57">
        <f>IFERROR(INDEX(TableQBCalcPts[Custom],MATCH(TableQBRanks30[[#This Row],[RK]],TableQBCalcPts[RK],0)),"")</f>
        <v>327.35691518693926</v>
      </c>
      <c r="N10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8.6675793245102142</v>
      </c>
      <c r="P10">
        <v>9</v>
      </c>
      <c r="Q10" t="str">
        <f>IFERROR(INDEX(TableRBCalcPts[PLAYER],MATCH(TableRBRanks31[[#This Row],[RK]],TableRBCalcPts[RK],0)),"")</f>
        <v>Josh Jacobs</v>
      </c>
      <c r="R10" t="str">
        <f>IFERROR(INDEX(TableRBCalcPts[TM],MATCH(TableRBRanks31[[#This Row],[Player]],TableRBCalcPts[PLAYER],0)),"")</f>
        <v>GB</v>
      </c>
      <c r="S10">
        <f>IFERROR(INDEX(TableRBCalcPts[BYE],MATCH(TableRBRanks31[[#This Row],[Player]],TableRBCalcPts[PLAYER],0)),"")</f>
        <v>10</v>
      </c>
      <c r="T10" s="83">
        <f>IFERROR((VLOOKUP(TableRBRanks31[[#This Row],[Player]],RB!B:O,4,FALSE)),"")</f>
        <v>244.16915599999999</v>
      </c>
      <c r="U10" s="83">
        <f>IFERROR((VLOOKUP(TableRBRanks31[[#This Row],[Player]],RB!B:O,5,FALSE)),"")</f>
        <v>1020.6270720799998</v>
      </c>
      <c r="V10" s="83">
        <f>IFERROR((VLOOKUP(TableRBRanks31[[#This Row],[Player]],RB!B:O,6,FALSE)),"")</f>
        <v>8.5459204599999996</v>
      </c>
      <c r="W10" s="83">
        <f>IFERROR((VLOOKUP(TableRBRanks31[[#This Row],[Player]],RB!B:O,7,FALSE)),"")</f>
        <v>54.169304000000004</v>
      </c>
      <c r="X10" s="83">
        <f>IFERROR((VLOOKUP(TableRBRanks31[[#This Row],[Player]],RB!B:O,8,FALSE)),"")</f>
        <v>41.331178952000002</v>
      </c>
      <c r="Y10" s="83">
        <f>IFERROR((VLOOKUP(TableRBRanks31[[#This Row],[Player]],RB!B:O,9,FALSE)),"")</f>
        <v>313.83158277264693</v>
      </c>
      <c r="Z10" s="83">
        <f>IFERROR((VLOOKUP(TableRBRanks31[[#This Row],[Player]],RB!B:O,10,FALSE)),"")</f>
        <v>1.4756245863746227</v>
      </c>
      <c r="AA10" s="57">
        <f>IFERROR((IFERROR(INDEX(TableRBCalcPts[Custom],MATCH(TableRBRanks31[[#This Row],[RK]],TableRBCalcPts[RK],0)),"")),"")</f>
        <v>214.24072523951244</v>
      </c>
      <c r="AB10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33.638817098224933</v>
      </c>
      <c r="AD10">
        <v>9</v>
      </c>
      <c r="AE10" t="str">
        <f>IFERROR(INDEX(TableWRCalcPts[PLAYER],MATCH(TableWRRanks32[[#This Row],[RK]],TableWRCalcPts[RK],0)),"")</f>
        <v>Mike Evans</v>
      </c>
      <c r="AF10" t="str">
        <f>IFERROR(INDEX(TableWRCalcPts[TM],MATCH(TableWRRanks32[[#This Row],[Player]],TableWRCalcPts[PLAYER],0)),"")</f>
        <v>TB</v>
      </c>
      <c r="AG10">
        <f>IFERROR(INDEX(TableWRCalcPts[BYE],MATCH(TableWRRanks32[[#This Row],[Player]],TableWRCalcPts[PLAYER],0)),"")</f>
        <v>11</v>
      </c>
      <c r="AH10" s="83">
        <f>IFERROR((VLOOKUP(TableWRRanks32[[#This Row],[Player]],WR!B:O,4,FALSE)),"")</f>
        <v>0</v>
      </c>
      <c r="AI10" s="83">
        <f>IFERROR((VLOOKUP(TableWRRanks32[[#This Row],[Player]],WR!B:O,5,FALSE)),"")</f>
        <v>0</v>
      </c>
      <c r="AJ10" s="83">
        <f>IFERROR((VLOOKUP(TableWRRanks32[[#This Row],[Player]],WR!B:O,6,FALSE)),"")</f>
        <v>132.25035516</v>
      </c>
      <c r="AK10" s="83">
        <f>IFERROR((VLOOKUP(TableWRRanks32[[#This Row],[Player]],WR!B:O,7,FALSE)),"")</f>
        <v>77.234207413439989</v>
      </c>
      <c r="AL10" s="83">
        <f>IFERROR((VLOOKUP(TableWRRanks32[[#This Row],[Player]],WR!B:O,8,FALSE)),"")</f>
        <v>1153.8790587567935</v>
      </c>
      <c r="AM10" s="83">
        <f>IFERROR((VLOOKUP(TableWRRanks32[[#This Row],[Player]],WR!B:O,9,FALSE)),"")</f>
        <v>9.2681048896127987</v>
      </c>
      <c r="AN10" s="57">
        <f>IFERROR((IFERROR(INDEX(TableWRCalcPts[Custom],MATCH(TableWRRanks32[[#This Row],[RK]],TableWRCalcPts[RK],0)),"")),"")</f>
        <v>209.61363892007614</v>
      </c>
      <c r="AO10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27.185677972406786</v>
      </c>
      <c r="AQ10">
        <v>9</v>
      </c>
      <c r="AR10" t="str">
        <f>IFERROR(INDEX(TableTECalcPts[PLAYER],MATCH(TableTERanks33[[#This Row],[RK]],TableTECalcPts[RK],0)),"")</f>
        <v>Dalton Kincaid</v>
      </c>
      <c r="AS10" t="str">
        <f>IFERROR(INDEX(TableTECalcPts[TM],MATCH(TableTERanks33[[#This Row],[Player]],TableTECalcPts[PLAYER],0)),"")</f>
        <v>BUF</v>
      </c>
      <c r="AT10">
        <f>IFERROR(INDEX(TableTECalcPts[BYE],MATCH(TableTERanks33[[#This Row],[Player]],TableTECalcPts[PLAYER],0)),"")</f>
        <v>12</v>
      </c>
      <c r="AU10" s="83">
        <f>IFERROR((VLOOKUP(TableTERanks33[[#This Row],[Player]],TE!B:O,4,FALSE)),"")</f>
        <v>111.15062783999998</v>
      </c>
      <c r="AV10" s="83">
        <f>IFERROR((VLOOKUP(TableTERanks33[[#This Row],[Player]],TE!B:O,5,FALSE)),"")</f>
        <v>78.138891371519989</v>
      </c>
      <c r="AW10" s="83">
        <f>IFERROR((VLOOKUP(TableTERanks33[[#This Row],[Player]],TE!B:O,6,FALSE)),"")</f>
        <v>794.78433277757927</v>
      </c>
      <c r="AX10" s="83">
        <f>IFERROR((VLOOKUP(TableTERanks33[[#This Row],[Player]],TE!B:O,7,FALSE)),"")</f>
        <v>6.4855279838361595</v>
      </c>
      <c r="AY10" s="57">
        <f>IFERROR((IFERROR(INDEX(TableTECalcPts[Custom],MATCH(TableTERanks33[[#This Row],[RK]],TableTECalcPts[RK],0)),"")),"")</f>
        <v>157.46104686653487</v>
      </c>
      <c r="AZ10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10.485330448643335</v>
      </c>
    </row>
    <row r="11" spans="1:52" x14ac:dyDescent="0.2">
      <c r="A11">
        <v>10</v>
      </c>
      <c r="B11" t="str">
        <f>IFERROR(INDEX(TableQBCalcPts[PLAYER],MATCH(TableQBRanks30[[#This Row],[RK]],TableQBCalcPts[RK],0)),"")</f>
        <v>Jordan Love</v>
      </c>
      <c r="C11" t="str">
        <f>IFERROR(INDEX(TableQBCalcPts[TM],MATCH(TableQBRanks30[[#This Row],[Player]],TableQBCalcPts[PLAYER],0)),"")</f>
        <v>GB</v>
      </c>
      <c r="D11">
        <f>IFERROR(INDEX(TableQBCalcPts[BYE],MATCH(TableQBRanks30[[#This Row],[Player]],TableQBCalcPts[PLAYER],0)),"")</f>
        <v>10</v>
      </c>
      <c r="E11" s="83">
        <f>IFERROR((VLOOKUP(TableQBRanks30[[#This Row],[Player]],QB!B:O,4,FALSE)),"")</f>
        <v>576.02160000000003</v>
      </c>
      <c r="F11" s="83">
        <f>IFERROR((VLOOKUP(TableQBRanks30[[#This Row],[Player]],QB!B:O,5,FALSE)),"")</f>
        <v>378.88504275461366</v>
      </c>
      <c r="G11" s="83">
        <f>IFERROR((VLOOKUP(TableQBRanks30[[#This Row],[Player]],QB!B:O,6,FALSE)),"")</f>
        <v>4322.6213086755724</v>
      </c>
      <c r="H11" s="83">
        <f>IFERROR((VLOOKUP(TableQBRanks30[[#This Row],[Player]],QB!B:O,7,FALSE)),"")</f>
        <v>31.969198800000001</v>
      </c>
      <c r="I11" s="83">
        <f>IFERROR((VLOOKUP(TableQBRanks30[[#This Row],[Player]],QB!B:O,8,FALSE)),"")</f>
        <v>6.8428246578237495</v>
      </c>
      <c r="J11" s="83">
        <f>IFERROR((VLOOKUP(TableQBRanks30[[#This Row],[Player]],QB!B:O,9,FALSE)),"")</f>
        <v>49.281847999999997</v>
      </c>
      <c r="K11" s="83">
        <f>IFERROR((VLOOKUP(TableQBRanks30[[#This Row],[Player]],QB!B:O,10,FALSE)),"")</f>
        <v>217.58067603963559</v>
      </c>
      <c r="L11" s="83">
        <f>IFERROR((VLOOKUP(TableQBRanks30[[#This Row],[Player]],QB!B:O,11,FALSE)),"")</f>
        <v>2.2176831599999995</v>
      </c>
      <c r="M11" s="57">
        <f>IFERROR(INDEX(TableQBCalcPts[Custom],MATCH(TableQBRanks30[[#This Row],[RK]],TableQBCalcPts[RK],0)),"")</f>
        <v>322.16016479533897</v>
      </c>
      <c r="N11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7.892832898478467</v>
      </c>
      <c r="P11">
        <v>10</v>
      </c>
      <c r="Q11" t="str">
        <f>IFERROR(INDEX(TableRBCalcPts[PLAYER],MATCH(TableRBRanks31[[#This Row],[RK]],TableRBCalcPts[RK],0)),"")</f>
        <v>Isiah Pacheco</v>
      </c>
      <c r="R11" t="str">
        <f>IFERROR(INDEX(TableRBCalcPts[TM],MATCH(TableRBRanks31[[#This Row],[Player]],TableRBCalcPts[PLAYER],0)),"")</f>
        <v>KC</v>
      </c>
      <c r="S11">
        <f>IFERROR(INDEX(TableRBCalcPts[BYE],MATCH(TableRBRanks31[[#This Row],[Player]],TableRBCalcPts[PLAYER],0)),"")</f>
        <v>6</v>
      </c>
      <c r="T11" s="83">
        <f>IFERROR((VLOOKUP(TableRBRanks31[[#This Row],[Player]],RB!B:O,4,FALSE)),"")</f>
        <v>247.93215999999998</v>
      </c>
      <c r="U11" s="83">
        <f>IFERROR((VLOOKUP(TableRBRanks31[[#This Row],[Player]],RB!B:O,5,FALSE)),"")</f>
        <v>1115.69472</v>
      </c>
      <c r="V11" s="83">
        <f>IFERROR((VLOOKUP(TableRBRanks31[[#This Row],[Player]],RB!B:O,6,FALSE)),"")</f>
        <v>8.9242082202101223</v>
      </c>
      <c r="W11" s="83">
        <f>IFERROR((VLOOKUP(TableRBRanks31[[#This Row],[Player]],RB!B:O,7,FALSE)),"")</f>
        <v>39.711167999999994</v>
      </c>
      <c r="X11" s="83">
        <f>IFERROR((VLOOKUP(TableRBRanks31[[#This Row],[Player]],RB!B:O,8,FALSE)),"")</f>
        <v>32.761713599999993</v>
      </c>
      <c r="Y11" s="83">
        <f>IFERROR((VLOOKUP(TableRBRanks31[[#This Row],[Player]],RB!B:O,9,FALSE)),"")</f>
        <v>223.43488675199995</v>
      </c>
      <c r="Z11" s="83">
        <f>IFERROR((VLOOKUP(TableRBRanks31[[#This Row],[Player]],RB!B:O,10,FALSE)),"")</f>
        <v>1.7036091071999995</v>
      </c>
      <c r="AA11" s="57">
        <f>IFERROR((IFERROR(INDEX(TableRBCalcPts[Custom],MATCH(TableRBRanks31[[#This Row],[RK]],TableRBCalcPts[RK],0)),"")),"")</f>
        <v>214.06072143966074</v>
      </c>
      <c r="AB11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33.574624869000786</v>
      </c>
      <c r="AD11">
        <v>10</v>
      </c>
      <c r="AE11" t="str">
        <f>IFERROR(INDEX(TableWRCalcPts[PLAYER],MATCH(TableWRRanks32[[#This Row],[RK]],TableWRCalcPts[RK],0)),"")</f>
        <v>Deebo Samuel</v>
      </c>
      <c r="AF11" t="str">
        <f>IFERROR(INDEX(TableWRCalcPts[TM],MATCH(TableWRRanks32[[#This Row],[Player]],TableWRCalcPts[PLAYER],0)),"")</f>
        <v>SF</v>
      </c>
      <c r="AG11">
        <f>IFERROR(INDEX(TableWRCalcPts[BYE],MATCH(TableWRRanks32[[#This Row],[Player]],TableWRCalcPts[PLAYER],0)),"")</f>
        <v>9</v>
      </c>
      <c r="AH11" s="83">
        <f>IFERROR((VLOOKUP(TableWRRanks32[[#This Row],[Player]],WR!B:O,4,FALSE)),"")</f>
        <v>231.31002261360004</v>
      </c>
      <c r="AI11" s="83">
        <f>IFERROR((VLOOKUP(TableWRRanks32[[#This Row],[Player]],WR!B:O,5,FALSE)),"")</f>
        <v>2.1651484176000002</v>
      </c>
      <c r="AJ11" s="83">
        <f>IFERROR((VLOOKUP(TableWRRanks32[[#This Row],[Player]],WR!B:O,6,FALSE)),"")</f>
        <v>106.50679199999999</v>
      </c>
      <c r="AK11" s="83">
        <f>IFERROR((VLOOKUP(TableWRRanks32[[#This Row],[Player]],WR!B:O,7,FALSE)),"")</f>
        <v>71.466057431999999</v>
      </c>
      <c r="AL11" s="83">
        <f>IFERROR((VLOOKUP(TableWRRanks32[[#This Row],[Player]],WR!B:O,8,FALSE)),"")</f>
        <v>998.38082232504007</v>
      </c>
      <c r="AM11" s="83">
        <f>IFERROR((VLOOKUP(TableWRRanks32[[#This Row],[Player]],WR!B:O,9,FALSE)),"")</f>
        <v>6.2890130540159994</v>
      </c>
      <c r="AN11" s="57">
        <f>IFERROR((IFERROR(INDEX(TableWRCalcPts[Custom],MATCH(TableWRRanks32[[#This Row],[RK]],TableWRCalcPts[RK],0)),"")),"")</f>
        <v>209.42708203956002</v>
      </c>
      <c r="AO11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27.104393995833917</v>
      </c>
      <c r="AQ11">
        <v>10</v>
      </c>
      <c r="AR11" t="str">
        <f>IFERROR(INDEX(TableTECalcPts[PLAYER],MATCH(TableTERanks33[[#This Row],[RK]],TableTECalcPts[RK],0)),"")</f>
        <v>Brock Bowers</v>
      </c>
      <c r="AS11" t="str">
        <f>IFERROR(INDEX(TableTECalcPts[TM],MATCH(TableTERanks33[[#This Row],[Player]],TableTECalcPts[PLAYER],0)),"")</f>
        <v>LV</v>
      </c>
      <c r="AT11">
        <f>IFERROR(INDEX(TableTECalcPts[BYE],MATCH(TableTERanks33[[#This Row],[Player]],TableTECalcPts[PLAYER],0)),"")</f>
        <v>10</v>
      </c>
      <c r="AU11" s="83">
        <f>IFERROR((VLOOKUP(TableTERanks33[[#This Row],[Player]],TE!B:O,4,FALSE)),"")</f>
        <v>103.12196999999999</v>
      </c>
      <c r="AV11" s="83">
        <f>IFERROR((VLOOKUP(TableTERanks33[[#This Row],[Player]],TE!B:O,5,FALSE)),"")</f>
        <v>70.226061570000013</v>
      </c>
      <c r="AW11" s="83">
        <f>IFERROR((VLOOKUP(TableTERanks33[[#This Row],[Player]],TE!B:O,6,FALSE)),"")</f>
        <v>781.61606527410015</v>
      </c>
      <c r="AX11" s="83">
        <f>IFERROR((VLOOKUP(TableTERanks33[[#This Row],[Player]],TE!B:O,7,FALSE)),"")</f>
        <v>4.891287895631244</v>
      </c>
      <c r="AY11" s="57">
        <f>IFERROR((IFERROR(INDEX(TableTECalcPts[Custom],MATCH(TableTERanks33[[#This Row],[RK]],TableTECalcPts[RK],0)),"")),"")</f>
        <v>142.6223646861975</v>
      </c>
      <c r="AZ11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4.4599110612072517</v>
      </c>
    </row>
    <row r="12" spans="1:52" x14ac:dyDescent="0.2">
      <c r="A12">
        <v>11</v>
      </c>
      <c r="B12" t="str">
        <f>IFERROR(INDEX(TableQBCalcPts[PLAYER],MATCH(TableQBRanks30[[#This Row],[RK]],TableQBCalcPts[RK],0)),"")</f>
        <v>Trevor Lawrence</v>
      </c>
      <c r="C12" t="str">
        <f>IFERROR(INDEX(TableQBCalcPts[TM],MATCH(TableQBRanks30[[#This Row],[Player]],TableQBCalcPts[PLAYER],0)),"")</f>
        <v>JAX</v>
      </c>
      <c r="D12">
        <f>IFERROR(INDEX(TableQBCalcPts[BYE],MATCH(TableQBRanks30[[#This Row],[Player]],TableQBCalcPts[PLAYER],0)),"")</f>
        <v>12</v>
      </c>
      <c r="E12" s="83">
        <f>IFERROR((VLOOKUP(TableQBRanks30[[#This Row],[Player]],QB!B:O,4,FALSE)),"")</f>
        <v>608.33717999999999</v>
      </c>
      <c r="F12" s="83">
        <f>IFERROR((VLOOKUP(TableQBRanks30[[#This Row],[Player]],QB!B:O,5,FALSE)),"")</f>
        <v>397.1554754441085</v>
      </c>
      <c r="G12" s="83">
        <f>IFERROR((VLOOKUP(TableQBRanks30[[#This Row],[Player]],QB!B:O,6,FALSE)),"")</f>
        <v>4420.3404416929279</v>
      </c>
      <c r="H12" s="83">
        <f>IFERROR((VLOOKUP(TableQBRanks30[[#This Row],[Player]],QB!B:O,7,FALSE)),"")</f>
        <v>26.766835919999998</v>
      </c>
      <c r="I12" s="83">
        <f>IFERROR((VLOOKUP(TableQBRanks30[[#This Row],[Player]],QB!B:O,8,FALSE)),"")</f>
        <v>7.4530853637280483</v>
      </c>
      <c r="J12" s="83">
        <f>IFERROR((VLOOKUP(TableQBRanks30[[#This Row],[Player]],QB!B:O,9,FALSE)),"")</f>
        <v>60.301869600000011</v>
      </c>
      <c r="K12" s="83">
        <f>IFERROR((VLOOKUP(TableQBRanks30[[#This Row],[Player]],QB!B:O,10,FALSE)),"")</f>
        <v>279.35918862580735</v>
      </c>
      <c r="L12" s="83">
        <f>IFERROR((VLOOKUP(TableQBRanks30[[#This Row],[Player]],QB!B:O,11,FALSE)),"")</f>
        <v>3.0753953496000004</v>
      </c>
      <c r="M12" s="57">
        <f>IFERROR(INDEX(TableQBCalcPts[Custom],MATCH(TableQBRanks30[[#This Row],[RK]],TableQBCalcPts[RK],0)),"")</f>
        <v>315.36308158044176</v>
      </c>
      <c r="N12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6.5256879579353839</v>
      </c>
      <c r="P12">
        <v>11</v>
      </c>
      <c r="Q12" t="str">
        <f>IFERROR(INDEX(TableRBCalcPts[PLAYER],MATCH(TableRBRanks31[[#This Row],[RK]],TableRBCalcPts[RK],0)),"")</f>
        <v>Jahmyr Gibbs</v>
      </c>
      <c r="R12" t="str">
        <f>IFERROR(INDEX(TableRBCalcPts[TM],MATCH(TableRBRanks31[[#This Row],[Player]],TableRBCalcPts[PLAYER],0)),"")</f>
        <v>DET</v>
      </c>
      <c r="S12">
        <f>IFERROR(INDEX(TableRBCalcPts[BYE],MATCH(TableRBRanks31[[#This Row],[Player]],TableRBCalcPts[PLAYER],0)),"")</f>
        <v>5</v>
      </c>
      <c r="T12" s="83">
        <f>IFERROR((VLOOKUP(TableRBRanks31[[#This Row],[Player]],RB!B:O,4,FALSE)),"")</f>
        <v>179.73637080000003</v>
      </c>
      <c r="U12" s="83">
        <f>IFERROR((VLOOKUP(TableRBRanks31[[#This Row],[Player]],RB!B:O,5,FALSE)),"")</f>
        <v>850.94060222053542</v>
      </c>
      <c r="V12" s="83">
        <f>IFERROR((VLOOKUP(TableRBRanks31[[#This Row],[Player]],RB!B:O,6,FALSE)),"")</f>
        <v>7.8443413727628721</v>
      </c>
      <c r="W12" s="83">
        <f>IFERROR((VLOOKUP(TableRBRanks31[[#This Row],[Player]],RB!B:O,7,FALSE)),"")</f>
        <v>71.120952000000003</v>
      </c>
      <c r="X12" s="83">
        <f>IFERROR((VLOOKUP(TableRBRanks31[[#This Row],[Player]],RB!B:O,8,FALSE)),"")</f>
        <v>53.340714000000006</v>
      </c>
      <c r="Y12" s="83">
        <f>IFERROR((VLOOKUP(TableRBRanks31[[#This Row],[Player]],RB!B:O,9,FALSE)),"")</f>
        <v>383.88051025592694</v>
      </c>
      <c r="Z12" s="83">
        <f>IFERROR((VLOOKUP(TableRBRanks31[[#This Row],[Player]],RB!B:O,10,FALSE)),"")</f>
        <v>2.4003321300000002</v>
      </c>
      <c r="AA12" s="57">
        <f>IFERROR((IFERROR(INDEX(TableRBCalcPts[Custom],MATCH(TableRBRanks31[[#This Row],[RK]],TableRBCalcPts[RK],0)),"")),"")</f>
        <v>211.62050926422344</v>
      </c>
      <c r="AB12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32.704406243336926</v>
      </c>
      <c r="AD12">
        <v>11</v>
      </c>
      <c r="AE12" t="str">
        <f>IFERROR(INDEX(TableWRCalcPts[PLAYER],MATCH(TableWRRanks32[[#This Row],[RK]],TableWRCalcPts[RK],0)),"")</f>
        <v>Nico Collins</v>
      </c>
      <c r="AF12" t="str">
        <f>IFERROR(INDEX(TableWRCalcPts[TM],MATCH(TableWRRanks32[[#This Row],[Player]],TableWRCalcPts[PLAYER],0)),"")</f>
        <v>HOU</v>
      </c>
      <c r="AG12">
        <f>IFERROR(INDEX(TableWRCalcPts[BYE],MATCH(TableWRRanks32[[#This Row],[Player]],TableWRCalcPts[PLAYER],0)),"")</f>
        <v>14</v>
      </c>
      <c r="AH12" s="83">
        <f>IFERROR((VLOOKUP(TableWRRanks32[[#This Row],[Player]],WR!B:O,4,FALSE)),"")</f>
        <v>0</v>
      </c>
      <c r="AI12" s="83">
        <f>IFERROR((VLOOKUP(TableWRRanks32[[#This Row],[Player]],WR!B:O,5,FALSE)),"")</f>
        <v>0</v>
      </c>
      <c r="AJ12" s="83">
        <f>IFERROR((VLOOKUP(TableWRRanks32[[#This Row],[Player]],WR!B:O,6,FALSE)),"")</f>
        <v>125.96904319999999</v>
      </c>
      <c r="AK12" s="83">
        <f>IFERROR((VLOOKUP(TableWRRanks32[[#This Row],[Player]],WR!B:O,7,FALSE)),"")</f>
        <v>81.627939993599981</v>
      </c>
      <c r="AL12" s="83">
        <f>IFERROR((VLOOKUP(TableWRRanks32[[#This Row],[Player]],WR!B:O,8,FALSE)),"")</f>
        <v>1186.8702475069435</v>
      </c>
      <c r="AM12" s="83">
        <f>IFERROR((VLOOKUP(TableWRRanks32[[#This Row],[Player]],WR!B:O,9,FALSE)),"")</f>
        <v>7.8362822393855982</v>
      </c>
      <c r="AN12" s="57">
        <f>IFERROR((IFERROR(INDEX(TableWRCalcPts[Custom],MATCH(TableWRRanks32[[#This Row],[RK]],TableWRCalcPts[RK],0)),"")),"")</f>
        <v>206.51868818380797</v>
      </c>
      <c r="AO12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25.837188962272108</v>
      </c>
      <c r="AQ12">
        <v>11</v>
      </c>
      <c r="AR12" t="str">
        <f>IFERROR(INDEX(TableTECalcPts[PLAYER],MATCH(TableTERanks33[[#This Row],[RK]],TableTECalcPts[RK],0)),"")</f>
        <v>David Njoku</v>
      </c>
      <c r="AS12" t="str">
        <f>IFERROR(INDEX(TableTECalcPts[TM],MATCH(TableTERanks33[[#This Row],[Player]],TableTECalcPts[PLAYER],0)),"")</f>
        <v>CLE</v>
      </c>
      <c r="AT12">
        <f>IFERROR(INDEX(TableTECalcPts[BYE],MATCH(TableTERanks33[[#This Row],[Player]],TableTECalcPts[PLAYER],0)),"")</f>
        <v>10</v>
      </c>
      <c r="AU12" s="83">
        <f>IFERROR((VLOOKUP(TableTERanks33[[#This Row],[Player]],TE!B:O,4,FALSE)),"")</f>
        <v>102.15397499999997</v>
      </c>
      <c r="AV12" s="83">
        <f>IFERROR((VLOOKUP(TableTERanks33[[#This Row],[Player]],TE!B:O,5,FALSE)),"")</f>
        <v>68.443163249999984</v>
      </c>
      <c r="AW12" s="83">
        <f>IFERROR((VLOOKUP(TableTERanks33[[#This Row],[Player]],TE!B:O,6,FALSE)),"")</f>
        <v>718.65321412499986</v>
      </c>
      <c r="AX12" s="83">
        <f>IFERROR((VLOOKUP(TableTERanks33[[#This Row],[Player]],TE!B:O,7,FALSE)),"")</f>
        <v>5.3385667334999987</v>
      </c>
      <c r="AY12" s="57">
        <f>IFERROR((IFERROR(INDEX(TableTECalcPts[Custom],MATCH(TableTERanks33[[#This Row],[RK]],TableTECalcPts[RK],0)),"")),"")</f>
        <v>138.11830343849996</v>
      </c>
      <c r="AZ12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2.6309846353796407</v>
      </c>
    </row>
    <row r="13" spans="1:52" x14ac:dyDescent="0.2">
      <c r="A13">
        <v>12</v>
      </c>
      <c r="B13" t="str">
        <f>IFERROR(INDEX(TableQBCalcPts[PLAYER],MATCH(TableQBRanks30[[#This Row],[RK]],TableQBCalcPts[RK],0)),"")</f>
        <v>Brock Purdy</v>
      </c>
      <c r="C13" t="str">
        <f>IFERROR(INDEX(TableQBCalcPts[TM],MATCH(TableQBRanks30[[#This Row],[Player]],TableQBCalcPts[PLAYER],0)),"")</f>
        <v>SF</v>
      </c>
      <c r="D13">
        <f>IFERROR(INDEX(TableQBCalcPts[BYE],MATCH(TableQBRanks30[[#This Row],[Player]],TableQBCalcPts[PLAYER],0)),"")</f>
        <v>9</v>
      </c>
      <c r="E13" s="83">
        <f>IFERROR((VLOOKUP(TableQBRanks30[[#This Row],[Player]],QB!B:O,4,FALSE)),"")</f>
        <v>532.53395999999998</v>
      </c>
      <c r="F13" s="83">
        <f>IFERROR((VLOOKUP(TableQBRanks30[[#This Row],[Player]],QB!B:O,5,FALSE)),"")</f>
        <v>361.59619112464406</v>
      </c>
      <c r="G13" s="83">
        <f>IFERROR((VLOOKUP(TableQBRanks30[[#This Row],[Player]],QB!B:O,6,FALSE)),"")</f>
        <v>4552.496046259269</v>
      </c>
      <c r="H13" s="83">
        <f>IFERROR((VLOOKUP(TableQBRanks30[[#This Row],[Player]],QB!B:O,7,FALSE)),"")</f>
        <v>30.88696968</v>
      </c>
      <c r="I13" s="83">
        <f>IFERROR((VLOOKUP(TableQBRanks30[[#This Row],[Player]],QB!B:O,8,FALSE)),"")</f>
        <v>6.933358669694722</v>
      </c>
      <c r="J13" s="83">
        <f>IFERROR((VLOOKUP(TableQBRanks30[[#This Row],[Player]],QB!B:O,9,FALSE)),"")</f>
        <v>38.036391119999998</v>
      </c>
      <c r="K13" s="83">
        <f>IFERROR((VLOOKUP(TableQBRanks30[[#This Row],[Player]],QB!B:O,10,FALSE)),"")</f>
        <v>133.43717465042084</v>
      </c>
      <c r="L13" s="83">
        <f>IFERROR((VLOOKUP(TableQBRanks30[[#This Row],[Player]],QB!B:O,11,FALSE)),"")</f>
        <v>1.437584181966457</v>
      </c>
      <c r="M13" s="57">
        <f>IFERROR(INDEX(TableQBCalcPts[Custom],MATCH(TableQBRanks30[[#This Row],[RK]],TableQBCalcPts[RK],0)),"")</f>
        <v>313.75022578782216</v>
      </c>
      <c r="N13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6.260575511287108</v>
      </c>
      <c r="P13">
        <v>12</v>
      </c>
      <c r="Q13" t="str">
        <f>IFERROR(INDEX(TableRBCalcPts[PLAYER],MATCH(TableRBRanks31[[#This Row],[RK]],TableRBCalcPts[RK],0)),"")</f>
        <v>Aaron Jones</v>
      </c>
      <c r="R13" t="str">
        <f>IFERROR(INDEX(TableRBCalcPts[TM],MATCH(TableRBRanks31[[#This Row],[Player]],TableRBCalcPts[PLAYER],0)),"")</f>
        <v>MIN</v>
      </c>
      <c r="S13">
        <f>IFERROR(INDEX(TableRBCalcPts[BYE],MATCH(TableRBRanks31[[#This Row],[Player]],TableRBCalcPts[PLAYER],0)),"")</f>
        <v>6</v>
      </c>
      <c r="T13" s="83">
        <f>IFERROR((VLOOKUP(TableRBRanks31[[#This Row],[Player]],RB!B:O,4,FALSE)),"")</f>
        <v>215.247984</v>
      </c>
      <c r="U13" s="83">
        <f>IFERROR((VLOOKUP(TableRBRanks31[[#This Row],[Player]],RB!B:O,5,FALSE)),"")</f>
        <v>973.65533697333387</v>
      </c>
      <c r="V13" s="83">
        <f>IFERROR((VLOOKUP(TableRBRanks31[[#This Row],[Player]],RB!B:O,6,FALSE)),"")</f>
        <v>7.3184314560000008</v>
      </c>
      <c r="W13" s="83">
        <f>IFERROR((VLOOKUP(TableRBRanks31[[#This Row],[Player]],RB!B:O,7,FALSE)),"")</f>
        <v>62.832503999999993</v>
      </c>
      <c r="X13" s="83">
        <f>IFERROR((VLOOKUP(TableRBRanks31[[#This Row],[Player]],RB!B:O,8,FALSE)),"")</f>
        <v>46.056225431999991</v>
      </c>
      <c r="Y13" s="83">
        <f>IFERROR((VLOOKUP(TableRBRanks31[[#This Row],[Player]],RB!B:O,9,FALSE)),"")</f>
        <v>352.15321318809708</v>
      </c>
      <c r="Z13" s="83">
        <f>IFERROR((VLOOKUP(TableRBRanks31[[#This Row],[Player]],RB!B:O,10,FALSE)),"")</f>
        <v>1.981899982003265</v>
      </c>
      <c r="AA13" s="57">
        <f>IFERROR((IFERROR(INDEX(TableRBCalcPts[Custom],MATCH(TableRBRanks31[[#This Row],[RK]],TableRBCalcPts[RK],0)),"")),"")</f>
        <v>211.41095636016271</v>
      </c>
      <c r="AB13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32.62967633172876</v>
      </c>
      <c r="AD13">
        <v>12</v>
      </c>
      <c r="AE13" t="str">
        <f>IFERROR(INDEX(TableWRCalcPts[PLAYER],MATCH(TableWRRanks32[[#This Row],[RK]],TableWRCalcPts[RK],0)),"")</f>
        <v>Rashee Rice</v>
      </c>
      <c r="AF13" t="str">
        <f>IFERROR(INDEX(TableWRCalcPts[TM],MATCH(TableWRRanks32[[#This Row],[Player]],TableWRCalcPts[PLAYER],0)),"")</f>
        <v>KC</v>
      </c>
      <c r="AG13">
        <f>IFERROR(INDEX(TableWRCalcPts[BYE],MATCH(TableWRRanks32[[#This Row],[Player]],TableWRCalcPts[PLAYER],0)),"")</f>
        <v>6</v>
      </c>
      <c r="AH13" s="83">
        <f>IFERROR((VLOOKUP(TableWRRanks32[[#This Row],[Player]],WR!B:O,4,FALSE)),"")</f>
        <v>21.095244799999996</v>
      </c>
      <c r="AI13" s="83">
        <f>IFERROR((VLOOKUP(TableWRRanks32[[#This Row],[Player]],WR!B:O,5,FALSE)),"")</f>
        <v>1.0947701395606461E-2</v>
      </c>
      <c r="AJ13" s="83">
        <f>IFERROR((VLOOKUP(TableWRRanks32[[#This Row],[Player]],WR!B:O,6,FALSE)),"")</f>
        <v>130.47955199999998</v>
      </c>
      <c r="AK13" s="83">
        <f>IFERROR((VLOOKUP(TableWRRanks32[[#This Row],[Player]],WR!B:O,7,FALSE)),"")</f>
        <v>93.945277439999984</v>
      </c>
      <c r="AL13" s="83">
        <f>IFERROR((VLOOKUP(TableWRRanks32[[#This Row],[Player]],WR!B:O,8,FALSE)),"")</f>
        <v>1100.0991988223998</v>
      </c>
      <c r="AM13" s="83">
        <f>IFERROR((VLOOKUP(TableWRRanks32[[#This Row],[Player]],WR!B:O,9,FALSE)),"")</f>
        <v>7.7035127500799989</v>
      </c>
      <c r="AN13" s="57">
        <f>IFERROR((IFERROR(INDEX(TableWRCalcPts[Custom],MATCH(TableWRRanks32[[#This Row],[RK]],TableWRCalcPts[RK],0)),"")),"")</f>
        <v>205.3788457910936</v>
      </c>
      <c r="AO13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25.340552643687506</v>
      </c>
      <c r="AQ13">
        <v>12</v>
      </c>
      <c r="AR13" t="str">
        <f>IFERROR(INDEX(TableTECalcPts[PLAYER],MATCH(TableTERanks33[[#This Row],[RK]],TableTECalcPts[RK],0)),"")</f>
        <v>T.J. Hockenson</v>
      </c>
      <c r="AS13" t="str">
        <f>IFERROR(INDEX(TableTECalcPts[TM],MATCH(TableTERanks33[[#This Row],[Player]],TableTECalcPts[PLAYER],0)),"")</f>
        <v>MIN</v>
      </c>
      <c r="AT13">
        <f>IFERROR(INDEX(TableTECalcPts[BYE],MATCH(TableTERanks33[[#This Row],[Player]],TableTECalcPts[PLAYER],0)),"")</f>
        <v>6</v>
      </c>
      <c r="AU13" s="83">
        <f>IFERROR((VLOOKUP(TableTERanks33[[#This Row],[Player]],TE!B:O,4,FALSE)),"")</f>
        <v>102.64716</v>
      </c>
      <c r="AV13" s="83">
        <f>IFERROR((VLOOKUP(TableTERanks33[[#This Row],[Player]],TE!B:O,5,FALSE)),"")</f>
        <v>67.541831280000025</v>
      </c>
      <c r="AW13" s="83">
        <f>IFERROR((VLOOKUP(TableTERanks33[[#This Row],[Player]],TE!B:O,6,FALSE)),"")</f>
        <v>682.84791424080026</v>
      </c>
      <c r="AX13" s="83">
        <f>IFERROR((VLOOKUP(TableTERanks33[[#This Row],[Player]],TE!B:O,7,FALSE)),"")</f>
        <v>4.9305536834400012</v>
      </c>
      <c r="AY13" s="57">
        <f>IFERROR((IFERROR(INDEX(TableTECalcPts[Custom],MATCH(TableTERanks33[[#This Row],[RK]],TableTECalcPts[RK],0)),"")),"")</f>
        <v>131.63902916472006</v>
      </c>
      <c r="AZ13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14" spans="1:52" x14ac:dyDescent="0.2">
      <c r="A14">
        <v>13</v>
      </c>
      <c r="B14" t="str">
        <f>IFERROR(INDEX(TableQBCalcPts[PLAYER],MATCH(TableQBRanks30[[#This Row],[RK]],TableQBCalcPts[RK],0)),"")</f>
        <v>Kyler Murray</v>
      </c>
      <c r="C14" t="str">
        <f>IFERROR(INDEX(TableQBCalcPts[TM],MATCH(TableQBRanks30[[#This Row],[Player]],TableQBCalcPts[PLAYER],0)),"")</f>
        <v>ARI</v>
      </c>
      <c r="D14">
        <f>IFERROR(INDEX(TableQBCalcPts[BYE],MATCH(TableQBRanks30[[#This Row],[Player]],TableQBCalcPts[PLAYER],0)),"")</f>
        <v>11</v>
      </c>
      <c r="E14" s="83">
        <f>IFERROR((VLOOKUP(TableQBRanks30[[#This Row],[Player]],QB!B:O,4,FALSE)),"")</f>
        <v>559.60424999999998</v>
      </c>
      <c r="F14" s="83">
        <f>IFERROR((VLOOKUP(TableQBRanks30[[#This Row],[Player]],QB!B:O,5,FALSE)),"")</f>
        <v>371.58671883620764</v>
      </c>
      <c r="G14" s="83">
        <f>IFERROR((VLOOKUP(TableQBRanks30[[#This Row],[Player]],QB!B:O,6,FALSE)),"")</f>
        <v>3930.5007768321898</v>
      </c>
      <c r="H14" s="83">
        <f>IFERROR((VLOOKUP(TableQBRanks30[[#This Row],[Player]],QB!B:O,7,FALSE)),"")</f>
        <v>23.615299350000001</v>
      </c>
      <c r="I14" s="83">
        <f>IFERROR((VLOOKUP(TableQBRanks30[[#This Row],[Player]],QB!B:O,8,FALSE)),"")</f>
        <v>7.2136997399817471</v>
      </c>
      <c r="J14" s="83">
        <f>IFERROR((VLOOKUP(TableQBRanks30[[#This Row],[Player]],QB!B:O,9,FALSE)),"")</f>
        <v>81.721710000000002</v>
      </c>
      <c r="K14" s="83">
        <f>IFERROR((VLOOKUP(TableQBRanks30[[#This Row],[Player]],QB!B:O,10,FALSE)),"")</f>
        <v>451.92105630000003</v>
      </c>
      <c r="L14" s="83">
        <f>IFERROR((VLOOKUP(TableQBRanks30[[#This Row],[Player]],QB!B:O,11,FALSE)),"")</f>
        <v>4.2646741716559298</v>
      </c>
      <c r="M14" s="57">
        <f>IFERROR(INDEX(TableQBCalcPts[Custom],MATCH(TableQBRanks30[[#This Row],[RK]],TableQBCalcPts[RK],0)),"")</f>
        <v>308.03397965325968</v>
      </c>
      <c r="N14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4.9726125981607847</v>
      </c>
      <c r="P14">
        <v>13</v>
      </c>
      <c r="Q14" t="str">
        <f>IFERROR(INDEX(TableRBCalcPts[PLAYER],MATCH(TableRBRanks31[[#This Row],[RK]],TableRBCalcPts[RK],0)),"")</f>
        <v>Alvin Kamara</v>
      </c>
      <c r="R14" t="str">
        <f>IFERROR(INDEX(TableRBCalcPts[TM],MATCH(TableRBRanks31[[#This Row],[Player]],TableRBCalcPts[PLAYER],0)),"")</f>
        <v>NO</v>
      </c>
      <c r="S14">
        <f>IFERROR(INDEX(TableRBCalcPts[BYE],MATCH(TableRBRanks31[[#This Row],[Player]],TableRBCalcPts[PLAYER],0)),"")</f>
        <v>12</v>
      </c>
      <c r="T14" s="83">
        <f>IFERROR((VLOOKUP(TableRBRanks31[[#This Row],[Player]],RB!B:O,4,FALSE)),"")</f>
        <v>197.46161512000003</v>
      </c>
      <c r="U14" s="83">
        <f>IFERROR((VLOOKUP(TableRBRanks31[[#This Row],[Player]],RB!B:O,5,FALSE)),"")</f>
        <v>831.3133996552001</v>
      </c>
      <c r="V14" s="83">
        <f>IFERROR((VLOOKUP(TableRBRanks31[[#This Row],[Player]],RB!B:O,6,FALSE)),"")</f>
        <v>6.1213100687200006</v>
      </c>
      <c r="W14" s="83">
        <f>IFERROR((VLOOKUP(TableRBRanks31[[#This Row],[Player]],RB!B:O,7,FALSE)),"")</f>
        <v>74.548614817599983</v>
      </c>
      <c r="X14" s="83">
        <f>IFERROR((VLOOKUP(TableRBRanks31[[#This Row],[Player]],RB!B:O,8,FALSE)),"")</f>
        <v>61.129864150431985</v>
      </c>
      <c r="Y14" s="83">
        <f>IFERROR((VLOOKUP(TableRBRanks31[[#This Row],[Player]],RB!B:O,9,FALSE)),"")</f>
        <v>441.35761916611892</v>
      </c>
      <c r="Z14" s="83">
        <f>IFERROR((VLOOKUP(TableRBRanks31[[#This Row],[Player]],RB!B:O,10,FALSE)),"")</f>
        <v>2.3229348377164154</v>
      </c>
      <c r="AA14" s="57">
        <f>IFERROR((IFERROR(INDEX(TableRBCalcPts[Custom],MATCH(TableRBRanks31[[#This Row],[RK]],TableRBCalcPts[RK],0)),"")),"")</f>
        <v>208.49750339596642</v>
      </c>
      <c r="AB14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31.590692484357021</v>
      </c>
      <c r="AD14">
        <v>13</v>
      </c>
      <c r="AE14" t="str">
        <f>IFERROR(INDEX(TableWRCalcPts[PLAYER],MATCH(TableWRRanks32[[#This Row],[RK]],TableWRCalcPts[RK],0)),"")</f>
        <v>Jaylen Waddle</v>
      </c>
      <c r="AF14" t="str">
        <f>IFERROR(INDEX(TableWRCalcPts[TM],MATCH(TableWRRanks32[[#This Row],[Player]],TableWRCalcPts[PLAYER],0)),"")</f>
        <v>MIA</v>
      </c>
      <c r="AG14">
        <f>IFERROR(INDEX(TableWRCalcPts[BYE],MATCH(TableWRRanks32[[#This Row],[Player]],TableWRCalcPts[PLAYER],0)),"")</f>
        <v>6</v>
      </c>
      <c r="AH14" s="83">
        <f>IFERROR((VLOOKUP(TableWRRanks32[[#This Row],[Player]],WR!B:O,4,FALSE)),"")</f>
        <v>10.190860064000001</v>
      </c>
      <c r="AI14" s="83">
        <f>IFERROR((VLOOKUP(TableWRRanks32[[#This Row],[Player]],WR!B:O,5,FALSE)),"")</f>
        <v>0.10527748000000002</v>
      </c>
      <c r="AJ14" s="83">
        <f>IFERROR((VLOOKUP(TableWRRanks32[[#This Row],[Player]],WR!B:O,6,FALSE)),"")</f>
        <v>131.33793791999994</v>
      </c>
      <c r="AK14" s="83">
        <f>IFERROR((VLOOKUP(TableWRRanks32[[#This Row],[Player]],WR!B:O,7,FALSE)),"")</f>
        <v>88.259094282239943</v>
      </c>
      <c r="AL14" s="83">
        <f>IFERROR((VLOOKUP(TableWRRanks32[[#This Row],[Player]],WR!B:O,8,FALSE)),"")</f>
        <v>1223.2709818310982</v>
      </c>
      <c r="AM14" s="83">
        <f>IFERROR((VLOOKUP(TableWRRanks32[[#This Row],[Player]],WR!B:O,9,FALSE)),"")</f>
        <v>6.1781365997567965</v>
      </c>
      <c r="AN14" s="57">
        <f>IFERROR((IFERROR(INDEX(TableWRCalcPts[Custom],MATCH(TableWRRanks32[[#This Row],[RK]],TableWRCalcPts[RK],0)),"")),"")</f>
        <v>205.17621580917057</v>
      </c>
      <c r="AO14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25.252265518291626</v>
      </c>
      <c r="AQ14">
        <v>13</v>
      </c>
      <c r="AR14" t="str">
        <f>IFERROR(INDEX(TableTECalcPts[PLAYER],MATCH(TableTERanks33[[#This Row],[RK]],TableTECalcPts[RK],0)),"")</f>
        <v>Dallas Goedert</v>
      </c>
      <c r="AS14" t="str">
        <f>IFERROR(INDEX(TableTECalcPts[TM],MATCH(TableTERanks33[[#This Row],[Player]],TableTECalcPts[PLAYER],0)),"")</f>
        <v>PHI</v>
      </c>
      <c r="AT14">
        <f>IFERROR(INDEX(TableTECalcPts[BYE],MATCH(TableTERanks33[[#This Row],[Player]],TableTECalcPts[PLAYER],0)),"")</f>
        <v>5</v>
      </c>
      <c r="AU14" s="83">
        <f>IFERROR((VLOOKUP(TableTERanks33[[#This Row],[Player]],TE!B:O,4,FALSE)),"")</f>
        <v>90.929119680000014</v>
      </c>
      <c r="AV14" s="83">
        <f>IFERROR((VLOOKUP(TableTERanks33[[#This Row],[Player]],TE!B:O,5,FALSE)),"")</f>
        <v>62.195517861120017</v>
      </c>
      <c r="AW14" s="83">
        <f>IFERROR((VLOOKUP(TableTERanks33[[#This Row],[Player]],TE!B:O,6,FALSE)),"")</f>
        <v>691.61415861565456</v>
      </c>
      <c r="AX14" s="83">
        <f>IFERROR((VLOOKUP(TableTERanks33[[#This Row],[Player]],TE!B:O,7,FALSE)),"")</f>
        <v>3.8323909307243671</v>
      </c>
      <c r="AY14" s="57">
        <f>IFERROR((IFERROR(INDEX(TableTECalcPts[Custom],MATCH(TableTERanks33[[#This Row],[RK]],TableTECalcPts[RK],0)),"")),"")</f>
        <v>123.25352037647167</v>
      </c>
      <c r="AZ14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15" spans="1:52" x14ac:dyDescent="0.2">
      <c r="A15">
        <v>14</v>
      </c>
      <c r="B15" t="str">
        <f>IFERROR(INDEX(TableQBCalcPts[PLAYER],MATCH(TableQBRanks30[[#This Row],[RK]],TableQBCalcPts[RK],0)),"")</f>
        <v>Caleb Williams</v>
      </c>
      <c r="C15" t="str">
        <f>IFERROR(INDEX(TableQBCalcPts[TM],MATCH(TableQBRanks30[[#This Row],[Player]],TableQBCalcPts[PLAYER],0)),"")</f>
        <v>CHI</v>
      </c>
      <c r="D15">
        <f>IFERROR(INDEX(TableQBCalcPts[BYE],MATCH(TableQBRanks30[[#This Row],[Player]],TableQBCalcPts[PLAYER],0)),"")</f>
        <v>7</v>
      </c>
      <c r="E15" s="83">
        <f>IFERROR((VLOOKUP(TableQBRanks30[[#This Row],[Player]],QB!B:O,4,FALSE)),"")</f>
        <v>566.80848000000003</v>
      </c>
      <c r="F15" s="83">
        <f>IFERROR((VLOOKUP(TableQBRanks30[[#This Row],[Player]],QB!B:O,5,FALSE)),"")</f>
        <v>363.16169234467782</v>
      </c>
      <c r="G15" s="83">
        <f>IFERROR((VLOOKUP(TableQBRanks30[[#This Row],[Player]],QB!B:O,6,FALSE)),"")</f>
        <v>4041.9896357962643</v>
      </c>
      <c r="H15" s="83">
        <f>IFERROR((VLOOKUP(TableQBRanks30[[#This Row],[Player]],QB!B:O,7,FALSE)),"")</f>
        <v>26.186551776000002</v>
      </c>
      <c r="I15" s="83">
        <f>IFERROR((VLOOKUP(TableQBRanks30[[#This Row],[Player]],QB!B:O,8,FALSE)),"")</f>
        <v>7.7279703415300309</v>
      </c>
      <c r="J15" s="83">
        <f>IFERROR((VLOOKUP(TableQBRanks30[[#This Row],[Player]],QB!B:O,9,FALSE)),"")</f>
        <v>68.446727999999993</v>
      </c>
      <c r="K15" s="83">
        <f>IFERROR((VLOOKUP(TableQBRanks30[[#This Row],[Player]],QB!B:O,10,FALSE)),"")</f>
        <v>344.97150911999995</v>
      </c>
      <c r="L15" s="83">
        <f>IFERROR((VLOOKUP(TableQBRanks30[[#This Row],[Player]],QB!B:O,11,FALSE)),"")</f>
        <v>3.6961233119999997</v>
      </c>
      <c r="M15" s="57">
        <f>IFERROR(INDEX(TableQBCalcPts[Custom],MATCH(TableQBRanks30[[#This Row],[RK]],TableQBCalcPts[RK],0)),"")</f>
        <v>307.64374263679053</v>
      </c>
      <c r="N15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4.6747533396704632</v>
      </c>
      <c r="P15">
        <v>14</v>
      </c>
      <c r="Q15" t="str">
        <f>IFERROR(INDEX(TableRBCalcPts[PLAYER],MATCH(TableRBRanks31[[#This Row],[RK]],TableRBCalcPts[RK],0)),"")</f>
        <v>De'Von Achane</v>
      </c>
      <c r="R15" t="str">
        <f>IFERROR(INDEX(TableRBCalcPts[TM],MATCH(TableRBRanks31[[#This Row],[Player]],TableRBCalcPts[PLAYER],0)),"")</f>
        <v>MIA</v>
      </c>
      <c r="S15">
        <f>IFERROR(INDEX(TableRBCalcPts[BYE],MATCH(TableRBRanks31[[#This Row],[Player]],TableRBCalcPts[PLAYER],0)),"")</f>
        <v>6</v>
      </c>
      <c r="T15" s="83">
        <f>IFERROR((VLOOKUP(TableRBRanks31[[#This Row],[Player]],RB!B:O,4,FALSE)),"")</f>
        <v>144.86181248</v>
      </c>
      <c r="U15" s="83">
        <f>IFERROR((VLOOKUP(TableRBRanks31[[#This Row],[Player]],RB!B:O,5,FALSE)),"")</f>
        <v>730.10353489919999</v>
      </c>
      <c r="V15" s="83">
        <f>IFERROR((VLOOKUP(TableRBRanks31[[#This Row],[Player]],RB!B:O,6,FALSE)),"")</f>
        <v>7.2430906240000006</v>
      </c>
      <c r="W15" s="83">
        <f>IFERROR((VLOOKUP(TableRBRanks31[[#This Row],[Player]],RB!B:O,7,FALSE)),"")</f>
        <v>73.29125999999998</v>
      </c>
      <c r="X15" s="83">
        <f>IFERROR((VLOOKUP(TableRBRanks31[[#This Row],[Player]],RB!B:O,8,FALSE)),"")</f>
        <v>53.502619799999977</v>
      </c>
      <c r="Y15" s="83">
        <f>IFERROR((VLOOKUP(TableRBRanks31[[#This Row],[Player]],RB!B:O,9,FALSE)),"")</f>
        <v>422.6217051571997</v>
      </c>
      <c r="Z15" s="83">
        <f>IFERROR((VLOOKUP(TableRBRanks31[[#This Row],[Player]],RB!B:O,10,FALSE)),"")</f>
        <v>3.5846755265999986</v>
      </c>
      <c r="AA15" s="57">
        <f>IFERROR((IFERROR(INDEX(TableRBCalcPts[Custom],MATCH(TableRBRanks31[[#This Row],[RK]],TableRBCalcPts[RK],0)),"")),"")</f>
        <v>206.99043080924</v>
      </c>
      <c r="AB15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31.053246335863104</v>
      </c>
      <c r="AD15">
        <v>14</v>
      </c>
      <c r="AE15" t="str">
        <f>IFERROR(INDEX(TableWRCalcPts[PLAYER],MATCH(TableWRRanks32[[#This Row],[RK]],TableWRCalcPts[RK],0)),"")</f>
        <v>Brandon Aiyuk</v>
      </c>
      <c r="AF15" t="str">
        <f>IFERROR(INDEX(TableWRCalcPts[TM],MATCH(TableWRRanks32[[#This Row],[Player]],TableWRCalcPts[PLAYER],0)),"")</f>
        <v>SF</v>
      </c>
      <c r="AG15">
        <f>IFERROR(INDEX(TableWRCalcPts[BYE],MATCH(TableWRRanks32[[#This Row],[Player]],TableWRCalcPts[PLAYER],0)),"")</f>
        <v>9</v>
      </c>
      <c r="AH15" s="83">
        <f>IFERROR((VLOOKUP(TableWRRanks32[[#This Row],[Player]],WR!B:O,4,FALSE)),"")</f>
        <v>0</v>
      </c>
      <c r="AI15" s="83">
        <f>IFERROR((VLOOKUP(TableWRRanks32[[#This Row],[Player]],WR!B:O,5,FALSE)),"")</f>
        <v>0</v>
      </c>
      <c r="AJ15" s="83">
        <f>IFERROR((VLOOKUP(TableWRRanks32[[#This Row],[Player]],WR!B:O,6,FALSE)),"")</f>
        <v>115.02733536</v>
      </c>
      <c r="AK15" s="83">
        <f>IFERROR((VLOOKUP(TableWRRanks32[[#This Row],[Player]],WR!B:O,7,FALSE)),"")</f>
        <v>78.218588044800001</v>
      </c>
      <c r="AL15" s="83">
        <f>IFERROR((VLOOKUP(TableWRRanks32[[#This Row],[Player]],WR!B:O,8,FALSE)),"")</f>
        <v>1184.229422998272</v>
      </c>
      <c r="AM15" s="83">
        <f>IFERROR((VLOOKUP(TableWRRanks32[[#This Row],[Player]],WR!B:O,9,FALSE)),"")</f>
        <v>7.9000773925248007</v>
      </c>
      <c r="AN15" s="57">
        <f>IFERROR((IFERROR(INDEX(TableWRCalcPts[Custom],MATCH(TableWRRanks32[[#This Row],[RK]],TableWRCalcPts[RK],0)),"")),"")</f>
        <v>204.932700677376</v>
      </c>
      <c r="AO15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25.146164482440422</v>
      </c>
      <c r="AQ15">
        <v>14</v>
      </c>
      <c r="AR15" t="str">
        <f>IFERROR(INDEX(TableTECalcPts[PLAYER],MATCH(TableTERanks33[[#This Row],[RK]],TableTECalcPts[RK],0)),"")</f>
        <v>Chigoziem Okonkwo</v>
      </c>
      <c r="AS15" t="str">
        <f>IFERROR(INDEX(TableTECalcPts[TM],MATCH(TableTERanks33[[#This Row],[Player]],TableTECalcPts[PLAYER],0)),"")</f>
        <v>TEN</v>
      </c>
      <c r="AT15">
        <f>IFERROR(INDEX(TableTECalcPts[BYE],MATCH(TableTERanks33[[#This Row],[Player]],TableTECalcPts[PLAYER],0)),"")</f>
        <v>5</v>
      </c>
      <c r="AU15" s="83">
        <f>IFERROR((VLOOKUP(TableTERanks33[[#This Row],[Player]],TE!B:O,4,FALSE)),"")</f>
        <v>82.720577939999984</v>
      </c>
      <c r="AV15" s="83">
        <f>IFERROR((VLOOKUP(TableTERanks33[[#This Row],[Player]],TE!B:O,5,FALSE)),"")</f>
        <v>54.595581440399975</v>
      </c>
      <c r="AW15" s="83">
        <f>IFERROR((VLOOKUP(TableTERanks33[[#This Row],[Player]],TE!B:O,6,FALSE)),"")</f>
        <v>601.64330747320776</v>
      </c>
      <c r="AX15" s="83">
        <f>IFERROR((VLOOKUP(TableTERanks33[[#This Row],[Player]],TE!B:O,7,FALSE)),"")</f>
        <v>3.8216907008279986</v>
      </c>
      <c r="AY15" s="57">
        <f>IFERROR((IFERROR(INDEX(TableTECalcPts[Custom],MATCH(TableTERanks33[[#This Row],[RK]],TableTECalcPts[RK],0)),"")),"")</f>
        <v>110.39226567248875</v>
      </c>
      <c r="AZ15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16" spans="1:52" x14ac:dyDescent="0.2">
      <c r="A16">
        <v>15</v>
      </c>
      <c r="B16" t="str">
        <f>IFERROR(INDEX(TableQBCalcPts[PLAYER],MATCH(TableQBRanks30[[#This Row],[RK]],TableQBCalcPts[RK],0)),"")</f>
        <v>Jared Goff</v>
      </c>
      <c r="C16" t="str">
        <f>IFERROR(INDEX(TableQBCalcPts[TM],MATCH(TableQBRanks30[[#This Row],[Player]],TableQBCalcPts[PLAYER],0)),"")</f>
        <v>DET</v>
      </c>
      <c r="D16">
        <f>IFERROR(INDEX(TableQBCalcPts[BYE],MATCH(TableQBRanks30[[#This Row],[Player]],TableQBCalcPts[PLAYER],0)),"")</f>
        <v>5</v>
      </c>
      <c r="E16" s="83">
        <f>IFERROR((VLOOKUP(TableQBRanks30[[#This Row],[Player]],QB!B:O,4,FALSE)),"")</f>
        <v>592.67459999999994</v>
      </c>
      <c r="F16" s="83">
        <f>IFERROR((VLOOKUP(TableQBRanks30[[#This Row],[Player]],QB!B:O,5,FALSE)),"")</f>
        <v>399.63111327548756</v>
      </c>
      <c r="G16" s="83">
        <f>IFERROR((VLOOKUP(TableQBRanks30[[#This Row],[Player]],QB!B:O,6,FALSE)),"")</f>
        <v>4482.2463890700856</v>
      </c>
      <c r="H16" s="83">
        <f>IFERROR((VLOOKUP(TableQBRanks30[[#This Row],[Player]],QB!B:O,7,FALSE)),"")</f>
        <v>30.819079199999994</v>
      </c>
      <c r="I16" s="83">
        <f>IFERROR((VLOOKUP(TableQBRanks30[[#This Row],[Player]],QB!B:O,8,FALSE)),"")</f>
        <v>6.4239213854865307</v>
      </c>
      <c r="J16" s="83">
        <f>IFERROR((VLOOKUP(TableQBRanks30[[#This Row],[Player]],QB!B:O,9,FALSE)),"")</f>
        <v>31.297378000000009</v>
      </c>
      <c r="K16" s="83">
        <f>IFERROR((VLOOKUP(TableQBRanks30[[#This Row],[Player]],QB!B:O,10,FALSE)),"")</f>
        <v>60.704217478589875</v>
      </c>
      <c r="L16" s="83">
        <f>IFERROR((VLOOKUP(TableQBRanks30[[#This Row],[Player]],QB!B:O,11,FALSE)),"")</f>
        <v>1.23216195363023</v>
      </c>
      <c r="M16" s="57">
        <f>IFERROR(INDEX(TableQBCalcPts[Custom],MATCH(TableQBRanks30[[#This Row],[RK]],TableQBCalcPts[RK],0)),"")</f>
        <v>303.18172306147073</v>
      </c>
      <c r="N16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2.5029566822979472</v>
      </c>
      <c r="P16">
        <v>15</v>
      </c>
      <c r="Q16" t="str">
        <f>IFERROR(INDEX(TableRBCalcPts[PLAYER],MATCH(TableRBRanks31[[#This Row],[RK]],TableRBCalcPts[RK],0)),"")</f>
        <v>Rachaad White</v>
      </c>
      <c r="R16" t="str">
        <f>IFERROR(INDEX(TableRBCalcPts[TM],MATCH(TableRBRanks31[[#This Row],[Player]],TableRBCalcPts[PLAYER],0)),"")</f>
        <v>TB</v>
      </c>
      <c r="S16">
        <f>IFERROR(INDEX(TableRBCalcPts[BYE],MATCH(TableRBRanks31[[#This Row],[Player]],TableRBCalcPts[PLAYER],0)),"")</f>
        <v>11</v>
      </c>
      <c r="T16" s="83">
        <f>IFERROR((VLOOKUP(TableRBRanks31[[#This Row],[Player]],RB!B:O,4,FALSE)),"")</f>
        <v>216.33643080000004</v>
      </c>
      <c r="U16" s="83">
        <f>IFERROR((VLOOKUP(TableRBRanks31[[#This Row],[Player]],RB!B:O,5,FALSE)),"")</f>
        <v>869.67245181600003</v>
      </c>
      <c r="V16" s="83">
        <f>IFERROR((VLOOKUP(TableRBRanks31[[#This Row],[Player]],RB!B:O,6,FALSE)),"")</f>
        <v>6.4900929240000007</v>
      </c>
      <c r="W16" s="83">
        <f>IFERROR((VLOOKUP(TableRBRanks31[[#This Row],[Player]],RB!B:O,7,FALSE)),"")</f>
        <v>56.932888319999996</v>
      </c>
      <c r="X16" s="83">
        <f>IFERROR((VLOOKUP(TableRBRanks31[[#This Row],[Player]],RB!B:O,8,FALSE)),"")</f>
        <v>46.45723686912001</v>
      </c>
      <c r="Y16" s="83">
        <f>IFERROR((VLOOKUP(TableRBRanks31[[#This Row],[Player]],RB!B:O,9,FALSE)),"")</f>
        <v>360.93497968080663</v>
      </c>
      <c r="Z16" s="83">
        <f>IFERROR((VLOOKUP(TableRBRanks31[[#This Row],[Player]],RB!B:O,10,FALSE)),"")</f>
        <v>2.0362990196558814</v>
      </c>
      <c r="AA16" s="57">
        <f>IFERROR((IFERROR(INDEX(TableRBCalcPts[Custom],MATCH(TableRBRanks31[[#This Row],[RK]],TableRBCalcPts[RK],0)),"")),"")</f>
        <v>197.44771324617597</v>
      </c>
      <c r="AB16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27.650160880255211</v>
      </c>
      <c r="AD16">
        <v>15</v>
      </c>
      <c r="AE16" t="str">
        <f>IFERROR(INDEX(TableWRCalcPts[PLAYER],MATCH(TableWRRanks32[[#This Row],[RK]],TableWRCalcPts[RK],0)),"")</f>
        <v>Tee Higgins</v>
      </c>
      <c r="AF16" t="str">
        <f>IFERROR(INDEX(TableWRCalcPts[TM],MATCH(TableWRRanks32[[#This Row],[Player]],TableWRCalcPts[PLAYER],0)),"")</f>
        <v>CIN</v>
      </c>
      <c r="AG16">
        <f>IFERROR(INDEX(TableWRCalcPts[BYE],MATCH(TableWRRanks32[[#This Row],[Player]],TableWRCalcPts[PLAYER],0)),"")</f>
        <v>12</v>
      </c>
      <c r="AH16" s="83">
        <f>IFERROR((VLOOKUP(TableWRRanks32[[#This Row],[Player]],WR!B:O,4,FALSE)),"")</f>
        <v>0</v>
      </c>
      <c r="AI16" s="83">
        <f>IFERROR((VLOOKUP(TableWRRanks32[[#This Row],[Player]],WR!B:O,5,FALSE)),"")</f>
        <v>0</v>
      </c>
      <c r="AJ16" s="83">
        <f>IFERROR((VLOOKUP(TableWRRanks32[[#This Row],[Player]],WR!B:O,6,FALSE)),"")</f>
        <v>132.82000955999999</v>
      </c>
      <c r="AK16" s="83">
        <f>IFERROR((VLOOKUP(TableWRRanks32[[#This Row],[Player]],WR!B:O,7,FALSE)),"")</f>
        <v>85.270446137519997</v>
      </c>
      <c r="AL16" s="83">
        <f>IFERROR((VLOOKUP(TableWRRanks32[[#This Row],[Player]],WR!B:O,8,FALSE)),"")</f>
        <v>1140.9185693200177</v>
      </c>
      <c r="AM16" s="83">
        <f>IFERROR((VLOOKUP(TableWRRanks32[[#This Row],[Player]],WR!B:O,9,FALSE)),"")</f>
        <v>7.9301514907893598</v>
      </c>
      <c r="AN16" s="57">
        <f>IFERROR((IFERROR(INDEX(TableWRCalcPts[Custom],MATCH(TableWRRanks32[[#This Row],[RK]],TableWRCalcPts[RK],0)),"")),"")</f>
        <v>204.30798894549793</v>
      </c>
      <c r="AO16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24.873973750915066</v>
      </c>
      <c r="AQ16">
        <v>15</v>
      </c>
      <c r="AR16" t="str">
        <f>IFERROR(INDEX(TableTECalcPts[PLAYER],MATCH(TableTERanks33[[#This Row],[RK]],TableTECalcPts[RK],0)),"")</f>
        <v>Hunter Henry</v>
      </c>
      <c r="AS16" t="str">
        <f>IFERROR(INDEX(TableTECalcPts[TM],MATCH(TableTERanks33[[#This Row],[Player]],TableTECalcPts[PLAYER],0)),"")</f>
        <v>NE</v>
      </c>
      <c r="AT16">
        <f>IFERROR(INDEX(TableTECalcPts[BYE],MATCH(TableTERanks33[[#This Row],[Player]],TableTECalcPts[PLAYER],0)),"")</f>
        <v>14</v>
      </c>
      <c r="AU16" s="83">
        <f>IFERROR((VLOOKUP(TableTERanks33[[#This Row],[Player]],TE!B:O,4,FALSE)),"")</f>
        <v>75.962316639999997</v>
      </c>
      <c r="AV16" s="83">
        <f>IFERROR((VLOOKUP(TableTERanks33[[#This Row],[Player]],TE!B:O,5,FALSE)),"")</f>
        <v>48.843769599520002</v>
      </c>
      <c r="AW16" s="83">
        <f>IFERROR((VLOOKUP(TableTERanks33[[#This Row],[Player]],TE!B:O,6,FALSE)),"")</f>
        <v>520.18614623488804</v>
      </c>
      <c r="AX16" s="83">
        <f>IFERROR((VLOOKUP(TableTERanks33[[#This Row],[Player]],TE!B:O,7,FALSE)),"")</f>
        <v>4.2005641855587195</v>
      </c>
      <c r="AY16" s="57">
        <f>IFERROR((IFERROR(INDEX(TableTECalcPts[Custom],MATCH(TableTERanks33[[#This Row],[RK]],TableTECalcPts[RK],0)),"")),"")</f>
        <v>101.64388453660112</v>
      </c>
      <c r="AZ16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17" spans="1:52" x14ac:dyDescent="0.2">
      <c r="A17">
        <v>16</v>
      </c>
      <c r="B17" t="str">
        <f>IFERROR(INDEX(TableQBCalcPts[PLAYER],MATCH(TableQBRanks30[[#This Row],[RK]],TableQBCalcPts[RK],0)),"")</f>
        <v>Tua Tagovailoa</v>
      </c>
      <c r="C17" t="str">
        <f>IFERROR(INDEX(TableQBCalcPts[TM],MATCH(TableQBRanks30[[#This Row],[Player]],TableQBCalcPts[PLAYER],0)),"")</f>
        <v>MIA</v>
      </c>
      <c r="D17">
        <f>IFERROR(INDEX(TableQBCalcPts[BYE],MATCH(TableQBRanks30[[#This Row],[Player]],TableQBCalcPts[PLAYER],0)),"")</f>
        <v>6</v>
      </c>
      <c r="E17" s="83">
        <f>IFERROR((VLOOKUP(TableQBRanks30[[#This Row],[Player]],QB!B:O,4,FALSE)),"")</f>
        <v>580.3471199999999</v>
      </c>
      <c r="F17" s="83">
        <f>IFERROR((VLOOKUP(TableQBRanks30[[#This Row],[Player]],QB!B:O,5,FALSE)),"")</f>
        <v>393.45014189459778</v>
      </c>
      <c r="G17" s="83">
        <f>IFERROR((VLOOKUP(TableQBRanks30[[#This Row],[Player]],QB!B:O,6,FALSE)),"")</f>
        <v>4620.5862909289335</v>
      </c>
      <c r="H17" s="83">
        <f>IFERROR((VLOOKUP(TableQBRanks30[[#This Row],[Player]],QB!B:O,7,FALSE)),"")</f>
        <v>29.017355999999996</v>
      </c>
      <c r="I17" s="83">
        <f>IFERROR((VLOOKUP(TableQBRanks30[[#This Row],[Player]],QB!B:O,8,FALSE)),"")</f>
        <v>7.943681404194515</v>
      </c>
      <c r="J17" s="83">
        <f>IFERROR((VLOOKUP(TableQBRanks30[[#This Row],[Player]],QB!B:O,9,FALSE)),"")</f>
        <v>33.688793600000004</v>
      </c>
      <c r="K17" s="83">
        <f>IFERROR((VLOOKUP(TableQBRanks30[[#This Row],[Player]],QB!B:O,10,FALSE)),"")</f>
        <v>92.454583979979532</v>
      </c>
      <c r="L17" s="83">
        <f>IFERROR((VLOOKUP(TableQBRanks30[[#This Row],[Player]],QB!B:O,11,FALSE)),"")</f>
        <v>0.67377587200000011</v>
      </c>
      <c r="M17" s="57">
        <f>IFERROR(INDEX(TableQBCalcPts[Custom],MATCH(TableQBRanks30[[#This Row],[RK]],TableQBCalcPts[RK],0)),"")</f>
        <v>298.29362645876625</v>
      </c>
      <c r="N17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1.6247426998282082</v>
      </c>
      <c r="P17">
        <v>16</v>
      </c>
      <c r="Q17" t="str">
        <f>IFERROR(INDEX(TableRBCalcPts[PLAYER],MATCH(TableRBRanks31[[#This Row],[RK]],TableRBCalcPts[RK],0)),"")</f>
        <v>Kenneth Walker</v>
      </c>
      <c r="R17" t="str">
        <f>IFERROR(INDEX(TableRBCalcPts[TM],MATCH(TableRBRanks31[[#This Row],[Player]],TableRBCalcPts[PLAYER],0)),"")</f>
        <v>SEA</v>
      </c>
      <c r="S17">
        <f>IFERROR(INDEX(TableRBCalcPts[BYE],MATCH(TableRBRanks31[[#This Row],[Player]],TableRBCalcPts[PLAYER],0)),"")</f>
        <v>10</v>
      </c>
      <c r="T17" s="83">
        <f>IFERROR((VLOOKUP(TableRBRanks31[[#This Row],[Player]],RB!B:O,4,FALSE)),"")</f>
        <v>234.79850772000003</v>
      </c>
      <c r="U17" s="83">
        <f>IFERROR((VLOOKUP(TableRBRanks31[[#This Row],[Player]],RB!B:O,5,FALSE)),"")</f>
        <v>1028.4174638136001</v>
      </c>
      <c r="V17" s="83">
        <f>IFERROR((VLOOKUP(TableRBRanks31[[#This Row],[Player]],RB!B:O,6,FALSE)),"")</f>
        <v>8.969302994904</v>
      </c>
      <c r="W17" s="83">
        <f>IFERROR((VLOOKUP(TableRBRanks31[[#This Row],[Player]],RB!B:O,7,FALSE)),"")</f>
        <v>34.828945199999993</v>
      </c>
      <c r="X17" s="83">
        <f>IFERROR((VLOOKUP(TableRBRanks31[[#This Row],[Player]],RB!B:O,8,FALSE)),"")</f>
        <v>26.853116749199991</v>
      </c>
      <c r="Y17" s="83">
        <f>IFERROR((VLOOKUP(TableRBRanks31[[#This Row],[Player]],RB!B:O,9,FALSE)),"")</f>
        <v>209.55563946416092</v>
      </c>
      <c r="Z17" s="83">
        <f>IFERROR((VLOOKUP(TableRBRanks31[[#This Row],[Player]],RB!B:O,10,FALSE)),"")</f>
        <v>0.8845376682785584</v>
      </c>
      <c r="AA17" s="57">
        <f>IFERROR((IFERROR(INDEX(TableRBCalcPts[Custom],MATCH(TableRBRanks31[[#This Row],[RK]],TableRBCalcPts[RK],0)),"")),"")</f>
        <v>196.34691268147145</v>
      </c>
      <c r="AB17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27.257597821932013</v>
      </c>
      <c r="AD17">
        <v>16</v>
      </c>
      <c r="AE17" t="str">
        <f>IFERROR(INDEX(TableWRCalcPts[PLAYER],MATCH(TableWRRanks32[[#This Row],[RK]],TableWRCalcPts[RK],0)),"")</f>
        <v>DeVonta Smith</v>
      </c>
      <c r="AF17" t="str">
        <f>IFERROR(INDEX(TableWRCalcPts[TM],MATCH(TableWRRanks32[[#This Row],[Player]],TableWRCalcPts[PLAYER],0)),"")</f>
        <v>PHI</v>
      </c>
      <c r="AG17">
        <f>IFERROR(INDEX(TableWRCalcPts[BYE],MATCH(TableWRRanks32[[#This Row],[Player]],TableWRCalcPts[PLAYER],0)),"")</f>
        <v>5</v>
      </c>
      <c r="AH17" s="83">
        <f>IFERROR((VLOOKUP(TableWRRanks32[[#This Row],[Player]],WR!B:O,4,FALSE)),"")</f>
        <v>24.242214527999998</v>
      </c>
      <c r="AI17" s="83">
        <f>IFERROR((VLOOKUP(TableWRRanks32[[#This Row],[Player]],WR!B:O,5,FALSE)),"")</f>
        <v>1.4429660557768925E-2</v>
      </c>
      <c r="AJ17" s="83">
        <f>IFERROR((VLOOKUP(TableWRRanks32[[#This Row],[Player]],WR!B:O,6,FALSE)),"")</f>
        <v>128.86274016000002</v>
      </c>
      <c r="AK17" s="83">
        <f>IFERROR((VLOOKUP(TableWRRanks32[[#This Row],[Player]],WR!B:O,7,FALSE)),"")</f>
        <v>84.018506584320008</v>
      </c>
      <c r="AL17" s="83">
        <f>IFERROR((VLOOKUP(TableWRRanks32[[#This Row],[Player]],WR!B:O,8,FALSE)),"")</f>
        <v>1135.9302090200065</v>
      </c>
      <c r="AM17" s="83">
        <f>IFERROR((VLOOKUP(TableWRRanks32[[#This Row],[Player]],WR!B:O,9,FALSE)),"")</f>
        <v>7.0845651851390858</v>
      </c>
      <c r="AN17" s="57">
        <f>IFERROR((IFERROR(INDEX(TableWRCalcPts[Custom],MATCH(TableWRRanks32[[#This Row],[RK]],TableWRCalcPts[RK],0)),"")),"")</f>
        <v>200.62046472114179</v>
      </c>
      <c r="AO17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23.267296839105647</v>
      </c>
      <c r="AQ17">
        <v>16</v>
      </c>
      <c r="AR17" t="str">
        <f>IFERROR(INDEX(TableTECalcPts[PLAYER],MATCH(TableTERanks33[[#This Row],[RK]],TableTECalcPts[RK],0)),"")</f>
        <v>Cole Kmet</v>
      </c>
      <c r="AS17" t="str">
        <f>IFERROR(INDEX(TableTECalcPts[TM],MATCH(TableTERanks33[[#This Row],[Player]],TableTECalcPts[PLAYER],0)),"")</f>
        <v>CHI</v>
      </c>
      <c r="AT17">
        <f>IFERROR(INDEX(TableTECalcPts[BYE],MATCH(TableTERanks33[[#This Row],[Player]],TableTECalcPts[PLAYER],0)),"")</f>
        <v>7</v>
      </c>
      <c r="AU17" s="83">
        <f>IFERROR((VLOOKUP(TableTERanks33[[#This Row],[Player]],TE!B:O,4,FALSE)),"")</f>
        <v>76.519144799999992</v>
      </c>
      <c r="AV17" s="83">
        <f>IFERROR((VLOOKUP(TableTERanks33[[#This Row],[Player]],TE!B:O,5,FALSE)),"")</f>
        <v>51.267827015999998</v>
      </c>
      <c r="AW17" s="83">
        <f>IFERROR((VLOOKUP(TableTERanks33[[#This Row],[Player]],TE!B:O,6,FALSE)),"")</f>
        <v>505.9149762291255</v>
      </c>
      <c r="AX17" s="83">
        <f>IFERROR((VLOOKUP(TableTERanks33[[#This Row],[Player]],TE!B:O,7,FALSE)),"")</f>
        <v>3.8888148377086442</v>
      </c>
      <c r="AY17" s="57">
        <f>IFERROR((IFERROR(INDEX(TableTECalcPts[Custom],MATCH(TableTERanks33[[#This Row],[RK]],TableTECalcPts[RK],0)),"")),"")</f>
        <v>99.558300157164425</v>
      </c>
      <c r="AZ17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18" spans="1:52" x14ac:dyDescent="0.2">
      <c r="A18">
        <v>17</v>
      </c>
      <c r="B18" t="str">
        <f>IFERROR(INDEX(TableQBCalcPts[PLAYER],MATCH(TableQBRanks30[[#This Row],[RK]],TableQBCalcPts[RK],0)),"")</f>
        <v>Aaron Rodgers</v>
      </c>
      <c r="C18" t="str">
        <f>IFERROR(INDEX(TableQBCalcPts[TM],MATCH(TableQBRanks30[[#This Row],[Player]],TableQBCalcPts[PLAYER],0)),"")</f>
        <v>NYJ</v>
      </c>
      <c r="D18">
        <f>IFERROR(INDEX(TableQBCalcPts[BYE],MATCH(TableQBRanks30[[#This Row],[Player]],TableQBCalcPts[PLAYER],0)),"")</f>
        <v>12</v>
      </c>
      <c r="E18" s="83">
        <f>IFERROR((VLOOKUP(TableQBRanks30[[#This Row],[Player]],QB!B:O,4,FALSE)),"")</f>
        <v>592.51191999999992</v>
      </c>
      <c r="F18" s="83">
        <f>IFERROR((VLOOKUP(TableQBRanks30[[#This Row],[Player]],QB!B:O,5,FALSE)),"")</f>
        <v>385.17892700200605</v>
      </c>
      <c r="G18" s="83">
        <f>IFERROR((VLOOKUP(TableQBRanks30[[#This Row],[Player]],QB!B:O,6,FALSE)),"")</f>
        <v>4261.1253103919335</v>
      </c>
      <c r="H18" s="83">
        <f>IFERROR((VLOOKUP(TableQBRanks30[[#This Row],[Player]],QB!B:O,7,FALSE)),"")</f>
        <v>29.625595999999998</v>
      </c>
      <c r="I18" s="83">
        <f>IFERROR((VLOOKUP(TableQBRanks30[[#This Row],[Player]],QB!B:O,8,FALSE)),"")</f>
        <v>5.4561566113858548</v>
      </c>
      <c r="J18" s="83">
        <f>IFERROR((VLOOKUP(TableQBRanks30[[#This Row],[Player]],QB!B:O,9,FALSE)),"")</f>
        <v>31.034365600000008</v>
      </c>
      <c r="K18" s="83">
        <f>IFERROR((VLOOKUP(TableQBRanks30[[#This Row],[Player]],QB!B:O,10,FALSE)),"")</f>
        <v>101.92927358707342</v>
      </c>
      <c r="L18" s="83">
        <f>IFERROR((VLOOKUP(TableQBRanks30[[#This Row],[Player]],QB!B:O,11,FALSE)),"")</f>
        <v>1.1587367853837653</v>
      </c>
      <c r="M18" s="57">
        <f>IFERROR(INDEX(TableQBCalcPts[Custom],MATCH(TableQBRanks30[[#This Row],[RK]],TableQBCalcPts[RK],0)),"")</f>
        <v>295.18043126391552</v>
      </c>
      <c r="N18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1.1114353881118684</v>
      </c>
      <c r="P18">
        <v>17</v>
      </c>
      <c r="Q18" t="str">
        <f>IFERROR(INDEX(TableRBCalcPts[PLAYER],MATCH(TableRBRanks31[[#This Row],[RK]],TableRBCalcPts[RK],0)),"")</f>
        <v>Travis Etienne</v>
      </c>
      <c r="R18" t="str">
        <f>IFERROR(INDEX(TableRBCalcPts[TM],MATCH(TableRBRanks31[[#This Row],[Player]],TableRBCalcPts[PLAYER],0)),"")</f>
        <v>JAX</v>
      </c>
      <c r="S18">
        <f>IFERROR(INDEX(TableRBCalcPts[BYE],MATCH(TableRBRanks31[[#This Row],[Player]],TableRBCalcPts[PLAYER],0)),"")</f>
        <v>12</v>
      </c>
      <c r="T18" s="83">
        <f>IFERROR((VLOOKUP(TableRBRanks31[[#This Row],[Player]],RB!B:O,4,FALSE)),"")</f>
        <v>232.59292560000003</v>
      </c>
      <c r="U18" s="83">
        <f>IFERROR((VLOOKUP(TableRBRanks31[[#This Row],[Player]],RB!B:O,5,FALSE)),"")</f>
        <v>976.89028752000013</v>
      </c>
      <c r="V18" s="83">
        <f>IFERROR((VLOOKUP(TableRBRanks31[[#This Row],[Player]],RB!B:O,6,FALSE)),"")</f>
        <v>8.4855596084532596</v>
      </c>
      <c r="W18" s="83">
        <f>IFERROR((VLOOKUP(TableRBRanks31[[#This Row],[Player]],RB!B:O,7,FALSE)),"")</f>
        <v>42.153465200000007</v>
      </c>
      <c r="X18" s="83">
        <f>IFERROR((VLOOKUP(TableRBRanks31[[#This Row],[Player]],RB!B:O,8,FALSE)),"")</f>
        <v>32.879702856000009</v>
      </c>
      <c r="Y18" s="83">
        <f>IFERROR((VLOOKUP(TableRBRanks31[[#This Row],[Player]],RB!B:O,9,FALSE)),"")</f>
        <v>252.51611793408006</v>
      </c>
      <c r="Z18" s="83">
        <f>IFERROR((VLOOKUP(TableRBRanks31[[#This Row],[Player]],RB!B:O,10,FALSE)),"")</f>
        <v>0.93979127108425942</v>
      </c>
      <c r="AA18" s="57">
        <f>IFERROR((IFERROR(INDEX(TableRBCalcPts[Custom],MATCH(TableRBRanks31[[#This Row],[RK]],TableRBCalcPts[RK],0)),"")),"")</f>
        <v>195.93259725063314</v>
      </c>
      <c r="AB18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27.10984632374484</v>
      </c>
      <c r="AD18">
        <v>17</v>
      </c>
      <c r="AE18" t="str">
        <f>IFERROR(INDEX(TableWRCalcPts[PLAYER],MATCH(TableWRRanks32[[#This Row],[RK]],TableWRCalcPts[RK],0)),"")</f>
        <v>Drake London</v>
      </c>
      <c r="AF18" t="str">
        <f>IFERROR(INDEX(TableWRCalcPts[TM],MATCH(TableWRRanks32[[#This Row],[Player]],TableWRCalcPts[PLAYER],0)),"")</f>
        <v>ATL</v>
      </c>
      <c r="AG18">
        <f>IFERROR(INDEX(TableWRCalcPts[BYE],MATCH(TableWRRanks32[[#This Row],[Player]],TableWRCalcPts[PLAYER],0)),"")</f>
        <v>12</v>
      </c>
      <c r="AH18" s="83">
        <f>IFERROR((VLOOKUP(TableWRRanks32[[#This Row],[Player]],WR!B:O,4,FALSE)),"")</f>
        <v>0</v>
      </c>
      <c r="AI18" s="83">
        <f>IFERROR((VLOOKUP(TableWRRanks32[[#This Row],[Player]],WR!B:O,5,FALSE)),"")</f>
        <v>0</v>
      </c>
      <c r="AJ18" s="83">
        <f>IFERROR((VLOOKUP(TableWRRanks32[[#This Row],[Player]],WR!B:O,6,FALSE)),"")</f>
        <v>131.13067967999999</v>
      </c>
      <c r="AK18" s="83">
        <f>IFERROR((VLOOKUP(TableWRRanks32[[#This Row],[Player]],WR!B:O,7,FALSE)),"")</f>
        <v>85.366072471680013</v>
      </c>
      <c r="AL18" s="83">
        <f>IFERROR((VLOOKUP(TableWRRanks32[[#This Row],[Player]],WR!B:O,8,FALSE)),"")</f>
        <v>1097.8076919858049</v>
      </c>
      <c r="AM18" s="83">
        <f>IFERROR((VLOOKUP(TableWRRanks32[[#This Row],[Player]],WR!B:O,9,FALSE)),"")</f>
        <v>7.597580449979521</v>
      </c>
      <c r="AN18" s="57">
        <f>IFERROR((IFERROR(INDEX(TableWRCalcPts[Custom],MATCH(TableWRRanks32[[#This Row],[RK]],TableWRCalcPts[RK],0)),"")),"")</f>
        <v>198.04928813429765</v>
      </c>
      <c r="AO18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22.147019436998896</v>
      </c>
      <c r="AQ18">
        <v>17</v>
      </c>
      <c r="AR18" t="str">
        <f>IFERROR(INDEX(TableTECalcPts[PLAYER],MATCH(TableTERanks33[[#This Row],[RK]],TableTECalcPts[RK],0)),"")</f>
        <v>Dalton Schultz</v>
      </c>
      <c r="AS18" t="str">
        <f>IFERROR(INDEX(TableTECalcPts[TM],MATCH(TableTERanks33[[#This Row],[Player]],TableTECalcPts[PLAYER],0)),"")</f>
        <v>HOU</v>
      </c>
      <c r="AT18">
        <f>IFERROR(INDEX(TableTECalcPts[BYE],MATCH(TableTERanks33[[#This Row],[Player]],TableTECalcPts[PLAYER],0)),"")</f>
        <v>14</v>
      </c>
      <c r="AU18" s="83">
        <f>IFERROR((VLOOKUP(TableTERanks33[[#This Row],[Player]],TE!B:O,4,FALSE)),"")</f>
        <v>68.926457599999992</v>
      </c>
      <c r="AV18" s="83">
        <f>IFERROR((VLOOKUP(TableTERanks33[[#This Row],[Player]],TE!B:O,5,FALSE)),"")</f>
        <v>47.007844083199998</v>
      </c>
      <c r="AW18" s="83">
        <f>IFERROR((VLOOKUP(TableTERanks33[[#This Row],[Player]],TE!B:O,6,FALSE)),"")</f>
        <v>511.44534362521603</v>
      </c>
      <c r="AX18" s="83">
        <f>IFERROR((VLOOKUP(TableTERanks33[[#This Row],[Player]],TE!B:O,7,FALSE)),"")</f>
        <v>3.9685813344360383</v>
      </c>
      <c r="AY18" s="57">
        <f>IFERROR((IFERROR(INDEX(TableTECalcPts[Custom],MATCH(TableTERanks33[[#This Row],[RK]],TableTECalcPts[RK],0)),"")),"")</f>
        <v>98.459944410737833</v>
      </c>
      <c r="AZ18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19" spans="1:52" x14ac:dyDescent="0.2">
      <c r="A19">
        <v>18</v>
      </c>
      <c r="B19" t="str">
        <f>IFERROR(INDEX(TableQBCalcPts[PLAYER],MATCH(TableQBRanks30[[#This Row],[RK]],TableQBCalcPts[RK],0)),"")</f>
        <v>Kirk Cousins</v>
      </c>
      <c r="C19" t="str">
        <f>IFERROR(INDEX(TableQBCalcPts[TM],MATCH(TableQBRanks30[[#This Row],[Player]],TableQBCalcPts[PLAYER],0)),"")</f>
        <v>ATL</v>
      </c>
      <c r="D19">
        <f>IFERROR(INDEX(TableQBCalcPts[BYE],MATCH(TableQBRanks30[[#This Row],[Player]],TableQBCalcPts[PLAYER],0)),"")</f>
        <v>12</v>
      </c>
      <c r="E19" s="83">
        <f>IFERROR((VLOOKUP(TableQBRanks30[[#This Row],[Player]],QB!B:O,4,FALSE)),"")</f>
        <v>575.13455999999996</v>
      </c>
      <c r="F19" s="83">
        <f>IFERROR((VLOOKUP(TableQBRanks30[[#This Row],[Player]],QB!B:O,5,FALSE)),"")</f>
        <v>378.22168752758637</v>
      </c>
      <c r="G19" s="83">
        <f>IFERROR((VLOOKUP(TableQBRanks30[[#This Row],[Player]],QB!B:O,6,FALSE)),"")</f>
        <v>4296.5983703133807</v>
      </c>
      <c r="H19" s="83">
        <f>IFERROR((VLOOKUP(TableQBRanks30[[#This Row],[Player]],QB!B:O,7,FALSE)),"")</f>
        <v>29.504507705665819</v>
      </c>
      <c r="I19" s="83">
        <f>IFERROR((VLOOKUP(TableQBRanks30[[#This Row],[Player]],QB!B:O,8,FALSE)),"")</f>
        <v>6.1493485989509153</v>
      </c>
      <c r="J19" s="83">
        <f>IFERROR((VLOOKUP(TableQBRanks30[[#This Row],[Player]],QB!B:O,9,FALSE)),"")</f>
        <v>25.820726400000002</v>
      </c>
      <c r="K19" s="83">
        <f>IFERROR((VLOOKUP(TableQBRanks30[[#This Row],[Player]],QB!B:O,10,FALSE)),"")</f>
        <v>78.244311871374677</v>
      </c>
      <c r="L19" s="83">
        <f>IFERROR((VLOOKUP(TableQBRanks30[[#This Row],[Player]],QB!B:O,11,FALSE)),"")</f>
        <v>1.2190807392656713</v>
      </c>
      <c r="M19" s="57">
        <f>IFERROR(INDEX(TableQBCalcPts[Custom],MATCH(TableQBRanks30[[#This Row],[RK]],TableQBCalcPts[RK],0)),"")</f>
        <v>292.72218406002816</v>
      </c>
      <c r="N19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0.39942311438595435</v>
      </c>
      <c r="P19">
        <v>18</v>
      </c>
      <c r="Q19" t="str">
        <f>IFERROR(INDEX(TableRBCalcPts[PLAYER],MATCH(TableRBRanks31[[#This Row],[RK]],TableRBCalcPts[RK],0)),"")</f>
        <v>James Cook</v>
      </c>
      <c r="R19" t="str">
        <f>IFERROR(INDEX(TableRBCalcPts[TM],MATCH(TableRBRanks31[[#This Row],[Player]],TableRBCalcPts[PLAYER],0)),"")</f>
        <v>BUF</v>
      </c>
      <c r="S19">
        <f>IFERROR(INDEX(TableRBCalcPts[BYE],MATCH(TableRBRanks31[[#This Row],[Player]],TableRBCalcPts[PLAYER],0)),"")</f>
        <v>12</v>
      </c>
      <c r="T19" s="83">
        <f>IFERROR((VLOOKUP(TableRBRanks31[[#This Row],[Player]],RB!B:O,4,FALSE)),"")</f>
        <v>210.58387392000003</v>
      </c>
      <c r="U19" s="83">
        <f>IFERROR((VLOOKUP(TableRBRanks31[[#This Row],[Player]],RB!B:O,5,FALSE)),"")</f>
        <v>947.62743264000017</v>
      </c>
      <c r="V19" s="83">
        <f>IFERROR((VLOOKUP(TableRBRanks31[[#This Row],[Player]],RB!B:O,6,FALSE)),"")</f>
        <v>5.1440328083671965</v>
      </c>
      <c r="W19" s="83">
        <f>IFERROR((VLOOKUP(TableRBRanks31[[#This Row],[Player]],RB!B:O,7,FALSE)),"")</f>
        <v>53.449482239999995</v>
      </c>
      <c r="X19" s="83">
        <f>IFERROR((VLOOKUP(TableRBRanks31[[#This Row],[Player]],RB!B:O,8,FALSE)),"")</f>
        <v>39.873313751040008</v>
      </c>
      <c r="Y19" s="83">
        <f>IFERROR((VLOOKUP(TableRBRanks31[[#This Row],[Player]],RB!B:O,9,FALSE)),"")</f>
        <v>343.25346832816842</v>
      </c>
      <c r="Z19" s="83">
        <f>IFERROR((VLOOKUP(TableRBRanks31[[#This Row],[Player]],RB!B:O,10,FALSE)),"")</f>
        <v>2.3008943159581885</v>
      </c>
      <c r="AA19" s="57">
        <f>IFERROR((IFERROR(INDEX(TableRBCalcPts[Custom],MATCH(TableRBRanks31[[#This Row],[RK]],TableRBCalcPts[RK],0)),"")),"")</f>
        <v>193.69430971828919</v>
      </c>
      <c r="AB19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26.3116372500245</v>
      </c>
      <c r="AD19">
        <v>18</v>
      </c>
      <c r="AE19" t="str">
        <f>IFERROR(INDEX(TableWRCalcPts[PLAYER],MATCH(TableWRRanks32[[#This Row],[RK]],TableWRCalcPts[RK],0)),"")</f>
        <v>DK Metcalf</v>
      </c>
      <c r="AF19" t="str">
        <f>IFERROR(INDEX(TableWRCalcPts[TM],MATCH(TableWRRanks32[[#This Row],[Player]],TableWRCalcPts[PLAYER],0)),"")</f>
        <v>SEA</v>
      </c>
      <c r="AG19">
        <f>IFERROR(INDEX(TableWRCalcPts[BYE],MATCH(TableWRRanks32[[#This Row],[Player]],TableWRCalcPts[PLAYER],0)),"")</f>
        <v>10</v>
      </c>
      <c r="AH19" s="83">
        <f>IFERROR((VLOOKUP(TableWRRanks32[[#This Row],[Player]],WR!B:O,4,FALSE)),"")</f>
        <v>0</v>
      </c>
      <c r="AI19" s="83">
        <f>IFERROR((VLOOKUP(TableWRRanks32[[#This Row],[Player]],WR!B:O,5,FALSE)),"")</f>
        <v>0</v>
      </c>
      <c r="AJ19" s="83">
        <f>IFERROR((VLOOKUP(TableWRRanks32[[#This Row],[Player]],WR!B:O,6,FALSE)),"")</f>
        <v>123.64275545999998</v>
      </c>
      <c r="AK19" s="83">
        <f>IFERROR((VLOOKUP(TableWRRanks32[[#This Row],[Player]],WR!B:O,7,FALSE)),"")</f>
        <v>73.443796743239986</v>
      </c>
      <c r="AL19" s="83">
        <f>IFERROR((VLOOKUP(TableWRRanks32[[#This Row],[Player]],WR!B:O,8,FALSE)),"")</f>
        <v>1102.3913891160321</v>
      </c>
      <c r="AM19" s="83">
        <f>IFERROR((VLOOKUP(TableWRRanks32[[#This Row],[Player]],WR!B:O,9,FALSE)),"")</f>
        <v>8.2991490319861185</v>
      </c>
      <c r="AN19" s="57">
        <f>IFERROR((IFERROR(INDEX(TableWRCalcPts[Custom],MATCH(TableWRRanks32[[#This Row],[RK]],TableWRCalcPts[RK],0)),"")),"")</f>
        <v>196.75593147513993</v>
      </c>
      <c r="AO19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21.583496011368652</v>
      </c>
      <c r="AQ19">
        <v>18</v>
      </c>
      <c r="AR19" t="str">
        <f>IFERROR(INDEX(TableTECalcPts[PLAYER],MATCH(TableTERanks33[[#This Row],[RK]],TableTECalcPts[RK],0)),"")</f>
        <v>Mike Gesicki</v>
      </c>
      <c r="AS19" t="str">
        <f>IFERROR(INDEX(TableTECalcPts[TM],MATCH(TableTERanks33[[#This Row],[Player]],TableTECalcPts[PLAYER],0)),"")</f>
        <v>CIN</v>
      </c>
      <c r="AT19">
        <f>IFERROR(INDEX(TableTECalcPts[BYE],MATCH(TableTERanks33[[#This Row],[Player]],TableTECalcPts[PLAYER],0)),"")</f>
        <v>12</v>
      </c>
      <c r="AU19" s="83">
        <f>IFERROR((VLOOKUP(TableTERanks33[[#This Row],[Player]],TE!B:O,4,FALSE)),"")</f>
        <v>70.463197559999998</v>
      </c>
      <c r="AV19" s="83">
        <f>IFERROR((VLOOKUP(TableTERanks33[[#This Row],[Player]],TE!B:O,5,FALSE)),"")</f>
        <v>49.747017477359996</v>
      </c>
      <c r="AW19" s="83">
        <f>IFERROR((VLOOKUP(TableTERanks33[[#This Row],[Player]],TE!B:O,6,FALSE)),"")</f>
        <v>484.26218078086788</v>
      </c>
      <c r="AX19" s="83">
        <f>IFERROR((VLOOKUP(TableTERanks33[[#This Row],[Player]],TE!B:O,7,FALSE)),"")</f>
        <v>3.9300143807114396</v>
      </c>
      <c r="AY19" s="57">
        <f>IFERROR((IFERROR(INDEX(TableTECalcPts[Custom],MATCH(TableTERanks33[[#This Row],[RK]],TableTECalcPts[RK],0)),"")),"")</f>
        <v>96.879813101035438</v>
      </c>
      <c r="AZ19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20" spans="1:52" x14ac:dyDescent="0.2">
      <c r="A20">
        <v>19</v>
      </c>
      <c r="B20" t="str">
        <f>IFERROR(INDEX(TableQBCalcPts[PLAYER],MATCH(TableQBRanks30[[#This Row],[RK]],TableQBCalcPts[RK],0)),"")</f>
        <v>Deshaun Watson</v>
      </c>
      <c r="C20" t="str">
        <f>IFERROR(INDEX(TableQBCalcPts[TM],MATCH(TableQBRanks30[[#This Row],[Player]],TableQBCalcPts[PLAYER],0)),"")</f>
        <v>CLE</v>
      </c>
      <c r="D20">
        <f>IFERROR(INDEX(TableQBCalcPts[BYE],MATCH(TableQBRanks30[[#This Row],[Player]],TableQBCalcPts[PLAYER],0)),"")</f>
        <v>10</v>
      </c>
      <c r="E20" s="83">
        <f>IFERROR((VLOOKUP(TableQBRanks30[[#This Row],[Player]],QB!B:O,4,FALSE)),"")</f>
        <v>537.65250000000003</v>
      </c>
      <c r="F20" s="83">
        <f>IFERROR((VLOOKUP(TableQBRanks30[[#This Row],[Player]],QB!B:O,5,FALSE)),"")</f>
        <v>336.40236083227416</v>
      </c>
      <c r="G20" s="83">
        <f>IFERROR((VLOOKUP(TableQBRanks30[[#This Row],[Player]],QB!B:O,6,FALSE)),"")</f>
        <v>3828.2588662712801</v>
      </c>
      <c r="H20" s="83">
        <f>IFERROR((VLOOKUP(TableQBRanks30[[#This Row],[Player]],QB!B:O,7,FALSE)),"")</f>
        <v>23.018994227050147</v>
      </c>
      <c r="I20" s="83">
        <f>IFERROR((VLOOKUP(TableQBRanks30[[#This Row],[Player]],QB!B:O,8,FALSE)),"")</f>
        <v>7.2235246947888987</v>
      </c>
      <c r="J20" s="83">
        <f>IFERROR((VLOOKUP(TableQBRanks30[[#This Row],[Player]],QB!B:O,9,FALSE)),"")</f>
        <v>82.696074999999993</v>
      </c>
      <c r="K20" s="83">
        <f>IFERROR((VLOOKUP(TableQBRanks30[[#This Row],[Player]],QB!B:O,10,FALSE)),"")</f>
        <v>420.16003883315818</v>
      </c>
      <c r="L20" s="83">
        <f>IFERROR((VLOOKUP(TableQBRanks30[[#This Row],[Player]],QB!B:O,11,FALSE)),"")</f>
        <v>3.2251469249999998</v>
      </c>
      <c r="M20" s="57">
        <f>IFERROR(INDEX(TableQBCalcPts[Custom],MATCH(TableQBRanks30[[#This Row],[RK]],TableQBCalcPts[RK],0)),"")</f>
        <v>292.12616760278985</v>
      </c>
      <c r="N20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7.9450336512538813E-2</v>
      </c>
      <c r="P20">
        <v>19</v>
      </c>
      <c r="Q20" t="str">
        <f>IFERROR(INDEX(TableRBCalcPts[PLAYER],MATCH(TableRBRanks31[[#This Row],[RK]],TableRBCalcPts[RK],0)),"")</f>
        <v>Zamir White</v>
      </c>
      <c r="R20" t="str">
        <f>IFERROR(INDEX(TableRBCalcPts[TM],MATCH(TableRBRanks31[[#This Row],[Player]],TableRBCalcPts[PLAYER],0)),"")</f>
        <v>LV</v>
      </c>
      <c r="S20">
        <f>IFERROR(INDEX(TableRBCalcPts[BYE],MATCH(TableRBRanks31[[#This Row],[Player]],TableRBCalcPts[PLAYER],0)),"")</f>
        <v>10</v>
      </c>
      <c r="T20" s="83">
        <f>IFERROR((VLOOKUP(TableRBRanks31[[#This Row],[Player]],RB!B:O,4,FALSE)),"")</f>
        <v>253.13400000000001</v>
      </c>
      <c r="U20" s="83">
        <f>IFERROR((VLOOKUP(TableRBRanks31[[#This Row],[Player]],RB!B:O,5,FALSE)),"")</f>
        <v>1088.4762000000001</v>
      </c>
      <c r="V20" s="83">
        <f>IFERROR((VLOOKUP(TableRBRanks31[[#This Row],[Player]],RB!B:O,6,FALSE)),"")</f>
        <v>8.1002880000000008</v>
      </c>
      <c r="W20" s="83">
        <f>IFERROR((VLOOKUP(TableRBRanks31[[#This Row],[Player]],RB!B:O,7,FALSE)),"")</f>
        <v>34.956600000000002</v>
      </c>
      <c r="X20" s="83">
        <f>IFERROR((VLOOKUP(TableRBRanks31[[#This Row],[Player]],RB!B:O,8,FALSE)),"")</f>
        <v>25.518318000000001</v>
      </c>
      <c r="Y20" s="83">
        <f>IFERROR((VLOOKUP(TableRBRanks31[[#This Row],[Player]],RB!B:O,9,FALSE)),"")</f>
        <v>182.45474291871378</v>
      </c>
      <c r="Z20" s="83">
        <f>IFERROR((VLOOKUP(TableRBRanks31[[#This Row],[Player]],RB!B:O,10,FALSE)),"")</f>
        <v>0.62991635152821857</v>
      </c>
      <c r="AA20" s="57">
        <f>IFERROR((IFERROR(INDEX(TableRBCalcPts[Custom],MATCH(TableRBRanks31[[#This Row],[RK]],TableRBCalcPts[RK],0)),"")),"")</f>
        <v>192.23347940104071</v>
      </c>
      <c r="AB20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25.790681833196349</v>
      </c>
      <c r="AD20">
        <v>19</v>
      </c>
      <c r="AE20" t="str">
        <f>IFERROR(INDEX(TableWRCalcPts[PLAYER],MATCH(TableWRRanks32[[#This Row],[RK]],TableWRCalcPts[RK],0)),"")</f>
        <v>Terry McLaurin</v>
      </c>
      <c r="AF20" t="str">
        <f>IFERROR(INDEX(TableWRCalcPts[TM],MATCH(TableWRRanks32[[#This Row],[Player]],TableWRCalcPts[PLAYER],0)),"")</f>
        <v>WSH</v>
      </c>
      <c r="AG20">
        <f>IFERROR(INDEX(TableWRCalcPts[BYE],MATCH(TableWRRanks32[[#This Row],[Player]],TableWRCalcPts[PLAYER],0)),"")</f>
        <v>14</v>
      </c>
      <c r="AH20" s="83">
        <f>IFERROR((VLOOKUP(TableWRRanks32[[#This Row],[Player]],WR!B:O,4,FALSE)),"")</f>
        <v>0</v>
      </c>
      <c r="AI20" s="83">
        <f>IFERROR((VLOOKUP(TableWRRanks32[[#This Row],[Player]],WR!B:O,5,FALSE)),"")</f>
        <v>0</v>
      </c>
      <c r="AJ20" s="83">
        <f>IFERROR((VLOOKUP(TableWRRanks32[[#This Row],[Player]],WR!B:O,6,FALSE)),"")</f>
        <v>139.37799120000003</v>
      </c>
      <c r="AK20" s="83">
        <f>IFERROR((VLOOKUP(TableWRRanks32[[#This Row],[Player]],WR!B:O,7,FALSE)),"")</f>
        <v>85.717464588000013</v>
      </c>
      <c r="AL20" s="83">
        <f>IFERROR((VLOOKUP(TableWRRanks32[[#This Row],[Player]],WR!B:O,8,FALSE)),"")</f>
        <v>1146.8996761874403</v>
      </c>
      <c r="AM20" s="83">
        <f>IFERROR((VLOOKUP(TableWRRanks32[[#This Row],[Player]],WR!B:O,9,FALSE)),"")</f>
        <v>6.5145273086880007</v>
      </c>
      <c r="AN20" s="57">
        <f>IFERROR((IFERROR(INDEX(TableWRCalcPts[Custom],MATCH(TableWRRanks32[[#This Row],[RK]],TableWRCalcPts[RK],0)),"")),"")</f>
        <v>196.63586376487206</v>
      </c>
      <c r="AO20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21.531181773900851</v>
      </c>
      <c r="AQ20">
        <v>19</v>
      </c>
      <c r="AR20" t="str">
        <f>IFERROR(INDEX(TableTECalcPts[PLAYER],MATCH(TableTERanks33[[#This Row],[RK]],TableTECalcPts[RK],0)),"")</f>
        <v>Luke Musgrave</v>
      </c>
      <c r="AS20" t="str">
        <f>IFERROR(INDEX(TableTECalcPts[TM],MATCH(TableTERanks33[[#This Row],[Player]],TableTECalcPts[PLAYER],0)),"")</f>
        <v>GB</v>
      </c>
      <c r="AT20">
        <f>IFERROR(INDEX(TableTECalcPts[BYE],MATCH(TableTERanks33[[#This Row],[Player]],TableTECalcPts[PLAYER],0)),"")</f>
        <v>10</v>
      </c>
      <c r="AU20" s="83">
        <f>IFERROR((VLOOKUP(TableTERanks33[[#This Row],[Player]],TE!B:O,4,FALSE)),"")</f>
        <v>66.713774400000005</v>
      </c>
      <c r="AV20" s="83">
        <f>IFERROR((VLOOKUP(TableTERanks33[[#This Row],[Player]],TE!B:O,5,FALSE)),"")</f>
        <v>47.500207372800006</v>
      </c>
      <c r="AW20" s="83">
        <f>IFERROR((VLOOKUP(TableTERanks33[[#This Row],[Player]],TE!B:O,6,FALSE)),"")</f>
        <v>511.02483660131139</v>
      </c>
      <c r="AX20" s="83">
        <f>IFERROR((VLOOKUP(TableTERanks33[[#This Row],[Player]],TE!B:O,7,FALSE)),"")</f>
        <v>3.4923484555538193</v>
      </c>
      <c r="AY20" s="57">
        <f>IFERROR((IFERROR(INDEX(TableTECalcPts[Custom],MATCH(TableTERanks33[[#This Row],[RK]],TableTECalcPts[RK],0)),"")),"")</f>
        <v>95.806678079854066</v>
      </c>
      <c r="AZ20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21" spans="1:52" x14ac:dyDescent="0.2">
      <c r="A21">
        <v>20</v>
      </c>
      <c r="B21" t="str">
        <f>IFERROR(INDEX(TableQBCalcPts[PLAYER],MATCH(TableQBRanks30[[#This Row],[RK]],TableQBCalcPts[RK],0)),"")</f>
        <v>Matthew Stafford</v>
      </c>
      <c r="C21" t="str">
        <f>IFERROR(INDEX(TableQBCalcPts[TM],MATCH(TableQBRanks30[[#This Row],[Player]],TableQBCalcPts[PLAYER],0)),"")</f>
        <v>LAR</v>
      </c>
      <c r="D21">
        <f>IFERROR(INDEX(TableQBCalcPts[BYE],MATCH(TableQBRanks30[[#This Row],[Player]],TableQBCalcPts[PLAYER],0)),"")</f>
        <v>6</v>
      </c>
      <c r="E21" s="83">
        <f>IFERROR((VLOOKUP(TableQBRanks30[[#This Row],[Player]],QB!B:O,4,FALSE)),"")</f>
        <v>591.45023999999989</v>
      </c>
      <c r="F21" s="83">
        <f>IFERROR((VLOOKUP(TableQBRanks30[[#This Row],[Player]],QB!B:O,5,FALSE)),"")</f>
        <v>379.74343148996815</v>
      </c>
      <c r="G21" s="83">
        <f>IFERROR((VLOOKUP(TableQBRanks30[[#This Row],[Player]],QB!B:O,6,FALSE)),"")</f>
        <v>4473.3776229518244</v>
      </c>
      <c r="H21" s="83">
        <f>IFERROR((VLOOKUP(TableQBRanks30[[#This Row],[Player]],QB!B:O,7,FALSE)),"")</f>
        <v>28.567046591999997</v>
      </c>
      <c r="I21" s="83">
        <f>IFERROR((VLOOKUP(TableQBRanks30[[#This Row],[Player]],QB!B:O,8,FALSE)),"")</f>
        <v>7.1716503458743217</v>
      </c>
      <c r="J21" s="83">
        <f>IFERROR((VLOOKUP(TableQBRanks30[[#This Row],[Player]],QB!B:O,9,FALSE)),"")</f>
        <v>21.065394000000001</v>
      </c>
      <c r="K21" s="83">
        <f>IFERROR((VLOOKUP(TableQBRanks30[[#This Row],[Player]],QB!B:O,10,FALSE)),"")</f>
        <v>54.71061728567436</v>
      </c>
      <c r="L21" s="83">
        <f>IFERROR((VLOOKUP(TableQBRanks30[[#This Row],[Player]],QB!B:O,11,FALSE)),"")</f>
        <v>0.44237327400000004</v>
      </c>
      <c r="M21" s="57">
        <f>IFERROR(INDEX(TableQBCalcPts[Custom],MATCH(TableQBRanks30[[#This Row],[RK]],TableQBCalcPts[RK],0)),"")</f>
        <v>286.98529196689174</v>
      </c>
      <c r="N21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21">
        <v>20</v>
      </c>
      <c r="Q21" t="str">
        <f>IFERROR(INDEX(TableRBCalcPts[PLAYER],MATCH(TableRBRanks31[[#This Row],[RK]],TableRBCalcPts[RK],0)),"")</f>
        <v>James Conner</v>
      </c>
      <c r="R21" t="str">
        <f>IFERROR(INDEX(TableRBCalcPts[TM],MATCH(TableRBRanks31[[#This Row],[Player]],TableRBCalcPts[PLAYER],0)),"")</f>
        <v>ARI</v>
      </c>
      <c r="S21">
        <f>IFERROR(INDEX(TableRBCalcPts[BYE],MATCH(TableRBRanks31[[#This Row],[Player]],TableRBCalcPts[PLAYER],0)),"")</f>
        <v>11</v>
      </c>
      <c r="T21" s="83">
        <f>IFERROR((VLOOKUP(TableRBRanks31[[#This Row],[Player]],RB!B:O,4,FALSE)),"")</f>
        <v>204.30427500000002</v>
      </c>
      <c r="U21" s="83">
        <f>IFERROR((VLOOKUP(TableRBRanks31[[#This Row],[Player]],RB!B:O,5,FALSE)),"")</f>
        <v>907.11098100000015</v>
      </c>
      <c r="V21" s="83">
        <f>IFERROR((VLOOKUP(TableRBRanks31[[#This Row],[Player]],RB!B:O,6,FALSE)),"")</f>
        <v>7.2119409074999998</v>
      </c>
      <c r="W21" s="83">
        <f>IFERROR((VLOOKUP(TableRBRanks31[[#This Row],[Player]],RB!B:O,7,FALSE)),"")</f>
        <v>50.123692500000004</v>
      </c>
      <c r="X21" s="83">
        <f>IFERROR((VLOOKUP(TableRBRanks31[[#This Row],[Player]],RB!B:O,8,FALSE)),"")</f>
        <v>40.499943540000004</v>
      </c>
      <c r="Y21" s="83">
        <f>IFERROR((VLOOKUP(TableRBRanks31[[#This Row],[Player]],RB!B:O,9,FALSE)),"")</f>
        <v>275.47818585613362</v>
      </c>
      <c r="Z21" s="83">
        <f>IFERROR((VLOOKUP(TableRBRanks31[[#This Row],[Player]],RB!B:O,10,FALSE)),"")</f>
        <v>1.6604976851400002</v>
      </c>
      <c r="AA21" s="57">
        <f>IFERROR((IFERROR(INDEX(TableRBCalcPts[Custom],MATCH(TableRBRanks31[[#This Row],[RK]],TableRBCalcPts[RK],0)),"")),"")</f>
        <v>191.74352001145337</v>
      </c>
      <c r="AB21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25.615954491480093</v>
      </c>
      <c r="AD21">
        <v>20</v>
      </c>
      <c r="AE21" t="str">
        <f>IFERROR(INDEX(TableWRCalcPts[PLAYER],MATCH(TableWRRanks32[[#This Row],[RK]],TableWRCalcPts[RK],0)),"")</f>
        <v>Marvin Harrison</v>
      </c>
      <c r="AF21" t="str">
        <f>IFERROR(INDEX(TableWRCalcPts[TM],MATCH(TableWRRanks32[[#This Row],[Player]],TableWRCalcPts[PLAYER],0)),"")</f>
        <v>ARI</v>
      </c>
      <c r="AG21">
        <f>IFERROR(INDEX(TableWRCalcPts[BYE],MATCH(TableWRRanks32[[#This Row],[Player]],TableWRCalcPts[PLAYER],0)),"")</f>
        <v>11</v>
      </c>
      <c r="AH21" s="83">
        <f>IFERROR((VLOOKUP(TableWRRanks32[[#This Row],[Player]],WR!B:O,4,FALSE)),"")</f>
        <v>0</v>
      </c>
      <c r="AI21" s="83">
        <f>IFERROR((VLOOKUP(TableWRRanks32[[#This Row],[Player]],WR!B:O,5,FALSE)),"")</f>
        <v>0</v>
      </c>
      <c r="AJ21" s="83">
        <f>IFERROR((VLOOKUP(TableWRRanks32[[#This Row],[Player]],WR!B:O,6,FALSE)),"")</f>
        <v>137.98757700000002</v>
      </c>
      <c r="AK21" s="83">
        <f>IFERROR((VLOOKUP(TableWRRanks32[[#This Row],[Player]],WR!B:O,7,FALSE)),"")</f>
        <v>86.380223201999996</v>
      </c>
      <c r="AL21" s="83">
        <f>IFERROR((VLOOKUP(TableWRRanks32[[#This Row],[Player]],WR!B:O,8,FALSE)),"")</f>
        <v>1130.7171217141799</v>
      </c>
      <c r="AM21" s="83">
        <f>IFERROR((VLOOKUP(TableWRRanks32[[#This Row],[Player]],WR!B:O,9,FALSE)),"")</f>
        <v>6.644399453026943</v>
      </c>
      <c r="AN21" s="57">
        <f>IFERROR((IFERROR(INDEX(TableWRCalcPts[Custom],MATCH(TableWRRanks32[[#This Row],[RK]],TableWRCalcPts[RK],0)),"")),"")</f>
        <v>196.12822049057965</v>
      </c>
      <c r="AO21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21.30999848706201</v>
      </c>
      <c r="AQ21">
        <v>20</v>
      </c>
      <c r="AR21" t="str">
        <f>IFERROR(INDEX(TableTECalcPts[PLAYER],MATCH(TableTERanks33[[#This Row],[RK]],TableTECalcPts[RK],0)),"")</f>
        <v>Cade Otton</v>
      </c>
      <c r="AS21" t="str">
        <f>IFERROR(INDEX(TableTECalcPts[TM],MATCH(TableTERanks33[[#This Row],[Player]],TableTECalcPts[PLAYER],0)),"")</f>
        <v>TB</v>
      </c>
      <c r="AT21">
        <f>IFERROR(INDEX(TableTECalcPts[BYE],MATCH(TableTERanks33[[#This Row],[Player]],TableTECalcPts[PLAYER],0)),"")</f>
        <v>11</v>
      </c>
      <c r="AU21" s="83">
        <f>IFERROR((VLOOKUP(TableTERanks33[[#This Row],[Player]],TE!B:O,4,FALSE)),"")</f>
        <v>73.538314080000006</v>
      </c>
      <c r="AV21" s="83">
        <f>IFERROR((VLOOKUP(TableTERanks33[[#This Row],[Player]],TE!B:O,5,FALSE)),"")</f>
        <v>48.167595722400009</v>
      </c>
      <c r="AW21" s="83">
        <f>IFERROR((VLOOKUP(TableTERanks33[[#This Row],[Player]],TE!B:O,6,FALSE)),"")</f>
        <v>481.12730607497372</v>
      </c>
      <c r="AX21" s="83">
        <f>IFERROR((VLOOKUP(TableTERanks33[[#This Row],[Player]],TE!B:O,7,FALSE)),"")</f>
        <v>3.5836691217465604</v>
      </c>
      <c r="AY21" s="57">
        <f>IFERROR((IFERROR(INDEX(TableTECalcPts[Custom],MATCH(TableTERanks33[[#This Row],[RK]],TableTECalcPts[RK],0)),"")),"")</f>
        <v>93.69854319917674</v>
      </c>
      <c r="AZ21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22" spans="1:52" x14ac:dyDescent="0.2">
      <c r="A22">
        <v>21</v>
      </c>
      <c r="B22" t="str">
        <f>IFERROR(INDEX(TableQBCalcPts[PLAYER],MATCH(TableQBRanks30[[#This Row],[RK]],TableQBCalcPts[RK],0)),"")</f>
        <v>Baker Mayfield</v>
      </c>
      <c r="C22" t="str">
        <f>IFERROR(INDEX(TableQBCalcPts[TM],MATCH(TableQBRanks30[[#This Row],[Player]],TableQBCalcPts[PLAYER],0)),"")</f>
        <v>TB</v>
      </c>
      <c r="D22">
        <f>IFERROR(INDEX(TableQBCalcPts[BYE],MATCH(TableQBRanks30[[#This Row],[Player]],TableQBCalcPts[PLAYER],0)),"")</f>
        <v>11</v>
      </c>
      <c r="E22" s="83">
        <f>IFERROR((VLOOKUP(TableQBRanks30[[#This Row],[Player]],QB!B:O,4,FALSE)),"")</f>
        <v>574.8963</v>
      </c>
      <c r="F22" s="83">
        <f>IFERROR((VLOOKUP(TableQBRanks30[[#This Row],[Player]],QB!B:O,5,FALSE)),"")</f>
        <v>365.75749830423888</v>
      </c>
      <c r="G22" s="83">
        <f>IFERROR((VLOOKUP(TableQBRanks30[[#This Row],[Player]],QB!B:O,6,FALSE)),"")</f>
        <v>4151.3904426181143</v>
      </c>
      <c r="H22" s="83">
        <f>IFERROR((VLOOKUP(TableQBRanks30[[#This Row],[Player]],QB!B:O,7,FALSE)),"")</f>
        <v>26.562103720590617</v>
      </c>
      <c r="I22" s="83">
        <f>IFERROR((VLOOKUP(TableQBRanks30[[#This Row],[Player]],QB!B:O,8,FALSE)),"")</f>
        <v>6.6527377498817559</v>
      </c>
      <c r="J22" s="83">
        <f>IFERROR((VLOOKUP(TableQBRanks30[[#This Row],[Player]],QB!B:O,9,FALSE)),"")</f>
        <v>46.660798800000002</v>
      </c>
      <c r="K22" s="83">
        <f>IFERROR((VLOOKUP(TableQBRanks30[[#This Row],[Player]],QB!B:O,10,FALSE)),"")</f>
        <v>145.32301606830376</v>
      </c>
      <c r="L22" s="83">
        <f>IFERROR((VLOOKUP(TableQBRanks30[[#This Row],[Player]],QB!B:O,11,FALSE)),"")</f>
        <v>0.97987677480000013</v>
      </c>
      <c r="M22" s="57">
        <f>IFERROR(INDEX(TableQBCalcPts[Custom],MATCH(TableQBRanks30[[#This Row],[RK]],TableQBCalcPts[RK],0)),"")</f>
        <v>279.41011934295392</v>
      </c>
      <c r="N22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22">
        <v>21</v>
      </c>
      <c r="Q22" t="str">
        <f>IFERROR(INDEX(TableRBCalcPts[PLAYER],MATCH(TableRBRanks31[[#This Row],[RK]],TableRBCalcPts[RK],0)),"")</f>
        <v>D'Andre Swift</v>
      </c>
      <c r="R22" t="str">
        <f>IFERROR(INDEX(TableRBCalcPts[TM],MATCH(TableRBRanks31[[#This Row],[Player]],TableRBCalcPts[PLAYER],0)),"")</f>
        <v>CHI</v>
      </c>
      <c r="S22">
        <f>IFERROR(INDEX(TableRBCalcPts[BYE],MATCH(TableRBRanks31[[#This Row],[Player]],TableRBCalcPts[PLAYER],0)),"")</f>
        <v>7</v>
      </c>
      <c r="T22" s="83">
        <f>IFERROR((VLOOKUP(TableRBRanks31[[#This Row],[Player]],RB!B:O,4,FALSE)),"")</f>
        <v>214.46641439999996</v>
      </c>
      <c r="U22" s="83">
        <f>IFERROR((VLOOKUP(TableRBRanks31[[#This Row],[Player]],RB!B:O,5,FALSE)),"")</f>
        <v>951.50264952455905</v>
      </c>
      <c r="V22" s="83">
        <f>IFERROR((VLOOKUP(TableRBRanks31[[#This Row],[Player]],RB!B:O,6,FALSE)),"")</f>
        <v>7.0773916751999995</v>
      </c>
      <c r="W22" s="83">
        <f>IFERROR((VLOOKUP(TableRBRanks31[[#This Row],[Player]],RB!B:O,7,FALSE)),"")</f>
        <v>45.344678399999999</v>
      </c>
      <c r="X22" s="83">
        <f>IFERROR((VLOOKUP(TableRBRanks31[[#This Row],[Player]],RB!B:O,8,FALSE)),"")</f>
        <v>34.008508800000001</v>
      </c>
      <c r="Y22" s="83">
        <f>IFERROR((VLOOKUP(TableRBRanks31[[#This Row],[Player]],RB!B:O,9,FALSE)),"")</f>
        <v>246.22160371200002</v>
      </c>
      <c r="Z22" s="83">
        <f>IFERROR((VLOOKUP(TableRBRanks31[[#This Row],[Player]],RB!B:O,10,FALSE)),"")</f>
        <v>1.5889175963929081</v>
      </c>
      <c r="AA22" s="57">
        <f>IFERROR((IFERROR(INDEX(TableRBCalcPts[Custom],MATCH(TableRBRanks31[[#This Row],[RK]],TableRBCalcPts[RK],0)),"")),"")</f>
        <v>188.77453535321337</v>
      </c>
      <c r="AB22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24.557167155314254</v>
      </c>
      <c r="AD22">
        <v>21</v>
      </c>
      <c r="AE22" t="str">
        <f>IFERROR(INDEX(TableWRCalcPts[PLAYER],MATCH(TableWRRanks32[[#This Row],[RK]],TableWRCalcPts[RK],0)),"")</f>
        <v>Davante Adams</v>
      </c>
      <c r="AF22" t="str">
        <f>IFERROR(INDEX(TableWRCalcPts[TM],MATCH(TableWRRanks32[[#This Row],[Player]],TableWRCalcPts[PLAYER],0)),"")</f>
        <v>LV</v>
      </c>
      <c r="AG22">
        <f>IFERROR(INDEX(TableWRCalcPts[BYE],MATCH(TableWRRanks32[[#This Row],[Player]],TableWRCalcPts[PLAYER],0)),"")</f>
        <v>10</v>
      </c>
      <c r="AH22" s="83">
        <f>IFERROR((VLOOKUP(TableWRRanks32[[#This Row],[Player]],WR!B:O,4,FALSE)),"")</f>
        <v>0</v>
      </c>
      <c r="AI22" s="83">
        <f>IFERROR((VLOOKUP(TableWRRanks32[[#This Row],[Player]],WR!B:O,5,FALSE)),"")</f>
        <v>0</v>
      </c>
      <c r="AJ22" s="83">
        <f>IFERROR((VLOOKUP(TableWRRanks32[[#This Row],[Player]],WR!B:O,6,FALSE)),"")</f>
        <v>153.22643000000002</v>
      </c>
      <c r="AK22" s="83">
        <f>IFERROR((VLOOKUP(TableWRRanks32[[#This Row],[Player]],WR!B:O,7,FALSE)),"")</f>
        <v>91.32295228000001</v>
      </c>
      <c r="AL22" s="83">
        <f>IFERROR((VLOOKUP(TableWRRanks32[[#This Row],[Player]],WR!B:O,8,FALSE)),"")</f>
        <v>1089.6110033262021</v>
      </c>
      <c r="AM22" s="83">
        <f>IFERROR((VLOOKUP(TableWRRanks32[[#This Row],[Player]],WR!B:O,9,FALSE)),"")</f>
        <v>6.4839296118799998</v>
      </c>
      <c r="AN22" s="57">
        <f>IFERROR((IFERROR(INDEX(TableWRCalcPts[Custom],MATCH(TableWRRanks32[[#This Row],[RK]],TableWRCalcPts[RK],0)),"")),"")</f>
        <v>193.52615414390021</v>
      </c>
      <c r="AO22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20.176262227217887</v>
      </c>
      <c r="AQ22">
        <v>21</v>
      </c>
      <c r="AR22" t="str">
        <f>IFERROR(INDEX(TableTECalcPts[PLAYER],MATCH(TableTERanks33[[#This Row],[RK]],TableTECalcPts[RK],0)),"")</f>
        <v>Tyler Conklin</v>
      </c>
      <c r="AS22" t="str">
        <f>IFERROR(INDEX(TableTECalcPts[TM],MATCH(TableTERanks33[[#This Row],[Player]],TableTECalcPts[PLAYER],0)),"")</f>
        <v>NYJ</v>
      </c>
      <c r="AT22">
        <f>IFERROR(INDEX(TableTECalcPts[BYE],MATCH(TableTERanks33[[#This Row],[Player]],TableTECalcPts[PLAYER],0)),"")</f>
        <v>12</v>
      </c>
      <c r="AU22" s="83">
        <f>IFERROR((VLOOKUP(TableTERanks33[[#This Row],[Player]],TE!B:O,4,FALSE)),"")</f>
        <v>67.546358879999971</v>
      </c>
      <c r="AV22" s="83">
        <f>IFERROR((VLOOKUP(TableTERanks33[[#This Row],[Player]],TE!B:O,5,FALSE)),"")</f>
        <v>47.822822087039974</v>
      </c>
      <c r="AW22" s="83">
        <f>IFERROR((VLOOKUP(TableTERanks33[[#This Row],[Player]],TE!B:O,6,FALSE)),"")</f>
        <v>480.80830174130097</v>
      </c>
      <c r="AX22" s="83">
        <f>IFERROR((VLOOKUP(TableTERanks33[[#This Row],[Player]],TE!B:O,7,FALSE)),"")</f>
        <v>3.3475975460927985</v>
      </c>
      <c r="AY22" s="57">
        <f>IFERROR((IFERROR(INDEX(TableTECalcPts[Custom],MATCH(TableTERanks33[[#This Row],[RK]],TableTECalcPts[RK],0)),"")),"")</f>
        <v>92.077826494206874</v>
      </c>
      <c r="AZ22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23" spans="1:52" x14ac:dyDescent="0.2">
      <c r="A23">
        <v>22</v>
      </c>
      <c r="B23" t="str">
        <f>IFERROR(INDEX(TableQBCalcPts[PLAYER],MATCH(TableQBRanks30[[#This Row],[RK]],TableQBCalcPts[RK],0)),"")</f>
        <v>Bo Nix</v>
      </c>
      <c r="C23" t="str">
        <f>IFERROR(INDEX(TableQBCalcPts[TM],MATCH(TableQBRanks30[[#This Row],[Player]],TableQBCalcPts[PLAYER],0)),"")</f>
        <v>DEN</v>
      </c>
      <c r="D23">
        <f>IFERROR(INDEX(TableQBCalcPts[BYE],MATCH(TableQBRanks30[[#This Row],[Player]],TableQBCalcPts[PLAYER],0)),"")</f>
        <v>14</v>
      </c>
      <c r="E23" s="83">
        <f>IFERROR((VLOOKUP(TableQBRanks30[[#This Row],[Player]],QB!B:O,4,FALSE)),"")</f>
        <v>553.38924999999995</v>
      </c>
      <c r="F23" s="83">
        <f>IFERROR((VLOOKUP(TableQBRanks30[[#This Row],[Player]],QB!B:O,5,FALSE)),"")</f>
        <v>344.97325081961122</v>
      </c>
      <c r="G23" s="83">
        <f>IFERROR((VLOOKUP(TableQBRanks30[[#This Row],[Player]],QB!B:O,6,FALSE)),"")</f>
        <v>3815.4041540649005</v>
      </c>
      <c r="H23" s="83">
        <f>IFERROR((VLOOKUP(TableQBRanks30[[#This Row],[Player]],QB!B:O,7,FALSE)),"")</f>
        <v>22.301586775000001</v>
      </c>
      <c r="I23" s="83">
        <f>IFERROR((VLOOKUP(TableQBRanks30[[#This Row],[Player]],QB!B:O,8,FALSE)),"")</f>
        <v>7.2656029534218431</v>
      </c>
      <c r="J23" s="83">
        <f>IFERROR((VLOOKUP(TableQBRanks30[[#This Row],[Player]],QB!B:O,9,FALSE)),"")</f>
        <v>65.487779700000004</v>
      </c>
      <c r="K23" s="83">
        <f>IFERROR((VLOOKUP(TableQBRanks30[[#This Row],[Player]],QB!B:O,10,FALSE)),"")</f>
        <v>273.43925259927005</v>
      </c>
      <c r="L23" s="83">
        <f>IFERROR((VLOOKUP(TableQBRanks30[[#This Row],[Player]],QB!B:O,11,FALSE)),"")</f>
        <v>3.5363401038000002</v>
      </c>
      <c r="M23" s="57">
        <f>IFERROR(INDEX(TableQBCalcPts[Custom],MATCH(TableQBRanks30[[#This Row],[RK]],TableQBCalcPts[RK],0)),"")</f>
        <v>275.85327323847935</v>
      </c>
      <c r="N23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23">
        <v>22</v>
      </c>
      <c r="Q23" t="str">
        <f>IFERROR(INDEX(TableRBCalcPts[PLAYER],MATCH(TableRBRanks31[[#This Row],[RK]],TableRBCalcPts[RK],0)),"")</f>
        <v>Devin Singletary</v>
      </c>
      <c r="R23" t="str">
        <f>IFERROR(INDEX(TableRBCalcPts[TM],MATCH(TableRBRanks31[[#This Row],[Player]],TableRBCalcPts[PLAYER],0)),"")</f>
        <v>NYG</v>
      </c>
      <c r="S23">
        <f>IFERROR(INDEX(TableRBCalcPts[BYE],MATCH(TableRBRanks31[[#This Row],[Player]],TableRBCalcPts[PLAYER],0)),"")</f>
        <v>11</v>
      </c>
      <c r="T23" s="83">
        <f>IFERROR((VLOOKUP(TableRBRanks31[[#This Row],[Player]],RB!B:O,4,FALSE)),"")</f>
        <v>235.49924496000006</v>
      </c>
      <c r="U23" s="83">
        <f>IFERROR((VLOOKUP(TableRBRanks31[[#This Row],[Player]],RB!B:O,5,FALSE)),"")</f>
        <v>992.98233536136365</v>
      </c>
      <c r="V23" s="83">
        <f>IFERROR((VLOOKUP(TableRBRanks31[[#This Row],[Player]],RB!B:O,6,FALSE)),"")</f>
        <v>6.5939788588800017</v>
      </c>
      <c r="W23" s="83">
        <f>IFERROR((VLOOKUP(TableRBRanks31[[#This Row],[Player]],RB!B:O,7,FALSE)),"")</f>
        <v>44.725537919999987</v>
      </c>
      <c r="X23" s="83">
        <f>IFERROR((VLOOKUP(TableRBRanks31[[#This Row],[Player]],RB!B:O,8,FALSE)),"")</f>
        <v>32.739093757439989</v>
      </c>
      <c r="Y23" s="83">
        <f>IFERROR((VLOOKUP(TableRBRanks31[[#This Row],[Player]],RB!B:O,9,FALSE)),"")</f>
        <v>215.11835732454028</v>
      </c>
      <c r="Z23" s="83">
        <f>IFERROR((VLOOKUP(TableRBRanks31[[#This Row],[Player]],RB!B:O,10,FALSE)),"")</f>
        <v>0.83764048718697603</v>
      </c>
      <c r="AA23" s="57">
        <f>IFERROR((IFERROR(INDEX(TableRBCalcPts[Custom],MATCH(TableRBRanks31[[#This Row],[RK]],TableRBCalcPts[RK],0)),"")),"")</f>
        <v>181.76933222371224</v>
      </c>
      <c r="AB23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22.05899986428425</v>
      </c>
      <c r="AD23">
        <v>22</v>
      </c>
      <c r="AE23" t="str">
        <f>IFERROR(INDEX(TableWRCalcPts[PLAYER],MATCH(TableWRRanks32[[#This Row],[RK]],TableWRCalcPts[RK],0)),"")</f>
        <v>DJ Moore</v>
      </c>
      <c r="AF23" t="str">
        <f>IFERROR(INDEX(TableWRCalcPts[TM],MATCH(TableWRRanks32[[#This Row],[Player]],TableWRCalcPts[PLAYER],0)),"")</f>
        <v>CHI</v>
      </c>
      <c r="AG23">
        <f>IFERROR(INDEX(TableWRCalcPts[BYE],MATCH(TableWRRanks32[[#This Row],[Player]],TableWRCalcPts[PLAYER],0)),"")</f>
        <v>7</v>
      </c>
      <c r="AH23" s="83">
        <f>IFERROR((VLOOKUP(TableWRRanks32[[#This Row],[Player]],WR!B:O,4,FALSE)),"")</f>
        <v>22.906838303999997</v>
      </c>
      <c r="AI23" s="83">
        <f>IFERROR((VLOOKUP(TableWRRanks32[[#This Row],[Player]],WR!B:O,5,FALSE)),"")</f>
        <v>0.15058280159999998</v>
      </c>
      <c r="AJ23" s="83">
        <f>IFERROR((VLOOKUP(TableWRRanks32[[#This Row],[Player]],WR!B:O,6,FALSE)),"")</f>
        <v>130.3659504</v>
      </c>
      <c r="AK23" s="83">
        <f>IFERROR((VLOOKUP(TableWRRanks32[[#This Row],[Player]],WR!B:O,7,FALSE)),"")</f>
        <v>78.871399991999979</v>
      </c>
      <c r="AL23" s="83">
        <f>IFERROR((VLOOKUP(TableWRRanks32[[#This Row],[Player]],WR!B:O,8,FALSE)),"")</f>
        <v>1086.0591778898397</v>
      </c>
      <c r="AM23" s="83">
        <f>IFERROR((VLOOKUP(TableWRRanks32[[#This Row],[Player]],WR!B:O,9,FALSE)),"")</f>
        <v>6.8122664990501116</v>
      </c>
      <c r="AN23" s="57">
        <f>IFERROR((IFERROR(INDEX(TableWRCalcPts[Custom],MATCH(TableWRRanks32[[#This Row],[RK]],TableWRCalcPts[RK],0)),"")),"")</f>
        <v>192.10939741928462</v>
      </c>
      <c r="AO23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19.558972636533756</v>
      </c>
      <c r="AQ23">
        <v>22</v>
      </c>
      <c r="AR23" t="str">
        <f>IFERROR(INDEX(TableTECalcPts[PLAYER],MATCH(TableTERanks33[[#This Row],[RK]],TableTECalcPts[RK],0)),"")</f>
        <v>Juwan Johnson</v>
      </c>
      <c r="AS23" t="str">
        <f>IFERROR(INDEX(TableTECalcPts[TM],MATCH(TableTERanks33[[#This Row],[Player]],TableTECalcPts[PLAYER],0)),"")</f>
        <v>NO</v>
      </c>
      <c r="AT23">
        <f>IFERROR(INDEX(TableTECalcPts[BYE],MATCH(TableTERanks33[[#This Row],[Player]],TableTECalcPts[PLAYER],0)),"")</f>
        <v>12</v>
      </c>
      <c r="AU23" s="83">
        <f>IFERROR((VLOOKUP(TableTERanks33[[#This Row],[Player]],TE!B:O,4,FALSE)),"")</f>
        <v>67.872619460799996</v>
      </c>
      <c r="AV23" s="83">
        <f>IFERROR((VLOOKUP(TableTERanks33[[#This Row],[Player]],TE!B:O,5,FALSE)),"")</f>
        <v>43.574221693833607</v>
      </c>
      <c r="AW23" s="83">
        <f>IFERROR((VLOOKUP(TableTERanks33[[#This Row],[Player]],TE!B:O,6,FALSE)),"")</f>
        <v>456.22210113443788</v>
      </c>
      <c r="AX23" s="83">
        <f>IFERROR((VLOOKUP(TableTERanks33[[#This Row],[Player]],TE!B:O,7,FALSE)),"")</f>
        <v>4.0959768392203593</v>
      </c>
      <c r="AY23" s="57">
        <f>IFERROR((IFERROR(INDEX(TableTECalcPts[Custom],MATCH(TableTERanks33[[#This Row],[RK]],TableTECalcPts[RK],0)),"")),"")</f>
        <v>91.985181995682751</v>
      </c>
      <c r="AZ23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24" spans="1:52" x14ac:dyDescent="0.2">
      <c r="A24">
        <v>23</v>
      </c>
      <c r="B24" t="str">
        <f>IFERROR(INDEX(TableQBCalcPts[PLAYER],MATCH(TableQBRanks30[[#This Row],[RK]],TableQBCalcPts[RK],0)),"")</f>
        <v>Justin Herbert</v>
      </c>
      <c r="C24" t="str">
        <f>IFERROR(INDEX(TableQBCalcPts[TM],MATCH(TableQBRanks30[[#This Row],[Player]],TableQBCalcPts[PLAYER],0)),"")</f>
        <v>LAC</v>
      </c>
      <c r="D24">
        <f>IFERROR(INDEX(TableQBCalcPts[BYE],MATCH(TableQBRanks30[[#This Row],[Player]],TableQBCalcPts[PLAYER],0)),"")</f>
        <v>5</v>
      </c>
      <c r="E24" s="83">
        <f>IFERROR((VLOOKUP(TableQBRanks30[[#This Row],[Player]],QB!B:O,4,FALSE)),"")</f>
        <v>512.7813000000001</v>
      </c>
      <c r="F24" s="83">
        <f>IFERROR((VLOOKUP(TableQBRanks30[[#This Row],[Player]],QB!B:O,5,FALSE)),"")</f>
        <v>335.51019957569457</v>
      </c>
      <c r="G24" s="83">
        <f>IFERROR((VLOOKUP(TableQBRanks30[[#This Row],[Player]],QB!B:O,6,FALSE)),"")</f>
        <v>3740.9387252689944</v>
      </c>
      <c r="H24" s="83">
        <f>IFERROR((VLOOKUP(TableQBRanks30[[#This Row],[Player]],QB!B:O,7,FALSE)),"")</f>
        <v>24.024284297131754</v>
      </c>
      <c r="I24" s="83">
        <f>IFERROR((VLOOKUP(TableQBRanks30[[#This Row],[Player]],QB!B:O,8,FALSE)),"")</f>
        <v>5.0361709609782439</v>
      </c>
      <c r="J24" s="83">
        <f>IFERROR((VLOOKUP(TableQBRanks30[[#This Row],[Player]],QB!B:O,9,FALSE)),"")</f>
        <v>57.770176799999987</v>
      </c>
      <c r="K24" s="83">
        <f>IFERROR((VLOOKUP(TableQBRanks30[[#This Row],[Player]],QB!B:O,10,FALSE)),"")</f>
        <v>252.48270172272572</v>
      </c>
      <c r="L24" s="83">
        <f>IFERROR((VLOOKUP(TableQBRanks30[[#This Row],[Player]],QB!B:O,11,FALSE)),"")</f>
        <v>2.3015913562728687</v>
      </c>
      <c r="M24" s="57">
        <f>IFERROR(INDEX(TableQBCalcPts[Custom],MATCH(TableQBRanks30[[#This Row],[RK]],TableQBCalcPts[RK],0)),"")</f>
        <v>274.72016258724005</v>
      </c>
      <c r="N24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24">
        <v>23</v>
      </c>
      <c r="Q24" t="str">
        <f>IFERROR(INDEX(TableRBCalcPts[PLAYER],MATCH(TableRBRanks31[[#This Row],[RK]],TableRBCalcPts[RK],0)),"")</f>
        <v>Brian Robinson</v>
      </c>
      <c r="R24" t="str">
        <f>IFERROR(INDEX(TableRBCalcPts[TM],MATCH(TableRBRanks31[[#This Row],[Player]],TableRBCalcPts[PLAYER],0)),"")</f>
        <v>WSH</v>
      </c>
      <c r="S24">
        <f>IFERROR(INDEX(TableRBCalcPts[BYE],MATCH(TableRBRanks31[[#This Row],[Player]],TableRBCalcPts[PLAYER],0)),"")</f>
        <v>14</v>
      </c>
      <c r="T24" s="83">
        <f>IFERROR((VLOOKUP(TableRBRanks31[[#This Row],[Player]],RB!B:O,4,FALSE)),"")</f>
        <v>221.04368439999996</v>
      </c>
      <c r="U24" s="83">
        <f>IFERROR((VLOOKUP(TableRBRanks31[[#This Row],[Player]],RB!B:O,5,FALSE)),"")</f>
        <v>959.32959029599976</v>
      </c>
      <c r="V24" s="83">
        <f>IFERROR((VLOOKUP(TableRBRanks31[[#This Row],[Player]],RB!B:O,6,FALSE)),"")</f>
        <v>7.1176066376799989</v>
      </c>
      <c r="W24" s="83">
        <f>IFERROR((VLOOKUP(TableRBRanks31[[#This Row],[Player]],RB!B:O,7,FALSE)),"")</f>
        <v>33.994632000000003</v>
      </c>
      <c r="X24" s="83">
        <f>IFERROR((VLOOKUP(TableRBRanks31[[#This Row],[Player]],RB!B:O,8,FALSE)),"")</f>
        <v>25.190022312000004</v>
      </c>
      <c r="Y24" s="83">
        <f>IFERROR((VLOOKUP(TableRBRanks31[[#This Row],[Player]],RB!B:O,9,FALSE)),"")</f>
        <v>202.52777938848001</v>
      </c>
      <c r="Z24" s="83">
        <f>IFERROR((VLOOKUP(TableRBRanks31[[#This Row],[Player]],RB!B:O,10,FALSE)),"")</f>
        <v>1.4862113164080002</v>
      </c>
      <c r="AA24" s="57">
        <f>IFERROR((IFERROR(INDEX(TableRBCalcPts[Custom],MATCH(TableRBRanks31[[#This Row],[RK]],TableRBCalcPts[RK],0)),"")),"")</f>
        <v>180.40365584897597</v>
      </c>
      <c r="AB24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21.571977862719312</v>
      </c>
      <c r="AD24">
        <v>23</v>
      </c>
      <c r="AE24" t="str">
        <f>IFERROR(INDEX(TableWRCalcPts[PLAYER],MATCH(TableWRRanks32[[#This Row],[RK]],TableWRCalcPts[RK],0)),"")</f>
        <v>Garrett Wilson</v>
      </c>
      <c r="AF24" t="str">
        <f>IFERROR(INDEX(TableWRCalcPts[TM],MATCH(TableWRRanks32[[#This Row],[Player]],TableWRCalcPts[PLAYER],0)),"")</f>
        <v>NYJ</v>
      </c>
      <c r="AG24">
        <f>IFERROR(INDEX(TableWRCalcPts[BYE],MATCH(TableWRRanks32[[#This Row],[Player]],TableWRCalcPts[PLAYER],0)),"")</f>
        <v>12</v>
      </c>
      <c r="AH24" s="83">
        <f>IFERROR((VLOOKUP(TableWRRanks32[[#This Row],[Player]],WR!B:O,4,FALSE)),"")</f>
        <v>0</v>
      </c>
      <c r="AI24" s="83">
        <f>IFERROR((VLOOKUP(TableWRRanks32[[#This Row],[Player]],WR!B:O,5,FALSE)),"")</f>
        <v>0</v>
      </c>
      <c r="AJ24" s="83">
        <f>IFERROR((VLOOKUP(TableWRRanks32[[#This Row],[Player]],WR!B:O,6,FALSE)),"")</f>
        <v>137.46276543999994</v>
      </c>
      <c r="AK24" s="83">
        <f>IFERROR((VLOOKUP(TableWRRanks32[[#This Row],[Player]],WR!B:O,7,FALSE)),"")</f>
        <v>84.127212449279966</v>
      </c>
      <c r="AL24" s="83">
        <f>IFERROR((VLOOKUP(TableWRRanks32[[#This Row],[Player]],WR!B:O,8,FALSE)),"")</f>
        <v>1052.5644099573331</v>
      </c>
      <c r="AM24" s="83">
        <f>IFERROR((VLOOKUP(TableWRRanks32[[#This Row],[Player]],WR!B:O,9,FALSE)),"")</f>
        <v>7.3830598877381197</v>
      </c>
      <c r="AN24" s="57">
        <f>IFERROR((IFERROR(INDEX(TableWRCalcPts[Custom],MATCH(TableWRRanks32[[#This Row],[RK]],TableWRCalcPts[RK],0)),"")),"")</f>
        <v>191.61840654680199</v>
      </c>
      <c r="AO24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19.345044903255008</v>
      </c>
      <c r="AQ24">
        <v>23</v>
      </c>
      <c r="AR24" t="str">
        <f>IFERROR(INDEX(TableTECalcPts[PLAYER],MATCH(TableTERanks33[[#This Row],[RK]],TableTECalcPts[RK],0)),"")</f>
        <v>Jonnu Smith</v>
      </c>
      <c r="AS24" t="str">
        <f>IFERROR(INDEX(TableTECalcPts[TM],MATCH(TableTERanks33[[#This Row],[Player]],TableTECalcPts[PLAYER],0)),"")</f>
        <v>MIA</v>
      </c>
      <c r="AT24">
        <f>IFERROR(INDEX(TableTECalcPts[BYE],MATCH(TableTERanks33[[#This Row],[Player]],TableTECalcPts[PLAYER],0)),"")</f>
        <v>6</v>
      </c>
      <c r="AU24" s="83">
        <f>IFERROR((VLOOKUP(TableTERanks33[[#This Row],[Player]],TE!B:O,4,FALSE)),"")</f>
        <v>61.564658399999971</v>
      </c>
      <c r="AV24" s="83">
        <f>IFERROR((VLOOKUP(TableTERanks33[[#This Row],[Player]],TE!B:O,5,FALSE)),"")</f>
        <v>41.925532370399992</v>
      </c>
      <c r="AW24" s="83">
        <f>IFERROR((VLOOKUP(TableTERanks33[[#This Row],[Player]],TE!B:O,6,FALSE)),"")</f>
        <v>461.20501993138794</v>
      </c>
      <c r="AX24" s="83">
        <f>IFERROR((VLOOKUP(TableTERanks33[[#This Row],[Player]],TE!B:O,7,FALSE)),"")</f>
        <v>3.0905162053528943</v>
      </c>
      <c r="AY24" s="57">
        <f>IFERROR((IFERROR(INDEX(TableTECalcPts[Custom],MATCH(TableTERanks33[[#This Row],[RK]],TableTECalcPts[RK],0)),"")),"")</f>
        <v>85.626365410456145</v>
      </c>
      <c r="AZ24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25" spans="1:52" x14ac:dyDescent="0.2">
      <c r="A25">
        <v>24</v>
      </c>
      <c r="B25" t="str">
        <f>IFERROR(INDEX(TableQBCalcPts[PLAYER],MATCH(TableQBRanks30[[#This Row],[RK]],TableQBCalcPts[RK],0)),"")</f>
        <v>Bryce Young</v>
      </c>
      <c r="C25" t="str">
        <f>IFERROR(INDEX(TableQBCalcPts[TM],MATCH(TableQBRanks30[[#This Row],[Player]],TableQBCalcPts[PLAYER],0)),"")</f>
        <v>CAR</v>
      </c>
      <c r="D25">
        <f>IFERROR(INDEX(TableQBCalcPts[BYE],MATCH(TableQBRanks30[[#This Row],[Player]],TableQBCalcPts[PLAYER],0)),"")</f>
        <v>11</v>
      </c>
      <c r="E25" s="83">
        <f>IFERROR((VLOOKUP(TableQBRanks30[[#This Row],[Player]],QB!B:O,4,FALSE)),"")</f>
        <v>561.44049999999993</v>
      </c>
      <c r="F25" s="83">
        <f>IFERROR((VLOOKUP(TableQBRanks30[[#This Row],[Player]],QB!B:O,5,FALSE)),"")</f>
        <v>352.48025766677722</v>
      </c>
      <c r="G25" s="83">
        <f>IFERROR((VLOOKUP(TableQBRanks30[[#This Row],[Player]],QB!B:O,6,FALSE)),"")</f>
        <v>3887.8572420645523</v>
      </c>
      <c r="H25" s="83">
        <f>IFERROR((VLOOKUP(TableQBRanks30[[#This Row],[Player]],QB!B:O,7,FALSE)),"")</f>
        <v>21.896179499999999</v>
      </c>
      <c r="I25" s="83">
        <f>IFERROR((VLOOKUP(TableQBRanks30[[#This Row],[Player]],QB!B:O,8,FALSE)),"")</f>
        <v>6.4446070822175274</v>
      </c>
      <c r="J25" s="83">
        <f>IFERROR((VLOOKUP(TableQBRanks30[[#This Row],[Player]],QB!B:O,9,FALSE)),"")</f>
        <v>55.738725000000002</v>
      </c>
      <c r="K25" s="83">
        <f>IFERROR((VLOOKUP(TableQBRanks30[[#This Row],[Player]],QB!B:O,10,FALSE)),"")</f>
        <v>321.3935769222453</v>
      </c>
      <c r="L25" s="83">
        <f>IFERROR((VLOOKUP(TableQBRanks30[[#This Row],[Player]],QB!B:O,11,FALSE)),"")</f>
        <v>2.0065941</v>
      </c>
      <c r="M25" s="57">
        <f>IFERROR(INDEX(TableQBCalcPts[Custom],MATCH(TableQBRanks30[[#This Row],[RK]],TableQBCalcPts[RK],0)),"")</f>
        <v>274.38871581037159</v>
      </c>
      <c r="N25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25">
        <v>24</v>
      </c>
      <c r="Q25" t="str">
        <f>IFERROR(INDEX(TableRBCalcPts[PLAYER],MATCH(TableRBRanks31[[#This Row],[RK]],TableRBCalcPts[RK],0)),"")</f>
        <v>Javonte Williams</v>
      </c>
      <c r="R25" t="str">
        <f>IFERROR(INDEX(TableRBCalcPts[TM],MATCH(TableRBRanks31[[#This Row],[Player]],TableRBCalcPts[PLAYER],0)),"")</f>
        <v>DEN</v>
      </c>
      <c r="S25">
        <f>IFERROR(INDEX(TableRBCalcPts[BYE],MATCH(TableRBRanks31[[#This Row],[Player]],TableRBCalcPts[PLAYER],0)),"")</f>
        <v>14</v>
      </c>
      <c r="T25" s="83">
        <f>IFERROR((VLOOKUP(TableRBRanks31[[#This Row],[Player]],RB!B:O,4,FALSE)),"")</f>
        <v>210.52782870000001</v>
      </c>
      <c r="U25" s="83">
        <f>IFERROR((VLOOKUP(TableRBRanks31[[#This Row],[Player]],RB!B:O,5,FALSE)),"")</f>
        <v>863.16409766999993</v>
      </c>
      <c r="V25" s="83">
        <f>IFERROR((VLOOKUP(TableRBRanks31[[#This Row],[Player]],RB!B:O,6,FALSE)),"")</f>
        <v>6.5263626897</v>
      </c>
      <c r="W25" s="83">
        <f>IFERROR((VLOOKUP(TableRBRanks31[[#This Row],[Player]],RB!B:O,7,FALSE)),"")</f>
        <v>52.783469748743713</v>
      </c>
      <c r="X25" s="83">
        <f>IFERROR((VLOOKUP(TableRBRanks31[[#This Row],[Player]],RB!B:O,8,FALSE)),"")</f>
        <v>38.795850265326628</v>
      </c>
      <c r="Y25" s="83">
        <f>IFERROR((VLOOKUP(TableRBRanks31[[#This Row],[Player]],RB!B:O,9,FALSE)),"")</f>
        <v>266.52749132279394</v>
      </c>
      <c r="Z25" s="83">
        <f>IFERROR((VLOOKUP(TableRBRanks31[[#This Row],[Player]],RB!B:O,10,FALSE)),"")</f>
        <v>1.3966506095517586</v>
      </c>
      <c r="AA25" s="57">
        <f>IFERROR((IFERROR(INDEX(TableRBCalcPts[Custom],MATCH(TableRBRanks31[[#This Row],[RK]],TableRBCalcPts[RK],0)),"")),"")</f>
        <v>179.90516382745326</v>
      </c>
      <c r="AB25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21.394207648210749</v>
      </c>
      <c r="AD25">
        <v>24</v>
      </c>
      <c r="AE25" t="str">
        <f>IFERROR(INDEX(TableWRCalcPts[PLAYER],MATCH(TableWRRanks32[[#This Row],[RK]],TableWRCalcPts[RK],0)),"")</f>
        <v>Chris Olave</v>
      </c>
      <c r="AF25" t="str">
        <f>IFERROR(INDEX(TableWRCalcPts[TM],MATCH(TableWRRanks32[[#This Row],[Player]],TableWRCalcPts[PLAYER],0)),"")</f>
        <v>NO</v>
      </c>
      <c r="AG25">
        <f>IFERROR(INDEX(TableWRCalcPts[BYE],MATCH(TableWRRanks32[[#This Row],[Player]],TableWRCalcPts[PLAYER],0)),"")</f>
        <v>12</v>
      </c>
      <c r="AH25" s="83">
        <f>IFERROR((VLOOKUP(TableWRRanks32[[#This Row],[Player]],WR!B:O,4,FALSE)),"")</f>
        <v>0</v>
      </c>
      <c r="AI25" s="83">
        <f>IFERROR((VLOOKUP(TableWRRanks32[[#This Row],[Player]],WR!B:O,5,FALSE)),"")</f>
        <v>0</v>
      </c>
      <c r="AJ25" s="83">
        <f>IFERROR((VLOOKUP(TableWRRanks32[[#This Row],[Player]],WR!B:O,6,FALSE)),"")</f>
        <v>134.07624008239998</v>
      </c>
      <c r="AK25" s="83">
        <f>IFERROR((VLOOKUP(TableWRRanks32[[#This Row],[Player]],WR!B:O,7,FALSE)),"")</f>
        <v>84.065802531664787</v>
      </c>
      <c r="AL25" s="83">
        <f>IFERROR((VLOOKUP(TableWRRanks32[[#This Row],[Player]],WR!B:O,8,FALSE)),"")</f>
        <v>1120.5971477470916</v>
      </c>
      <c r="AM25" s="83">
        <f>IFERROR((VLOOKUP(TableWRRanks32[[#This Row],[Player]],WR!B:O,9,FALSE)),"")</f>
        <v>6.2370178417112587</v>
      </c>
      <c r="AN25" s="57">
        <f>IFERROR((IFERROR(INDEX(TableWRCalcPts[Custom],MATCH(TableWRRanks32[[#This Row],[RK]],TableWRCalcPts[RK],0)),"")),"")</f>
        <v>191.5147230908091</v>
      </c>
      <c r="AO25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19.299869385822443</v>
      </c>
      <c r="AQ25">
        <v>24</v>
      </c>
      <c r="AR25" t="str">
        <f>IFERROR(INDEX(TableTECalcPts[PLAYER],MATCH(TableTERanks33[[#This Row],[RK]],TableTECalcPts[RK],0)),"")</f>
        <v>Pat Freiermuth</v>
      </c>
      <c r="AS25" t="str">
        <f>IFERROR(INDEX(TableTECalcPts[TM],MATCH(TableTERanks33[[#This Row],[Player]],TableTECalcPts[PLAYER],0)),"")</f>
        <v>PIT</v>
      </c>
      <c r="AT25">
        <f>IFERROR(INDEX(TableTECalcPts[BYE],MATCH(TableTERanks33[[#This Row],[Player]],TableTECalcPts[PLAYER],0)),"")</f>
        <v>9</v>
      </c>
      <c r="AU25" s="83">
        <f>IFERROR((VLOOKUP(TableTERanks33[[#This Row],[Player]],TE!B:O,4,FALSE)),"")</f>
        <v>61.657679999999999</v>
      </c>
      <c r="AV25" s="83">
        <f>IFERROR((VLOOKUP(TableTERanks33[[#This Row],[Player]],TE!B:O,5,FALSE)),"")</f>
        <v>42.790429919999987</v>
      </c>
      <c r="AW25" s="83">
        <f>IFERROR((VLOOKUP(TableTERanks33[[#This Row],[Player]],TE!B:O,6,FALSE)),"")</f>
        <v>427.10386273936177</v>
      </c>
      <c r="AX25" s="83">
        <f>IFERROR((VLOOKUP(TableTERanks33[[#This Row],[Player]],TE!B:O,7,FALSE)),"")</f>
        <v>3.3582417357386869</v>
      </c>
      <c r="AY25" s="57">
        <f>IFERROR((IFERROR(INDEX(TableTECalcPts[Custom],MATCH(TableTERanks33[[#This Row],[RK]],TableTECalcPts[RK],0)),"")),"")</f>
        <v>84.255051648368294</v>
      </c>
      <c r="AZ25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26" spans="1:52" x14ac:dyDescent="0.2">
      <c r="A26">
        <v>25</v>
      </c>
      <c r="B26" t="str">
        <f>IFERROR(INDEX(TableQBCalcPts[PLAYER],MATCH(TableQBRanks30[[#This Row],[RK]],TableQBCalcPts[RK],0)),"")</f>
        <v>Will Levis</v>
      </c>
      <c r="C26" t="str">
        <f>IFERROR(INDEX(TableQBCalcPts[TM],MATCH(TableQBRanks30[[#This Row],[Player]],TableQBCalcPts[PLAYER],0)),"")</f>
        <v>TEN</v>
      </c>
      <c r="D26">
        <f>IFERROR(INDEX(TableQBCalcPts[BYE],MATCH(TableQBRanks30[[#This Row],[Player]],TableQBCalcPts[PLAYER],0)),"")</f>
        <v>5</v>
      </c>
      <c r="E26" s="83">
        <f>IFERROR((VLOOKUP(TableQBRanks30[[#This Row],[Player]],QB!B:O,4,FALSE)),"")</f>
        <v>560.75744999999995</v>
      </c>
      <c r="F26" s="83">
        <f>IFERROR((VLOOKUP(TableQBRanks30[[#This Row],[Player]],QB!B:O,5,FALSE)),"")</f>
        <v>348.98979724909157</v>
      </c>
      <c r="G26" s="83">
        <f>IFERROR((VLOOKUP(TableQBRanks30[[#This Row],[Player]],QB!B:O,6,FALSE)),"")</f>
        <v>4037.8119541719893</v>
      </c>
      <c r="H26" s="83">
        <f>IFERROR((VLOOKUP(TableQBRanks30[[#This Row],[Player]],QB!B:O,7,FALSE)),"")</f>
        <v>24.112570349999995</v>
      </c>
      <c r="I26" s="83">
        <f>IFERROR((VLOOKUP(TableQBRanks30[[#This Row],[Player]],QB!B:O,8,FALSE)),"")</f>
        <v>6.6374964967695069</v>
      </c>
      <c r="J26" s="83">
        <f>IFERROR((VLOOKUP(TableQBRanks30[[#This Row],[Player]],QB!B:O,9,FALSE)),"")</f>
        <v>42.407442000000003</v>
      </c>
      <c r="K26" s="83">
        <f>IFERROR((VLOOKUP(TableQBRanks30[[#This Row],[Player]],QB!B:O,10,FALSE)),"")</f>
        <v>148.26717505603435</v>
      </c>
      <c r="L26" s="83">
        <f>IFERROR((VLOOKUP(TableQBRanks30[[#This Row],[Player]],QB!B:O,11,FALSE)),"")</f>
        <v>1.7873073197129588</v>
      </c>
      <c r="M26" s="57">
        <f>IFERROR(INDEX(TableQBCalcPts[Custom],MATCH(TableQBRanks30[[#This Row],[RK]],TableQBCalcPts[RK],0)),"")</f>
        <v>270.23832799722175</v>
      </c>
      <c r="N26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26">
        <v>25</v>
      </c>
      <c r="Q26" t="str">
        <f>IFERROR(INDEX(TableRBCalcPts[PLAYER],MATCH(TableRBRanks31[[#This Row],[RK]],TableRBCalcPts[RK],0)),"")</f>
        <v>Zack Moss</v>
      </c>
      <c r="R26" t="str">
        <f>IFERROR(INDEX(TableRBCalcPts[TM],MATCH(TableRBRanks31[[#This Row],[Player]],TableRBCalcPts[PLAYER],0)),"")</f>
        <v>CIN</v>
      </c>
      <c r="S26">
        <f>IFERROR(INDEX(TableRBCalcPts[BYE],MATCH(TableRBRanks31[[#This Row],[Player]],TableRBCalcPts[PLAYER],0)),"")</f>
        <v>12</v>
      </c>
      <c r="T26" s="83">
        <f>IFERROR((VLOOKUP(TableRBRanks31[[#This Row],[Player]],RB!B:O,4,FALSE)),"")</f>
        <v>203.52836196000001</v>
      </c>
      <c r="U26" s="83">
        <f>IFERROR((VLOOKUP(TableRBRanks31[[#This Row],[Player]],RB!B:O,5,FALSE)),"")</f>
        <v>862.96025471040014</v>
      </c>
      <c r="V26" s="83">
        <f>IFERROR((VLOOKUP(TableRBRanks31[[#This Row],[Player]],RB!B:O,6,FALSE)),"")</f>
        <v>7.6119607373040008</v>
      </c>
      <c r="W26" s="83">
        <f>IFERROR((VLOOKUP(TableRBRanks31[[#This Row],[Player]],RB!B:O,7,FALSE)),"")</f>
        <v>40.531927800000005</v>
      </c>
      <c r="X26" s="83">
        <f>IFERROR((VLOOKUP(TableRBRanks31[[#This Row],[Player]],RB!B:O,8,FALSE)),"")</f>
        <v>32.101286817599998</v>
      </c>
      <c r="Y26" s="83">
        <f>IFERROR((VLOOKUP(TableRBRanks31[[#This Row],[Player]],RB!B:O,9,FALSE)),"")</f>
        <v>216.25152106147826</v>
      </c>
      <c r="Z26" s="83">
        <f>IFERROR((VLOOKUP(TableRBRanks31[[#This Row],[Player]],RB!B:O,10,FALSE)),"")</f>
        <v>1.4124566199743998</v>
      </c>
      <c r="AA26" s="57">
        <f>IFERROR((IFERROR(INDEX(TableRBCalcPts[Custom],MATCH(TableRBRanks31[[#This Row],[RK]],TableRBCalcPts[RK],0)),"")),"")</f>
        <v>178.11832512965827</v>
      </c>
      <c r="AB26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20.756992437365611</v>
      </c>
      <c r="AD26">
        <v>25</v>
      </c>
      <c r="AE26" t="str">
        <f>IFERROR(INDEX(TableWRCalcPts[PLAYER],MATCH(TableWRRanks32[[#This Row],[RK]],TableWRCalcPts[RK],0)),"")</f>
        <v>George Pickens</v>
      </c>
      <c r="AF26" t="str">
        <f>IFERROR(INDEX(TableWRCalcPts[TM],MATCH(TableWRRanks32[[#This Row],[Player]],TableWRCalcPts[PLAYER],0)),"")</f>
        <v>PIT</v>
      </c>
      <c r="AG26">
        <f>IFERROR(INDEX(TableWRCalcPts[BYE],MATCH(TableWRRanks32[[#This Row],[Player]],TableWRCalcPts[PLAYER],0)),"")</f>
        <v>9</v>
      </c>
      <c r="AH26" s="83">
        <f>IFERROR((VLOOKUP(TableWRRanks32[[#This Row],[Player]],WR!B:O,4,FALSE)),"")</f>
        <v>0</v>
      </c>
      <c r="AI26" s="83">
        <f>IFERROR((VLOOKUP(TableWRRanks32[[#This Row],[Player]],WR!B:O,5,FALSE)),"")</f>
        <v>0</v>
      </c>
      <c r="AJ26" s="83">
        <f>IFERROR((VLOOKUP(TableWRRanks32[[#This Row],[Player]],WR!B:O,6,FALSE)),"")</f>
        <v>129.37102499999997</v>
      </c>
      <c r="AK26" s="83">
        <f>IFERROR((VLOOKUP(TableWRRanks32[[#This Row],[Player]],WR!B:O,7,FALSE)),"")</f>
        <v>77.363872949999987</v>
      </c>
      <c r="AL26" s="83">
        <f>IFERROR((VLOOKUP(TableWRRanks32[[#This Row],[Player]],WR!B:O,8,FALSE)),"")</f>
        <v>1124.8707126929996</v>
      </c>
      <c r="AM26" s="83">
        <f>IFERROR((VLOOKUP(TableWRRanks32[[#This Row],[Player]],WR!B:O,9,FALSE)),"")</f>
        <v>6.3210990652167949</v>
      </c>
      <c r="AN26" s="57">
        <f>IFERROR((IFERROR(INDEX(TableWRCalcPts[Custom],MATCH(TableWRRanks32[[#This Row],[RK]],TableWRCalcPts[RK],0)),"")),"")</f>
        <v>189.09560213560073</v>
      </c>
      <c r="AO26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18.245843554633147</v>
      </c>
      <c r="AQ26">
        <v>25</v>
      </c>
      <c r="AR26" t="str">
        <f>IFERROR(INDEX(TableTECalcPts[PLAYER],MATCH(TableTERanks33[[#This Row],[RK]],TableTECalcPts[RK],0)),"")</f>
        <v>Colby Parkinson</v>
      </c>
      <c r="AS26" t="str">
        <f>IFERROR(INDEX(TableTECalcPts[TM],MATCH(TableTERanks33[[#This Row],[Player]],TableTECalcPts[PLAYER],0)),"")</f>
        <v>LAR</v>
      </c>
      <c r="AT26">
        <f>IFERROR(INDEX(TableTECalcPts[BYE],MATCH(TableTERanks33[[#This Row],[Player]],TableTECalcPts[PLAYER],0)),"")</f>
        <v>6</v>
      </c>
      <c r="AU26" s="83">
        <f>IFERROR((VLOOKUP(TableTERanks33[[#This Row],[Player]],TE!B:O,4,FALSE)),"")</f>
        <v>62.792300479999994</v>
      </c>
      <c r="AV26" s="83">
        <f>IFERROR((VLOOKUP(TableTERanks33[[#This Row],[Player]],TE!B:O,5,FALSE)),"")</f>
        <v>41.56850291776</v>
      </c>
      <c r="AW26" s="83">
        <f>IFERROR((VLOOKUP(TableTERanks33[[#This Row],[Player]],TE!B:O,6,FALSE)),"")</f>
        <v>422.57731804449213</v>
      </c>
      <c r="AX26" s="83">
        <f>IFERROR((VLOOKUP(TableTERanks33[[#This Row],[Player]],TE!B:O,7,FALSE)),"")</f>
        <v>3.0222667348114851</v>
      </c>
      <c r="AY26" s="57">
        <f>IFERROR((IFERROR(INDEX(TableTECalcPts[Custom],MATCH(TableTERanks33[[#This Row],[RK]],TableTECalcPts[RK],0)),"")),"")</f>
        <v>81.17558367219813</v>
      </c>
      <c r="AZ26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27" spans="1:52" x14ac:dyDescent="0.2">
      <c r="A27">
        <v>26</v>
      </c>
      <c r="B27" t="str">
        <f>IFERROR(INDEX(TableQBCalcPts[PLAYER],MATCH(TableQBRanks30[[#This Row],[RK]],TableQBCalcPts[RK],0)),"")</f>
        <v>Geno Smith</v>
      </c>
      <c r="C27" t="str">
        <f>IFERROR(INDEX(TableQBCalcPts[TM],MATCH(TableQBRanks30[[#This Row],[Player]],TableQBCalcPts[PLAYER],0)),"")</f>
        <v>SEA</v>
      </c>
      <c r="D27">
        <f>IFERROR(INDEX(TableQBCalcPts[BYE],MATCH(TableQBRanks30[[#This Row],[Player]],TableQBCalcPts[PLAYER],0)),"")</f>
        <v>10</v>
      </c>
      <c r="E27" s="83">
        <f>IFERROR((VLOOKUP(TableQBRanks30[[#This Row],[Player]],QB!B:O,4,FALSE)),"")</f>
        <v>533.09609999999998</v>
      </c>
      <c r="F27" s="83">
        <f>IFERROR((VLOOKUP(TableQBRanks30[[#This Row],[Player]],QB!B:O,5,FALSE)),"")</f>
        <v>351.78113362458947</v>
      </c>
      <c r="G27" s="83">
        <f>IFERROR((VLOOKUP(TableQBRanks30[[#This Row],[Player]],QB!B:O,6,FALSE)),"")</f>
        <v>3905.2688817822068</v>
      </c>
      <c r="H27" s="83">
        <f>IFERROR((VLOOKUP(TableQBRanks30[[#This Row],[Player]],QB!B:O,7,FALSE)),"")</f>
        <v>24.547322032075023</v>
      </c>
      <c r="I27" s="83">
        <f>IFERROR((VLOOKUP(TableQBRanks30[[#This Row],[Player]],QB!B:O,8,FALSE)),"")</f>
        <v>6.9770339945520314</v>
      </c>
      <c r="J27" s="83">
        <f>IFERROR((VLOOKUP(TableQBRanks30[[#This Row],[Player]],QB!B:O,9,FALSE)),"")</f>
        <v>39.133084619999998</v>
      </c>
      <c r="K27" s="83">
        <f>IFERROR((VLOOKUP(TableQBRanks30[[#This Row],[Player]],QB!B:O,10,FALSE)),"")</f>
        <v>171.10632306721794</v>
      </c>
      <c r="L27" s="83">
        <f>IFERROR((VLOOKUP(TableQBRanks30[[#This Row],[Player]],QB!B:O,11,FALSE)),"")</f>
        <v>1.2131256232199998</v>
      </c>
      <c r="M27" s="57">
        <f>IFERROR(INDEX(TableQBCalcPts[Custom],MATCH(TableQBRanks30[[#This Row],[RK]],TableQBCalcPts[RK],0)),"")</f>
        <v>264.83536145652607</v>
      </c>
      <c r="N27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27">
        <v>26</v>
      </c>
      <c r="Q27" t="str">
        <f>IFERROR(INDEX(TableRBCalcPts[PLAYER],MATCH(TableRBRanks31[[#This Row],[RK]],TableRBCalcPts[RK],0)),"")</f>
        <v>Rhamondre Stevenson</v>
      </c>
      <c r="R27" t="str">
        <f>IFERROR(INDEX(TableRBCalcPts[TM],MATCH(TableRBRanks31[[#This Row],[Player]],TableRBCalcPts[PLAYER],0)),"")</f>
        <v>NE</v>
      </c>
      <c r="S27">
        <f>IFERROR(INDEX(TableRBCalcPts[BYE],MATCH(TableRBRanks31[[#This Row],[Player]],TableRBCalcPts[PLAYER],0)),"")</f>
        <v>14</v>
      </c>
      <c r="T27" s="83">
        <f>IFERROR((VLOOKUP(TableRBRanks31[[#This Row],[Player]],RB!B:O,4,FALSE)),"")</f>
        <v>229.94415416000004</v>
      </c>
      <c r="U27" s="83">
        <f>IFERROR((VLOOKUP(TableRBRanks31[[#This Row],[Player]],RB!B:O,5,FALSE)),"")</f>
        <v>996.63663478500939</v>
      </c>
      <c r="V27" s="83">
        <f>IFERROR((VLOOKUP(TableRBRanks31[[#This Row],[Player]],RB!B:O,6,FALSE)),"")</f>
        <v>7.1282687789600008</v>
      </c>
      <c r="W27" s="83">
        <f>IFERROR((VLOOKUP(TableRBRanks31[[#This Row],[Player]],RB!B:O,7,FALSE)),"")</f>
        <v>34.012977599999999</v>
      </c>
      <c r="X27" s="83">
        <f>IFERROR((VLOOKUP(TableRBRanks31[[#This Row],[Player]],RB!B:O,8,FALSE)),"")</f>
        <v>24.829473648</v>
      </c>
      <c r="Y27" s="83">
        <f>IFERROR((VLOOKUP(TableRBRanks31[[#This Row],[Player]],RB!B:O,9,FALSE)),"")</f>
        <v>172.52057180513003</v>
      </c>
      <c r="Z27" s="83">
        <f>IFERROR((VLOOKUP(TableRBRanks31[[#This Row],[Player]],RB!B:O,10,FALSE)),"")</f>
        <v>0.69666165989364393</v>
      </c>
      <c r="AA27" s="57">
        <f>IFERROR((IFERROR(INDEX(TableRBCalcPts[Custom],MATCH(TableRBRanks31[[#This Row],[RK]],TableRBCalcPts[RK],0)),"")),"")</f>
        <v>176.28004011613581</v>
      </c>
      <c r="AB27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20.101430648866906</v>
      </c>
      <c r="AD27">
        <v>26</v>
      </c>
      <c r="AE27" t="str">
        <f>IFERROR(INDEX(TableWRCalcPts[PLAYER],MATCH(TableWRRanks32[[#This Row],[RK]],TableWRCalcPts[RK],0)),"")</f>
        <v>Malik Nabers</v>
      </c>
      <c r="AF27" t="str">
        <f>IFERROR(INDEX(TableWRCalcPts[TM],MATCH(TableWRRanks32[[#This Row],[Player]],TableWRCalcPts[PLAYER],0)),"")</f>
        <v>NYG</v>
      </c>
      <c r="AG27">
        <f>IFERROR(INDEX(TableWRCalcPts[BYE],MATCH(TableWRRanks32[[#This Row],[Player]],TableWRCalcPts[PLAYER],0)),"")</f>
        <v>11</v>
      </c>
      <c r="AH27" s="83">
        <f>IFERROR((VLOOKUP(TableWRRanks32[[#This Row],[Player]],WR!B:O,4,FALSE)),"")</f>
        <v>0</v>
      </c>
      <c r="AI27" s="83">
        <f>IFERROR((VLOOKUP(TableWRRanks32[[#This Row],[Player]],WR!B:O,5,FALSE)),"")</f>
        <v>0</v>
      </c>
      <c r="AJ27" s="83">
        <f>IFERROR((VLOOKUP(TableWRRanks32[[#This Row],[Player]],WR!B:O,6,FALSE)),"")</f>
        <v>133.58811983999996</v>
      </c>
      <c r="AK27" s="83">
        <f>IFERROR((VLOOKUP(TableWRRanks32[[#This Row],[Player]],WR!B:O,7,FALSE)),"")</f>
        <v>85.897161057119959</v>
      </c>
      <c r="AL27" s="83">
        <f>IFERROR((VLOOKUP(TableWRRanks32[[#This Row],[Player]],WR!B:O,8,FALSE)),"")</f>
        <v>1100.3426331417068</v>
      </c>
      <c r="AM27" s="83">
        <f>IFERROR((VLOOKUP(TableWRRanks32[[#This Row],[Player]],WR!B:O,9,FALSE)),"")</f>
        <v>5.8753658163070055</v>
      </c>
      <c r="AN27" s="57">
        <f>IFERROR((IFERROR(INDEX(TableWRCalcPts[Custom],MATCH(TableWRRanks32[[#This Row],[RK]],TableWRCalcPts[RK],0)),"")),"")</f>
        <v>188.23503874057269</v>
      </c>
      <c r="AO27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17.870890807527793</v>
      </c>
      <c r="AQ27">
        <v>26</v>
      </c>
      <c r="AR27" t="str">
        <f>IFERROR(INDEX(TableTECalcPts[PLAYER],MATCH(TableTERanks33[[#This Row],[RK]],TableTECalcPts[RK],0)),"")</f>
        <v>Isaiah Likely</v>
      </c>
      <c r="AS27" t="str">
        <f>IFERROR(INDEX(TableTECalcPts[TM],MATCH(TableTERanks33[[#This Row],[Player]],TableTECalcPts[PLAYER],0)),"")</f>
        <v>BAL</v>
      </c>
      <c r="AT27">
        <f>IFERROR(INDEX(TableTECalcPts[BYE],MATCH(TableTERanks33[[#This Row],[Player]],TableTECalcPts[PLAYER],0)),"")</f>
        <v>14</v>
      </c>
      <c r="AU27" s="83">
        <f>IFERROR((VLOOKUP(TableTERanks33[[#This Row],[Player]],TE!B:O,4,FALSE)),"")</f>
        <v>48.700104320000001</v>
      </c>
      <c r="AV27" s="83">
        <f>IFERROR((VLOOKUP(TableTERanks33[[#This Row],[Player]],TE!B:O,5,FALSE)),"")</f>
        <v>34.333573545599997</v>
      </c>
      <c r="AW27" s="83">
        <f>IFERROR((VLOOKUP(TableTERanks33[[#This Row],[Player]],TE!B:O,6,FALSE)),"")</f>
        <v>409.8781154720719</v>
      </c>
      <c r="AX27" s="83">
        <f>IFERROR((VLOOKUP(TableTERanks33[[#This Row],[Player]],TE!B:O,7,FALSE)),"")</f>
        <v>3.6736923693791996</v>
      </c>
      <c r="AY27" s="57">
        <f>IFERROR((IFERROR(INDEX(TableTECalcPts[Custom],MATCH(TableTERanks33[[#This Row],[RK]],TableTECalcPts[RK],0)),"")),"")</f>
        <v>80.196752536282389</v>
      </c>
      <c r="AZ27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28" spans="1:52" x14ac:dyDescent="0.2">
      <c r="A28">
        <v>27</v>
      </c>
      <c r="B28" t="str">
        <f>IFERROR(INDEX(TableQBCalcPts[PLAYER],MATCH(TableQBRanks30[[#This Row],[RK]],TableQBCalcPts[RK],0)),"")</f>
        <v>Sam Darnold</v>
      </c>
      <c r="C28" t="str">
        <f>IFERROR(INDEX(TableQBCalcPts[TM],MATCH(TableQBRanks30[[#This Row],[Player]],TableQBCalcPts[PLAYER],0)),"")</f>
        <v>MIN</v>
      </c>
      <c r="D28">
        <f>IFERROR(INDEX(TableQBCalcPts[BYE],MATCH(TableQBRanks30[[#This Row],[Player]],TableQBCalcPts[PLAYER],0)),"")</f>
        <v>6</v>
      </c>
      <c r="E28" s="83">
        <f>IFERROR((VLOOKUP(TableQBRanks30[[#This Row],[Player]],QB!B:O,4,FALSE)),"")</f>
        <v>558.62399999999991</v>
      </c>
      <c r="F28" s="83">
        <f>IFERROR((VLOOKUP(TableQBRanks30[[#This Row],[Player]],QB!B:O,5,FALSE)),"")</f>
        <v>355.89935602335407</v>
      </c>
      <c r="G28" s="83">
        <f>IFERROR((VLOOKUP(TableQBRanks30[[#This Row],[Player]],QB!B:O,6,FALSE)),"")</f>
        <v>3954.0418454194637</v>
      </c>
      <c r="H28" s="83">
        <f>IFERROR((VLOOKUP(TableQBRanks30[[#This Row],[Player]],QB!B:O,7,FALSE)),"")</f>
        <v>22.903583999999999</v>
      </c>
      <c r="I28" s="83">
        <f>IFERROR((VLOOKUP(TableQBRanks30[[#This Row],[Player]],QB!B:O,8,FALSE)),"")</f>
        <v>10.676980680700622</v>
      </c>
      <c r="J28" s="83">
        <f>IFERROR((VLOOKUP(TableQBRanks30[[#This Row],[Player]],QB!B:O,9,FALSE)),"")</f>
        <v>45.620960000000004</v>
      </c>
      <c r="K28" s="83">
        <f>IFERROR((VLOOKUP(TableQBRanks30[[#This Row],[Player]],QB!B:O,10,FALSE)),"")</f>
        <v>163.32030723064193</v>
      </c>
      <c r="L28" s="83">
        <f>IFERROR((VLOOKUP(TableQBRanks30[[#This Row],[Player]],QB!B:O,11,FALSE)),"")</f>
        <v>2.3266689600000001</v>
      </c>
      <c r="M28" s="57">
        <f>IFERROR(INDEX(TableQBCalcPts[Custom],MATCH(TableQBRanks30[[#This Row],[RK]],TableQBCalcPts[RK],0)),"")</f>
        <v>258.71409293844147</v>
      </c>
      <c r="N28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28">
        <v>27</v>
      </c>
      <c r="Q28" t="str">
        <f>IFERROR(INDEX(TableRBCalcPts[PLAYER],MATCH(TableRBRanks31[[#This Row],[RK]],TableRBCalcPts[RK],0)),"")</f>
        <v>David Montgomery</v>
      </c>
      <c r="R28" t="str">
        <f>IFERROR(INDEX(TableRBCalcPts[TM],MATCH(TableRBRanks31[[#This Row],[Player]],TableRBCalcPts[PLAYER],0)),"")</f>
        <v>DET</v>
      </c>
      <c r="S28">
        <f>IFERROR(INDEX(TableRBCalcPts[BYE],MATCH(TableRBRanks31[[#This Row],[Player]],TableRBCalcPts[PLAYER],0)),"")</f>
        <v>5</v>
      </c>
      <c r="T28" s="83">
        <f>IFERROR((VLOOKUP(TableRBRanks31[[#This Row],[Player]],RB!B:O,4,FALSE)),"")</f>
        <v>200.30321920000003</v>
      </c>
      <c r="U28" s="83">
        <f>IFERROR((VLOOKUP(TableRBRanks31[[#This Row],[Player]],RB!B:O,5,FALSE)),"")</f>
        <v>889.34629324800017</v>
      </c>
      <c r="V28" s="83">
        <f>IFERROR((VLOOKUP(TableRBRanks31[[#This Row],[Player]],RB!B:O,6,FALSE)),"")</f>
        <v>10.135342891520001</v>
      </c>
      <c r="W28" s="83">
        <f>IFERROR((VLOOKUP(TableRBRanks31[[#This Row],[Player]],RB!B:O,7,FALSE)),"")</f>
        <v>23.706983999999999</v>
      </c>
      <c r="X28" s="83">
        <f>IFERROR((VLOOKUP(TableRBRanks31[[#This Row],[Player]],RB!B:O,8,FALSE)),"")</f>
        <v>17.377219271999998</v>
      </c>
      <c r="Y28" s="83">
        <f>IFERROR((VLOOKUP(TableRBRanks31[[#This Row],[Player]],RB!B:O,9,FALSE)),"")</f>
        <v>129.2344336827511</v>
      </c>
      <c r="Z28" s="83">
        <f>IFERROR((VLOOKUP(TableRBRanks31[[#This Row],[Player]],RB!B:O,10,FALSE)),"")</f>
        <v>0.69508877087999987</v>
      </c>
      <c r="AA28" s="57">
        <f>IFERROR((IFERROR(INDEX(TableRBCalcPts[Custom],MATCH(TableRBRanks31[[#This Row],[RK]],TableRBCalcPts[RK],0)),"")),"")</f>
        <v>175.52927230347515</v>
      </c>
      <c r="AB28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19.83369485904398</v>
      </c>
      <c r="AD28">
        <v>27</v>
      </c>
      <c r="AE28" t="str">
        <f>IFERROR(INDEX(TableWRCalcPts[PLAYER],MATCH(TableWRRanks32[[#This Row],[RK]],TableWRCalcPts[RK],0)),"")</f>
        <v>Christian Kirk</v>
      </c>
      <c r="AF28" t="str">
        <f>IFERROR(INDEX(TableWRCalcPts[TM],MATCH(TableWRRanks32[[#This Row],[Player]],TableWRCalcPts[PLAYER],0)),"")</f>
        <v>JAX</v>
      </c>
      <c r="AG28">
        <f>IFERROR(INDEX(TableWRCalcPts[BYE],MATCH(TableWRRanks32[[#This Row],[Player]],TableWRCalcPts[PLAYER],0)),"")</f>
        <v>12</v>
      </c>
      <c r="AH28" s="83">
        <f>IFERROR((VLOOKUP(TableWRRanks32[[#This Row],[Player]],WR!B:O,4,FALSE)),"")</f>
        <v>20.158053551999998</v>
      </c>
      <c r="AI28" s="83">
        <f>IFERROR((VLOOKUP(TableWRRanks32[[#This Row],[Player]],WR!B:O,5,FALSE)),"")</f>
        <v>1.9425730309908129E-2</v>
      </c>
      <c r="AJ28" s="83">
        <f>IFERROR((VLOOKUP(TableWRRanks32[[#This Row],[Player]],WR!B:O,6,FALSE)),"")</f>
        <v>132.48231919999998</v>
      </c>
      <c r="AK28" s="83">
        <f>IFERROR((VLOOKUP(TableWRRanks32[[#This Row],[Player]],WR!B:O,7,FALSE)),"")</f>
        <v>86.24598979919999</v>
      </c>
      <c r="AL28" s="83">
        <f>IFERROR((VLOOKUP(TableWRRanks32[[#This Row],[Player]],WR!B:O,8,FALSE)),"")</f>
        <v>1066.8628938161039</v>
      </c>
      <c r="AM28" s="83">
        <f>IFERROR((VLOOKUP(TableWRRanks32[[#This Row],[Player]],WR!B:O,9,FALSE)),"")</f>
        <v>5.6059893369479994</v>
      </c>
      <c r="AN28" s="57">
        <f>IFERROR((IFERROR(INDEX(TableWRCalcPts[Custom],MATCH(TableWRRanks32[[#This Row],[RK]],TableWRCalcPts[RK],0)),"")),"")</f>
        <v>185.57758003995784</v>
      </c>
      <c r="AO28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16.71301975947781</v>
      </c>
      <c r="AQ28">
        <v>27</v>
      </c>
      <c r="AR28" t="str">
        <f>IFERROR(INDEX(TableTECalcPts[PLAYER],MATCH(TableTERanks33[[#This Row],[RK]],TableTECalcPts[RK],0)),"")</f>
        <v>Hayden Hurst</v>
      </c>
      <c r="AS28" t="str">
        <f>IFERROR(INDEX(TableTECalcPts[TM],MATCH(TableTERanks33[[#This Row],[Player]],TableTECalcPts[PLAYER],0)),"")</f>
        <v>LAC</v>
      </c>
      <c r="AT28">
        <f>IFERROR(INDEX(TableTECalcPts[BYE],MATCH(TableTERanks33[[#This Row],[Player]],TableTECalcPts[PLAYER],0)),"")</f>
        <v>5</v>
      </c>
      <c r="AU28" s="83">
        <f>IFERROR((VLOOKUP(TableTERanks33[[#This Row],[Player]],TE!B:O,4,FALSE)),"")</f>
        <v>56.394547860000024</v>
      </c>
      <c r="AV28" s="83">
        <f>IFERROR((VLOOKUP(TableTERanks33[[#This Row],[Player]],TE!B:O,5,FALSE)),"")</f>
        <v>39.645367145580011</v>
      </c>
      <c r="AW28" s="83">
        <f>IFERROR((VLOOKUP(TableTERanks33[[#This Row],[Player]],TE!B:O,6,FALSE)),"")</f>
        <v>399.22884715599071</v>
      </c>
      <c r="AX28" s="83">
        <f>IFERROR((VLOOKUP(TableTERanks33[[#This Row],[Player]],TE!B:O,7,FALSE)),"")</f>
        <v>3.3302108402287209</v>
      </c>
      <c r="AY28" s="57">
        <f>IFERROR((IFERROR(INDEX(TableTECalcPts[Custom],MATCH(TableTERanks33[[#This Row],[RK]],TableTECalcPts[RK],0)),"")),"")</f>
        <v>79.726833329761405</v>
      </c>
      <c r="AZ28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29" spans="1:52" x14ac:dyDescent="0.2">
      <c r="A29">
        <v>28</v>
      </c>
      <c r="B29" t="str">
        <f>IFERROR(INDEX(TableQBCalcPts[PLAYER],MATCH(TableQBRanks30[[#This Row],[RK]],TableQBCalcPts[RK],0)),"")</f>
        <v>Derek Carr</v>
      </c>
      <c r="C29" t="str">
        <f>IFERROR(INDEX(TableQBCalcPts[TM],MATCH(TableQBRanks30[[#This Row],[Player]],TableQBCalcPts[PLAYER],0)),"")</f>
        <v>NO</v>
      </c>
      <c r="D29">
        <f>IFERROR(INDEX(TableQBCalcPts[BYE],MATCH(TableQBRanks30[[#This Row],[Player]],TableQBCalcPts[PLAYER],0)),"")</f>
        <v>12</v>
      </c>
      <c r="E29" s="83">
        <f>IFERROR((VLOOKUP(TableQBRanks30[[#This Row],[Player]],QB!B:O,4,FALSE)),"")</f>
        <v>555.98179999999991</v>
      </c>
      <c r="F29" s="83">
        <f>IFERROR((VLOOKUP(TableQBRanks30[[#This Row],[Player]],QB!B:O,5,FALSE)),"")</f>
        <v>370.27865528890595</v>
      </c>
      <c r="G29" s="83">
        <f>IFERROR((VLOOKUP(TableQBRanks30[[#This Row],[Player]],QB!B:O,6,FALSE)),"")</f>
        <v>4006.9905147315835</v>
      </c>
      <c r="H29" s="83">
        <f>IFERROR((VLOOKUP(TableQBRanks30[[#This Row],[Player]],QB!B:O,7,FALSE)),"")</f>
        <v>25.274877634063259</v>
      </c>
      <c r="I29" s="83">
        <f>IFERROR((VLOOKUP(TableQBRanks30[[#This Row],[Player]],QB!B:O,8,FALSE)),"")</f>
        <v>6.4497544319124875</v>
      </c>
      <c r="J29" s="83">
        <f>IFERROR((VLOOKUP(TableQBRanks30[[#This Row],[Player]],QB!B:O,9,FALSE)),"")</f>
        <v>21.989044000000003</v>
      </c>
      <c r="K29" s="83">
        <f>IFERROR((VLOOKUP(TableQBRanks30[[#This Row],[Player]],QB!B:O,10,FALSE)),"")</f>
        <v>62.031989982224346</v>
      </c>
      <c r="L29" s="83">
        <f>IFERROR((VLOOKUP(TableQBRanks30[[#This Row],[Player]],QB!B:O,11,FALSE)),"")</f>
        <v>0.21989044000000005</v>
      </c>
      <c r="M29" s="57">
        <f>IFERROR(INDEX(TableQBCalcPts[Custom],MATCH(TableQBRanks30[[#This Row],[RK]],TableQBCalcPts[RK],0)),"")</f>
        <v>256.00216389991385</v>
      </c>
      <c r="N29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29">
        <v>28</v>
      </c>
      <c r="Q29" t="str">
        <f>IFERROR(INDEX(TableRBCalcPts[PLAYER],MATCH(TableRBRanks31[[#This Row],[RK]],TableRBCalcPts[RK],0)),"")</f>
        <v>Tony Pollard</v>
      </c>
      <c r="R29" t="str">
        <f>IFERROR(INDEX(TableRBCalcPts[TM],MATCH(TableRBRanks31[[#This Row],[Player]],TableRBCalcPts[PLAYER],0)),"")</f>
        <v>TEN</v>
      </c>
      <c r="S29">
        <f>IFERROR(INDEX(TableRBCalcPts[BYE],MATCH(TableRBRanks31[[#This Row],[Player]],TableRBCalcPts[PLAYER],0)),"")</f>
        <v>5</v>
      </c>
      <c r="T29" s="83">
        <f>IFERROR((VLOOKUP(TableRBRanks31[[#This Row],[Player]],RB!B:O,4,FALSE)),"")</f>
        <v>206.10016812000001</v>
      </c>
      <c r="U29" s="83">
        <f>IFERROR((VLOOKUP(TableRBRanks31[[#This Row],[Player]],RB!B:O,5,FALSE)),"")</f>
        <v>867.00173278565296</v>
      </c>
      <c r="V29" s="83">
        <f>IFERROR((VLOOKUP(TableRBRanks31[[#This Row],[Player]],RB!B:O,6,FALSE)),"")</f>
        <v>6.3891052117200005</v>
      </c>
      <c r="W29" s="83">
        <f>IFERROR((VLOOKUP(TableRBRanks31[[#This Row],[Player]],RB!B:O,7,FALSE)),"")</f>
        <v>43.384918499999998</v>
      </c>
      <c r="X29" s="83">
        <f>IFERROR((VLOOKUP(TableRBRanks31[[#This Row],[Player]],RB!B:O,8,FALSE)),"")</f>
        <v>33.276232489499996</v>
      </c>
      <c r="Y29" s="83">
        <f>IFERROR((VLOOKUP(TableRBRanks31[[#This Row],[Player]],RB!B:O,9,FALSE)),"")</f>
        <v>251.23555529572496</v>
      </c>
      <c r="Z29" s="83">
        <f>IFERROR((VLOOKUP(TableRBRanks31[[#This Row],[Player]],RB!B:O,10,FALSE)),"")</f>
        <v>1.397601764559</v>
      </c>
      <c r="AA29" s="57">
        <f>IFERROR((IFERROR(INDEX(TableRBCalcPts[Custom],MATCH(TableRBRanks31[[#This Row],[RK]],TableRBCalcPts[RK],0)),"")),"")</f>
        <v>175.18208691056179</v>
      </c>
      <c r="AB29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19.709883004274634</v>
      </c>
      <c r="AD29">
        <v>28</v>
      </c>
      <c r="AE29" t="str">
        <f>IFERROR(INDEX(TableWRCalcPts[PLAYER],MATCH(TableWRRanks32[[#This Row],[RK]],TableWRCalcPts[RK],0)),"")</f>
        <v>Stefon Diggs</v>
      </c>
      <c r="AF29" t="str">
        <f>IFERROR(INDEX(TableWRCalcPts[TM],MATCH(TableWRRanks32[[#This Row],[Player]],TableWRCalcPts[PLAYER],0)),"")</f>
        <v>HOU</v>
      </c>
      <c r="AG29">
        <f>IFERROR(INDEX(TableWRCalcPts[BYE],MATCH(TableWRRanks32[[#This Row],[Player]],TableWRCalcPts[PLAYER],0)),"")</f>
        <v>14</v>
      </c>
      <c r="AH29" s="83">
        <f>IFERROR((VLOOKUP(TableWRRanks32[[#This Row],[Player]],WR!B:O,4,FALSE)),"")</f>
        <v>21.335321279999999</v>
      </c>
      <c r="AI29" s="83">
        <f>IFERROR((VLOOKUP(TableWRRanks32[[#This Row],[Player]],WR!B:O,5,FALSE)),"")</f>
        <v>2.1230708481496999E-2</v>
      </c>
      <c r="AJ29" s="83">
        <f>IFERROR((VLOOKUP(TableWRRanks32[[#This Row],[Player]],WR!B:O,6,FALSE)),"")</f>
        <v>124.78065599999998</v>
      </c>
      <c r="AK29" s="83">
        <f>IFERROR((VLOOKUP(TableWRRanks32[[#This Row],[Player]],WR!B:O,7,FALSE)),"")</f>
        <v>83.603039519999996</v>
      </c>
      <c r="AL29" s="83">
        <f>IFERROR((VLOOKUP(TableWRRanks32[[#This Row],[Player]],WR!B:O,8,FALSE)),"")</f>
        <v>1014.1048693776</v>
      </c>
      <c r="AM29" s="83">
        <f>IFERROR((VLOOKUP(TableWRRanks32[[#This Row],[Player]],WR!B:O,9,FALSE)),"")</f>
        <v>6.6169173018700276</v>
      </c>
      <c r="AN29" s="57">
        <f>IFERROR((IFERROR(INDEX(TableWRCalcPts[Custom],MATCH(TableWRRanks32[[#This Row],[RK]],TableWRCalcPts[RK],0)),"")),"")</f>
        <v>185.17442688786917</v>
      </c>
      <c r="AO29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16.537363459485057</v>
      </c>
      <c r="AQ29">
        <v>28</v>
      </c>
      <c r="AR29" t="str">
        <f>IFERROR(INDEX(TableTECalcPts[PLAYER],MATCH(TableTERanks33[[#This Row],[RK]],TableTECalcPts[RK],0)),"")</f>
        <v>Ben Sinnott</v>
      </c>
      <c r="AS29" t="str">
        <f>IFERROR(INDEX(TableTECalcPts[TM],MATCH(TableTERanks33[[#This Row],[Player]],TableTECalcPts[PLAYER],0)),"")</f>
        <v>WSH</v>
      </c>
      <c r="AT29">
        <f>IFERROR(INDEX(TableTECalcPts[BYE],MATCH(TableTERanks33[[#This Row],[Player]],TableTECalcPts[PLAYER],0)),"")</f>
        <v>14</v>
      </c>
      <c r="AU29" s="83">
        <f>IFERROR((VLOOKUP(TableTERanks33[[#This Row],[Player]],TE!B:O,4,FALSE)),"")</f>
        <v>60.057183200000011</v>
      </c>
      <c r="AV29" s="83">
        <f>IFERROR((VLOOKUP(TableTERanks33[[#This Row],[Player]],TE!B:O,5,FALSE)),"")</f>
        <v>39.157283446400008</v>
      </c>
      <c r="AW29" s="83">
        <f>IFERROR((VLOOKUP(TableTERanks33[[#This Row],[Player]],TE!B:O,6,FALSE)),"")</f>
        <v>411.1514761872001</v>
      </c>
      <c r="AX29" s="83">
        <f>IFERROR((VLOOKUP(TableTERanks33[[#This Row],[Player]],TE!B:O,7,FALSE)),"")</f>
        <v>3.1325826757120008</v>
      </c>
      <c r="AY29" s="57">
        <f>IFERROR((IFERROR(INDEX(TableTECalcPts[Custom],MATCH(TableTERanks33[[#This Row],[RK]],TableTECalcPts[RK],0)),"")),"")</f>
        <v>79.489285396192031</v>
      </c>
      <c r="AZ29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30" spans="1:52" x14ac:dyDescent="0.2">
      <c r="A30">
        <v>29</v>
      </c>
      <c r="B30" t="str">
        <f>IFERROR(INDEX(TableQBCalcPts[PLAYER],MATCH(TableQBRanks30[[#This Row],[RK]],TableQBCalcPts[RK],0)),"")</f>
        <v>Daniel Jones</v>
      </c>
      <c r="C30" t="str">
        <f>IFERROR(INDEX(TableQBCalcPts[TM],MATCH(TableQBRanks30[[#This Row],[Player]],TableQBCalcPts[PLAYER],0)),"")</f>
        <v>NYG</v>
      </c>
      <c r="D30">
        <f>IFERROR(INDEX(TableQBCalcPts[BYE],MATCH(TableQBRanks30[[#This Row],[Player]],TableQBCalcPts[PLAYER],0)),"")</f>
        <v>11</v>
      </c>
      <c r="E30" s="83">
        <f>IFERROR((VLOOKUP(TableQBRanks30[[#This Row],[Player]],QB!B:O,4,FALSE)),"")</f>
        <v>450.37799999999993</v>
      </c>
      <c r="F30" s="83">
        <f>IFERROR((VLOOKUP(TableQBRanks30[[#This Row],[Player]],QB!B:O,5,FALSE)),"")</f>
        <v>295.49875556346564</v>
      </c>
      <c r="G30" s="83">
        <f>IFERROR((VLOOKUP(TableQBRanks30[[#This Row],[Player]],QB!B:O,6,FALSE)),"")</f>
        <v>3022.9522694142538</v>
      </c>
      <c r="H30" s="83">
        <f>IFERROR((VLOOKUP(TableQBRanks30[[#This Row],[Player]],QB!B:O,7,FALSE)),"")</f>
        <v>15.248493414589323</v>
      </c>
      <c r="I30" s="83">
        <f>IFERROR((VLOOKUP(TableQBRanks30[[#This Row],[Player]],QB!B:O,8,FALSE)),"")</f>
        <v>5.8884208901017745</v>
      </c>
      <c r="J30" s="83">
        <f>IFERROR((VLOOKUP(TableQBRanks30[[#This Row],[Player]],QB!B:O,9,FALSE)),"")</f>
        <v>65.781912000000005</v>
      </c>
      <c r="K30" s="83">
        <f>IFERROR((VLOOKUP(TableQBRanks30[[#This Row],[Player]],QB!B:O,10,FALSE)),"")</f>
        <v>334.76764807714903</v>
      </c>
      <c r="L30" s="83">
        <f>IFERROR((VLOOKUP(TableQBRanks30[[#This Row],[Player]],QB!B:O,11,FALSE)),"")</f>
        <v>3.2233136880000002</v>
      </c>
      <c r="M30" s="57">
        <f>IFERROR(INDEX(TableQBCalcPts[Custom],MATCH(TableQBRanks30[[#This Row],[RK]],TableQBCalcPts[RK],0)),"")</f>
        <v>222.95186959043883</v>
      </c>
      <c r="N30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30">
        <v>29</v>
      </c>
      <c r="Q30" t="str">
        <f>IFERROR(INDEX(TableRBCalcPts[PLAYER],MATCH(TableRBRanks31[[#This Row],[RK]],TableRBCalcPts[RK],0)),"")</f>
        <v>Tyjae Spears</v>
      </c>
      <c r="R30" t="str">
        <f>IFERROR(INDEX(TableRBCalcPts[TM],MATCH(TableRBRanks31[[#This Row],[Player]],TableRBCalcPts[PLAYER],0)),"")</f>
        <v>TEN</v>
      </c>
      <c r="S30">
        <f>IFERROR(INDEX(TableRBCalcPts[BYE],MATCH(TableRBRanks31[[#This Row],[Player]],TableRBCalcPts[PLAYER],0)),"")</f>
        <v>5</v>
      </c>
      <c r="T30" s="83">
        <f>IFERROR((VLOOKUP(TableRBRanks31[[#This Row],[Player]],RB!B:O,4,FALSE)),"")</f>
        <v>162.84457728000001</v>
      </c>
      <c r="U30" s="83">
        <f>IFERROR((VLOOKUP(TableRBRanks31[[#This Row],[Player]],RB!B:O,5,FALSE)),"")</f>
        <v>704.62867835808731</v>
      </c>
      <c r="V30" s="83">
        <f>IFERROR((VLOOKUP(TableRBRanks31[[#This Row],[Player]],RB!B:O,6,FALSE)),"")</f>
        <v>5.2110264729600004</v>
      </c>
      <c r="W30" s="83">
        <f>IFERROR((VLOOKUP(TableRBRanks31[[#This Row],[Player]],RB!B:O,7,FALSE)),"")</f>
        <v>60.738885899999993</v>
      </c>
      <c r="X30" s="83">
        <f>IFERROR((VLOOKUP(TableRBRanks31[[#This Row],[Player]],RB!B:O,8,FALSE)),"")</f>
        <v>45.857858854500002</v>
      </c>
      <c r="Y30" s="83">
        <f>IFERROR((VLOOKUP(TableRBRanks31[[#This Row],[Player]],RB!B:O,9,FALSE)),"")</f>
        <v>372.36581389853995</v>
      </c>
      <c r="Z30" s="83">
        <f>IFERROR((VLOOKUP(TableRBRanks31[[#This Row],[Player]],RB!B:O,10,FALSE)),"")</f>
        <v>2.017745789598</v>
      </c>
      <c r="AA30" s="57">
        <f>IFERROR((IFERROR(INDEX(TableRBCalcPts[Custom],MATCH(TableRBRanks31[[#This Row],[RK]],TableRBCalcPts[RK],0)),"")),"")</f>
        <v>174.00101222826075</v>
      </c>
      <c r="AB30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19.28869291384563</v>
      </c>
      <c r="AD30">
        <v>29</v>
      </c>
      <c r="AE30" t="str">
        <f>IFERROR(INDEX(TableWRCalcPts[PLAYER],MATCH(TableWRRanks32[[#This Row],[RK]],TableWRCalcPts[RK],0)),"")</f>
        <v>Amari Cooper</v>
      </c>
      <c r="AF30" t="str">
        <f>IFERROR(INDEX(TableWRCalcPts[TM],MATCH(TableWRRanks32[[#This Row],[Player]],TableWRCalcPts[PLAYER],0)),"")</f>
        <v>CLE</v>
      </c>
      <c r="AG30">
        <f>IFERROR(INDEX(TableWRCalcPts[BYE],MATCH(TableWRRanks32[[#This Row],[Player]],TableWRCalcPts[PLAYER],0)),"")</f>
        <v>10</v>
      </c>
      <c r="AH30" s="83">
        <f>IFERROR((VLOOKUP(TableWRRanks32[[#This Row],[Player]],WR!B:O,4,FALSE)),"")</f>
        <v>0</v>
      </c>
      <c r="AI30" s="83">
        <f>IFERROR((VLOOKUP(TableWRRanks32[[#This Row],[Player]],WR!B:O,5,FALSE)),"")</f>
        <v>0</v>
      </c>
      <c r="AJ30" s="83">
        <f>IFERROR((VLOOKUP(TableWRRanks32[[#This Row],[Player]],WR!B:O,6,FALSE)),"")</f>
        <v>129.03659999999996</v>
      </c>
      <c r="AK30" s="83">
        <f>IFERROR((VLOOKUP(TableWRRanks32[[#This Row],[Player]],WR!B:O,7,FALSE)),"")</f>
        <v>77.42195999999997</v>
      </c>
      <c r="AL30" s="83">
        <f>IFERROR((VLOOKUP(TableWRRanks32[[#This Row],[Player]],WR!B:O,8,FALSE)),"")</f>
        <v>1072.2941459999995</v>
      </c>
      <c r="AM30" s="83">
        <f>IFERROR((VLOOKUP(TableWRRanks32[[#This Row],[Player]],WR!B:O,9,FALSE)),"")</f>
        <v>6.271178759999998</v>
      </c>
      <c r="AN30" s="57">
        <f>IFERROR((IFERROR(INDEX(TableWRCalcPts[Custom],MATCH(TableWRRanks32[[#This Row],[RK]],TableWRCalcPts[RK],0)),"")),"")</f>
        <v>183.56746715999992</v>
      </c>
      <c r="AO30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15.837201254197881</v>
      </c>
      <c r="AQ30">
        <v>29</v>
      </c>
      <c r="AR30" t="str">
        <f>IFERROR(INDEX(TableTECalcPts[PLAYER],MATCH(TableTERanks33[[#This Row],[RK]],TableTECalcPts[RK],0)),"")</f>
        <v>Noah Fant</v>
      </c>
      <c r="AS30" t="str">
        <f>IFERROR(INDEX(TableTECalcPts[TM],MATCH(TableTERanks33[[#This Row],[Player]],TableTECalcPts[PLAYER],0)),"")</f>
        <v>SEA</v>
      </c>
      <c r="AT30">
        <f>IFERROR(INDEX(TableTECalcPts[BYE],MATCH(TableTERanks33[[#This Row],[Player]],TableTECalcPts[PLAYER],0)),"")</f>
        <v>10</v>
      </c>
      <c r="AU30" s="83">
        <f>IFERROR((VLOOKUP(TableTERanks33[[#This Row],[Player]],TE!B:O,4,FALSE)),"")</f>
        <v>56.887277159999996</v>
      </c>
      <c r="AV30" s="83">
        <f>IFERROR((VLOOKUP(TableTERanks33[[#This Row],[Player]],TE!B:O,5,FALSE)),"")</f>
        <v>39.422883071879994</v>
      </c>
      <c r="AW30" s="83">
        <f>IFERROR((VLOOKUP(TableTERanks33[[#This Row],[Player]],TE!B:O,6,FALSE)),"")</f>
        <v>424.1451221671137</v>
      </c>
      <c r="AX30" s="83">
        <f>IFERROR((VLOOKUP(TableTERanks33[[#This Row],[Player]],TE!B:O,7,FALSE)),"")</f>
        <v>2.3773813994617345</v>
      </c>
      <c r="AY30" s="57">
        <f>IFERROR((IFERROR(INDEX(TableTECalcPts[Custom],MATCH(TableTERanks33[[#This Row],[RK]],TableTECalcPts[RK],0)),"")),"")</f>
        <v>76.39024214942178</v>
      </c>
      <c r="AZ30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31" spans="1:52" x14ac:dyDescent="0.2">
      <c r="A31">
        <v>30</v>
      </c>
      <c r="B31" t="str">
        <f>IFERROR(INDEX(TableQBCalcPts[PLAYER],MATCH(TableQBRanks30[[#This Row],[RK]],TableQBCalcPts[RK],0)),"")</f>
        <v>Russell Wilson</v>
      </c>
      <c r="C31" t="str">
        <f>IFERROR(INDEX(TableQBCalcPts[TM],MATCH(TableQBRanks30[[#This Row],[Player]],TableQBCalcPts[PLAYER],0)),"")</f>
        <v>PIT</v>
      </c>
      <c r="D31">
        <f>IFERROR(INDEX(TableQBCalcPts[BYE],MATCH(TableQBRanks30[[#This Row],[Player]],TableQBCalcPts[PLAYER],0)),"")</f>
        <v>9</v>
      </c>
      <c r="E31" s="83">
        <f>IFERROR((VLOOKUP(TableQBRanks30[[#This Row],[Player]],QB!B:O,4,FALSE)),"")</f>
        <v>421.3125</v>
      </c>
      <c r="F31" s="83">
        <f>IFERROR((VLOOKUP(TableQBRanks30[[#This Row],[Player]],QB!B:O,5,FALSE)),"")</f>
        <v>271.46074052052955</v>
      </c>
      <c r="G31" s="83">
        <f>IFERROR((VLOOKUP(TableQBRanks30[[#This Row],[Player]],QB!B:O,6,FALSE)),"")</f>
        <v>2933.1413931963207</v>
      </c>
      <c r="H31" s="83">
        <f>IFERROR((VLOOKUP(TableQBRanks30[[#This Row],[Player]],QB!B:O,7,FALSE)),"")</f>
        <v>18.038640733677362</v>
      </c>
      <c r="I31" s="83">
        <f>IFERROR((VLOOKUP(TableQBRanks30[[#This Row],[Player]],QB!B:O,8,FALSE)),"")</f>
        <v>4.9216194853696491</v>
      </c>
      <c r="J31" s="83">
        <f>IFERROR((VLOOKUP(TableQBRanks30[[#This Row],[Player]],QB!B:O,9,FALSE)),"")</f>
        <v>43.063650000000003</v>
      </c>
      <c r="K31" s="83">
        <f>IFERROR((VLOOKUP(TableQBRanks30[[#This Row],[Player]],QB!B:O,10,FALSE)),"")</f>
        <v>197.74346573314693</v>
      </c>
      <c r="L31" s="83">
        <f>IFERROR((VLOOKUP(TableQBRanks30[[#This Row],[Player]],QB!B:O,11,FALSE)),"")</f>
        <v>1.6176543938223806</v>
      </c>
      <c r="M31" s="57">
        <f>IFERROR(INDEX(TableQBCalcPts[Custom],MATCH(TableQBRanks30[[#This Row],[RK]],TableQBCalcPts[RK],0)),"")</f>
        <v>209.11725262807195</v>
      </c>
      <c r="N31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31">
        <v>30</v>
      </c>
      <c r="Q31" t="str">
        <f>IFERROR(INDEX(TableRBCalcPts[PLAYER],MATCH(TableRBRanks31[[#This Row],[RK]],TableRBCalcPts[RK],0)),"")</f>
        <v>Raheem Mostert</v>
      </c>
      <c r="R31" t="str">
        <f>IFERROR(INDEX(TableRBCalcPts[TM],MATCH(TableRBRanks31[[#This Row],[Player]],TableRBCalcPts[PLAYER],0)),"")</f>
        <v>MIA</v>
      </c>
      <c r="S31">
        <f>IFERROR(INDEX(TableRBCalcPts[BYE],MATCH(TableRBRanks31[[#This Row],[Player]],TableRBCalcPts[PLAYER],0)),"")</f>
        <v>6</v>
      </c>
      <c r="T31" s="83">
        <f>IFERROR((VLOOKUP(TableRBRanks31[[#This Row],[Player]],RB!B:O,4,FALSE)),"")</f>
        <v>175.18172672000003</v>
      </c>
      <c r="U31" s="83">
        <f>IFERROR((VLOOKUP(TableRBRanks31[[#This Row],[Player]],RB!B:O,5,FALSE)),"")</f>
        <v>827.88836383838679</v>
      </c>
      <c r="V31" s="83">
        <f>IFERROR((VLOOKUP(TableRBRanks31[[#This Row],[Player]],RB!B:O,6,FALSE)),"")</f>
        <v>9.8276948689920012</v>
      </c>
      <c r="W31" s="83">
        <f>IFERROR((VLOOKUP(TableRBRanks31[[#This Row],[Player]],RB!B:O,7,FALSE)),"")</f>
        <v>23.453203199999994</v>
      </c>
      <c r="X31" s="83">
        <f>IFERROR((VLOOKUP(TableRBRanks31[[#This Row],[Player]],RB!B:O,8,FALSE)),"")</f>
        <v>17.542995993599991</v>
      </c>
      <c r="Y31" s="83">
        <f>IFERROR((VLOOKUP(TableRBRanks31[[#This Row],[Player]],RB!B:O,9,FALSE)),"")</f>
        <v>123.10984222257677</v>
      </c>
      <c r="Z31" s="83">
        <f>IFERROR((VLOOKUP(TableRBRanks31[[#This Row],[Player]],RB!B:O,10,FALSE)),"")</f>
        <v>1.0666255945375045</v>
      </c>
      <c r="AA31" s="57">
        <f>IFERROR((IFERROR(INDEX(TableRBCalcPts[Custom],MATCH(TableRBRanks31[[#This Row],[RK]],TableRBCalcPts[RK],0)),"")),"")</f>
        <v>169.2372413840734</v>
      </c>
      <c r="AB31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17.589856165658606</v>
      </c>
      <c r="AD31">
        <v>30</v>
      </c>
      <c r="AE31" t="str">
        <f>IFERROR(INDEX(TableWRCalcPts[PLAYER],MATCH(TableWRRanks32[[#This Row],[RK]],TableWRCalcPts[RK],0)),"")</f>
        <v>Calvin Ridley</v>
      </c>
      <c r="AF31" t="str">
        <f>IFERROR(INDEX(TableWRCalcPts[TM],MATCH(TableWRRanks32[[#This Row],[Player]],TableWRCalcPts[PLAYER],0)),"")</f>
        <v>TEN</v>
      </c>
      <c r="AG31">
        <f>IFERROR(INDEX(TableWRCalcPts[BYE],MATCH(TableWRRanks32[[#This Row],[Player]],TableWRCalcPts[PLAYER],0)),"")</f>
        <v>5</v>
      </c>
      <c r="AH31" s="83">
        <f>IFERROR((VLOOKUP(TableWRRanks32[[#This Row],[Player]],WR!B:O,4,FALSE)),"")</f>
        <v>0</v>
      </c>
      <c r="AI31" s="83">
        <f>IFERROR((VLOOKUP(TableWRRanks32[[#This Row],[Player]],WR!B:O,5,FALSE)),"")</f>
        <v>0</v>
      </c>
      <c r="AJ31" s="83">
        <f>IFERROR((VLOOKUP(TableWRRanks32[[#This Row],[Player]],WR!B:O,6,FALSE)),"")</f>
        <v>130.73322107999999</v>
      </c>
      <c r="AK31" s="83">
        <f>IFERROR((VLOOKUP(TableWRRanks32[[#This Row],[Player]],WR!B:O,7,FALSE)),"")</f>
        <v>73.341337025880009</v>
      </c>
      <c r="AL31" s="83">
        <f>IFERROR((VLOOKUP(TableWRRanks32[[#This Row],[Player]],WR!B:O,8,FALSE)),"")</f>
        <v>1039.9801590269785</v>
      </c>
      <c r="AM31" s="83">
        <f>IFERROR((VLOOKUP(TableWRRanks32[[#This Row],[Player]],WR!B:O,9,FALSE)),"")</f>
        <v>7.0407683544844808</v>
      </c>
      <c r="AN31" s="57">
        <f>IFERROR((IFERROR(INDEX(TableWRCalcPts[Custom],MATCH(TableWRRanks32[[#This Row],[RK]],TableWRCalcPts[RK],0)),"")),"")</f>
        <v>182.91329454254475</v>
      </c>
      <c r="AO31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15.55217423420951</v>
      </c>
      <c r="AQ31">
        <v>30</v>
      </c>
      <c r="AR31" t="str">
        <f>IFERROR(INDEX(TableTECalcPts[PLAYER],MATCH(TableTERanks33[[#This Row],[RK]],TableTECalcPts[RK],0)),"")</f>
        <v>Theo Johnson</v>
      </c>
      <c r="AS31" t="str">
        <f>IFERROR(INDEX(TableTECalcPts[TM],MATCH(TableTERanks33[[#This Row],[Player]],TableTECalcPts[PLAYER],0)),"")</f>
        <v>NYG</v>
      </c>
      <c r="AT31">
        <f>IFERROR(INDEX(TableTECalcPts[BYE],MATCH(TableTERanks33[[#This Row],[Player]],TableTECalcPts[PLAYER],0)),"")</f>
        <v>11</v>
      </c>
      <c r="AU31" s="83">
        <f>IFERROR((VLOOKUP(TableTERanks33[[#This Row],[Player]],TE!B:O,4,FALSE)),"")</f>
        <v>60.02637983999999</v>
      </c>
      <c r="AV31" s="83">
        <f>IFERROR((VLOOKUP(TableTERanks33[[#This Row],[Player]],TE!B:O,5,FALSE)),"")</f>
        <v>40.937991050879994</v>
      </c>
      <c r="AW31" s="83">
        <f>IFERROR((VLOOKUP(TableTERanks33[[#This Row],[Player]],TE!B:O,6,FALSE)),"")</f>
        <v>391.01696787087036</v>
      </c>
      <c r="AX31" s="83">
        <f>IFERROR((VLOOKUP(TableTERanks33[[#This Row],[Player]],TE!B:O,7,FALSE)),"")</f>
        <v>2.4562794630527995</v>
      </c>
      <c r="AY31" s="57">
        <f>IFERROR((IFERROR(INDEX(TableTECalcPts[Custom],MATCH(TableTERanks33[[#This Row],[RK]],TableTECalcPts[RK],0)),"")),"")</f>
        <v>74.308369090843826</v>
      </c>
      <c r="AZ31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32" spans="1:52" x14ac:dyDescent="0.2">
      <c r="A32">
        <v>31</v>
      </c>
      <c r="B32" t="str">
        <f>IFERROR(INDEX(TableQBCalcPts[PLAYER],MATCH(TableQBRanks30[[#This Row],[RK]],TableQBCalcPts[RK],0)),"")</f>
        <v>Drake Maye</v>
      </c>
      <c r="C32" t="str">
        <f>IFERROR(INDEX(TableQBCalcPts[TM],MATCH(TableQBRanks30[[#This Row],[Player]],TableQBCalcPts[PLAYER],0)),"")</f>
        <v>NE</v>
      </c>
      <c r="D32">
        <f>IFERROR(INDEX(TableQBCalcPts[BYE],MATCH(TableQBRanks30[[#This Row],[Player]],TableQBCalcPts[PLAYER],0)),"")</f>
        <v>14</v>
      </c>
      <c r="E32" s="83">
        <f>IFERROR((VLOOKUP(TableQBRanks30[[#This Row],[Player]],QB!B:O,4,FALSE)),"")</f>
        <v>390.45510000000002</v>
      </c>
      <c r="F32" s="83">
        <f>IFERROR((VLOOKUP(TableQBRanks30[[#This Row],[Player]],QB!B:O,5,FALSE)),"")</f>
        <v>244.39298900204221</v>
      </c>
      <c r="G32" s="83">
        <f>IFERROR((VLOOKUP(TableQBRanks30[[#This Row],[Player]],QB!B:O,6,FALSE)),"")</f>
        <v>2671.2153697923213</v>
      </c>
      <c r="H32" s="83">
        <f>IFERROR((VLOOKUP(TableQBRanks30[[#This Row],[Player]],QB!B:O,7,FALSE)),"")</f>
        <v>14.49670943766038</v>
      </c>
      <c r="I32" s="83">
        <f>IFERROR((VLOOKUP(TableQBRanks30[[#This Row],[Player]],QB!B:O,8,FALSE)),"")</f>
        <v>5.0295265899631598</v>
      </c>
      <c r="J32" s="83">
        <f>IFERROR((VLOOKUP(TableQBRanks30[[#This Row],[Player]],QB!B:O,9,FALSE)),"")</f>
        <v>60.854785600000014</v>
      </c>
      <c r="K32" s="83">
        <f>IFERROR((VLOOKUP(TableQBRanks30[[#This Row],[Player]],QB!B:O,10,FALSE)),"")</f>
        <v>283.10063132322045</v>
      </c>
      <c r="L32" s="83">
        <f>IFERROR((VLOOKUP(TableQBRanks30[[#This Row],[Player]],QB!B:O,11,FALSE)),"")</f>
        <v>2.3124818528000004</v>
      </c>
      <c r="M32" s="57">
        <f>IFERROR(INDEX(TableQBCalcPts[Custom],MATCH(TableQBRanks30[[#This Row],[RK]],TableQBCalcPts[RK],0)),"")</f>
        <v>196.96135361153011</v>
      </c>
      <c r="N32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32">
        <v>31</v>
      </c>
      <c r="Q32" t="str">
        <f>IFERROR(INDEX(TableRBCalcPts[PLAYER],MATCH(TableRBRanks31[[#This Row],[RK]],TableRBCalcPts[RK],0)),"")</f>
        <v>Jerome Ford</v>
      </c>
      <c r="R32" t="str">
        <f>IFERROR(INDEX(TableRBCalcPts[TM],MATCH(TableRBRanks31[[#This Row],[Player]],TableRBCalcPts[PLAYER],0)),"")</f>
        <v>CLE</v>
      </c>
      <c r="S32">
        <f>IFERROR(INDEX(TableRBCalcPts[BYE],MATCH(TableRBRanks31[[#This Row],[Player]],TableRBCalcPts[PLAYER],0)),"")</f>
        <v>10</v>
      </c>
      <c r="T32" s="83">
        <f>IFERROR((VLOOKUP(TableRBRanks31[[#This Row],[Player]],RB!B:O,4,FALSE)),"")</f>
        <v>211.60466250000002</v>
      </c>
      <c r="U32" s="83">
        <f>IFERROR((VLOOKUP(TableRBRanks31[[#This Row],[Player]],RB!B:O,5,FALSE)),"")</f>
        <v>931.06051500000012</v>
      </c>
      <c r="V32" s="83">
        <f>IFERROR((VLOOKUP(TableRBRanks31[[#This Row],[Player]],RB!B:O,6,FALSE)),"")</f>
        <v>7.7024097150000008</v>
      </c>
      <c r="W32" s="83">
        <f>IFERROR((VLOOKUP(TableRBRanks31[[#This Row],[Player]],RB!B:O,7,FALSE)),"")</f>
        <v>26.882624999999994</v>
      </c>
      <c r="X32" s="83">
        <f>IFERROR((VLOOKUP(TableRBRanks31[[#This Row],[Player]],RB!B:O,8,FALSE)),"")</f>
        <v>19.489903124999998</v>
      </c>
      <c r="Y32" s="83">
        <f>IFERROR((VLOOKUP(TableRBRanks31[[#This Row],[Player]],RB!B:O,9,FALSE)),"")</f>
        <v>143.64058603125</v>
      </c>
      <c r="Z32" s="83">
        <f>IFERROR((VLOOKUP(TableRBRanks31[[#This Row],[Player]],RB!B:O,10,FALSE)),"")</f>
        <v>0.8770456406249999</v>
      </c>
      <c r="AA32" s="57">
        <f>IFERROR((IFERROR(INDEX(TableRBCalcPts[Custom],MATCH(TableRBRanks31[[#This Row],[RK]],TableRBCalcPts[RK],0)),"")),"")</f>
        <v>168.69179379937501</v>
      </c>
      <c r="AB32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17.395340847562203</v>
      </c>
      <c r="AD32">
        <v>31</v>
      </c>
      <c r="AE32" t="str">
        <f>IFERROR(INDEX(TableWRCalcPts[PLAYER],MATCH(TableWRRanks32[[#This Row],[RK]],TableWRCalcPts[RK],0)),"")</f>
        <v>Tank Dell</v>
      </c>
      <c r="AF32" t="str">
        <f>IFERROR(INDEX(TableWRCalcPts[TM],MATCH(TableWRRanks32[[#This Row],[Player]],TableWRCalcPts[PLAYER],0)),"")</f>
        <v>HOU</v>
      </c>
      <c r="AG32">
        <f>IFERROR(INDEX(TableWRCalcPts[BYE],MATCH(TableWRRanks32[[#This Row],[Player]],TableWRCalcPts[PLAYER],0)),"")</f>
        <v>14</v>
      </c>
      <c r="AH32" s="83">
        <f>IFERROR((VLOOKUP(TableWRRanks32[[#This Row],[Player]],WR!B:O,4,FALSE)),"")</f>
        <v>106.20909936000001</v>
      </c>
      <c r="AI32" s="83">
        <f>IFERROR((VLOOKUP(TableWRRanks32[[#This Row],[Player]],WR!B:O,5,FALSE)),"")</f>
        <v>9.8735493019248236E-2</v>
      </c>
      <c r="AJ32" s="83">
        <f>IFERROR((VLOOKUP(TableWRRanks32[[#This Row],[Player]],WR!B:O,6,FALSE)),"")</f>
        <v>109.33162239999997</v>
      </c>
      <c r="AK32" s="83">
        <f>IFERROR((VLOOKUP(TableWRRanks32[[#This Row],[Player]],WR!B:O,7,FALSE)),"")</f>
        <v>67.238947775999989</v>
      </c>
      <c r="AL32" s="83">
        <f>IFERROR((VLOOKUP(TableWRRanks32[[#This Row],[Player]],WR!B:O,8,FALSE)),"")</f>
        <v>970.93040588543977</v>
      </c>
      <c r="AM32" s="83">
        <f>IFERROR((VLOOKUP(TableWRRanks32[[#This Row],[Player]],WR!B:O,9,FALSE)),"")</f>
        <v>6.6566558298239995</v>
      </c>
      <c r="AN32" s="57">
        <f>IFERROR((IFERROR(INDEX(TableWRCalcPts[Custom],MATCH(TableWRRanks32[[#This Row],[RK]],TableWRCalcPts[RK],0)),"")),"")</f>
        <v>181.86577234960347</v>
      </c>
      <c r="AO32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15.095762392657312</v>
      </c>
      <c r="AQ32">
        <v>31</v>
      </c>
      <c r="AR32" t="str">
        <f>IFERROR(INDEX(TableTECalcPts[PLAYER],MATCH(TableTERanks33[[#This Row],[RK]],TableTECalcPts[RK],0)),"")</f>
        <v>Greg Dulcich</v>
      </c>
      <c r="AS32" t="str">
        <f>IFERROR(INDEX(TableTECalcPts[TM],MATCH(TableTERanks33[[#This Row],[Player]],TableTECalcPts[PLAYER],0)),"")</f>
        <v>DEN</v>
      </c>
      <c r="AT32">
        <f>IFERROR(INDEX(TableTECalcPts[BYE],MATCH(TableTERanks33[[#This Row],[Player]],TableTECalcPts[PLAYER],0)),"")</f>
        <v>14</v>
      </c>
      <c r="AU32" s="83">
        <f>IFERROR((VLOOKUP(TableTERanks33[[#This Row],[Player]],TE!B:O,4,FALSE)),"")</f>
        <v>60.242003517587932</v>
      </c>
      <c r="AV32" s="83">
        <f>IFERROR((VLOOKUP(TableTERanks33[[#This Row],[Player]],TE!B:O,5,FALSE)),"")</f>
        <v>37.229558173869336</v>
      </c>
      <c r="AW32" s="83">
        <f>IFERROR((VLOOKUP(TableTERanks33[[#This Row],[Player]],TE!B:O,6,FALSE)),"")</f>
        <v>401.33463711431142</v>
      </c>
      <c r="AX32" s="83">
        <f>IFERROR((VLOOKUP(TableTERanks33[[#This Row],[Player]],TE!B:O,7,FALSE)),"")</f>
        <v>2.3082326067798986</v>
      </c>
      <c r="AY32" s="57">
        <f>IFERROR((IFERROR(INDEX(TableTECalcPts[Custom],MATCH(TableTERanks33[[#This Row],[RK]],TableTECalcPts[RK],0)),"")),"")</f>
        <v>72.597638439045213</v>
      </c>
      <c r="AZ32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33" spans="1:52" x14ac:dyDescent="0.2">
      <c r="A33">
        <v>32</v>
      </c>
      <c r="B33" t="str">
        <f>IFERROR(INDEX(TableQBCalcPts[PLAYER],MATCH(TableQBRanks30[[#This Row],[RK]],TableQBCalcPts[RK],0)),"")</f>
        <v>Gardner Minshew</v>
      </c>
      <c r="C33" t="str">
        <f>IFERROR(INDEX(TableQBCalcPts[TM],MATCH(TableQBRanks30[[#This Row],[Player]],TableQBCalcPts[PLAYER],0)),"")</f>
        <v>LV</v>
      </c>
      <c r="D33">
        <f>IFERROR(INDEX(TableQBCalcPts[BYE],MATCH(TableQBRanks30[[#This Row],[Player]],TableQBCalcPts[PLAYER],0)),"")</f>
        <v>10</v>
      </c>
      <c r="E33" s="83">
        <f>IFERROR((VLOOKUP(TableQBRanks30[[#This Row],[Player]],QB!B:O,4,FALSE)),"")</f>
        <v>356.7</v>
      </c>
      <c r="F33" s="83">
        <f>IFERROR((VLOOKUP(TableQBRanks30[[#This Row],[Player]],QB!B:O,5,FALSE)),"")</f>
        <v>225.75824425507463</v>
      </c>
      <c r="G33" s="83">
        <f>IFERROR((VLOOKUP(TableQBRanks30[[#This Row],[Player]],QB!B:O,6,FALSE)),"")</f>
        <v>2490.1134341334732</v>
      </c>
      <c r="H33" s="83">
        <f>IFERROR((VLOOKUP(TableQBRanks30[[#This Row],[Player]],QB!B:O,7,FALSE)),"")</f>
        <v>14.151877824588276</v>
      </c>
      <c r="I33" s="83">
        <f>IFERROR((VLOOKUP(TableQBRanks30[[#This Row],[Player]],QB!B:O,8,FALSE)),"")</f>
        <v>4.5128046263222679</v>
      </c>
      <c r="J33" s="83">
        <f>IFERROR((VLOOKUP(TableQBRanks30[[#This Row],[Player]],QB!B:O,9,FALSE)),"")</f>
        <v>16.875600000000002</v>
      </c>
      <c r="K33" s="83">
        <f>IFERROR((VLOOKUP(TableQBRanks30[[#This Row],[Player]],QB!B:O,10,FALSE)),"")</f>
        <v>54.293457007236555</v>
      </c>
      <c r="L33" s="83">
        <f>IFERROR((VLOOKUP(TableQBRanks30[[#This Row],[Player]],QB!B:O,11,FALSE)),"")</f>
        <v>0.7363239903512705</v>
      </c>
      <c r="M33" s="57">
        <f>IFERROR(INDEX(TableQBCalcPts[Custom],MATCH(TableQBRanks30[[#This Row],[RK]],TableQBCalcPts[RK],0)),"")</f>
        <v>157.03372905387877</v>
      </c>
      <c r="N33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33">
        <v>32</v>
      </c>
      <c r="Q33" t="str">
        <f>IFERROR(INDEX(TableRBCalcPts[PLAYER],MATCH(TableRBRanks31[[#This Row],[RK]],TableRBCalcPts[RK],0)),"")</f>
        <v>Gus Edwards</v>
      </c>
      <c r="R33" t="str">
        <f>IFERROR(INDEX(TableRBCalcPts[TM],MATCH(TableRBRanks31[[#This Row],[Player]],TableRBCalcPts[PLAYER],0)),"")</f>
        <v>LAC</v>
      </c>
      <c r="S33">
        <f>IFERROR(INDEX(TableRBCalcPts[BYE],MATCH(TableRBRanks31[[#This Row],[Player]],TableRBCalcPts[PLAYER],0)),"")</f>
        <v>5</v>
      </c>
      <c r="T33" s="83">
        <f>IFERROR((VLOOKUP(TableRBRanks31[[#This Row],[Player]],RB!B:O,4,FALSE)),"")</f>
        <v>212.78681787999997</v>
      </c>
      <c r="U33" s="83">
        <f>IFERROR((VLOOKUP(TableRBRanks31[[#This Row],[Player]],RB!B:O,5,FALSE)),"")</f>
        <v>900.12899906563632</v>
      </c>
      <c r="V33" s="83">
        <f>IFERROR((VLOOKUP(TableRBRanks31[[#This Row],[Player]],RB!B:O,6,FALSE)),"")</f>
        <v>8.4263579880480002</v>
      </c>
      <c r="W33" s="83">
        <f>IFERROR((VLOOKUP(TableRBRanks31[[#This Row],[Player]],RB!B:O,7,FALSE)),"")</f>
        <v>16.750855800000004</v>
      </c>
      <c r="X33" s="83">
        <f>IFERROR((VLOOKUP(TableRBRanks31[[#This Row],[Player]],RB!B:O,8,FALSE)),"")</f>
        <v>13.216425226200004</v>
      </c>
      <c r="Y33" s="83">
        <f>IFERROR((VLOOKUP(TableRBRanks31[[#This Row],[Player]],RB!B:O,9,FALSE)),"")</f>
        <v>94.893933124116018</v>
      </c>
      <c r="Z33" s="83">
        <f>IFERROR((VLOOKUP(TableRBRanks31[[#This Row],[Player]],RB!B:O,10,FALSE)),"")</f>
        <v>0.41680217789813334</v>
      </c>
      <c r="AA33" s="57">
        <f>IFERROR((IFERROR(INDEX(TableRBCalcPts[Custom],MATCH(TableRBRanks31[[#This Row],[RK]],TableRBCalcPts[RK],0)),"")),"")</f>
        <v>159.16946682775205</v>
      </c>
      <c r="AB33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13.999527002447419</v>
      </c>
      <c r="AD33">
        <v>32</v>
      </c>
      <c r="AE33" t="str">
        <f>IFERROR(INDEX(TableWRCalcPts[PLAYER],MATCH(TableWRRanks32[[#This Row],[RK]],TableWRCalcPts[RK],0)),"")</f>
        <v>Brian Thomas</v>
      </c>
      <c r="AF33" t="str">
        <f>IFERROR(INDEX(TableWRCalcPts[TM],MATCH(TableWRRanks32[[#This Row],[Player]],TableWRCalcPts[PLAYER],0)),"")</f>
        <v>JAX</v>
      </c>
      <c r="AG33">
        <f>IFERROR(INDEX(TableWRCalcPts[BYE],MATCH(TableWRRanks32[[#This Row],[Player]],TableWRCalcPts[PLAYER],0)),"")</f>
        <v>12</v>
      </c>
      <c r="AH33" s="83">
        <f>IFERROR((VLOOKUP(TableWRRanks32[[#This Row],[Player]],WR!B:O,4,FALSE)),"")</f>
        <v>0</v>
      </c>
      <c r="AI33" s="83">
        <f>IFERROR((VLOOKUP(TableWRRanks32[[#This Row],[Player]],WR!B:O,5,FALSE)),"")</f>
        <v>0</v>
      </c>
      <c r="AJ33" s="83">
        <f>IFERROR((VLOOKUP(TableWRRanks32[[#This Row],[Player]],WR!B:O,6,FALSE)),"")</f>
        <v>125.25601087999999</v>
      </c>
      <c r="AK33" s="83">
        <f>IFERROR((VLOOKUP(TableWRRanks32[[#This Row],[Player]],WR!B:O,7,FALSE)),"")</f>
        <v>78.285006799999991</v>
      </c>
      <c r="AL33" s="83">
        <f>IFERROR((VLOOKUP(TableWRRanks32[[#This Row],[Player]],WR!B:O,8,FALSE)),"")</f>
        <v>1025.53358908</v>
      </c>
      <c r="AM33" s="83">
        <f>IFERROR((VLOOKUP(TableWRRanks32[[#This Row],[Player]],WR!B:O,9,FALSE)),"")</f>
        <v>6.5759405711999994</v>
      </c>
      <c r="AN33" s="57">
        <f>IFERROR((IFERROR(INDEX(TableWRCalcPts[Custom],MATCH(TableWRRanks32[[#This Row],[RK]],TableWRCalcPts[RK],0)),"")),"")</f>
        <v>181.1515057352</v>
      </c>
      <c r="AO33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14.784552049777814</v>
      </c>
      <c r="AQ33">
        <v>32</v>
      </c>
      <c r="AR33" t="str">
        <f>IFERROR(INDEX(TableTECalcPts[PLAYER],MATCH(TableTERanks33[[#This Row],[RK]],TableTECalcPts[RK],0)),"")</f>
        <v>Tucker Kraft</v>
      </c>
      <c r="AS33" t="str">
        <f>IFERROR(INDEX(TableTECalcPts[TM],MATCH(TableTERanks33[[#This Row],[Player]],TableTECalcPts[PLAYER],0)),"")</f>
        <v>GB</v>
      </c>
      <c r="AT33">
        <f>IFERROR(INDEX(TableTECalcPts[BYE],MATCH(TableTERanks33[[#This Row],[Player]],TableTECalcPts[PLAYER],0)),"")</f>
        <v>10</v>
      </c>
      <c r="AU33" s="83">
        <f>IFERROR((VLOOKUP(TableTERanks33[[#This Row],[Player]],TE!B:O,4,FALSE)),"")</f>
        <v>44.475849599999997</v>
      </c>
      <c r="AV33" s="83">
        <f>IFERROR((VLOOKUP(TableTERanks33[[#This Row],[Player]],TE!B:O,5,FALSE)),"")</f>
        <v>32.511846057600003</v>
      </c>
      <c r="AW33" s="83">
        <f>IFERROR((VLOOKUP(TableTERanks33[[#This Row],[Player]],TE!B:O,6,FALSE)),"")</f>
        <v>336.3689061118107</v>
      </c>
      <c r="AX33" s="83">
        <f>IFERROR((VLOOKUP(TableTERanks33[[#This Row],[Player]],TE!B:O,7,FALSE)),"")</f>
        <v>2.5390911281621866</v>
      </c>
      <c r="AY33" s="57">
        <f>IFERROR((IFERROR(INDEX(TableTECalcPts[Custom],MATCH(TableTERanks33[[#This Row],[RK]],TableTECalcPts[RK],0)),"")),"")</f>
        <v>65.127360408954189</v>
      </c>
      <c r="AZ33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34" spans="1:52" x14ac:dyDescent="0.2">
      <c r="A34">
        <v>33</v>
      </c>
      <c r="B34" t="str">
        <f>IFERROR(INDEX(TableQBCalcPts[PLAYER],MATCH(TableQBRanks30[[#This Row],[RK]],TableQBCalcPts[RK],0)),"")</f>
        <v>Aidan O'Connell</v>
      </c>
      <c r="C34" t="str">
        <f>IFERROR(INDEX(TableQBCalcPts[TM],MATCH(TableQBRanks30[[#This Row],[Player]],TableQBCalcPts[PLAYER],0)),"")</f>
        <v>LV</v>
      </c>
      <c r="D34">
        <f>IFERROR(INDEX(TableQBCalcPts[BYE],MATCH(TableQBRanks30[[#This Row],[Player]],TableQBCalcPts[PLAYER],0)),"")</f>
        <v>10</v>
      </c>
      <c r="E34" s="83">
        <f>IFERROR((VLOOKUP(TableQBRanks30[[#This Row],[Player]],QB!B:O,4,FALSE)),"")</f>
        <v>237.8</v>
      </c>
      <c r="F34" s="83">
        <f>IFERROR((VLOOKUP(TableQBRanks30[[#This Row],[Player]],QB!B:O,5,FALSE)),"")</f>
        <v>149.6689612148231</v>
      </c>
      <c r="G34" s="83">
        <f>IFERROR((VLOOKUP(TableQBRanks30[[#This Row],[Player]],QB!B:O,6,FALSE)),"")</f>
        <v>1619.418160344386</v>
      </c>
      <c r="H34" s="83">
        <f>IFERROR((VLOOKUP(TableQBRanks30[[#This Row],[Player]],QB!B:O,7,FALSE)),"")</f>
        <v>9.0364000000000004</v>
      </c>
      <c r="I34" s="83">
        <f>IFERROR((VLOOKUP(TableQBRanks30[[#This Row],[Player]],QB!B:O,8,FALSE)),"")</f>
        <v>3.3550777682249509</v>
      </c>
      <c r="J34" s="83">
        <f>IFERROR((VLOOKUP(TableQBRanks30[[#This Row],[Player]],QB!B:O,9,FALSE)),"")</f>
        <v>4.2189000000000005</v>
      </c>
      <c r="K34" s="83">
        <f>IFERROR((VLOOKUP(TableQBRanks30[[#This Row],[Player]],QB!B:O,10,FALSE)),"")</f>
        <v>11.564294717776551</v>
      </c>
      <c r="L34" s="83">
        <f>IFERROR((VLOOKUP(TableQBRanks30[[#This Row],[Player]],QB!B:O,11,FALSE)),"")</f>
        <v>0.12144320779311012</v>
      </c>
      <c r="M34" s="57">
        <f>IFERROR(INDEX(TableQBCalcPts[Custom],MATCH(TableQBRanks30[[#This Row],[RK]],TableQBCalcPts[RK],0)),"")</f>
        <v>96.097259595861857</v>
      </c>
      <c r="N34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34">
        <v>33</v>
      </c>
      <c r="Q34" t="str">
        <f>IFERROR(INDEX(TableRBCalcPts[PLAYER],MATCH(TableRBRanks31[[#This Row],[RK]],TableRBCalcPts[RK],0)),"")</f>
        <v>Najee Harris</v>
      </c>
      <c r="R34" t="str">
        <f>IFERROR(INDEX(TableRBCalcPts[TM],MATCH(TableRBRanks31[[#This Row],[Player]],TableRBCalcPts[PLAYER],0)),"")</f>
        <v>PIT</v>
      </c>
      <c r="S34">
        <f>IFERROR(INDEX(TableRBCalcPts[BYE],MATCH(TableRBRanks31[[#This Row],[Player]],TableRBCalcPts[PLAYER],0)),"")</f>
        <v>9</v>
      </c>
      <c r="T34" s="83">
        <f>IFERROR((VLOOKUP(TableRBRanks31[[#This Row],[Player]],RB!B:O,4,FALSE)),"")</f>
        <v>210.5334</v>
      </c>
      <c r="U34" s="83">
        <f>IFERROR((VLOOKUP(TableRBRanks31[[#This Row],[Player]],RB!B:O,5,FALSE)),"")</f>
        <v>871.60827599999993</v>
      </c>
      <c r="V34" s="83">
        <f>IFERROR((VLOOKUP(TableRBRanks31[[#This Row],[Player]],RB!B:O,6,FALSE)),"")</f>
        <v>6.5265354000000002</v>
      </c>
      <c r="W34" s="83">
        <f>IFERROR((VLOOKUP(TableRBRanks31[[#This Row],[Player]],RB!B:O,7,FALSE)),"")</f>
        <v>31.379355</v>
      </c>
      <c r="X34" s="83">
        <f>IFERROR((VLOOKUP(TableRBRanks31[[#This Row],[Player]],RB!B:O,8,FALSE)),"")</f>
        <v>22.812791085000001</v>
      </c>
      <c r="Y34" s="83">
        <f>IFERROR((VLOOKUP(TableRBRanks31[[#This Row],[Player]],RB!B:O,9,FALSE)),"")</f>
        <v>146.68624667654998</v>
      </c>
      <c r="Z34" s="83">
        <f>IFERROR((VLOOKUP(TableRBRanks31[[#This Row],[Player]],RB!B:O,10,FALSE)),"")</f>
        <v>0.93532443448500002</v>
      </c>
      <c r="AA34" s="57">
        <f>IFERROR((IFERROR(INDEX(TableRBCalcPts[Custom],MATCH(TableRBRanks31[[#This Row],[RK]],TableRBCalcPts[RK],0)),"")),"")</f>
        <v>158.00700681706502</v>
      </c>
      <c r="AB34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13.58497520114433</v>
      </c>
      <c r="AD34">
        <v>33</v>
      </c>
      <c r="AE34" t="str">
        <f>IFERROR(INDEX(TableWRCalcPts[PLAYER],MATCH(TableWRRanks32[[#This Row],[RK]],TableWRCalcPts[RK],0)),"")</f>
        <v>Khalil Shakir</v>
      </c>
      <c r="AF34" t="str">
        <f>IFERROR(INDEX(TableWRCalcPts[TM],MATCH(TableWRRanks32[[#This Row],[Player]],TableWRCalcPts[PLAYER],0)),"")</f>
        <v>BUF</v>
      </c>
      <c r="AG34">
        <f>IFERROR(INDEX(TableWRCalcPts[BYE],MATCH(TableWRRanks32[[#This Row],[Player]],TableWRCalcPts[PLAYER],0)),"")</f>
        <v>12</v>
      </c>
      <c r="AH34" s="83">
        <f>IFERROR((VLOOKUP(TableWRRanks32[[#This Row],[Player]],WR!B:O,4,FALSE)),"")</f>
        <v>0</v>
      </c>
      <c r="AI34" s="83">
        <f>IFERROR((VLOOKUP(TableWRRanks32[[#This Row],[Player]],WR!B:O,5,FALSE)),"")</f>
        <v>0</v>
      </c>
      <c r="AJ34" s="83">
        <f>IFERROR((VLOOKUP(TableWRRanks32[[#This Row],[Player]],WR!B:O,6,FALSE)),"")</f>
        <v>120.86871551999999</v>
      </c>
      <c r="AK34" s="83">
        <f>IFERROR((VLOOKUP(TableWRRanks32[[#This Row],[Player]],WR!B:O,7,FALSE)),"")</f>
        <v>79.410746096639983</v>
      </c>
      <c r="AL34" s="83">
        <f>IFERROR((VLOOKUP(TableWRRanks32[[#This Row],[Player]],WR!B:O,8,FALSE)),"")</f>
        <v>1028.3691619514877</v>
      </c>
      <c r="AM34" s="83">
        <f>IFERROR((VLOOKUP(TableWRRanks32[[#This Row],[Player]],WR!B:O,9,FALSE)),"")</f>
        <v>5.7969844650547184</v>
      </c>
      <c r="AN34" s="57">
        <f>IFERROR((IFERROR(INDEX(TableWRCalcPts[Custom],MATCH(TableWRRanks32[[#This Row],[RK]],TableWRCalcPts[RK],0)),"")),"")</f>
        <v>177.32419603379708</v>
      </c>
      <c r="AO34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13.116969748630497</v>
      </c>
      <c r="AQ34">
        <v>33</v>
      </c>
      <c r="AR34" t="str">
        <f>IFERROR(INDEX(TableTECalcPts[PLAYER],MATCH(TableTERanks33[[#This Row],[RK]],TableTECalcPts[RK],0)),"")</f>
        <v>Michael Mayer</v>
      </c>
      <c r="AS34" t="str">
        <f>IFERROR(INDEX(TableTECalcPts[TM],MATCH(TableTERanks33[[#This Row],[Player]],TableTECalcPts[PLAYER],0)),"")</f>
        <v>LV</v>
      </c>
      <c r="AT34">
        <f>IFERROR(INDEX(TableTECalcPts[BYE],MATCH(TableTERanks33[[#This Row],[Player]],TableTECalcPts[PLAYER],0)),"")</f>
        <v>10</v>
      </c>
      <c r="AU34" s="83">
        <f>IFERROR((VLOOKUP(TableTERanks33[[#This Row],[Player]],TE!B:O,4,FALSE)),"")</f>
        <v>48.356630000000003</v>
      </c>
      <c r="AV34" s="83">
        <f>IFERROR((VLOOKUP(TableTERanks33[[#This Row],[Player]],TE!B:O,5,FALSE)),"")</f>
        <v>32.398942099999999</v>
      </c>
      <c r="AW34" s="83">
        <f>IFERROR((VLOOKUP(TableTERanks33[[#This Row],[Player]],TE!B:O,6,FALSE)),"")</f>
        <v>351.20453236399999</v>
      </c>
      <c r="AX34" s="83">
        <f>IFERROR((VLOOKUP(TableTERanks33[[#This Row],[Player]],TE!B:O,7,FALSE)),"")</f>
        <v>2.0368929904691835</v>
      </c>
      <c r="AY34" s="57">
        <f>IFERROR((IFERROR(INDEX(TableTECalcPts[Custom],MATCH(TableTERanks33[[#This Row],[RK]],TableTECalcPts[RK],0)),"")),"")</f>
        <v>63.541282229215099</v>
      </c>
      <c r="AZ34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35" spans="1:52" x14ac:dyDescent="0.2">
      <c r="A35">
        <v>34</v>
      </c>
      <c r="B35" t="str">
        <f>IFERROR(INDEX(TableQBCalcPts[PLAYER],MATCH(TableQBRanks30[[#This Row],[RK]],TableQBCalcPts[RK],0)),"")</f>
        <v>Justin Fields</v>
      </c>
      <c r="C35" t="str">
        <f>IFERROR(INDEX(TableQBCalcPts[TM],MATCH(TableQBRanks30[[#This Row],[Player]],TableQBCalcPts[PLAYER],0)),"")</f>
        <v>PIT</v>
      </c>
      <c r="D35">
        <f>IFERROR(INDEX(TableQBCalcPts[BYE],MATCH(TableQBRanks30[[#This Row],[Player]],TableQBCalcPts[PLAYER],0)),"")</f>
        <v>9</v>
      </c>
      <c r="E35" s="83">
        <f>IFERROR((VLOOKUP(TableQBRanks30[[#This Row],[Player]],QB!B:O,4,FALSE)),"")</f>
        <v>140.4375</v>
      </c>
      <c r="F35" s="83">
        <f>IFERROR((VLOOKUP(TableQBRanks30[[#This Row],[Player]],QB!B:O,5,FALSE)),"")</f>
        <v>86.930812500000002</v>
      </c>
      <c r="G35" s="83">
        <f>IFERROR((VLOOKUP(TableQBRanks30[[#This Row],[Player]],QB!B:O,6,FALSE)),"")</f>
        <v>982.31818125000007</v>
      </c>
      <c r="H35" s="83">
        <f>IFERROR((VLOOKUP(TableQBRanks30[[#This Row],[Player]],QB!B:O,7,FALSE)),"")</f>
        <v>5.7579375000000006</v>
      </c>
      <c r="I35" s="83">
        <f>IFERROR((VLOOKUP(TableQBRanks30[[#This Row],[Player]],QB!B:O,8,FALSE)),"")</f>
        <v>2.3471319374999999</v>
      </c>
      <c r="J35" s="83">
        <f>IFERROR((VLOOKUP(TableQBRanks30[[#This Row],[Player]],QB!B:O,9,FALSE)),"")</f>
        <v>34.450920000000004</v>
      </c>
      <c r="K35" s="83">
        <f>IFERROR((VLOOKUP(TableQBRanks30[[#This Row],[Player]],QB!B:O,10,FALSE)),"")</f>
        <v>188.57125338129816</v>
      </c>
      <c r="L35" s="83">
        <f>IFERROR((VLOOKUP(TableQBRanks30[[#This Row],[Player]],QB!B:O,11,FALSE)),"")</f>
        <v>1.4124877200000001</v>
      </c>
      <c r="M35" s="57">
        <f>IFERROR(INDEX(TableQBCalcPts[Custom],MATCH(TableQBRanks30[[#This Row],[RK]],TableQBCalcPts[RK],0)),"")</f>
        <v>84.962265033129825</v>
      </c>
      <c r="N35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35">
        <v>34</v>
      </c>
      <c r="Q35" t="str">
        <f>IFERROR(INDEX(TableRBCalcPts[PLAYER],MATCH(TableRBRanks31[[#This Row],[RK]],TableRBCalcPts[RK],0)),"")</f>
        <v>Austin Ekeler</v>
      </c>
      <c r="R35" t="str">
        <f>IFERROR(INDEX(TableRBCalcPts[TM],MATCH(TableRBRanks31[[#This Row],[Player]],TableRBCalcPts[PLAYER],0)),"")</f>
        <v>WSH</v>
      </c>
      <c r="S35">
        <f>IFERROR(INDEX(TableRBCalcPts[BYE],MATCH(TableRBRanks31[[#This Row],[Player]],TableRBCalcPts[PLAYER],0)),"")</f>
        <v>14</v>
      </c>
      <c r="T35" s="83">
        <f>IFERROR((VLOOKUP(TableRBRanks31[[#This Row],[Player]],RB!B:O,4,FALSE)),"")</f>
        <v>107.484244</v>
      </c>
      <c r="U35" s="83">
        <f>IFERROR((VLOOKUP(TableRBRanks31[[#This Row],[Player]],RB!B:O,5,FALSE)),"")</f>
        <v>454.65835212000007</v>
      </c>
      <c r="V35" s="83">
        <f>IFERROR((VLOOKUP(TableRBRanks31[[#This Row],[Player]],RB!B:O,6,FALSE)),"")</f>
        <v>3.5469800520000003</v>
      </c>
      <c r="W35" s="83">
        <f>IFERROR((VLOOKUP(TableRBRanks31[[#This Row],[Player]],RB!B:O,7,FALSE)),"")</f>
        <v>67.989264000000006</v>
      </c>
      <c r="X35" s="83">
        <f>IFERROR((VLOOKUP(TableRBRanks31[[#This Row],[Player]],RB!B:O,8,FALSE)),"")</f>
        <v>51.263905055999999</v>
      </c>
      <c r="Y35" s="83">
        <f>IFERROR((VLOOKUP(TableRBRanks31[[#This Row],[Player]],RB!B:O,9,FALSE)),"")</f>
        <v>431.64208057152001</v>
      </c>
      <c r="Z35" s="83">
        <f>IFERROR((VLOOKUP(TableRBRanks31[[#This Row],[Player]],RB!B:O,10,FALSE)),"")</f>
        <v>2.5631952527999999</v>
      </c>
      <c r="AA35" s="57">
        <f>IFERROR((IFERROR(INDEX(TableRBCalcPts[Custom],MATCH(TableRBRanks31[[#This Row],[RK]],TableRBCalcPts[RK],0)),"")),"")</f>
        <v>150.92304762595202</v>
      </c>
      <c r="AB35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11.058722241012083</v>
      </c>
      <c r="AD35">
        <v>34</v>
      </c>
      <c r="AE35" t="str">
        <f>IFERROR(INDEX(TableWRCalcPts[PLAYER],MATCH(TableWRRanks32[[#This Row],[RK]],TableWRCalcPts[RK],0)),"")</f>
        <v>Zay Flowers</v>
      </c>
      <c r="AF35" t="str">
        <f>IFERROR(INDEX(TableWRCalcPts[TM],MATCH(TableWRRanks32[[#This Row],[Player]],TableWRCalcPts[PLAYER],0)),"")</f>
        <v>BAL</v>
      </c>
      <c r="AG35">
        <f>IFERROR(INDEX(TableWRCalcPts[BYE],MATCH(TableWRRanks32[[#This Row],[Player]],TableWRCalcPts[PLAYER],0)),"")</f>
        <v>14</v>
      </c>
      <c r="AH35" s="83">
        <f>IFERROR((VLOOKUP(TableWRRanks32[[#This Row],[Player]],WR!B:O,4,FALSE)),"")</f>
        <v>41.826687335999992</v>
      </c>
      <c r="AI35" s="83">
        <f>IFERROR((VLOOKUP(TableWRRanks32[[#This Row],[Player]],WR!B:O,5,FALSE)),"")</f>
        <v>0.39384828</v>
      </c>
      <c r="AJ35" s="83">
        <f>IFERROR((VLOOKUP(TableWRRanks32[[#This Row],[Player]],WR!B:O,6,FALSE)),"")</f>
        <v>113.81002640000001</v>
      </c>
      <c r="AK35" s="83">
        <f>IFERROR((VLOOKUP(TableWRRanks32[[#This Row],[Player]],WR!B:O,7,FALSE)),"")</f>
        <v>78.07367811040001</v>
      </c>
      <c r="AL35" s="83">
        <f>IFERROR((VLOOKUP(TableWRRanks32[[#This Row],[Player]],WR!B:O,8,FALSE)),"")</f>
        <v>944.681288460264</v>
      </c>
      <c r="AM35" s="83">
        <f>IFERROR((VLOOKUP(TableWRRanks32[[#This Row],[Player]],WR!B:O,9,FALSE)),"")</f>
        <v>6.0116732145008003</v>
      </c>
      <c r="AN35" s="57">
        <f>IFERROR((IFERROR(INDEX(TableWRCalcPts[Custom],MATCH(TableWRRanks32[[#This Row],[RK]],TableWRCalcPts[RK],0)),"")),"")</f>
        <v>176.12076560183124</v>
      </c>
      <c r="AO35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12.592627731502199</v>
      </c>
      <c r="AQ35">
        <v>34</v>
      </c>
      <c r="AR35" t="str">
        <f>IFERROR(INDEX(TableTECalcPts[PLAYER],MATCH(TableTERanks33[[#This Row],[RK]],TableTECalcPts[RK],0)),"")</f>
        <v>Tommy Tremble</v>
      </c>
      <c r="AS35" t="str">
        <f>IFERROR(INDEX(TableTECalcPts[TM],MATCH(TableTERanks33[[#This Row],[Player]],TableTECalcPts[PLAYER],0)),"")</f>
        <v>CAR</v>
      </c>
      <c r="AT35">
        <f>IFERROR(INDEX(TableTECalcPts[BYE],MATCH(TableTERanks33[[#This Row],[Player]],TableTECalcPts[PLAYER],0)),"")</f>
        <v>11</v>
      </c>
      <c r="AU35" s="83">
        <f>IFERROR((VLOOKUP(TableTERanks33[[#This Row],[Player]],TE!B:O,4,FALSE)),"")</f>
        <v>48.071126599999999</v>
      </c>
      <c r="AV35" s="83">
        <f>IFERROR((VLOOKUP(TableTERanks33[[#This Row],[Player]],TE!B:O,5,FALSE)),"")</f>
        <v>30.188667504799994</v>
      </c>
      <c r="AW35" s="83">
        <f>IFERROR((VLOOKUP(TableTERanks33[[#This Row],[Player]],TE!B:O,6,FALSE)),"")</f>
        <v>298.56592162247199</v>
      </c>
      <c r="AX35" s="83">
        <f>IFERROR((VLOOKUP(TableTERanks33[[#This Row],[Player]],TE!B:O,7,FALSE)),"")</f>
        <v>2.4150934003839994</v>
      </c>
      <c r="AY35" s="57">
        <f>IFERROR((IFERROR(INDEX(TableTECalcPts[Custom],MATCH(TableTERanks33[[#This Row],[RK]],TableTECalcPts[RK],0)),"")),"")</f>
        <v>59.441486316951199</v>
      </c>
      <c r="AZ35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36" spans="1:52" x14ac:dyDescent="0.2">
      <c r="A36">
        <v>35</v>
      </c>
      <c r="B36" t="str">
        <f>IFERROR(INDEX(TableQBCalcPts[PLAYER],MATCH(TableQBRanks30[[#This Row],[RK]],TableQBCalcPts[RK],0)),"")</f>
        <v>Jacoby Brissett</v>
      </c>
      <c r="C36" t="str">
        <f>IFERROR(INDEX(TableQBCalcPts[TM],MATCH(TableQBRanks30[[#This Row],[Player]],TableQBCalcPts[PLAYER],0)),"")</f>
        <v>NE</v>
      </c>
      <c r="D36">
        <f>IFERROR(INDEX(TableQBCalcPts[BYE],MATCH(TableQBRanks30[[#This Row],[Player]],TableQBCalcPts[PLAYER],0)),"")</f>
        <v>14</v>
      </c>
      <c r="E36" s="83">
        <f>IFERROR((VLOOKUP(TableQBRanks30[[#This Row],[Player]],QB!B:O,4,FALSE)),"")</f>
        <v>187.99690000000001</v>
      </c>
      <c r="F36" s="83">
        <f>IFERROR((VLOOKUP(TableQBRanks30[[#This Row],[Player]],QB!B:O,5,FALSE)),"")</f>
        <v>120.23684050871024</v>
      </c>
      <c r="G36" s="83">
        <f>IFERROR((VLOOKUP(TableQBRanks30[[#This Row],[Player]],QB!B:O,6,FALSE)),"")</f>
        <v>1260.8779406569522</v>
      </c>
      <c r="H36" s="83">
        <f>IFERROR((VLOOKUP(TableQBRanks30[[#This Row],[Player]],QB!B:O,7,FALSE)),"")</f>
        <v>6.5798915000000013</v>
      </c>
      <c r="I36" s="83">
        <f>IFERROR((VLOOKUP(TableQBRanks30[[#This Row],[Player]],QB!B:O,8,FALSE)),"")</f>
        <v>2.4981379886509005</v>
      </c>
      <c r="J36" s="83">
        <f>IFERROR((VLOOKUP(TableQBRanks30[[#This Row],[Player]],QB!B:O,9,FALSE)),"")</f>
        <v>0</v>
      </c>
      <c r="K36" s="83">
        <f>IFERROR((VLOOKUP(TableQBRanks30[[#This Row],[Player]],QB!B:O,10,FALSE)),"")</f>
        <v>0</v>
      </c>
      <c r="L36" s="83">
        <f>IFERROR((VLOOKUP(TableQBRanks30[[#This Row],[Player]],QB!B:O,11,FALSE)),"")</f>
        <v>0</v>
      </c>
      <c r="M36" s="57">
        <f>IFERROR(INDEX(TableQBCalcPts[Custom],MATCH(TableQBRanks30[[#This Row],[RK]],TableQBCalcPts[RK],0)),"")</f>
        <v>71.758407648976288</v>
      </c>
      <c r="N36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36">
        <v>35</v>
      </c>
      <c r="Q36" t="str">
        <f>IFERROR(INDEX(TableRBCalcPts[PLAYER],MATCH(TableRBRanks31[[#This Row],[RK]],TableRBCalcPts[RK],0)),"")</f>
        <v>Nick Chubb</v>
      </c>
      <c r="R36" t="str">
        <f>IFERROR(INDEX(TableRBCalcPts[TM],MATCH(TableRBRanks31[[#This Row],[Player]],TableRBCalcPts[PLAYER],0)),"")</f>
        <v>CLE</v>
      </c>
      <c r="S36">
        <f>IFERROR(INDEX(TableRBCalcPts[BYE],MATCH(TableRBRanks31[[#This Row],[Player]],TableRBCalcPts[PLAYER],0)),"")</f>
        <v>10</v>
      </c>
      <c r="T36" s="83">
        <f>IFERROR((VLOOKUP(TableRBRanks31[[#This Row],[Player]],RB!B:O,4,FALSE)),"")</f>
        <v>170.25662499999999</v>
      </c>
      <c r="U36" s="83">
        <f>IFERROR((VLOOKUP(TableRBRanks31[[#This Row],[Player]],RB!B:O,5,FALSE)),"")</f>
        <v>783.18047499999989</v>
      </c>
      <c r="V36" s="83">
        <f>IFERROR((VLOOKUP(TableRBRanks31[[#This Row],[Player]],RB!B:O,6,FALSE)),"")</f>
        <v>6.9805216249999997</v>
      </c>
      <c r="W36" s="83">
        <f>IFERROR((VLOOKUP(TableRBRanks31[[#This Row],[Player]],RB!B:O,7,FALSE)),"")</f>
        <v>25.26966749999999</v>
      </c>
      <c r="X36" s="83">
        <f>IFERROR((VLOOKUP(TableRBRanks31[[#This Row],[Player]],RB!B:O,8,FALSE)),"")</f>
        <v>19.634531647499994</v>
      </c>
      <c r="Y36" s="83">
        <f>IFERROR((VLOOKUP(TableRBRanks31[[#This Row],[Player]],RB!B:O,9,FALSE)),"")</f>
        <v>149.22244052099995</v>
      </c>
      <c r="Z36" s="83">
        <f>IFERROR((VLOOKUP(TableRBRanks31[[#This Row],[Player]],RB!B:O,10,FALSE)),"")</f>
        <v>0.70672948145814851</v>
      </c>
      <c r="AA36" s="57">
        <f>IFERROR((IFERROR(INDEX(TableRBCalcPts[Custom],MATCH(TableRBRanks31[[#This Row],[RK]],TableRBCalcPts[RK],0)),"")),"")</f>
        <v>149.18106401459886</v>
      </c>
      <c r="AB36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10.437503070212292</v>
      </c>
      <c r="AD36">
        <v>35</v>
      </c>
      <c r="AE36" t="str">
        <f>IFERROR(INDEX(TableWRCalcPts[PLAYER],MATCH(TableWRRanks32[[#This Row],[RK]],TableWRCalcPts[RK],0)),"")</f>
        <v>Jordan Addison</v>
      </c>
      <c r="AF36" t="str">
        <f>IFERROR(INDEX(TableWRCalcPts[TM],MATCH(TableWRRanks32[[#This Row],[Player]],TableWRCalcPts[PLAYER],0)),"")</f>
        <v>MIN</v>
      </c>
      <c r="AG36">
        <f>IFERROR(INDEX(TableWRCalcPts[BYE],MATCH(TableWRRanks32[[#This Row],[Player]],TableWRCalcPts[PLAYER],0)),"")</f>
        <v>6</v>
      </c>
      <c r="AH36" s="83">
        <f>IFERROR((VLOOKUP(TableWRRanks32[[#This Row],[Player]],WR!B:O,4,FALSE)),"")</f>
        <v>0</v>
      </c>
      <c r="AI36" s="83">
        <f>IFERROR((VLOOKUP(TableWRRanks32[[#This Row],[Player]],WR!B:O,5,FALSE)),"")</f>
        <v>0</v>
      </c>
      <c r="AJ36" s="83">
        <f>IFERROR((VLOOKUP(TableWRRanks32[[#This Row],[Player]],WR!B:O,6,FALSE)),"")</f>
        <v>129.39763199999999</v>
      </c>
      <c r="AK36" s="83">
        <f>IFERROR((VLOOKUP(TableWRRanks32[[#This Row],[Player]],WR!B:O,7,FALSE)),"")</f>
        <v>78.673760255999994</v>
      </c>
      <c r="AL36" s="83">
        <f>IFERROR((VLOOKUP(TableWRRanks32[[#This Row],[Player]],WR!B:O,8,FALSE)),"")</f>
        <v>1002.3037056614399</v>
      </c>
      <c r="AM36" s="83">
        <f>IFERROR((VLOOKUP(TableWRRanks32[[#This Row],[Player]],WR!B:O,9,FALSE)),"")</f>
        <v>5.664510738431999</v>
      </c>
      <c r="AN36" s="57">
        <f>IFERROR((IFERROR(INDEX(TableWRCalcPts[Custom],MATCH(TableWRRanks32[[#This Row],[RK]],TableWRCalcPts[RK],0)),"")),"")</f>
        <v>173.55431512473601</v>
      </c>
      <c r="AO36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11.474409524387598</v>
      </c>
      <c r="AQ36">
        <v>35</v>
      </c>
      <c r="AR36" t="str">
        <f>IFERROR(INDEX(TableTECalcPts[PLAYER],MATCH(TableTERanks33[[#This Row],[RK]],TableTECalcPts[RK],0)),"")</f>
        <v>Ja'Tavion Sanders</v>
      </c>
      <c r="AS36" t="str">
        <f>IFERROR(INDEX(TableTECalcPts[TM],MATCH(TableTERanks33[[#This Row],[Player]],TableTECalcPts[PLAYER],0)),"")</f>
        <v>CAR</v>
      </c>
      <c r="AT36">
        <f>IFERROR(INDEX(TableTECalcPts[BYE],MATCH(TableTERanks33[[#This Row],[Player]],TableTECalcPts[PLAYER],0)),"")</f>
        <v>11</v>
      </c>
      <c r="AU36" s="83">
        <f>IFERROR((VLOOKUP(TableTERanks33[[#This Row],[Player]],TE!B:O,4,FALSE)),"")</f>
        <v>46.912786199999992</v>
      </c>
      <c r="AV36" s="83">
        <f>IFERROR((VLOOKUP(TableTERanks33[[#This Row],[Player]],TE!B:O,5,FALSE)),"")</f>
        <v>29.695793664599996</v>
      </c>
      <c r="AW36" s="83">
        <f>IFERROR((VLOOKUP(TableTERanks33[[#This Row],[Player]],TE!B:O,6,FALSE)),"")</f>
        <v>312.88245187448638</v>
      </c>
      <c r="AX36" s="83">
        <f>IFERROR((VLOOKUP(TableTERanks33[[#This Row],[Player]],TE!B:O,7,FALSE)),"")</f>
        <v>2.1794191658372144</v>
      </c>
      <c r="AY36" s="57">
        <f>IFERROR((IFERROR(INDEX(TableTECalcPts[Custom],MATCH(TableTERanks33[[#This Row],[RK]],TableTECalcPts[RK],0)),"")),"")</f>
        <v>59.212657014771921</v>
      </c>
      <c r="AZ36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37" spans="1:52" x14ac:dyDescent="0.2">
      <c r="A37">
        <v>36</v>
      </c>
      <c r="B37" t="str">
        <f>IFERROR(INDEX(TableQBCalcPts[PLAYER],MATCH(TableQBRanks30[[#This Row],[RK]],TableQBCalcPts[RK],0)),"")</f>
        <v>Drew Lock</v>
      </c>
      <c r="C37" t="str">
        <f>IFERROR(INDEX(TableQBCalcPts[TM],MATCH(TableQBRanks30[[#This Row],[Player]],TableQBCalcPts[PLAYER],0)),"")</f>
        <v>NYG</v>
      </c>
      <c r="D37">
        <f>IFERROR(INDEX(TableQBCalcPts[BYE],MATCH(TableQBRanks30[[#This Row],[Player]],TableQBCalcPts[PLAYER],0)),"")</f>
        <v>11</v>
      </c>
      <c r="E37" s="83">
        <f>IFERROR((VLOOKUP(TableQBRanks30[[#This Row],[Player]],QB!B:O,4,FALSE)),"")</f>
        <v>150.12599999999998</v>
      </c>
      <c r="F37" s="83">
        <f>IFERROR((VLOOKUP(TableQBRanks30[[#This Row],[Player]],QB!B:O,5,FALSE)),"")</f>
        <v>92.927993999999984</v>
      </c>
      <c r="G37" s="83">
        <f>IFERROR((VLOOKUP(TableQBRanks30[[#This Row],[Player]],QB!B:O,6,FALSE)),"")</f>
        <v>1032.7073406171248</v>
      </c>
      <c r="H37" s="83">
        <f>IFERROR((VLOOKUP(TableQBRanks30[[#This Row],[Player]],QB!B:O,7,FALSE)),"")</f>
        <v>5.6997721937945549</v>
      </c>
      <c r="I37" s="83">
        <f>IFERROR((VLOOKUP(TableQBRanks30[[#This Row],[Player]],QB!B:O,8,FALSE)),"")</f>
        <v>1.5225259845351338</v>
      </c>
      <c r="J37" s="83">
        <f>IFERROR((VLOOKUP(TableQBRanks30[[#This Row],[Player]],QB!B:O,9,FALSE)),"")</f>
        <v>8.7709216000000012</v>
      </c>
      <c r="K37" s="83">
        <f>IFERROR((VLOOKUP(TableQBRanks30[[#This Row],[Player]],QB!B:O,10,FALSE)),"")</f>
        <v>32.349426792818555</v>
      </c>
      <c r="L37" s="83">
        <f>IFERROR((VLOOKUP(TableQBRanks30[[#This Row],[Player]],QB!B:O,11,FALSE)),"")</f>
        <v>0.30698225600000006</v>
      </c>
      <c r="M37" s="57">
        <f>IFERROR(INDEX(TableQBCalcPts[Custom],MATCH(TableQBRanks30[[#This Row],[RK]],TableQBCalcPts[RK],0)),"")</f>
        <v>66.139166646074798</v>
      </c>
      <c r="N37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37">
        <v>36</v>
      </c>
      <c r="Q37" t="str">
        <f>IFERROR(INDEX(TableRBCalcPts[PLAYER],MATCH(TableRBRanks31[[#This Row],[RK]],TableRBCalcPts[RK],0)),"")</f>
        <v>Chuba Hubbard</v>
      </c>
      <c r="R37" t="str">
        <f>IFERROR(INDEX(TableRBCalcPts[TM],MATCH(TableRBRanks31[[#This Row],[Player]],TableRBCalcPts[PLAYER],0)),"")</f>
        <v>CAR</v>
      </c>
      <c r="S37">
        <f>IFERROR(INDEX(TableRBCalcPts[BYE],MATCH(TableRBRanks31[[#This Row],[Player]],TableRBCalcPts[PLAYER],0)),"")</f>
        <v>11</v>
      </c>
      <c r="T37" s="83">
        <f>IFERROR((VLOOKUP(TableRBRanks31[[#This Row],[Player]],RB!B:O,4,FALSE)),"")</f>
        <v>160.52752800000002</v>
      </c>
      <c r="U37" s="83">
        <f>IFERROR((VLOOKUP(TableRBRanks31[[#This Row],[Player]],RB!B:O,5,FALSE)),"")</f>
        <v>662.97869064000008</v>
      </c>
      <c r="V37" s="83">
        <f>IFERROR((VLOOKUP(TableRBRanks31[[#This Row],[Player]],RB!B:O,6,FALSE)),"")</f>
        <v>5.136880896000001</v>
      </c>
      <c r="W37" s="83">
        <f>IFERROR((VLOOKUP(TableRBRanks31[[#This Row],[Player]],RB!B:O,7,FALSE)),"")</f>
        <v>46.333615999999992</v>
      </c>
      <c r="X37" s="83">
        <f>IFERROR((VLOOKUP(TableRBRanks31[[#This Row],[Player]],RB!B:O,8,FALSE)),"")</f>
        <v>35.445216239999993</v>
      </c>
      <c r="Y37" s="83">
        <f>IFERROR((VLOOKUP(TableRBRanks31[[#This Row],[Player]],RB!B:O,9,FALSE)),"")</f>
        <v>262.29460017599996</v>
      </c>
      <c r="Z37" s="83">
        <f>IFERROR((VLOOKUP(TableRBRanks31[[#This Row],[Player]],RB!B:O,10,FALSE)),"")</f>
        <v>0.91127208415161154</v>
      </c>
      <c r="AA37" s="57">
        <f>IFERROR((IFERROR(INDEX(TableRBCalcPts[Custom],MATCH(TableRBRanks31[[#This Row],[RK]],TableRBCalcPts[RK],0)),"")),"")</f>
        <v>146.53885508250966</v>
      </c>
      <c r="AB37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9.4952491757584614</v>
      </c>
      <c r="AD37">
        <v>36</v>
      </c>
      <c r="AE37" t="str">
        <f>IFERROR(INDEX(TableWRCalcPts[PLAYER],MATCH(TableWRRanks32[[#This Row],[RK]],TableWRCalcPts[RK],0)),"")</f>
        <v>Michael Pittman</v>
      </c>
      <c r="AF37" t="str">
        <f>IFERROR(INDEX(TableWRCalcPts[TM],MATCH(TableWRRanks32[[#This Row],[Player]],TableWRCalcPts[PLAYER],0)),"")</f>
        <v>IND</v>
      </c>
      <c r="AG37">
        <f>IFERROR(INDEX(TableWRCalcPts[BYE],MATCH(TableWRRanks32[[#This Row],[Player]],TableWRCalcPts[PLAYER],0)),"")</f>
        <v>14</v>
      </c>
      <c r="AH37" s="83">
        <f>IFERROR((VLOOKUP(TableWRRanks32[[#This Row],[Player]],WR!B:O,4,FALSE)),"")</f>
        <v>0</v>
      </c>
      <c r="AI37" s="83">
        <f>IFERROR((VLOOKUP(TableWRRanks32[[#This Row],[Player]],WR!B:O,5,FALSE)),"")</f>
        <v>0</v>
      </c>
      <c r="AJ37" s="83">
        <f>IFERROR((VLOOKUP(TableWRRanks32[[#This Row],[Player]],WR!B:O,6,FALSE)),"")</f>
        <v>133.08384320000002</v>
      </c>
      <c r="AK37" s="83">
        <f>IFERROR((VLOOKUP(TableWRRanks32[[#This Row],[Player]],WR!B:O,7,FALSE)),"")</f>
        <v>84.242072745599998</v>
      </c>
      <c r="AL37" s="83">
        <f>IFERROR((VLOOKUP(TableWRRanks32[[#This Row],[Player]],WR!B:O,8,FALSE)),"")</f>
        <v>963.72931220966393</v>
      </c>
      <c r="AM37" s="83">
        <f>IFERROR((VLOOKUP(TableWRRanks32[[#This Row],[Player]],WR!B:O,9,FALSE)),"")</f>
        <v>5.8127030194464</v>
      </c>
      <c r="AN37" s="57">
        <f>IFERROR((IFERROR(INDEX(TableWRCalcPts[Custom],MATCH(TableWRRanks32[[#This Row],[RK]],TableWRCalcPts[RK],0)),"")),"")</f>
        <v>173.37018571044479</v>
      </c>
      <c r="AO37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11.394183209731089</v>
      </c>
      <c r="AQ37">
        <v>36</v>
      </c>
      <c r="AR37" t="str">
        <f>IFERROR(INDEX(TableTECalcPts[PLAYER],MATCH(TableTERanks33[[#This Row],[RK]],TableTECalcPts[RK],0)),"")</f>
        <v>Dawson Knox</v>
      </c>
      <c r="AS37" t="str">
        <f>IFERROR(INDEX(TableTECalcPts[TM],MATCH(TableTERanks33[[#This Row],[Player]],TableTECalcPts[PLAYER],0)),"")</f>
        <v>BUF</v>
      </c>
      <c r="AT37">
        <f>IFERROR(INDEX(TableTECalcPts[BYE],MATCH(TableTERanks33[[#This Row],[Player]],TableTECalcPts[PLAYER],0)),"")</f>
        <v>12</v>
      </c>
      <c r="AU37" s="83">
        <f>IFERROR((VLOOKUP(TableTERanks33[[#This Row],[Player]],TE!B:O,4,FALSE)),"")</f>
        <v>43.124014079999988</v>
      </c>
      <c r="AV37" s="83">
        <f>IFERROR((VLOOKUP(TableTERanks33[[#This Row],[Player]],TE!B:O,5,FALSE)),"")</f>
        <v>26.736888729599993</v>
      </c>
      <c r="AW37" s="83">
        <f>IFERROR((VLOOKUP(TableTERanks33[[#This Row],[Player]],TE!B:O,6,FALSE)),"")</f>
        <v>277.76425325555408</v>
      </c>
      <c r="AX37" s="83">
        <f>IFERROR((VLOOKUP(TableTERanks33[[#This Row],[Player]],TE!B:O,7,FALSE)),"")</f>
        <v>2.8341102053375993</v>
      </c>
      <c r="AY37" s="57">
        <f>IFERROR((IFERROR(INDEX(TableTECalcPts[Custom],MATCH(TableTERanks33[[#This Row],[RK]],TableTECalcPts[RK],0)),"")),"")</f>
        <v>58.149530922381004</v>
      </c>
      <c r="AZ37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38" spans="1:52" x14ac:dyDescent="0.2">
      <c r="A38">
        <v>37</v>
      </c>
      <c r="B38" t="str">
        <f>IFERROR(INDEX(TableQBCalcPts[PLAYER],MATCH(TableQBRanks30[[#This Row],[RK]],TableQBCalcPts[RK],0)),"")</f>
        <v>Nick Mullens</v>
      </c>
      <c r="C38" t="str">
        <f>IFERROR(INDEX(TableQBCalcPts[TM],MATCH(TableQBRanks30[[#This Row],[Player]],TableQBCalcPts[PLAYER],0)),"")</f>
        <v>MIN</v>
      </c>
      <c r="D38">
        <f>IFERROR(INDEX(TableQBCalcPts[BYE],MATCH(TableQBRanks30[[#This Row],[Player]],TableQBCalcPts[PLAYER],0)),"")</f>
        <v>6</v>
      </c>
      <c r="E38" s="83">
        <f>IFERROR((VLOOKUP(TableQBRanks30[[#This Row],[Player]],QB!B:O,4,FALSE)),"")</f>
        <v>76.175999999999988</v>
      </c>
      <c r="F38" s="83">
        <f>IFERROR((VLOOKUP(TableQBRanks30[[#This Row],[Player]],QB!B:O,5,FALSE)),"")</f>
        <v>47.229119999999995</v>
      </c>
      <c r="G38" s="83">
        <f>IFERROR((VLOOKUP(TableQBRanks30[[#This Row],[Player]],QB!B:O,6,FALSE)),"")</f>
        <v>571.47235199999989</v>
      </c>
      <c r="H38" s="83">
        <f>IFERROR((VLOOKUP(TableQBRanks30[[#This Row],[Player]],QB!B:O,7,FALSE)),"")</f>
        <v>2.9708639999999997</v>
      </c>
      <c r="I38" s="83">
        <f>IFERROR((VLOOKUP(TableQBRanks30[[#This Row],[Player]],QB!B:O,8,FALSE)),"")</f>
        <v>1.4641027199999999</v>
      </c>
      <c r="J38" s="83">
        <f>IFERROR((VLOOKUP(TableQBRanks30[[#This Row],[Player]],QB!B:O,9,FALSE)),"")</f>
        <v>4.1473599999999999</v>
      </c>
      <c r="K38" s="83">
        <f>IFERROR((VLOOKUP(TableQBRanks30[[#This Row],[Player]],QB!B:O,10,FALSE)),"")</f>
        <v>10.783136000000001</v>
      </c>
      <c r="L38" s="83">
        <f>IFERROR((VLOOKUP(TableQBRanks30[[#This Row],[Player]],QB!B:O,11,FALSE)),"")</f>
        <v>8.2947199999999999E-2</v>
      </c>
      <c r="M38" s="57">
        <f>IFERROR(INDEX(TableQBCalcPts[Custom],MATCH(TableQBRanks30[[#This Row],[RK]],TableQBCalcPts[RK],0)),"")</f>
        <v>33.390141439999994</v>
      </c>
      <c r="N38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38">
        <v>37</v>
      </c>
      <c r="Q38" t="str">
        <f>IFERROR(INDEX(TableRBCalcPts[PLAYER],MATCH(TableRBRanks31[[#This Row],[RK]],TableRBCalcPts[RK],0)),"")</f>
        <v>J.K. Dobbins</v>
      </c>
      <c r="R38" t="str">
        <f>IFERROR(INDEX(TableRBCalcPts[TM],MATCH(TableRBRanks31[[#This Row],[Player]],TableRBCalcPts[PLAYER],0)),"")</f>
        <v>LAC</v>
      </c>
      <c r="S38">
        <f>IFERROR(INDEX(TableRBCalcPts[BYE],MATCH(TableRBRanks31[[#This Row],[Player]],TableRBCalcPts[PLAYER],0)),"")</f>
        <v>5</v>
      </c>
      <c r="T38" s="83">
        <f>IFERROR((VLOOKUP(TableRBRanks31[[#This Row],[Player]],RB!B:O,4,FALSE)),"")</f>
        <v>154.53522293999998</v>
      </c>
      <c r="U38" s="83">
        <f>IFERROR((VLOOKUP(TableRBRanks31[[#This Row],[Player]],RB!B:O,5,FALSE)),"")</f>
        <v>696.49226956733742</v>
      </c>
      <c r="V38" s="83">
        <f>IFERROR((VLOOKUP(TableRBRanks31[[#This Row],[Player]],RB!B:O,6,FALSE)),"")</f>
        <v>5.2541975799599996</v>
      </c>
      <c r="W38" s="83">
        <f>IFERROR((VLOOKUP(TableRBRanks31[[#This Row],[Player]],RB!B:O,7,FALSE)),"")</f>
        <v>35.176797180000008</v>
      </c>
      <c r="X38" s="83">
        <f>IFERROR((VLOOKUP(TableRBRanks31[[#This Row],[Player]],RB!B:O,8,FALSE)),"")</f>
        <v>25.5031779555</v>
      </c>
      <c r="Y38" s="83">
        <f>IFERROR((VLOOKUP(TableRBRanks31[[#This Row],[Player]],RB!B:O,9,FALSE)),"")</f>
        <v>188.8264622042818</v>
      </c>
      <c r="Z38" s="83">
        <f>IFERROR((VLOOKUP(TableRBRanks31[[#This Row],[Player]],RB!B:O,10,FALSE)),"")</f>
        <v>1.3682910997514572</v>
      </c>
      <c r="AA38" s="57">
        <f>IFERROR((IFERROR(INDEX(TableRBCalcPts[Custom],MATCH(TableRBRanks31[[#This Row],[RK]],TableRBCalcPts[RK],0)),"")),"")</f>
        <v>141.01839423318069</v>
      </c>
      <c r="AB38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7.5265646893476443</v>
      </c>
      <c r="AD38">
        <v>37</v>
      </c>
      <c r="AE38" t="str">
        <f>IFERROR(INDEX(TableWRCalcPts[PLAYER],MATCH(TableWRRanks32[[#This Row],[RK]],TableWRCalcPts[RK],0)),"")</f>
        <v>Joshua Palmer</v>
      </c>
      <c r="AF38" t="str">
        <f>IFERROR(INDEX(TableWRCalcPts[TM],MATCH(TableWRRanks32[[#This Row],[Player]],TableWRCalcPts[PLAYER],0)),"")</f>
        <v>LAC</v>
      </c>
      <c r="AG38">
        <f>IFERROR(INDEX(TableWRCalcPts[BYE],MATCH(TableWRRanks32[[#This Row],[Player]],TableWRCalcPts[PLAYER],0)),"")</f>
        <v>5</v>
      </c>
      <c r="AH38" s="83">
        <f>IFERROR((VLOOKUP(TableWRRanks32[[#This Row],[Player]],WR!B:O,4,FALSE)),"")</f>
        <v>0</v>
      </c>
      <c r="AI38" s="83">
        <f>IFERROR((VLOOKUP(TableWRRanks32[[#This Row],[Player]],WR!B:O,5,FALSE)),"")</f>
        <v>0</v>
      </c>
      <c r="AJ38" s="83">
        <f>IFERROR((VLOOKUP(TableWRRanks32[[#This Row],[Player]],WR!B:O,6,FALSE)),"")</f>
        <v>120.60616176000003</v>
      </c>
      <c r="AK38" s="83">
        <f>IFERROR((VLOOKUP(TableWRRanks32[[#This Row],[Player]],WR!B:O,7,FALSE)),"")</f>
        <v>78.273398982240039</v>
      </c>
      <c r="AL38" s="83">
        <f>IFERROR((VLOOKUP(TableWRRanks32[[#This Row],[Player]],WR!B:O,8,FALSE)),"")</f>
        <v>979.20022126782283</v>
      </c>
      <c r="AM38" s="83">
        <f>IFERROR((VLOOKUP(TableWRRanks32[[#This Row],[Player]],WR!B:O,9,FALSE)),"")</f>
        <v>5.9487783226502424</v>
      </c>
      <c r="AN38" s="57">
        <f>IFERROR((IFERROR(INDEX(TableWRCalcPts[Custom],MATCH(TableWRRanks32[[#This Row],[RK]],TableWRCalcPts[RK],0)),"")),"")</f>
        <v>172.74939155380375</v>
      </c>
      <c r="AO38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11.123699389754146</v>
      </c>
      <c r="AQ38">
        <v>37</v>
      </c>
      <c r="AR38" t="str">
        <f>IFERROR(INDEX(TableTECalcPts[PLAYER],MATCH(TableTERanks33[[#This Row],[RK]],TableTECalcPts[RK],0)),"")</f>
        <v>Zach Ertz</v>
      </c>
      <c r="AS38" t="str">
        <f>IFERROR(INDEX(TableTECalcPts[TM],MATCH(TableTERanks33[[#This Row],[Player]],TableTECalcPts[PLAYER],0)),"")</f>
        <v>WSH</v>
      </c>
      <c r="AT38">
        <f>IFERROR(INDEX(TableTECalcPts[BYE],MATCH(TableTERanks33[[#This Row],[Player]],TableTECalcPts[PLAYER],0)),"")</f>
        <v>14</v>
      </c>
      <c r="AU38" s="83">
        <f>IFERROR((VLOOKUP(TableTERanks33[[#This Row],[Player]],TE!B:O,4,FALSE)),"")</f>
        <v>45.892753200000008</v>
      </c>
      <c r="AV38" s="83">
        <f>IFERROR((VLOOKUP(TableTERanks33[[#This Row],[Player]],TE!B:O,5,FALSE)),"")</f>
        <v>29.784396826800005</v>
      </c>
      <c r="AW38" s="83">
        <f>IFERROR((VLOOKUP(TableTERanks33[[#This Row],[Player]],TE!B:O,6,FALSE)),"")</f>
        <v>287.41942937862007</v>
      </c>
      <c r="AX38" s="83">
        <f>IFERROR((VLOOKUP(TableTERanks33[[#This Row],[Player]],TE!B:O,7,FALSE)),"")</f>
        <v>2.0849077778760008</v>
      </c>
      <c r="AY38" s="57">
        <f>IFERROR((IFERROR(INDEX(TableTECalcPts[Custom],MATCH(TableTERanks33[[#This Row],[RK]],TableTECalcPts[RK],0)),"")),"")</f>
        <v>56.143588018518017</v>
      </c>
      <c r="AZ38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39" spans="1:52" x14ac:dyDescent="0.2">
      <c r="A39">
        <v>38</v>
      </c>
      <c r="B39" t="str">
        <f>IFERROR(INDEX(TableQBCalcPts[PLAYER],MATCH(TableQBRanks30[[#This Row],[RK]],TableQBCalcPts[RK],0)),"")</f>
        <v>Sam Howell</v>
      </c>
      <c r="C39" t="str">
        <f>IFERROR(INDEX(TableQBCalcPts[TM],MATCH(TableQBRanks30[[#This Row],[Player]],TableQBCalcPts[PLAYER],0)),"")</f>
        <v>SEA</v>
      </c>
      <c r="D39">
        <f>IFERROR(INDEX(TableQBCalcPts[BYE],MATCH(TableQBRanks30[[#This Row],[Player]],TableQBCalcPts[PLAYER],0)),"")</f>
        <v>10</v>
      </c>
      <c r="E39" s="83">
        <f>IFERROR((VLOOKUP(TableQBRanks30[[#This Row],[Player]],QB!B:O,4,FALSE)),"")</f>
        <v>59.232900000000001</v>
      </c>
      <c r="F39" s="83">
        <f>IFERROR((VLOOKUP(TableQBRanks30[[#This Row],[Player]],QB!B:O,5,FALSE)),"")</f>
        <v>37.896985495522486</v>
      </c>
      <c r="G39" s="83">
        <f>IFERROR((VLOOKUP(TableQBRanks30[[#This Row],[Player]],QB!B:O,6,FALSE)),"")</f>
        <v>410.07288672727765</v>
      </c>
      <c r="H39" s="83">
        <f>IFERROR((VLOOKUP(TableQBRanks30[[#This Row],[Player]],QB!B:O,7,FALSE)),"")</f>
        <v>2.5049663933148976</v>
      </c>
      <c r="I39" s="83">
        <f>IFERROR((VLOOKUP(TableQBRanks30[[#This Row],[Player]],QB!B:O,8,FALSE)),"")</f>
        <v>1.0350363508504383</v>
      </c>
      <c r="J39" s="83">
        <f>IFERROR((VLOOKUP(TableQBRanks30[[#This Row],[Player]],QB!B:O,9,FALSE)),"")</f>
        <v>5.2763709600000004</v>
      </c>
      <c r="K39" s="83">
        <f>IFERROR((VLOOKUP(TableQBRanks30[[#This Row],[Player]],QB!B:O,10,FALSE)),"")</f>
        <v>25.781551494869269</v>
      </c>
      <c r="L39" s="83">
        <f>IFERROR((VLOOKUP(TableQBRanks30[[#This Row],[Player]],QB!B:O,11,FALSE)),"")</f>
        <v>0.12622213791413409</v>
      </c>
      <c r="M39" s="57">
        <f>IFERROR(INDEX(TableQBCalcPts[Custom],MATCH(TableQBRanks30[[#This Row],[RK]],TableQBCalcPts[RK],0)),"")</f>
        <v>27.688196317621554</v>
      </c>
      <c r="N39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39">
        <v>38</v>
      </c>
      <c r="Q39" t="str">
        <f>IFERROR(INDEX(TableRBCalcPts[PLAYER],MATCH(TableRBRanks31[[#This Row],[RK]],TableRBCalcPts[RK],0)),"")</f>
        <v>Zach Charbonnet</v>
      </c>
      <c r="R39" t="str">
        <f>IFERROR(INDEX(TableRBCalcPts[TM],MATCH(TableRBRanks31[[#This Row],[Player]],TableRBCalcPts[PLAYER],0)),"")</f>
        <v>SEA</v>
      </c>
      <c r="S39">
        <f>IFERROR(INDEX(TableRBCalcPts[BYE],MATCH(TableRBRanks31[[#This Row],[Player]],TableRBCalcPts[PLAYER],0)),"")</f>
        <v>10</v>
      </c>
      <c r="T39" s="83">
        <f>IFERROR((VLOOKUP(TableRBRanks31[[#This Row],[Player]],RB!B:O,4,FALSE)),"")</f>
        <v>139.38413286000002</v>
      </c>
      <c r="U39" s="83">
        <f>IFERROR((VLOOKUP(TableRBRanks31[[#This Row],[Player]],RB!B:O,5,FALSE)),"")</f>
        <v>599.51784552252548</v>
      </c>
      <c r="V39" s="83">
        <f>IFERROR((VLOOKUP(TableRBRanks31[[#This Row],[Player]],RB!B:O,6,FALSE)),"")</f>
        <v>4.3209081186600002</v>
      </c>
      <c r="W39" s="83">
        <f>IFERROR((VLOOKUP(TableRBRanks31[[#This Row],[Player]],RB!B:O,7,FALSE)),"")</f>
        <v>50.501970539999988</v>
      </c>
      <c r="X39" s="83">
        <f>IFERROR((VLOOKUP(TableRBRanks31[[#This Row],[Player]],RB!B:O,8,FALSE)),"")</f>
        <v>40.149066579299991</v>
      </c>
      <c r="Y39" s="83">
        <f>IFERROR((VLOOKUP(TableRBRanks31[[#This Row],[Player]],RB!B:O,9,FALSE)),"")</f>
        <v>282.01774910547431</v>
      </c>
      <c r="Z39" s="83">
        <f>IFERROR((VLOOKUP(TableRBRanks31[[#This Row],[Player]],RB!B:O,10,FALSE)),"")</f>
        <v>1.1341392900789073</v>
      </c>
      <c r="AA39" s="57">
        <f>IFERROR((IFERROR(INDEX(TableRBCalcPts[Custom],MATCH(TableRBRanks31[[#This Row],[RK]],TableRBCalcPts[RK],0)),"")),"")</f>
        <v>140.95837720488342</v>
      </c>
      <c r="AB39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7.5051616587394898</v>
      </c>
      <c r="AD39">
        <v>38</v>
      </c>
      <c r="AE39" t="str">
        <f>IFERROR(INDEX(TableWRCalcPts[PLAYER],MATCH(TableWRRanks32[[#This Row],[RK]],TableWRCalcPts[RK],0)),"")</f>
        <v>Diontae Johnson</v>
      </c>
      <c r="AF39" t="str">
        <f>IFERROR(INDEX(TableWRCalcPts[TM],MATCH(TableWRRanks32[[#This Row],[Player]],TableWRCalcPts[PLAYER],0)),"")</f>
        <v>CAR</v>
      </c>
      <c r="AG39">
        <f>IFERROR(INDEX(TableWRCalcPts[BYE],MATCH(TableWRRanks32[[#This Row],[Player]],TableWRCalcPts[PLAYER],0)),"")</f>
        <v>11</v>
      </c>
      <c r="AH39" s="83">
        <f>IFERROR((VLOOKUP(TableWRRanks32[[#This Row],[Player]],WR!B:O,4,FALSE)),"")</f>
        <v>0</v>
      </c>
      <c r="AI39" s="83">
        <f>IFERROR((VLOOKUP(TableWRRanks32[[#This Row],[Player]],WR!B:O,5,FALSE)),"")</f>
        <v>0</v>
      </c>
      <c r="AJ39" s="83">
        <f>IFERROR((VLOOKUP(TableWRRanks32[[#This Row],[Player]],WR!B:O,6,FALSE)),"")</f>
        <v>127.41744399999997</v>
      </c>
      <c r="AK39" s="83">
        <f>IFERROR((VLOOKUP(TableWRRanks32[[#This Row],[Player]],WR!B:O,7,FALSE)),"")</f>
        <v>76.832718732000004</v>
      </c>
      <c r="AL39" s="83">
        <f>IFERROR((VLOOKUP(TableWRRanks32[[#This Row],[Player]],WR!B:O,8,FALSE)),"")</f>
        <v>975.77552789640004</v>
      </c>
      <c r="AM39" s="83">
        <f>IFERROR((VLOOKUP(TableWRRanks32[[#This Row],[Player]],WR!B:O,9,FALSE)),"")</f>
        <v>5.9161193423640004</v>
      </c>
      <c r="AN39" s="57">
        <f>IFERROR((IFERROR(INDEX(TableWRCalcPts[Custom],MATCH(TableWRRanks32[[#This Row],[RK]],TableWRCalcPts[RK],0)),"")),"")</f>
        <v>171.49062820982402</v>
      </c>
      <c r="AO39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10.575248483629629</v>
      </c>
      <c r="AQ39">
        <v>38</v>
      </c>
      <c r="AR39" t="str">
        <f>IFERROR(INDEX(TableTECalcPts[PLAYER],MATCH(TableTERanks33[[#This Row],[RK]],TableTECalcPts[RK],0)),"")</f>
        <v>Daniel Bellinger</v>
      </c>
      <c r="AS39" t="str">
        <f>IFERROR(INDEX(TableTECalcPts[TM],MATCH(TableTERanks33[[#This Row],[Player]],TableTECalcPts[PLAYER],0)),"")</f>
        <v>NYG</v>
      </c>
      <c r="AT39">
        <f>IFERROR(INDEX(TableTECalcPts[BYE],MATCH(TableTERanks33[[#This Row],[Player]],TableTECalcPts[PLAYER],0)),"")</f>
        <v>11</v>
      </c>
      <c r="AU39" s="83">
        <f>IFERROR((VLOOKUP(TableTERanks33[[#This Row],[Player]],TE!B:O,4,FALSE)),"")</f>
        <v>45.314031839999991</v>
      </c>
      <c r="AV39" s="83">
        <f>IFERROR((VLOOKUP(TableTERanks33[[#This Row],[Player]],TE!B:O,5,FALSE)),"")</f>
        <v>31.447938096959991</v>
      </c>
      <c r="AW39" s="83">
        <f>IFERROR((VLOOKUP(TableTERanks33[[#This Row],[Player]],TE!B:O,6,FALSE)),"")</f>
        <v>274.52286199733612</v>
      </c>
      <c r="AX39" s="83">
        <f>IFERROR((VLOOKUP(TableTERanks33[[#This Row],[Player]],TE!B:O,7,FALSE)),"")</f>
        <v>1.6352927810419196</v>
      </c>
      <c r="AY39" s="57">
        <f>IFERROR((IFERROR(INDEX(TableTECalcPts[Custom],MATCH(TableTERanks33[[#This Row],[RK]],TableTECalcPts[RK],0)),"")),"")</f>
        <v>52.988011934465121</v>
      </c>
      <c r="AZ39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40" spans="1:52" x14ac:dyDescent="0.2">
      <c r="A40">
        <v>39</v>
      </c>
      <c r="B40" t="str">
        <f>IFERROR(INDEX(TableQBCalcPts[PLAYER],MATCH(TableQBRanks30[[#This Row],[RK]],TableQBCalcPts[RK],0)),"")</f>
        <v>Easton Stick</v>
      </c>
      <c r="C40" t="str">
        <f>IFERROR(INDEX(TableQBCalcPts[TM],MATCH(TableQBRanks30[[#This Row],[Player]],TableQBCalcPts[PLAYER],0)),"")</f>
        <v>LAC</v>
      </c>
      <c r="D40">
        <f>IFERROR(INDEX(TableQBCalcPts[BYE],MATCH(TableQBRanks30[[#This Row],[Player]],TableQBCalcPts[PLAYER],0)),"")</f>
        <v>5</v>
      </c>
      <c r="E40" s="83">
        <f>IFERROR((VLOOKUP(TableQBRanks30[[#This Row],[Player]],QB!B:O,4,FALSE)),"")</f>
        <v>56.97570000000001</v>
      </c>
      <c r="F40" s="83">
        <f>IFERROR((VLOOKUP(TableQBRanks30[[#This Row],[Player]],QB!B:O,5,FALSE)),"")</f>
        <v>35.210982600000008</v>
      </c>
      <c r="G40" s="83">
        <f>IFERROR((VLOOKUP(TableQBRanks30[[#This Row],[Player]],QB!B:O,6,FALSE)),"")</f>
        <v>383.0954906880001</v>
      </c>
      <c r="H40" s="83">
        <f>IFERROR((VLOOKUP(TableQBRanks30[[#This Row],[Player]],QB!B:O,7,FALSE)),"")</f>
        <v>2.5944222342420766</v>
      </c>
      <c r="I40" s="83">
        <f>IFERROR((VLOOKUP(TableQBRanks30[[#This Row],[Player]],QB!B:O,8,FALSE)),"")</f>
        <v>0.63816084401494966</v>
      </c>
      <c r="J40" s="83">
        <f>IFERROR((VLOOKUP(TableQBRanks30[[#This Row],[Player]],QB!B:O,9,FALSE)),"")</f>
        <v>0</v>
      </c>
      <c r="K40" s="83">
        <f>IFERROR((VLOOKUP(TableQBRanks30[[#This Row],[Player]],QB!B:O,10,FALSE)),"")</f>
        <v>0</v>
      </c>
      <c r="L40" s="83">
        <f>IFERROR((VLOOKUP(TableQBRanks30[[#This Row],[Player]],QB!B:O,11,FALSE)),"")</f>
        <v>0</v>
      </c>
      <c r="M40" s="57">
        <f>IFERROR(INDEX(TableQBCalcPts[Custom],MATCH(TableQBRanks30[[#This Row],[RK]],TableQBCalcPts[RK],0)),"")</f>
        <v>24.425186876458412</v>
      </c>
      <c r="N40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40">
        <v>39</v>
      </c>
      <c r="Q40" t="str">
        <f>IFERROR(INDEX(TableRBCalcPts[PLAYER],MATCH(TableRBRanks31[[#This Row],[RK]],TableRBCalcPts[RK],0)),"")</f>
        <v>Jonathon Brooks</v>
      </c>
      <c r="R40" t="str">
        <f>IFERROR(INDEX(TableRBCalcPts[TM],MATCH(TableRBRanks31[[#This Row],[Player]],TableRBCalcPts[PLAYER],0)),"")</f>
        <v>CAR</v>
      </c>
      <c r="S40">
        <f>IFERROR(INDEX(TableRBCalcPts[BYE],MATCH(TableRBRanks31[[#This Row],[Player]],TableRBCalcPts[PLAYER],0)),"")</f>
        <v>11</v>
      </c>
      <c r="T40" s="83">
        <f>IFERROR((VLOOKUP(TableRBRanks31[[#This Row],[Player]],RB!B:O,4,FALSE)),"")</f>
        <v>180.59346900000003</v>
      </c>
      <c r="U40" s="83">
        <f>IFERROR((VLOOKUP(TableRBRanks31[[#This Row],[Player]],RB!B:O,5,FALSE)),"")</f>
        <v>785.58159015000001</v>
      </c>
      <c r="V40" s="83">
        <f>IFERROR((VLOOKUP(TableRBRanks31[[#This Row],[Player]],RB!B:O,6,FALSE)),"")</f>
        <v>6.1401779460000014</v>
      </c>
      <c r="W40" s="83">
        <f>IFERROR((VLOOKUP(TableRBRanks31[[#This Row],[Player]],RB!B:O,7,FALSE)),"")</f>
        <v>23.166807999999996</v>
      </c>
      <c r="X40" s="83">
        <f>IFERROR((VLOOKUP(TableRBRanks31[[#This Row],[Player]],RB!B:O,8,FALSE)),"")</f>
        <v>17.027603879999997</v>
      </c>
      <c r="Y40" s="83">
        <f>IFERROR((VLOOKUP(TableRBRanks31[[#This Row],[Player]],RB!B:O,9,FALSE)),"")</f>
        <v>132.13420610879999</v>
      </c>
      <c r="Z40" s="83">
        <f>IFERROR((VLOOKUP(TableRBRanks31[[#This Row],[Player]],RB!B:O,10,FALSE)),"")</f>
        <v>0.61181323087015183</v>
      </c>
      <c r="AA40" s="57">
        <f>IFERROR((IFERROR(INDEX(TableRBCalcPts[Custom],MATCH(TableRBRanks31[[#This Row],[RK]],TableRBCalcPts[RK],0)),"")),"")</f>
        <v>140.79732862710091</v>
      </c>
      <c r="AB40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7.4477291643712897</v>
      </c>
      <c r="AD40">
        <v>39</v>
      </c>
      <c r="AE40" t="str">
        <f>IFERROR(INDEX(TableWRCalcPts[PLAYER],MATCH(TableWRRanks32[[#This Row],[RK]],TableWRCalcPts[RK],0)),"")</f>
        <v>DeAndre Hopkins</v>
      </c>
      <c r="AF40" t="str">
        <f>IFERROR(INDEX(TableWRCalcPts[TM],MATCH(TableWRRanks32[[#This Row],[Player]],TableWRCalcPts[PLAYER],0)),"")</f>
        <v>TEN</v>
      </c>
      <c r="AG40">
        <f>IFERROR(INDEX(TableWRCalcPts[BYE],MATCH(TableWRRanks32[[#This Row],[Player]],TableWRCalcPts[PLAYER],0)),"")</f>
        <v>5</v>
      </c>
      <c r="AH40" s="83">
        <f>IFERROR((VLOOKUP(TableWRRanks32[[#This Row],[Player]],WR!B:O,4,FALSE)),"")</f>
        <v>0</v>
      </c>
      <c r="AI40" s="83">
        <f>IFERROR((VLOOKUP(TableWRRanks32[[#This Row],[Player]],WR!B:O,5,FALSE)),"")</f>
        <v>0</v>
      </c>
      <c r="AJ40" s="83">
        <f>IFERROR((VLOOKUP(TableWRRanks32[[#This Row],[Player]],WR!B:O,6,FALSE)),"")</f>
        <v>123.21316853999998</v>
      </c>
      <c r="AK40" s="83">
        <f>IFERROR((VLOOKUP(TableWRRanks32[[#This Row],[Player]],WR!B:O,7,FALSE)),"")</f>
        <v>71.956490427359981</v>
      </c>
      <c r="AL40" s="83">
        <f>IFERROR((VLOOKUP(TableWRRanks32[[#This Row],[Player]],WR!B:O,8,FALSE)),"")</f>
        <v>978.60826981209573</v>
      </c>
      <c r="AM40" s="83">
        <f>IFERROR((VLOOKUP(TableWRRanks32[[#This Row],[Player]],WR!B:O,9,FALSE)),"")</f>
        <v>6.0596069195461588</v>
      </c>
      <c r="AN40" s="57">
        <f>IFERROR((IFERROR(INDEX(TableWRCalcPts[Custom],MATCH(TableWRRanks32[[#This Row],[RK]],TableWRCalcPts[RK],0)),"")),"")</f>
        <v>170.19671371216654</v>
      </c>
      <c r="AO40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10.011482004345076</v>
      </c>
      <c r="AQ40">
        <v>39</v>
      </c>
      <c r="AR40" t="str">
        <f>IFERROR(INDEX(TableTECalcPts[PLAYER],MATCH(TableTERanks33[[#This Row],[RK]],TableTECalcPts[RK],0)),"")</f>
        <v>Kylen Granson</v>
      </c>
      <c r="AS40" t="str">
        <f>IFERROR(INDEX(TableTECalcPts[TM],MATCH(TableTERanks33[[#This Row],[Player]],TableTECalcPts[PLAYER],0)),"")</f>
        <v>IND</v>
      </c>
      <c r="AT40">
        <f>IFERROR(INDEX(TableTECalcPts[BYE],MATCH(TableTERanks33[[#This Row],[Player]],TableTECalcPts[PLAYER],0)),"")</f>
        <v>14</v>
      </c>
      <c r="AU40" s="83">
        <f>IFERROR((VLOOKUP(TableTERanks33[[#This Row],[Player]],TE!B:O,4,FALSE)),"")</f>
        <v>40.247129999999999</v>
      </c>
      <c r="AV40" s="83">
        <f>IFERROR((VLOOKUP(TableTERanks33[[#This Row],[Player]],TE!B:O,5,FALSE)),"")</f>
        <v>24.832479209999999</v>
      </c>
      <c r="AW40" s="83">
        <f>IFERROR((VLOOKUP(TableTERanks33[[#This Row],[Player]],TE!B:O,6,FALSE)),"")</f>
        <v>276.35942204912243</v>
      </c>
      <c r="AX40" s="83">
        <f>IFERROR((VLOOKUP(TableTERanks33[[#This Row],[Player]],TE!B:O,7,FALSE)),"")</f>
        <v>1.9865983368</v>
      </c>
      <c r="AY40" s="57">
        <f>IFERROR((IFERROR(INDEX(TableTECalcPts[Custom],MATCH(TableTERanks33[[#This Row],[RK]],TableTECalcPts[RK],0)),"")),"")</f>
        <v>51.971771830712242</v>
      </c>
      <c r="AZ40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41" spans="1:52" x14ac:dyDescent="0.2">
      <c r="A41">
        <v>40</v>
      </c>
      <c r="B41" t="str">
        <f>IFERROR(INDEX(TableQBCalcPts[PLAYER],MATCH(TableQBRanks30[[#This Row],[RK]],TableQBCalcPts[RK],0)),"")</f>
        <v>Clayton Tune</v>
      </c>
      <c r="C41" t="str">
        <f>IFERROR(INDEX(TableQBCalcPts[TM],MATCH(TableQBRanks30[[#This Row],[Player]],TableQBCalcPts[PLAYER],0)),"")</f>
        <v>ARI</v>
      </c>
      <c r="D41">
        <f>IFERROR(INDEX(TableQBCalcPts[BYE],MATCH(TableQBRanks30[[#This Row],[Player]],TableQBCalcPts[PLAYER],0)),"")</f>
        <v>11</v>
      </c>
      <c r="E41" s="83">
        <f>IFERROR((VLOOKUP(TableQBRanks30[[#This Row],[Player]],QB!B:O,4,FALSE)),"")</f>
        <v>42.120750000000001</v>
      </c>
      <c r="F41" s="83">
        <f>IFERROR((VLOOKUP(TableQBRanks30[[#This Row],[Player]],QB!B:O,5,FALSE)),"")</f>
        <v>26.8730385</v>
      </c>
      <c r="G41" s="83">
        <f>IFERROR((VLOOKUP(TableQBRanks30[[#This Row],[Player]],QB!B:O,6,FALSE)),"")</f>
        <v>280.55452193999997</v>
      </c>
      <c r="H41" s="83">
        <f>IFERROR((VLOOKUP(TableQBRanks30[[#This Row],[Player]],QB!B:O,7,FALSE)),"")</f>
        <v>1.6326024684650131</v>
      </c>
      <c r="I41" s="83">
        <f>IFERROR((VLOOKUP(TableQBRanks30[[#This Row],[Player]],QB!B:O,8,FALSE)),"")</f>
        <v>0.64495292400000004</v>
      </c>
      <c r="J41" s="83">
        <f>IFERROR((VLOOKUP(TableQBRanks30[[#This Row],[Player]],QB!B:O,9,FALSE)),"")</f>
        <v>0</v>
      </c>
      <c r="K41" s="83">
        <f>IFERROR((VLOOKUP(TableQBRanks30[[#This Row],[Player]],QB!B:O,10,FALSE)),"")</f>
        <v>0</v>
      </c>
      <c r="L41" s="83">
        <f>IFERROR((VLOOKUP(TableQBRanks30[[#This Row],[Player]],QB!B:O,11,FALSE)),"")</f>
        <v>0</v>
      </c>
      <c r="M41" s="57">
        <f>IFERROR(INDEX(TableQBCalcPts[Custom],MATCH(TableQBRanks30[[#This Row],[RK]],TableQBCalcPts[RK],0)),"")</f>
        <v>16.462684903460051</v>
      </c>
      <c r="N41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41">
        <v>40</v>
      </c>
      <c r="Q41" t="str">
        <f>IFERROR(INDEX(TableRBCalcPts[PLAYER],MATCH(TableRBRanks31[[#This Row],[RK]],TableRBCalcPts[RK],0)),"")</f>
        <v>Ezekiel Elliott</v>
      </c>
      <c r="R41" t="str">
        <f>IFERROR(INDEX(TableRBCalcPts[TM],MATCH(TableRBRanks31[[#This Row],[Player]],TableRBCalcPts[PLAYER],0)),"")</f>
        <v>DAL</v>
      </c>
      <c r="S41">
        <f>IFERROR(INDEX(TableRBCalcPts[BYE],MATCH(TableRBRanks31[[#This Row],[Player]],TableRBCalcPts[PLAYER],0)),"")</f>
        <v>7</v>
      </c>
      <c r="T41" s="83">
        <f>IFERROR((VLOOKUP(TableRBRanks31[[#This Row],[Player]],RB!B:O,4,FALSE)),"")</f>
        <v>157.23885576000001</v>
      </c>
      <c r="U41" s="83">
        <f>IFERROR((VLOOKUP(TableRBRanks31[[#This Row],[Player]],RB!B:O,5,FALSE)),"")</f>
        <v>638.38975438559999</v>
      </c>
      <c r="V41" s="83">
        <f>IFERROR((VLOOKUP(TableRBRanks31[[#This Row],[Player]],RB!B:O,6,FALSE)),"")</f>
        <v>5.8178376631199997</v>
      </c>
      <c r="W41" s="83">
        <f>IFERROR((VLOOKUP(TableRBRanks31[[#This Row],[Player]],RB!B:O,7,FALSE)),"")</f>
        <v>38.419443719999983</v>
      </c>
      <c r="X41" s="83">
        <f>IFERROR((VLOOKUP(TableRBRanks31[[#This Row],[Player]],RB!B:O,8,FALSE)),"")</f>
        <v>29.006680008599986</v>
      </c>
      <c r="Y41" s="83">
        <f>IFERROR((VLOOKUP(TableRBRanks31[[#This Row],[Player]],RB!B:O,9,FALSE)),"")</f>
        <v>203.59727080790125</v>
      </c>
      <c r="Z41" s="83">
        <f>IFERROR((VLOOKUP(TableRBRanks31[[#This Row],[Player]],RB!B:O,10,FALSE)),"")</f>
        <v>1.1718579151996169</v>
      </c>
      <c r="AA41" s="57">
        <f>IFERROR((IFERROR(INDEX(TableRBCalcPts[Custom],MATCH(TableRBRanks31[[#This Row],[RK]],TableRBCalcPts[RK],0)),"")),"")</f>
        <v>140.64021599356784</v>
      </c>
      <c r="AB41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7.3917002905693314</v>
      </c>
      <c r="AD41">
        <v>40</v>
      </c>
      <c r="AE41" t="str">
        <f>IFERROR(INDEX(TableWRCalcPts[PLAYER],MATCH(TableWRRanks32[[#This Row],[RK]],TableWRCalcPts[RK],0)),"")</f>
        <v>Marquise Brown</v>
      </c>
      <c r="AF41" t="str">
        <f>IFERROR(INDEX(TableWRCalcPts[TM],MATCH(TableWRRanks32[[#This Row],[Player]],TableWRCalcPts[PLAYER],0)),"")</f>
        <v>KC</v>
      </c>
      <c r="AG41">
        <f>IFERROR(INDEX(TableWRCalcPts[BYE],MATCH(TableWRRanks32[[#This Row],[Player]],TableWRCalcPts[PLAYER],0)),"")</f>
        <v>6</v>
      </c>
      <c r="AH41" s="83">
        <f>IFERROR((VLOOKUP(TableWRRanks32[[#This Row],[Player]],WR!B:O,4,FALSE)),"")</f>
        <v>21.095244799999996</v>
      </c>
      <c r="AI41" s="83">
        <f>IFERROR((VLOOKUP(TableWRRanks32[[#This Row],[Player]],WR!B:O,5,FALSE)),"")</f>
        <v>9.9597622528370192E-3</v>
      </c>
      <c r="AJ41" s="83">
        <f>IFERROR((VLOOKUP(TableWRRanks32[[#This Row],[Player]],WR!B:O,6,FALSE)),"")</f>
        <v>115.98182399999997</v>
      </c>
      <c r="AK41" s="83">
        <f>IFERROR((VLOOKUP(TableWRRanks32[[#This Row],[Player]],WR!B:O,7,FALSE)),"")</f>
        <v>70.400967167999966</v>
      </c>
      <c r="AL41" s="83">
        <f>IFERROR((VLOOKUP(TableWRRanks32[[#This Row],[Player]],WR!B:O,8,FALSE)),"")</f>
        <v>916.62059252735958</v>
      </c>
      <c r="AM41" s="83">
        <f>IFERROR((VLOOKUP(TableWRRanks32[[#This Row],[Player]],WR!B:O,9,FALSE)),"")</f>
        <v>6.7584928481279967</v>
      </c>
      <c r="AN41" s="57">
        <f>IFERROR((IFERROR(INDEX(TableWRCalcPts[Custom],MATCH(TableWRRanks32[[#This Row],[RK]],TableWRCalcPts[RK],0)),"")),"")</f>
        <v>169.58278297902092</v>
      </c>
      <c r="AO41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9.7439886200629626</v>
      </c>
      <c r="AQ41">
        <v>40</v>
      </c>
      <c r="AR41" t="str">
        <f>IFERROR(INDEX(TableTECalcPts[PLAYER],MATCH(TableTERanks33[[#This Row],[RK]],TableTECalcPts[RK],0)),"")</f>
        <v>Will Dissly</v>
      </c>
      <c r="AS41" t="str">
        <f>IFERROR(INDEX(TableTECalcPts[TM],MATCH(TableTERanks33[[#This Row],[Player]],TableTECalcPts[PLAYER],0)),"")</f>
        <v>LAC</v>
      </c>
      <c r="AT41">
        <f>IFERROR(INDEX(TableTECalcPts[BYE],MATCH(TableTERanks33[[#This Row],[Player]],TableTECalcPts[PLAYER],0)),"")</f>
        <v>5</v>
      </c>
      <c r="AU41" s="83">
        <f>IFERROR((VLOOKUP(TableTERanks33[[#This Row],[Player]],TE!B:O,4,FALSE)),"")</f>
        <v>34.060073460000012</v>
      </c>
      <c r="AV41" s="83">
        <f>IFERROR((VLOOKUP(TableTERanks33[[#This Row],[Player]],TE!B:O,5,FALSE)),"")</f>
        <v>24.489192817740005</v>
      </c>
      <c r="AW41" s="83">
        <f>IFERROR((VLOOKUP(TableTERanks33[[#This Row],[Player]],TE!B:O,6,FALSE)),"")</f>
        <v>242.13702387302234</v>
      </c>
      <c r="AX41" s="83">
        <f>IFERROR((VLOOKUP(TableTERanks33[[#This Row],[Player]],TE!B:O,7,FALSE)),"")</f>
        <v>2.5713652458627005</v>
      </c>
      <c r="AY41" s="57">
        <f>IFERROR((IFERROR(INDEX(TableTECalcPts[Custom],MATCH(TableTERanks33[[#This Row],[RK]],TableTECalcPts[RK],0)),"")),"")</f>
        <v>51.886490271348435</v>
      </c>
      <c r="AZ41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42" spans="1:52" x14ac:dyDescent="0.2">
      <c r="A42">
        <v>41</v>
      </c>
      <c r="B42" t="str">
        <f>IFERROR(INDEX(TableQBCalcPts[PLAYER],MATCH(TableQBRanks30[[#This Row],[RK]],TableQBCalcPts[RK],0)),"")</f>
        <v>Jake Browning</v>
      </c>
      <c r="C42" t="str">
        <f>IFERROR(INDEX(TableQBCalcPts[TM],MATCH(TableQBRanks30[[#This Row],[Player]],TableQBCalcPts[PLAYER],0)),"")</f>
        <v>CIN</v>
      </c>
      <c r="D42">
        <f>IFERROR(INDEX(TableQBCalcPts[BYE],MATCH(TableQBRanks30[[#This Row],[Player]],TableQBCalcPts[PLAYER],0)),"")</f>
        <v>12</v>
      </c>
      <c r="E42" s="83">
        <f>IFERROR((VLOOKUP(TableQBRanks30[[#This Row],[Player]],QB!B:O,4,FALSE)),"")</f>
        <v>31.814700000000027</v>
      </c>
      <c r="F42" s="83">
        <f>IFERROR((VLOOKUP(TableQBRanks30[[#This Row],[Player]],QB!B:O,5,FALSE)),"")</f>
        <v>20.291968340903775</v>
      </c>
      <c r="G42" s="83">
        <f>IFERROR((VLOOKUP(TableQBRanks30[[#This Row],[Player]],QB!B:O,6,FALSE)),"")</f>
        <v>221.75122917517385</v>
      </c>
      <c r="H42" s="83">
        <f>IFERROR((VLOOKUP(TableQBRanks30[[#This Row],[Player]],QB!B:O,7,FALSE)),"")</f>
        <v>1.4634762000000012</v>
      </c>
      <c r="I42" s="83">
        <f>IFERROR((VLOOKUP(TableQBRanks30[[#This Row],[Player]],QB!B:O,8,FALSE)),"")</f>
        <v>0.45624839654329369</v>
      </c>
      <c r="J42" s="83">
        <f>IFERROR((VLOOKUP(TableQBRanks30[[#This Row],[Player]],QB!B:O,9,FALSE)),"")</f>
        <v>0</v>
      </c>
      <c r="K42" s="83">
        <f>IFERROR((VLOOKUP(TableQBRanks30[[#This Row],[Player]],QB!B:O,10,FALSE)),"")</f>
        <v>0</v>
      </c>
      <c r="L42" s="83">
        <f>IFERROR((VLOOKUP(TableQBRanks30[[#This Row],[Player]],QB!B:O,11,FALSE)),"")</f>
        <v>0</v>
      </c>
      <c r="M42" s="57">
        <f>IFERROR(INDEX(TableQBCalcPts[Custom],MATCH(TableQBRanks30[[#This Row],[RK]],TableQBCalcPts[RK],0)),"")</f>
        <v>13.811457173920372</v>
      </c>
      <c r="N42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42">
        <v>41</v>
      </c>
      <c r="Q42" t="str">
        <f>IFERROR(INDEX(TableRBCalcPts[PLAYER],MATCH(TableRBRanks31[[#This Row],[RK]],TableRBCalcPts[RK],0)),"")</f>
        <v>Jaylen Warren</v>
      </c>
      <c r="R42" t="str">
        <f>IFERROR(INDEX(TableRBCalcPts[TM],MATCH(TableRBRanks31[[#This Row],[Player]],TableRBCalcPts[PLAYER],0)),"")</f>
        <v>PIT</v>
      </c>
      <c r="S42">
        <f>IFERROR(INDEX(TableRBCalcPts[BYE],MATCH(TableRBRanks31[[#This Row],[Player]],TableRBCalcPts[PLAYER],0)),"")</f>
        <v>9</v>
      </c>
      <c r="T42" s="83">
        <f>IFERROR((VLOOKUP(TableRBRanks31[[#This Row],[Player]],RB!B:O,4,FALSE)),"")</f>
        <v>145.45944</v>
      </c>
      <c r="U42" s="83">
        <f>IFERROR((VLOOKUP(TableRBRanks31[[#This Row],[Player]],RB!B:O,5,FALSE)),"")</f>
        <v>674.93180159999997</v>
      </c>
      <c r="V42" s="83">
        <f>IFERROR((VLOOKUP(TableRBRanks31[[#This Row],[Player]],RB!B:O,6,FALSE)),"")</f>
        <v>4.8001615200000005</v>
      </c>
      <c r="W42" s="83">
        <f>IFERROR((VLOOKUP(TableRBRanks31[[#This Row],[Player]],RB!B:O,7,FALSE)),"")</f>
        <v>35.232959999999999</v>
      </c>
      <c r="X42" s="83">
        <f>IFERROR((VLOOKUP(TableRBRanks31[[#This Row],[Player]],RB!B:O,8,FALSE)),"")</f>
        <v>27.904504320000001</v>
      </c>
      <c r="Y42" s="83">
        <f>IFERROR((VLOOKUP(TableRBRanks31[[#This Row],[Player]],RB!B:O,9,FALSE)),"")</f>
        <v>196.44771041280001</v>
      </c>
      <c r="Z42" s="83">
        <f>IFERROR((VLOOKUP(TableRBRanks31[[#This Row],[Player]],RB!B:O,10,FALSE)),"")</f>
        <v>1.1719891814400001</v>
      </c>
      <c r="AA42" s="57">
        <f>IFERROR((IFERROR(INDEX(TableRBCalcPts[Custom],MATCH(TableRBRanks31[[#This Row],[RK]],TableRBCalcPts[RK],0)),"")),"")</f>
        <v>136.92310756992001</v>
      </c>
      <c r="AB42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6.0661200740495529</v>
      </c>
      <c r="AD42">
        <v>41</v>
      </c>
      <c r="AE42" t="str">
        <f>IFERROR(INDEX(TableWRCalcPts[PLAYER],MATCH(TableWRRanks32[[#This Row],[RK]],TableWRCalcPts[RK],0)),"")</f>
        <v>Chris Godwin</v>
      </c>
      <c r="AF42" t="str">
        <f>IFERROR(INDEX(TableWRCalcPts[TM],MATCH(TableWRRanks32[[#This Row],[Player]],TableWRCalcPts[PLAYER],0)),"")</f>
        <v>TB</v>
      </c>
      <c r="AG42">
        <f>IFERROR(INDEX(TableWRCalcPts[BYE],MATCH(TableWRRanks32[[#This Row],[Player]],TableWRCalcPts[PLAYER],0)),"")</f>
        <v>11</v>
      </c>
      <c r="AH42" s="83">
        <f>IFERROR((VLOOKUP(TableWRRanks32[[#This Row],[Player]],WR!B:O,4,FALSE)),"")</f>
        <v>21.251872907999999</v>
      </c>
      <c r="AI42" s="83">
        <f>IFERROR((VLOOKUP(TableWRRanks32[[#This Row],[Player]],WR!B:O,5,FALSE)),"")</f>
        <v>4.793562356510904E-2</v>
      </c>
      <c r="AJ42" s="83">
        <f>IFERROR((VLOOKUP(TableWRRanks32[[#This Row],[Player]],WR!B:O,6,FALSE)),"")</f>
        <v>124.54069319999999</v>
      </c>
      <c r="AK42" s="83">
        <f>IFERROR((VLOOKUP(TableWRRanks32[[#This Row],[Player]],WR!B:O,7,FALSE)),"")</f>
        <v>78.211555329599989</v>
      </c>
      <c r="AL42" s="83">
        <f>IFERROR((VLOOKUP(TableWRRanks32[[#This Row],[Player]],WR!B:O,8,FALSE)),"")</f>
        <v>954.11667382665075</v>
      </c>
      <c r="AM42" s="83">
        <f>IFERROR((VLOOKUP(TableWRRanks32[[#This Row],[Player]],WR!B:O,9,FALSE)),"")</f>
        <v>5.0603068112553515</v>
      </c>
      <c r="AN42" s="57">
        <f>IFERROR((IFERROR(INDEX(TableWRCalcPts[Custom],MATCH(TableWRRanks32[[#This Row],[RK]],TableWRCalcPts[RK],0)),"")),"")</f>
        <v>167.29208694718784</v>
      </c>
      <c r="AO42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8.7459183153282769</v>
      </c>
      <c r="AQ42">
        <v>41</v>
      </c>
      <c r="AR42" t="str">
        <f>IFERROR(INDEX(TableTECalcPts[PLAYER],MATCH(TableTERanks33[[#This Row],[RK]],TableTECalcPts[RK],0)),"")</f>
        <v>Mo Alie-Cox</v>
      </c>
      <c r="AS42" t="str">
        <f>IFERROR(INDEX(TableTECalcPts[TM],MATCH(TableTERanks33[[#This Row],[Player]],TableTECalcPts[PLAYER],0)),"")</f>
        <v>IND</v>
      </c>
      <c r="AT42">
        <f>IFERROR(INDEX(TableTECalcPts[BYE],MATCH(TableTERanks33[[#This Row],[Player]],TableTECalcPts[PLAYER],0)),"")</f>
        <v>14</v>
      </c>
      <c r="AU42" s="83">
        <f>IFERROR((VLOOKUP(TableTERanks33[[#This Row],[Player]],TE!B:O,4,FALSE)),"")</f>
        <v>33.270960800000005</v>
      </c>
      <c r="AV42" s="83">
        <f>IFERROR((VLOOKUP(TableTERanks33[[#This Row],[Player]],TE!B:O,5,FALSE)),"")</f>
        <v>20.395098970400003</v>
      </c>
      <c r="AW42" s="83">
        <f>IFERROR((VLOOKUP(TableTERanks33[[#This Row],[Player]],TE!B:O,6,FALSE)),"")</f>
        <v>237.34846304434652</v>
      </c>
      <c r="AX42" s="83">
        <f>IFERROR((VLOOKUP(TableTERanks33[[#This Row],[Player]],TE!B:O,7,FALSE)),"")</f>
        <v>2.3046461836552004</v>
      </c>
      <c r="AY42" s="57">
        <f>IFERROR((IFERROR(INDEX(TableTECalcPts[Custom],MATCH(TableTERanks33[[#This Row],[RK]],TableTECalcPts[RK],0)),"")),"")</f>
        <v>47.760272891565855</v>
      </c>
      <c r="AZ42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43" spans="1:52" x14ac:dyDescent="0.2">
      <c r="A43">
        <v>42</v>
      </c>
      <c r="B43" t="str">
        <f>IFERROR(INDEX(TableQBCalcPts[PLAYER],MATCH(TableQBRanks30[[#This Row],[RK]],TableQBCalcPts[RK],0)),"")</f>
        <v>Andy Dalton</v>
      </c>
      <c r="C43" t="str">
        <f>IFERROR(INDEX(TableQBCalcPts[TM],MATCH(TableQBRanks30[[#This Row],[Player]],TableQBCalcPts[PLAYER],0)),"")</f>
        <v>CAR</v>
      </c>
      <c r="D43">
        <f>IFERROR(INDEX(TableQBCalcPts[BYE],MATCH(TableQBRanks30[[#This Row],[Player]],TableQBCalcPts[PLAYER],0)),"")</f>
        <v>11</v>
      </c>
      <c r="E43" s="83">
        <f>IFERROR((VLOOKUP(TableQBRanks30[[#This Row],[Player]],QB!B:O,4,FALSE)),"")</f>
        <v>29.549499999999995</v>
      </c>
      <c r="F43" s="83">
        <f>IFERROR((VLOOKUP(TableQBRanks30[[#This Row],[Player]],QB!B:O,5,FALSE)),"")</f>
        <v>18.760309080324383</v>
      </c>
      <c r="G43" s="83">
        <f>IFERROR((VLOOKUP(TableQBRanks30[[#This Row],[Player]],QB!B:O,6,FALSE)),"")</f>
        <v>196.77815340596754</v>
      </c>
      <c r="H43" s="83">
        <f>IFERROR((VLOOKUP(TableQBRanks30[[#This Row],[Player]],QB!B:O,7,FALSE)),"")</f>
        <v>1.1305911558294797</v>
      </c>
      <c r="I43" s="83">
        <f>IFERROR((VLOOKUP(TableQBRanks30[[#This Row],[Player]],QB!B:O,8,FALSE)),"")</f>
        <v>0.29855173126554879</v>
      </c>
      <c r="J43" s="83">
        <f>IFERROR((VLOOKUP(TableQBRanks30[[#This Row],[Player]],QB!B:O,9,FALSE)),"")</f>
        <v>2.229549</v>
      </c>
      <c r="K43" s="83">
        <f>IFERROR((VLOOKUP(TableQBRanks30[[#This Row],[Player]],QB!B:O,10,FALSE)),"")</f>
        <v>7.644689341958248</v>
      </c>
      <c r="L43" s="83">
        <f>IFERROR((VLOOKUP(TableQBRanks30[[#This Row],[Player]],QB!B:O,11,FALSE)),"")</f>
        <v>3.8342828255850676E-2</v>
      </c>
      <c r="M43" s="57">
        <f>IFERROR(INDEX(TableQBCalcPts[Custom],MATCH(TableQBRanks30[[#This Row],[RK]],TableQBCalcPts[RK],0)),"")</f>
        <v>12.790913200756451</v>
      </c>
      <c r="N43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43">
        <v>42</v>
      </c>
      <c r="Q43" t="str">
        <f>IFERROR(INDEX(TableRBCalcPts[PLAYER],MATCH(TableRBRanks31[[#This Row],[RK]],TableRBCalcPts[RK],0)),"")</f>
        <v>Antonio Gibson</v>
      </c>
      <c r="R43" t="str">
        <f>IFERROR(INDEX(TableRBCalcPts[TM],MATCH(TableRBRanks31[[#This Row],[Player]],TableRBCalcPts[PLAYER],0)),"")</f>
        <v>NE</v>
      </c>
      <c r="S43">
        <f>IFERROR(INDEX(TableRBCalcPts[BYE],MATCH(TableRBRanks31[[#This Row],[Player]],TableRBCalcPts[PLAYER],0)),"")</f>
        <v>14</v>
      </c>
      <c r="T43" s="83">
        <f>IFERROR((VLOOKUP(TableRBRanks31[[#This Row],[Player]],RB!B:O,4,FALSE)),"")</f>
        <v>119.10150896000003</v>
      </c>
      <c r="U43" s="83">
        <f>IFERROR((VLOOKUP(TableRBRanks31[[#This Row],[Player]],RB!B:O,5,FALSE)),"")</f>
        <v>500.22633763200014</v>
      </c>
      <c r="V43" s="83">
        <f>IFERROR((VLOOKUP(TableRBRanks31[[#This Row],[Player]],RB!B:O,6,FALSE)),"")</f>
        <v>3.2157407419200008</v>
      </c>
      <c r="W43" s="83">
        <f>IFERROR((VLOOKUP(TableRBRanks31[[#This Row],[Player]],RB!B:O,7,FALSE)),"")</f>
        <v>52.153232319999994</v>
      </c>
      <c r="X43" s="83">
        <f>IFERROR((VLOOKUP(TableRBRanks31[[#This Row],[Player]],RB!B:O,8,FALSE)),"")</f>
        <v>39.219230704639997</v>
      </c>
      <c r="Y43" s="83">
        <f>IFERROR((VLOOKUP(TableRBRanks31[[#This Row],[Player]],RB!B:O,9,FALSE)),"")</f>
        <v>297.9215333019979</v>
      </c>
      <c r="Z43" s="83">
        <f>IFERROR((VLOOKUP(TableRBRanks31[[#This Row],[Player]],RB!B:O,10,FALSE)),"")</f>
        <v>1.3334538439577601</v>
      </c>
      <c r="AA43" s="57">
        <f>IFERROR((IFERROR(INDEX(TableRBCalcPts[Custom],MATCH(TableRBRanks31[[#This Row],[RK]],TableRBCalcPts[RK],0)),"")),"")</f>
        <v>126.71956996098638</v>
      </c>
      <c r="AB43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2.4273756384905765</v>
      </c>
      <c r="AD43">
        <v>42</v>
      </c>
      <c r="AE43" t="str">
        <f>IFERROR(INDEX(TableWRCalcPts[PLAYER],MATCH(TableWRRanks32[[#This Row],[RK]],TableWRCalcPts[RK],0)),"")</f>
        <v>Courtland Sutton</v>
      </c>
      <c r="AF43" t="str">
        <f>IFERROR(INDEX(TableWRCalcPts[TM],MATCH(TableWRRanks32[[#This Row],[Player]],TableWRCalcPts[PLAYER],0)),"")</f>
        <v>DEN</v>
      </c>
      <c r="AG43">
        <f>IFERROR(INDEX(TableWRCalcPts[BYE],MATCH(TableWRRanks32[[#This Row],[Player]],TableWRCalcPts[PLAYER],0)),"")</f>
        <v>14</v>
      </c>
      <c r="AH43" s="83">
        <f>IFERROR((VLOOKUP(TableWRRanks32[[#This Row],[Player]],WR!B:O,4,FALSE)),"")</f>
        <v>0</v>
      </c>
      <c r="AI43" s="83">
        <f>IFERROR((VLOOKUP(TableWRRanks32[[#This Row],[Player]],WR!B:O,5,FALSE)),"")</f>
        <v>0</v>
      </c>
      <c r="AJ43" s="83">
        <f>IFERROR((VLOOKUP(TableWRRanks32[[#This Row],[Player]],WR!B:O,6,FALSE)),"")</f>
        <v>121.05774040201003</v>
      </c>
      <c r="AK43" s="83">
        <f>IFERROR((VLOOKUP(TableWRRanks32[[#This Row],[Player]],WR!B:O,7,FALSE)),"")</f>
        <v>73.239932943216047</v>
      </c>
      <c r="AL43" s="83">
        <f>IFERROR((VLOOKUP(TableWRRanks32[[#This Row],[Player]],WR!B:O,8,FALSE)),"")</f>
        <v>920.62595709622576</v>
      </c>
      <c r="AM43" s="83">
        <f>IFERROR((VLOOKUP(TableWRRanks32[[#This Row],[Player]],WR!B:O,9,FALSE)),"")</f>
        <v>6.152154367230148</v>
      </c>
      <c r="AN43" s="57">
        <f>IFERROR((IFERROR(INDEX(TableWRCalcPts[Custom],MATCH(TableWRRanks32[[#This Row],[RK]],TableWRCalcPts[RK],0)),"")),"")</f>
        <v>165.59548838461149</v>
      </c>
      <c r="AO43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8.0066999202067031</v>
      </c>
      <c r="AQ43">
        <v>42</v>
      </c>
      <c r="AR43" t="str">
        <f>IFERROR(INDEX(TableTECalcPts[PLAYER],MATCH(TableTERanks33[[#This Row],[RK]],TableTECalcPts[RK],0)),"")</f>
        <v>Darnell Washington</v>
      </c>
      <c r="AS43" t="str">
        <f>IFERROR(INDEX(TableTECalcPts[TM],MATCH(TableTERanks33[[#This Row],[Player]],TableTECalcPts[PLAYER],0)),"")</f>
        <v>PIT</v>
      </c>
      <c r="AT43">
        <f>IFERROR(INDEX(TableTECalcPts[BYE],MATCH(TableTERanks33[[#This Row],[Player]],TableTECalcPts[PLAYER],0)),"")</f>
        <v>9</v>
      </c>
      <c r="AU43" s="83">
        <f>IFERROR((VLOOKUP(TableTERanks33[[#This Row],[Player]],TE!B:O,4,FALSE)),"")</f>
        <v>34.682445000000001</v>
      </c>
      <c r="AV43" s="83">
        <f>IFERROR((VLOOKUP(TableTERanks33[[#This Row],[Player]],TE!B:O,5,FALSE)),"")</f>
        <v>23.410650374999999</v>
      </c>
      <c r="AW43" s="83">
        <f>IFERROR((VLOOKUP(TableTERanks33[[#This Row],[Player]],TE!B:O,6,FALSE)),"")</f>
        <v>226.06959061951173</v>
      </c>
      <c r="AX43" s="83">
        <f>IFERROR((VLOOKUP(TableTERanks33[[#This Row],[Player]],TE!B:O,7,FALSE)),"")</f>
        <v>1.802620078875</v>
      </c>
      <c r="AY43" s="57">
        <f>IFERROR((IFERROR(INDEX(TableTECalcPts[Custom],MATCH(TableTERanks33[[#This Row],[RK]],TableTECalcPts[RK],0)),"")),"")</f>
        <v>45.128004722701178</v>
      </c>
      <c r="AZ43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44" spans="1:52" x14ac:dyDescent="0.2">
      <c r="A44">
        <v>43</v>
      </c>
      <c r="B44" t="str">
        <f>IFERROR(INDEX(TableQBCalcPts[PLAYER],MATCH(TableQBRanks30[[#This Row],[RK]],TableQBCalcPts[RK],0)),"")</f>
        <v>Kyle Trask</v>
      </c>
      <c r="C44" t="str">
        <f>IFERROR(INDEX(TableQBCalcPts[TM],MATCH(TableQBRanks30[[#This Row],[Player]],TableQBCalcPts[PLAYER],0)),"")</f>
        <v>TB</v>
      </c>
      <c r="D44">
        <f>IFERROR(INDEX(TableQBCalcPts[BYE],MATCH(TableQBRanks30[[#This Row],[Player]],TableQBCalcPts[PLAYER],0)),"")</f>
        <v>11</v>
      </c>
      <c r="E44" s="83">
        <f>IFERROR((VLOOKUP(TableQBRanks30[[#This Row],[Player]],QB!B:O,4,FALSE)),"")</f>
        <v>30.2577</v>
      </c>
      <c r="F44" s="83">
        <f>IFERROR((VLOOKUP(TableQBRanks30[[#This Row],[Player]],QB!B:O,5,FALSE)),"")</f>
        <v>18.279242523265864</v>
      </c>
      <c r="G44" s="83">
        <f>IFERROR((VLOOKUP(TableQBRanks30[[#This Row],[Player]],QB!B:O,6,FALSE)),"")</f>
        <v>195.47625204549624</v>
      </c>
      <c r="H44" s="83">
        <f>IFERROR((VLOOKUP(TableQBRanks30[[#This Row],[Player]],QB!B:O,7,FALSE)),"")</f>
        <v>1.3221907651230136</v>
      </c>
      <c r="I44" s="83">
        <f>IFERROR((VLOOKUP(TableQBRanks30[[#This Row],[Player]],QB!B:O,8,FALSE)),"")</f>
        <v>0.33145689666325179</v>
      </c>
      <c r="J44" s="83">
        <f>IFERROR((VLOOKUP(TableQBRanks30[[#This Row],[Player]],QB!B:O,9,FALSE)),"")</f>
        <v>0</v>
      </c>
      <c r="K44" s="83">
        <f>IFERROR((VLOOKUP(TableQBRanks30[[#This Row],[Player]],QB!B:O,10,FALSE)),"")</f>
        <v>0</v>
      </c>
      <c r="L44" s="83">
        <f>IFERROR((VLOOKUP(TableQBRanks30[[#This Row],[Player]],QB!B:O,11,FALSE)),"")</f>
        <v>0</v>
      </c>
      <c r="M44" s="57">
        <f>IFERROR(INDEX(TableQBCalcPts[Custom],MATCH(TableQBRanks30[[#This Row],[RK]],TableQBCalcPts[RK],0)),"")</f>
        <v>12.444899348985402</v>
      </c>
      <c r="N44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44">
        <v>43</v>
      </c>
      <c r="Q44" t="str">
        <f>IFERROR(INDEX(TableRBCalcPts[PLAYER],MATCH(TableRBRanks31[[#This Row],[RK]],TableRBCalcPts[RK],0)),"")</f>
        <v>Blake Corum</v>
      </c>
      <c r="R44" t="str">
        <f>IFERROR(INDEX(TableRBCalcPts[TM],MATCH(TableRBRanks31[[#This Row],[Player]],TableRBCalcPts[PLAYER],0)),"")</f>
        <v>LAR</v>
      </c>
      <c r="S44">
        <f>IFERROR(INDEX(TableRBCalcPts[BYE],MATCH(TableRBRanks31[[#This Row],[Player]],TableRBCalcPts[PLAYER],0)),"")</f>
        <v>6</v>
      </c>
      <c r="T44" s="83">
        <f>IFERROR((VLOOKUP(TableRBRanks31[[#This Row],[Player]],RB!B:O,4,FALSE)),"")</f>
        <v>150.40691316000002</v>
      </c>
      <c r="U44" s="83">
        <f>IFERROR((VLOOKUP(TableRBRanks31[[#This Row],[Player]],RB!B:O,5,FALSE)),"")</f>
        <v>646.59073959269938</v>
      </c>
      <c r="V44" s="83">
        <f>IFERROR((VLOOKUP(TableRBRanks31[[#This Row],[Player]],RB!B:O,6,FALSE)),"")</f>
        <v>6.1666834395600008</v>
      </c>
      <c r="W44" s="83">
        <f>IFERROR((VLOOKUP(TableRBRanks31[[#This Row],[Player]],RB!B:O,7,FALSE)),"")</f>
        <v>18.113163599999996</v>
      </c>
      <c r="X44" s="83">
        <f>IFERROR((VLOOKUP(TableRBRanks31[[#This Row],[Player]],RB!B:O,8,FALSE)),"")</f>
        <v>12.570535538399996</v>
      </c>
      <c r="Y44" s="83">
        <f>IFERROR((VLOOKUP(TableRBRanks31[[#This Row],[Player]],RB!B:O,9,FALSE)),"")</f>
        <v>95.748526766904803</v>
      </c>
      <c r="Z44" s="83">
        <f>IFERROR((VLOOKUP(TableRBRanks31[[#This Row],[Player]],RB!B:O,10,FALSE)),"")</f>
        <v>0.4467674951301272</v>
      </c>
      <c r="AA44" s="57">
        <f>IFERROR((IFERROR(INDEX(TableRBCalcPts[Custom],MATCH(TableRBRanks31[[#This Row],[RK]],TableRBCalcPts[RK],0)),"")),"")</f>
        <v>120.1999000133012</v>
      </c>
      <c r="AB44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0.10235723281040771</v>
      </c>
      <c r="AD44">
        <v>43</v>
      </c>
      <c r="AE44" t="str">
        <f>IFERROR(INDEX(TableWRCalcPts[PLAYER],MATCH(TableWRRanks32[[#This Row],[RK]],TableWRCalcPts[RK],0)),"")</f>
        <v>Jameson Williams</v>
      </c>
      <c r="AF44" t="str">
        <f>IFERROR(INDEX(TableWRCalcPts[TM],MATCH(TableWRRanks32[[#This Row],[Player]],TableWRCalcPts[PLAYER],0)),"")</f>
        <v>DET</v>
      </c>
      <c r="AG44">
        <f>IFERROR(INDEX(TableWRCalcPts[BYE],MATCH(TableWRRanks32[[#This Row],[Player]],TableWRCalcPts[PLAYER],0)),"")</f>
        <v>5</v>
      </c>
      <c r="AH44" s="83">
        <f>IFERROR((VLOOKUP(TableWRRanks32[[#This Row],[Player]],WR!B:O,4,FALSE)),"")</f>
        <v>0</v>
      </c>
      <c r="AI44" s="83">
        <f>IFERROR((VLOOKUP(TableWRRanks32[[#This Row],[Player]],WR!B:O,5,FALSE)),"")</f>
        <v>0</v>
      </c>
      <c r="AJ44" s="83">
        <f>IFERROR((VLOOKUP(TableWRRanks32[[#This Row],[Player]],WR!B:O,6,FALSE)),"")</f>
        <v>109.05212639999999</v>
      </c>
      <c r="AK44" s="83">
        <f>IFERROR((VLOOKUP(TableWRRanks32[[#This Row],[Player]],WR!B:O,7,FALSE)),"")</f>
        <v>65.21317158719998</v>
      </c>
      <c r="AL44" s="83">
        <f>IFERROR((VLOOKUP(TableWRRanks32[[#This Row],[Player]],WR!B:O,8,FALSE)),"")</f>
        <v>945.59098801439973</v>
      </c>
      <c r="AM44" s="83">
        <f>IFERROR((VLOOKUP(TableWRRanks32[[#This Row],[Player]],WR!B:O,9,FALSE)),"")</f>
        <v>6.288854839588943</v>
      </c>
      <c r="AN44" s="57">
        <f>IFERROR((IFERROR(INDEX(TableWRCalcPts[Custom],MATCH(TableWRRanks32[[#This Row],[RK]],TableWRCalcPts[RK],0)),"")),"")</f>
        <v>164.89881363257362</v>
      </c>
      <c r="AO44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7.7031544596110546</v>
      </c>
      <c r="AQ44">
        <v>43</v>
      </c>
      <c r="AR44" t="str">
        <f>IFERROR(INDEX(TableTECalcPts[PLAYER],MATCH(TableTERanks33[[#This Row],[RK]],TableTECalcPts[RK],0)),"")</f>
        <v>Josh Oliver</v>
      </c>
      <c r="AS44" t="str">
        <f>IFERROR(INDEX(TableTECalcPts[TM],MATCH(TableTERanks33[[#This Row],[Player]],TableTECalcPts[PLAYER],0)),"")</f>
        <v>MIN</v>
      </c>
      <c r="AT44">
        <f>IFERROR(INDEX(TableTECalcPts[BYE],MATCH(TableTERanks33[[#This Row],[Player]],TableTECalcPts[PLAYER],0)),"")</f>
        <v>6</v>
      </c>
      <c r="AU44" s="83">
        <f>IFERROR((VLOOKUP(TableTERanks33[[#This Row],[Player]],TE!B:O,4,FALSE)),"")</f>
        <v>36.082031999999998</v>
      </c>
      <c r="AV44" s="83">
        <f>IFERROR((VLOOKUP(TableTERanks33[[#This Row],[Player]],TE!B:O,5,FALSE)),"")</f>
        <v>23.200746576</v>
      </c>
      <c r="AW44" s="83">
        <f>IFERROR((VLOOKUP(TableTERanks33[[#This Row],[Player]],TE!B:O,6,FALSE)),"")</f>
        <v>220.66166838756078</v>
      </c>
      <c r="AX44" s="83">
        <f>IFERROR((VLOOKUP(TableTERanks33[[#This Row],[Player]],TE!B:O,7,FALSE)),"")</f>
        <v>1.5776507671680002</v>
      </c>
      <c r="AY44" s="57">
        <f>IFERROR((IFERROR(INDEX(TableTECalcPts[Custom],MATCH(TableTERanks33[[#This Row],[RK]],TableTECalcPts[RK],0)),"")),"")</f>
        <v>43.132444729764075</v>
      </c>
      <c r="AZ44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45" spans="1:52" x14ac:dyDescent="0.2">
      <c r="A45">
        <v>44</v>
      </c>
      <c r="B45" t="str">
        <f>IFERROR(INDEX(TableQBCalcPts[PLAYER],MATCH(TableQBRanks30[[#This Row],[RK]],TableQBCalcPts[RK],0)),"")</f>
        <v>Mason Rudolph</v>
      </c>
      <c r="C45" t="str">
        <f>IFERROR(INDEX(TableQBCalcPts[TM],MATCH(TableQBRanks30[[#This Row],[Player]],TableQBCalcPts[PLAYER],0)),"")</f>
        <v>TEN</v>
      </c>
      <c r="D45">
        <f>IFERROR(INDEX(TableQBCalcPts[BYE],MATCH(TableQBRanks30[[#This Row],[Player]],TableQBCalcPts[PLAYER],0)),"")</f>
        <v>5</v>
      </c>
      <c r="E45" s="83">
        <f>IFERROR((VLOOKUP(TableQBRanks30[[#This Row],[Player]],QB!B:O,4,FALSE)),"")</f>
        <v>29.513549999999999</v>
      </c>
      <c r="F45" s="83">
        <f>IFERROR((VLOOKUP(TableQBRanks30[[#This Row],[Player]],QB!B:O,5,FALSE)),"")</f>
        <v>17.938462494703408</v>
      </c>
      <c r="G45" s="83">
        <f>IFERROR((VLOOKUP(TableQBRanks30[[#This Row],[Player]],QB!B:O,6,FALSE)),"")</f>
        <v>195.53891869097635</v>
      </c>
      <c r="H45" s="83">
        <f>IFERROR((VLOOKUP(TableQBRanks30[[#This Row],[Player]],QB!B:O,7,FALSE)),"")</f>
        <v>1.1577646694624721</v>
      </c>
      <c r="I45" s="83">
        <f>IFERROR((VLOOKUP(TableQBRanks30[[#This Row],[Player]],QB!B:O,8,FALSE)),"")</f>
        <v>0.39208804466841635</v>
      </c>
      <c r="J45" s="83">
        <f>IFERROR((VLOOKUP(TableQBRanks30[[#This Row],[Player]],QB!B:O,9,FALSE)),"")</f>
        <v>0</v>
      </c>
      <c r="K45" s="83">
        <f>IFERROR((VLOOKUP(TableQBRanks30[[#This Row],[Player]],QB!B:O,10,FALSE)),"")</f>
        <v>0</v>
      </c>
      <c r="L45" s="83">
        <f>IFERROR((VLOOKUP(TableQBRanks30[[#This Row],[Player]],QB!B:O,11,FALSE)),"")</f>
        <v>0</v>
      </c>
      <c r="M45" s="57">
        <f>IFERROR(INDEX(TableQBCalcPts[Custom],MATCH(TableQBRanks30[[#This Row],[RK]],TableQBCalcPts[RK],0)),"")</f>
        <v>11.66843933615211</v>
      </c>
      <c r="N45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45">
        <v>44</v>
      </c>
      <c r="Q45" t="str">
        <f>IFERROR(INDEX(TableRBCalcPts[PLAYER],MATCH(TableRBRanks31[[#This Row],[RK]],TableRBCalcPts[RK],0)),"")</f>
        <v>Trey Benson</v>
      </c>
      <c r="R45" t="str">
        <f>IFERROR(INDEX(TableRBCalcPts[TM],MATCH(TableRBRanks31[[#This Row],[Player]],TableRBCalcPts[PLAYER],0)),"")</f>
        <v>ARI</v>
      </c>
      <c r="S45">
        <f>IFERROR(INDEX(TableRBCalcPts[BYE],MATCH(TableRBRanks31[[#This Row],[Player]],TableRBCalcPts[PLAYER],0)),"")</f>
        <v>11</v>
      </c>
      <c r="T45" s="83">
        <f>IFERROR((VLOOKUP(TableRBRanks31[[#This Row],[Player]],RB!B:O,4,FALSE)),"")</f>
        <v>147.09907800000002</v>
      </c>
      <c r="U45" s="83">
        <f>IFERROR((VLOOKUP(TableRBRanks31[[#This Row],[Player]],RB!B:O,5,FALSE)),"")</f>
        <v>647.23594320000018</v>
      </c>
      <c r="V45" s="83">
        <f>IFERROR((VLOOKUP(TableRBRanks31[[#This Row],[Player]],RB!B:O,6,FALSE)),"")</f>
        <v>4.898399297400001</v>
      </c>
      <c r="W45" s="83">
        <f>IFERROR((VLOOKUP(TableRBRanks31[[#This Row],[Player]],RB!B:O,7,FALSE)),"")</f>
        <v>23.587620000000001</v>
      </c>
      <c r="X45" s="83">
        <f>IFERROR((VLOOKUP(TableRBRanks31[[#This Row],[Player]],RB!B:O,8,FALSE)),"")</f>
        <v>17.619952140000002</v>
      </c>
      <c r="Y45" s="83">
        <f>IFERROR((VLOOKUP(TableRBRanks31[[#This Row],[Player]],RB!B:O,9,FALSE)),"")</f>
        <v>128.09008415144487</v>
      </c>
      <c r="Z45" s="83">
        <f>IFERROR((VLOOKUP(TableRBRanks31[[#This Row],[Player]],RB!B:O,10,FALSE)),"")</f>
        <v>0.69665028805866713</v>
      </c>
      <c r="AA45" s="57">
        <f>IFERROR((IFERROR(INDEX(TableRBCalcPts[Custom],MATCH(TableRBRanks31[[#This Row],[RK]],TableRBCalcPts[RK],0)),"")),"")</f>
        <v>119.91287631789652</v>
      </c>
      <c r="AB45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45">
        <v>44</v>
      </c>
      <c r="AE45" t="str">
        <f>IFERROR(INDEX(TableWRCalcPts[PLAYER],MATCH(TableWRRanks32[[#This Row],[RK]],TableWRCalcPts[RK],0)),"")</f>
        <v>Jaxon Smith-Njigba</v>
      </c>
      <c r="AF45" t="str">
        <f>IFERROR(INDEX(TableWRCalcPts[TM],MATCH(TableWRRanks32[[#This Row],[Player]],TableWRCalcPts[PLAYER],0)),"")</f>
        <v>SEA</v>
      </c>
      <c r="AG45">
        <f>IFERROR(INDEX(TableWRCalcPts[BYE],MATCH(TableWRRanks32[[#This Row],[Player]],TableWRCalcPts[PLAYER],0)),"")</f>
        <v>10</v>
      </c>
      <c r="AH45" s="83">
        <f>IFERROR((VLOOKUP(TableWRRanks32[[#This Row],[Player]],WR!B:O,4,FALSE)),"")</f>
        <v>0</v>
      </c>
      <c r="AI45" s="83">
        <f>IFERROR((VLOOKUP(TableWRRanks32[[#This Row],[Player]],WR!B:O,5,FALSE)),"")</f>
        <v>0</v>
      </c>
      <c r="AJ45" s="83">
        <f>IFERROR((VLOOKUP(TableWRRanks32[[#This Row],[Player]],WR!B:O,6,FALSE)),"")</f>
        <v>120.15986093999999</v>
      </c>
      <c r="AK45" s="83">
        <f>IFERROR((VLOOKUP(TableWRRanks32[[#This Row],[Player]],WR!B:O,7,FALSE)),"")</f>
        <v>79.786147664159998</v>
      </c>
      <c r="AL45" s="83">
        <f>IFERROR((VLOOKUP(TableWRRanks32[[#This Row],[Player]],WR!B:O,8,FALSE)),"")</f>
        <v>899.63366099845041</v>
      </c>
      <c r="AM45" s="83">
        <f>IFERROR((VLOOKUP(TableWRRanks32[[#This Row],[Player]],WR!B:O,9,FALSE)),"")</f>
        <v>5.6648164841553594</v>
      </c>
      <c r="AN45" s="57">
        <f>IFERROR((IFERROR(INDEX(TableWRCalcPts[Custom],MATCH(TableWRRanks32[[#This Row],[RK]],TableWRCalcPts[RK],0)),"")),"")</f>
        <v>163.8453388368572</v>
      </c>
      <c r="AO45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7.244149032535856</v>
      </c>
      <c r="AQ45">
        <v>44</v>
      </c>
      <c r="AR45" t="str">
        <f>IFERROR(INDEX(TableTECalcPts[PLAYER],MATCH(TableTERanks33[[#This Row],[RK]],TableTECalcPts[RK],0)),"")</f>
        <v>Tyler Higbee</v>
      </c>
      <c r="AS45" t="str">
        <f>IFERROR(INDEX(TableTECalcPts[TM],MATCH(TableTERanks33[[#This Row],[Player]],TableTECalcPts[PLAYER],0)),"")</f>
        <v>LAR</v>
      </c>
      <c r="AT45">
        <f>IFERROR(INDEX(TableTECalcPts[BYE],MATCH(TableTERanks33[[#This Row],[Player]],TableTECalcPts[PLAYER],0)),"")</f>
        <v>6</v>
      </c>
      <c r="AU45" s="83">
        <f>IFERROR((VLOOKUP(TableTERanks33[[#This Row],[Player]],TE!B:O,4,FALSE)),"")</f>
        <v>31.999922359999996</v>
      </c>
      <c r="AV45" s="83">
        <f>IFERROR((VLOOKUP(TableTERanks33[[#This Row],[Player]],TE!B:O,5,FALSE)),"")</f>
        <v>21.663947437719994</v>
      </c>
      <c r="AW45" s="83">
        <f>IFERROR((VLOOKUP(TableTERanks33[[#This Row],[Player]],TE!B:O,6,FALSE)),"")</f>
        <v>221.43123881704204</v>
      </c>
      <c r="AX45" s="83">
        <f>IFERROR((VLOOKUP(TableTERanks33[[#This Row],[Player]],TE!B:O,7,FALSE)),"")</f>
        <v>1.3037944325522695</v>
      </c>
      <c r="AY45" s="57">
        <f>IFERROR((IFERROR(INDEX(TableTECalcPts[Custom],MATCH(TableTERanks33[[#This Row],[RK]],TableTECalcPts[RK],0)),"")),"")</f>
        <v>40.797864195877821</v>
      </c>
      <c r="AZ45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46" spans="1:52" x14ac:dyDescent="0.2">
      <c r="A46">
        <v>45</v>
      </c>
      <c r="B46" t="str">
        <f>IFERROR(INDEX(TableQBCalcPts[PLAYER],MATCH(TableQBRanks30[[#This Row],[RK]],TableQBCalcPts[RK],0)),"")</f>
        <v>Joe Flacco</v>
      </c>
      <c r="C46" t="str">
        <f>IFERROR(INDEX(TableQBCalcPts[TM],MATCH(TableQBRanks30[[#This Row],[Player]],TableQBCalcPts[PLAYER],0)),"")</f>
        <v>IND</v>
      </c>
      <c r="D46">
        <f>IFERROR(INDEX(TableQBCalcPts[BYE],MATCH(TableQBRanks30[[#This Row],[Player]],TableQBCalcPts[PLAYER],0)),"")</f>
        <v>14</v>
      </c>
      <c r="E46" s="83">
        <f>IFERROR((VLOOKUP(TableQBRanks30[[#This Row],[Player]],QB!B:O,4,FALSE)),"")</f>
        <v>27.379000000000026</v>
      </c>
      <c r="F46" s="83">
        <f>IFERROR((VLOOKUP(TableQBRanks30[[#This Row],[Player]],QB!B:O,5,FALSE)),"")</f>
        <v>17.271477138695317</v>
      </c>
      <c r="G46" s="83">
        <f>IFERROR((VLOOKUP(TableQBRanks30[[#This Row],[Player]],QB!B:O,6,FALSE)),"")</f>
        <v>195.17699964440982</v>
      </c>
      <c r="H46" s="83">
        <f>IFERROR((VLOOKUP(TableQBRanks30[[#This Row],[Player]],QB!B:O,7,FALSE)),"")</f>
        <v>1.1600043658534644</v>
      </c>
      <c r="I46" s="83">
        <f>IFERROR((VLOOKUP(TableQBRanks30[[#This Row],[Player]],QB!B:O,8,FALSE)),"")</f>
        <v>0.38951239763541862</v>
      </c>
      <c r="J46" s="83">
        <f>IFERROR((VLOOKUP(TableQBRanks30[[#This Row],[Player]],QB!B:O,9,FALSE)),"")</f>
        <v>0</v>
      </c>
      <c r="K46" s="83">
        <f>IFERROR((VLOOKUP(TableQBRanks30[[#This Row],[Player]],QB!B:O,10,FALSE)),"")</f>
        <v>0</v>
      </c>
      <c r="L46" s="83">
        <f>IFERROR((VLOOKUP(TableQBRanks30[[#This Row],[Player]],QB!B:O,11,FALSE)),"")</f>
        <v>0</v>
      </c>
      <c r="M46" s="57">
        <f>IFERROR(INDEX(TableQBCalcPts[Custom],MATCH(TableQBRanks30[[#This Row],[RK]],TableQBCalcPts[RK],0)),"")</f>
        <v>11.668072653919413</v>
      </c>
      <c r="N46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46">
        <v>45</v>
      </c>
      <c r="Q46" t="str">
        <f>IFERROR(INDEX(TableRBCalcPts[PLAYER],MATCH(TableRBRanks31[[#This Row],[RK]],TableRBCalcPts[RK],0)),"")</f>
        <v>Ty Chandler</v>
      </c>
      <c r="R46" t="str">
        <f>IFERROR(INDEX(TableRBCalcPts[TM],MATCH(TableRBRanks31[[#This Row],[Player]],TableRBCalcPts[PLAYER],0)),"")</f>
        <v>MIN</v>
      </c>
      <c r="S46">
        <f>IFERROR(INDEX(TableRBCalcPts[BYE],MATCH(TableRBRanks31[[#This Row],[Player]],TableRBCalcPts[PLAYER],0)),"")</f>
        <v>6</v>
      </c>
      <c r="T46" s="83">
        <f>IFERROR((VLOOKUP(TableRBRanks31[[#This Row],[Player]],RB!B:O,4,FALSE)),"")</f>
        <v>145.57233600000001</v>
      </c>
      <c r="U46" s="83">
        <f>IFERROR((VLOOKUP(TableRBRanks31[[#This Row],[Player]],RB!B:O,5,FALSE)),"")</f>
        <v>627.07265185673066</v>
      </c>
      <c r="V46" s="83">
        <f>IFERROR((VLOOKUP(TableRBRanks31[[#This Row],[Player]],RB!B:O,6,FALSE)),"")</f>
        <v>4.6292002848000005</v>
      </c>
      <c r="W46" s="83">
        <f>IFERROR((VLOOKUP(TableRBRanks31[[#This Row],[Player]],RB!B:O,7,FALSE)),"")</f>
        <v>26.750471999999995</v>
      </c>
      <c r="X46" s="83">
        <f>IFERROR((VLOOKUP(TableRBRanks31[[#This Row],[Player]],RB!B:O,8,FALSE)),"")</f>
        <v>19.955852111999999</v>
      </c>
      <c r="Y46" s="83">
        <f>IFERROR((VLOOKUP(TableRBRanks31[[#This Row],[Player]],RB!B:O,9,FALSE)),"")</f>
        <v>146.23790344906081</v>
      </c>
      <c r="Z46" s="83">
        <f>IFERROR((VLOOKUP(TableRBRanks31[[#This Row],[Player]],RB!B:O,10,FALSE)),"")</f>
        <v>0.61863141547199996</v>
      </c>
      <c r="AA46" s="57">
        <f>IFERROR((IFERROR(INDEX(TableRBCalcPts[Custom],MATCH(TableRBRanks31[[#This Row],[RK]],TableRBCalcPts[RK],0)),"")),"")</f>
        <v>118.79597178821116</v>
      </c>
      <c r="AB46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46">
        <v>45</v>
      </c>
      <c r="AE46" t="str">
        <f>IFERROR(INDEX(TableWRCalcPts[PLAYER],MATCH(TableWRRanks32[[#This Row],[RK]],TableWRCalcPts[RK],0)),"")</f>
        <v>Xavier Worthy</v>
      </c>
      <c r="AF46" t="str">
        <f>IFERROR(INDEX(TableWRCalcPts[TM],MATCH(TableWRRanks32[[#This Row],[Player]],TableWRCalcPts[PLAYER],0)),"")</f>
        <v>KC</v>
      </c>
      <c r="AG46">
        <f>IFERROR(INDEX(TableWRCalcPts[BYE],MATCH(TableWRRanks32[[#This Row],[Player]],TableWRCalcPts[PLAYER],0)),"")</f>
        <v>6</v>
      </c>
      <c r="AH46" s="83">
        <f>IFERROR((VLOOKUP(TableWRRanks32[[#This Row],[Player]],WR!B:O,4,FALSE)),"")</f>
        <v>48.830028799999994</v>
      </c>
      <c r="AI46" s="83">
        <f>IFERROR((VLOOKUP(TableWRRanks32[[#This Row],[Player]],WR!B:O,5,FALSE)),"")</f>
        <v>4.0865895995797472E-2</v>
      </c>
      <c r="AJ46" s="83">
        <f>IFERROR((VLOOKUP(TableWRRanks32[[#This Row],[Player]],WR!B:O,6,FALSE)),"")</f>
        <v>100.22342399999998</v>
      </c>
      <c r="AK46" s="83">
        <f>IFERROR((VLOOKUP(TableWRRanks32[[#This Row],[Player]],WR!B:O,7,FALSE)),"")</f>
        <v>64.142991359999982</v>
      </c>
      <c r="AL46" s="83">
        <f>IFERROR((VLOOKUP(TableWRRanks32[[#This Row],[Player]],WR!B:O,8,FALSE)),"")</f>
        <v>885.17328076799981</v>
      </c>
      <c r="AM46" s="83">
        <f>IFERROR((VLOOKUP(TableWRRanks32[[#This Row],[Player]],WR!B:O,9,FALSE)),"")</f>
        <v>6.2860131532799981</v>
      </c>
      <c r="AN46" s="57">
        <f>IFERROR((IFERROR(INDEX(TableWRCalcPts[Custom],MATCH(TableWRRanks32[[#This Row],[RK]],TableWRCalcPts[RK],0)),"")),"")</f>
        <v>163.43310093245475</v>
      </c>
      <c r="AO46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7.0645344502637197</v>
      </c>
      <c r="AQ46">
        <v>45</v>
      </c>
      <c r="AR46" t="str">
        <f>IFERROR(INDEX(TableTECalcPts[PLAYER],MATCH(TableTERanks33[[#This Row],[RK]],TableTECalcPts[RK],0)),"")</f>
        <v>Taysom Hill</v>
      </c>
      <c r="AS46" t="str">
        <f>IFERROR(INDEX(TableTECalcPts[TM],MATCH(TableTERanks33[[#This Row],[Player]],TableTECalcPts[PLAYER],0)),"")</f>
        <v>NO</v>
      </c>
      <c r="AT46">
        <f>IFERROR(INDEX(TableTECalcPts[BYE],MATCH(TableTERanks33[[#This Row],[Player]],TableTECalcPts[PLAYER],0)),"")</f>
        <v>12</v>
      </c>
      <c r="AU46" s="83">
        <f>IFERROR((VLOOKUP(TableTERanks33[[#This Row],[Player]],TE!B:O,4,FALSE)),"")</f>
        <v>30.598312051999994</v>
      </c>
      <c r="AV46" s="83">
        <f>IFERROR((VLOOKUP(TableTERanks33[[#This Row],[Player]],TE!B:O,5,FALSE)),"")</f>
        <v>21.174031939983998</v>
      </c>
      <c r="AW46" s="83">
        <f>IFERROR((VLOOKUP(TableTERanks33[[#This Row],[Player]],TE!B:O,6,FALSE)),"")</f>
        <v>201.78852438804748</v>
      </c>
      <c r="AX46" s="83">
        <f>IFERROR((VLOOKUP(TableTERanks33[[#This Row],[Player]],TE!B:O,7,FALSE)),"")</f>
        <v>1.5880523954987997</v>
      </c>
      <c r="AY46" s="57">
        <f>IFERROR((IFERROR(INDEX(TableTECalcPts[Custom],MATCH(TableTERanks33[[#This Row],[RK]],TableTECalcPts[RK],0)),"")),"")</f>
        <v>40.294182781789544</v>
      </c>
      <c r="AZ46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47" spans="1:52" x14ac:dyDescent="0.2">
      <c r="A47">
        <v>46</v>
      </c>
      <c r="B47" t="str">
        <f>IFERROR(INDEX(TableQBCalcPts[PLAYER],MATCH(TableQBRanks30[[#This Row],[RK]],TableQBCalcPts[RK],0)),"")</f>
        <v>Josh Johnson</v>
      </c>
      <c r="C47" t="str">
        <f>IFERROR(INDEX(TableQBCalcPts[TM],MATCH(TableQBRanks30[[#This Row],[Player]],TableQBCalcPts[PLAYER],0)),"")</f>
        <v>BAL</v>
      </c>
      <c r="D47">
        <f>IFERROR(INDEX(TableQBCalcPts[BYE],MATCH(TableQBRanks30[[#This Row],[Player]],TableQBCalcPts[PLAYER],0)),"")</f>
        <v>14</v>
      </c>
      <c r="E47" s="83">
        <f>IFERROR((VLOOKUP(TableQBRanks30[[#This Row],[Player]],QB!B:O,4,FALSE)),"")</f>
        <v>27.007600000000004</v>
      </c>
      <c r="F47" s="83">
        <f>IFERROR((VLOOKUP(TableQBRanks30[[#This Row],[Player]],QB!B:O,5,FALSE)),"")</f>
        <v>16.768955016033789</v>
      </c>
      <c r="G47" s="83">
        <f>IFERROR((VLOOKUP(TableQBRanks30[[#This Row],[Player]],QB!B:O,6,FALSE)),"")</f>
        <v>155.59096621381255</v>
      </c>
      <c r="H47" s="83">
        <f>IFERROR((VLOOKUP(TableQBRanks30[[#This Row],[Player]],QB!B:O,7,FALSE)),"")</f>
        <v>1.133631850193759</v>
      </c>
      <c r="I47" s="83">
        <f>IFERROR((VLOOKUP(TableQBRanks30[[#This Row],[Player]],QB!B:O,8,FALSE)),"")</f>
        <v>0.31743578080914431</v>
      </c>
      <c r="J47" s="83">
        <f>IFERROR((VLOOKUP(TableQBRanks30[[#This Row],[Player]],QB!B:O,9,FALSE)),"")</f>
        <v>2.6256551999999997</v>
      </c>
      <c r="K47" s="83">
        <f>IFERROR((VLOOKUP(TableQBRanks30[[#This Row],[Player]],QB!B:O,10,FALSE)),"")</f>
        <v>9.9377476512431109</v>
      </c>
      <c r="L47" s="83">
        <f>IFERROR((VLOOKUP(TableQBRanks30[[#This Row],[Player]],QB!B:O,11,FALSE)),"")</f>
        <v>8.5903673531190453E-2</v>
      </c>
      <c r="M47" s="57">
        <f>IFERROR(INDEX(TableQBCalcPts[Custom],MATCH(TableQBRanks30[[#This Row],[RK]],TableQBCalcPts[RK],0)),"")</f>
        <v>11.632491294020705</v>
      </c>
      <c r="N47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47">
        <v>46</v>
      </c>
      <c r="Q47" t="str">
        <f>IFERROR(INDEX(TableRBCalcPts[PLAYER],MATCH(TableRBRanks31[[#This Row],[RK]],TableRBCalcPts[RK],0)),"")</f>
        <v>Tyler Allgeier</v>
      </c>
      <c r="R47" t="str">
        <f>IFERROR(INDEX(TableRBCalcPts[TM],MATCH(TableRBRanks31[[#This Row],[Player]],TableRBCalcPts[PLAYER],0)),"")</f>
        <v>ATL</v>
      </c>
      <c r="S47">
        <f>IFERROR(INDEX(TableRBCalcPts[BYE],MATCH(TableRBRanks31[[#This Row],[Player]],TableRBCalcPts[PLAYER],0)),"")</f>
        <v>12</v>
      </c>
      <c r="T47" s="83">
        <f>IFERROR((VLOOKUP(TableRBRanks31[[#This Row],[Player]],RB!B:O,4,FALSE)),"")</f>
        <v>116.19326880000001</v>
      </c>
      <c r="U47" s="83">
        <f>IFERROR((VLOOKUP(TableRBRanks31[[#This Row],[Player]],RB!B:O,5,FALSE)),"")</f>
        <v>493.82139240000004</v>
      </c>
      <c r="V47" s="83">
        <f>IFERROR((VLOOKUP(TableRBRanks31[[#This Row],[Player]],RB!B:O,6,FALSE)),"")</f>
        <v>4.0667644080000009</v>
      </c>
      <c r="W47" s="83">
        <f>IFERROR((VLOOKUP(TableRBRanks31[[#This Row],[Player]],RB!B:O,7,FALSE)),"")</f>
        <v>32.782669919999996</v>
      </c>
      <c r="X47" s="83">
        <f>IFERROR((VLOOKUP(TableRBRanks31[[#This Row],[Player]],RB!B:O,8,FALSE)),"")</f>
        <v>26.193353266079999</v>
      </c>
      <c r="Y47" s="83">
        <f>IFERROR((VLOOKUP(TableRBRanks31[[#This Row],[Player]],RB!B:O,9,FALSE)),"")</f>
        <v>210.51857801746371</v>
      </c>
      <c r="Z47" s="83">
        <f>IFERROR((VLOOKUP(TableRBRanks31[[#This Row],[Player]],RB!B:O,10,FALSE)),"")</f>
        <v>1.3485057381283587</v>
      </c>
      <c r="AA47" s="57">
        <f>IFERROR((IFERROR(INDEX(TableRBCalcPts[Custom],MATCH(TableRBRanks31[[#This Row],[RK]],TableRBCalcPts[RK],0)),"")),"")</f>
        <v>116.02229455155656</v>
      </c>
      <c r="AB47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47">
        <v>46</v>
      </c>
      <c r="AE47" t="str">
        <f>IFERROR(INDEX(TableWRCalcPts[PLAYER],MATCH(TableWRRanks32[[#This Row],[RK]],TableWRCalcPts[RK],0)),"")</f>
        <v>Ladd McConkey</v>
      </c>
      <c r="AF47" t="str">
        <f>IFERROR(INDEX(TableWRCalcPts[TM],MATCH(TableWRRanks32[[#This Row],[Player]],TableWRCalcPts[PLAYER],0)),"")</f>
        <v>LAC</v>
      </c>
      <c r="AG47">
        <f>IFERROR(INDEX(TableWRCalcPts[BYE],MATCH(TableWRRanks32[[#This Row],[Player]],TableWRCalcPts[PLAYER],0)),"")</f>
        <v>5</v>
      </c>
      <c r="AH47" s="83">
        <f>IFERROR((VLOOKUP(TableWRRanks32[[#This Row],[Player]],WR!B:O,4,FALSE)),"")</f>
        <v>0</v>
      </c>
      <c r="AI47" s="83">
        <f>IFERROR((VLOOKUP(TableWRRanks32[[#This Row],[Player]],WR!B:O,5,FALSE)),"")</f>
        <v>0</v>
      </c>
      <c r="AJ47" s="83">
        <f>IFERROR((VLOOKUP(TableWRRanks32[[#This Row],[Player]],WR!B:O,6,FALSE)),"")</f>
        <v>115.58090502000003</v>
      </c>
      <c r="AK47" s="83">
        <f>IFERROR((VLOOKUP(TableWRRanks32[[#This Row],[Player]],WR!B:O,7,FALSE)),"")</f>
        <v>76.63014002826003</v>
      </c>
      <c r="AL47" s="83">
        <f>IFERROR((VLOOKUP(TableWRRanks32[[#This Row],[Player]],WR!B:O,8,FALSE)),"")</f>
        <v>923.39318734053336</v>
      </c>
      <c r="AM47" s="83">
        <f>IFERROR((VLOOKUP(TableWRRanks32[[#This Row],[Player]],WR!B:O,9,FALSE)),"")</f>
        <v>5.4407399420064619</v>
      </c>
      <c r="AN47" s="57">
        <f>IFERROR((IFERROR(INDEX(TableWRCalcPts[Custom],MATCH(TableWRRanks32[[#This Row],[RK]],TableWRCalcPts[RK],0)),"")),"")</f>
        <v>163.29882840022213</v>
      </c>
      <c r="AO47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7.0060310847797984</v>
      </c>
      <c r="AQ47">
        <v>46</v>
      </c>
      <c r="AR47" t="str">
        <f>IFERROR(INDEX(TableTECalcPts[PLAYER],MATCH(TableTERanks33[[#This Row],[RK]],TableTECalcPts[RK],0)),"")</f>
        <v>Jeremy Ruckert</v>
      </c>
      <c r="AS47" t="str">
        <f>IFERROR(INDEX(TableTECalcPts[TM],MATCH(TableTERanks33[[#This Row],[Player]],TableTECalcPts[PLAYER],0)),"")</f>
        <v>NYJ</v>
      </c>
      <c r="AT47">
        <f>IFERROR(INDEX(TableTECalcPts[BYE],MATCH(TableTERanks33[[#This Row],[Player]],TableTECalcPts[PLAYER],0)),"")</f>
        <v>12</v>
      </c>
      <c r="AU47" s="83">
        <f>IFERROR((VLOOKUP(TableTERanks33[[#This Row],[Player]],TE!B:O,4,FALSE)),"")</f>
        <v>30.218107919999987</v>
      </c>
      <c r="AV47" s="83">
        <f>IFERROR((VLOOKUP(TableTERanks33[[#This Row],[Player]],TE!B:O,5,FALSE)),"")</f>
        <v>20.699403925199992</v>
      </c>
      <c r="AW47" s="83">
        <f>IFERROR((VLOOKUP(TableTERanks33[[#This Row],[Player]],TE!B:O,6,FALSE)),"")</f>
        <v>207.80391532112876</v>
      </c>
      <c r="AX47" s="83">
        <f>IFERROR((VLOOKUP(TableTERanks33[[#This Row],[Player]],TE!B:O,7,FALSE)),"")</f>
        <v>1.4903570826143993</v>
      </c>
      <c r="AY47" s="57">
        <f>IFERROR((IFERROR(INDEX(TableTECalcPts[Custom],MATCH(TableTERanks33[[#This Row],[RK]],TableTECalcPts[RK],0)),"")),"")</f>
        <v>40.072235990399271</v>
      </c>
      <c r="AZ47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48" spans="1:52" x14ac:dyDescent="0.2">
      <c r="A48">
        <v>47</v>
      </c>
      <c r="B48" t="str">
        <f>IFERROR(INDEX(TableQBCalcPts[PLAYER],MATCH(TableQBRanks30[[#This Row],[RK]],TableQBCalcPts[RK],0)),"")</f>
        <v>Marcus Mariota</v>
      </c>
      <c r="C48" t="str">
        <f>IFERROR(INDEX(TableQBCalcPts[TM],MATCH(TableQBRanks30[[#This Row],[Player]],TableQBCalcPts[PLAYER],0)),"")</f>
        <v>WSH</v>
      </c>
      <c r="D48">
        <f>IFERROR(INDEX(TableQBCalcPts[BYE],MATCH(TableQBRanks30[[#This Row],[Player]],TableQBCalcPts[PLAYER],0)),"")</f>
        <v>14</v>
      </c>
      <c r="E48" s="83">
        <f>IFERROR((VLOOKUP(TableQBRanks30[[#This Row],[Player]],QB!B:O,4,FALSE)),"")</f>
        <v>28.907000000000007</v>
      </c>
      <c r="F48" s="83">
        <f>IFERROR((VLOOKUP(TableQBRanks30[[#This Row],[Player]],QB!B:O,5,FALSE)),"")</f>
        <v>17.869970931708892</v>
      </c>
      <c r="G48" s="83">
        <f>IFERROR((VLOOKUP(TableQBRanks30[[#This Row],[Player]],QB!B:O,6,FALSE)),"")</f>
        <v>192.98012616920033</v>
      </c>
      <c r="H48" s="83">
        <f>IFERROR((VLOOKUP(TableQBRanks30[[#This Row],[Player]],QB!B:O,7,FALSE)),"")</f>
        <v>1.0816178234964848</v>
      </c>
      <c r="I48" s="83">
        <f>IFERROR((VLOOKUP(TableQBRanks30[[#This Row],[Player]],QB!B:O,8,FALSE)),"")</f>
        <v>0.43381455056679014</v>
      </c>
      <c r="J48" s="83">
        <f>IFERROR((VLOOKUP(TableQBRanks30[[#This Row],[Player]],QB!B:O,9,FALSE)),"")</f>
        <v>0</v>
      </c>
      <c r="K48" s="83">
        <f>IFERROR((VLOOKUP(TableQBRanks30[[#This Row],[Player]],QB!B:O,10,FALSE)),"")</f>
        <v>0</v>
      </c>
      <c r="L48" s="83">
        <f>IFERROR((VLOOKUP(TableQBRanks30[[#This Row],[Player]],QB!B:O,11,FALSE)),"")</f>
        <v>0</v>
      </c>
      <c r="M48" s="57">
        <f>IFERROR(INDEX(TableQBCalcPts[Custom],MATCH(TableQBRanks30[[#This Row],[RK]],TableQBCalcPts[RK],0)),"")</f>
        <v>11.178047239620373</v>
      </c>
      <c r="N48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48">
        <v>47</v>
      </c>
      <c r="Q48" t="str">
        <f>IFERROR(INDEX(TableRBCalcPts[PLAYER],MATCH(TableRBRanks31[[#This Row],[RK]],TableRBCalcPts[RK],0)),"")</f>
        <v>Rico Dowdle</v>
      </c>
      <c r="R48" t="str">
        <f>IFERROR(INDEX(TableRBCalcPts[TM],MATCH(TableRBRanks31[[#This Row],[Player]],TableRBCalcPts[PLAYER],0)),"")</f>
        <v>DAL</v>
      </c>
      <c r="S48">
        <f>IFERROR(INDEX(TableRBCalcPts[BYE],MATCH(TableRBRanks31[[#This Row],[Player]],TableRBCalcPts[PLAYER],0)),"")</f>
        <v>7</v>
      </c>
      <c r="T48" s="83">
        <f>IFERROR((VLOOKUP(TableRBRanks31[[#This Row],[Player]],RB!B:O,4,FALSE)),"")</f>
        <v>109.52186196000001</v>
      </c>
      <c r="U48" s="83">
        <f>IFERROR((VLOOKUP(TableRBRanks31[[#This Row],[Player]],RB!B:O,5,FALSE)),"")</f>
        <v>463.27747609080006</v>
      </c>
      <c r="V48" s="83">
        <f>IFERROR((VLOOKUP(TableRBRanks31[[#This Row],[Player]],RB!B:O,6,FALSE)),"")</f>
        <v>3.8332651686000005</v>
      </c>
      <c r="W48" s="83">
        <f>IFERROR((VLOOKUP(TableRBRanks31[[#This Row],[Player]],RB!B:O,7,FALSE)),"")</f>
        <v>35.980113959999983</v>
      </c>
      <c r="X48" s="83">
        <f>IFERROR((VLOOKUP(TableRBRanks31[[#This Row],[Player]],RB!B:O,8,FALSE)),"")</f>
        <v>26.445383760599984</v>
      </c>
      <c r="Y48" s="83">
        <f>IFERROR((VLOOKUP(TableRBRanks31[[#This Row],[Player]],RB!B:O,9,FALSE)),"")</f>
        <v>206.27399333267988</v>
      </c>
      <c r="Z48" s="83">
        <f>IFERROR((VLOOKUP(TableRBRanks31[[#This Row],[Player]],RB!B:O,10,FALSE)),"")</f>
        <v>1.3222691880299993</v>
      </c>
      <c r="AA48" s="57">
        <f>IFERROR((IFERROR(INDEX(TableRBCalcPts[Custom],MATCH(TableRBRanks31[[#This Row],[RK]],TableRBCalcPts[RK],0)),"")),"")</f>
        <v>111.11104496242798</v>
      </c>
      <c r="AB48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48">
        <v>47</v>
      </c>
      <c r="AE48" t="str">
        <f>IFERROR(INDEX(TableWRCalcPts[PLAYER],MATCH(TableWRRanks32[[#This Row],[RK]],TableWRCalcPts[RK],0)),"")</f>
        <v>Tyler Lockett</v>
      </c>
      <c r="AF48" t="str">
        <f>IFERROR(INDEX(TableWRCalcPts[TM],MATCH(TableWRRanks32[[#This Row],[Player]],TableWRCalcPts[PLAYER],0)),"")</f>
        <v>SEA</v>
      </c>
      <c r="AG48">
        <f>IFERROR(INDEX(TableWRCalcPts[BYE],MATCH(TableWRRanks32[[#This Row],[Player]],TableWRCalcPts[PLAYER],0)),"")</f>
        <v>10</v>
      </c>
      <c r="AH48" s="83">
        <f>IFERROR((VLOOKUP(TableWRRanks32[[#This Row],[Player]],WR!B:O,4,FALSE)),"")</f>
        <v>0</v>
      </c>
      <c r="AI48" s="83">
        <f>IFERROR((VLOOKUP(TableWRRanks32[[#This Row],[Player]],WR!B:O,5,FALSE)),"")</f>
        <v>0</v>
      </c>
      <c r="AJ48" s="83">
        <f>IFERROR((VLOOKUP(TableWRRanks32[[#This Row],[Player]],WR!B:O,6,FALSE)),"")</f>
        <v>118.99889609999998</v>
      </c>
      <c r="AK48" s="83">
        <f>IFERROR((VLOOKUP(TableWRRanks32[[#This Row],[Player]],WR!B:O,7,FALSE)),"")</f>
        <v>77.587280257199993</v>
      </c>
      <c r="AL48" s="83">
        <f>IFERROR((VLOOKUP(TableWRRanks32[[#This Row],[Player]],WR!B:O,8,FALSE)),"")</f>
        <v>890.7254198585324</v>
      </c>
      <c r="AM48" s="83">
        <f>IFERROR((VLOOKUP(TableWRRanks32[[#This Row],[Player]],WR!B:O,9,FALSE)),"")</f>
        <v>5.7414587390327991</v>
      </c>
      <c r="AN48" s="57">
        <f>IFERROR((IFERROR(INDEX(TableWRCalcPts[Custom],MATCH(TableWRRanks32[[#This Row],[RK]],TableWRCalcPts[RK],0)),"")),"")</f>
        <v>162.31493454865003</v>
      </c>
      <c r="AO48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6.5773425016510556</v>
      </c>
      <c r="AQ48">
        <v>47</v>
      </c>
      <c r="AR48" t="str">
        <f>IFERROR(INDEX(TableTECalcPts[PLAYER],MATCH(TableTERanks33[[#This Row],[RK]],TableTECalcPts[RK],0)),"")</f>
        <v>Austin Hooper</v>
      </c>
      <c r="AS48" t="str">
        <f>IFERROR(INDEX(TableTECalcPts[TM],MATCH(TableTERanks33[[#This Row],[Player]],TableTECalcPts[PLAYER],0)),"")</f>
        <v>NE</v>
      </c>
      <c r="AT48">
        <f>IFERROR(INDEX(TableTECalcPts[BYE],MATCH(TableTERanks33[[#This Row],[Player]],TableTECalcPts[PLAYER],0)),"")</f>
        <v>14</v>
      </c>
      <c r="AU48" s="83">
        <f>IFERROR((VLOOKUP(TableTERanks33[[#This Row],[Player]],TE!B:O,4,FALSE)),"")</f>
        <v>30.611679840000001</v>
      </c>
      <c r="AV48" s="83">
        <f>IFERROR((VLOOKUP(TableTERanks33[[#This Row],[Player]],TE!B:O,5,FALSE)),"")</f>
        <v>19.866980216160002</v>
      </c>
      <c r="AW48" s="83">
        <f>IFERROR((VLOOKUP(TableTERanks33[[#This Row],[Player]],TE!B:O,6,FALSE)),"")</f>
        <v>187.84907374737665</v>
      </c>
      <c r="AX48" s="83">
        <f>IFERROR((VLOOKUP(TableTERanks33[[#This Row],[Player]],TE!B:O,7,FALSE)),"")</f>
        <v>1.1920188129696001</v>
      </c>
      <c r="AY48" s="57">
        <f>IFERROR((IFERROR(INDEX(TableTECalcPts[Custom],MATCH(TableTERanks33[[#This Row],[RK]],TableTECalcPts[RK],0)),"")),"")</f>
        <v>35.870510360635265</v>
      </c>
      <c r="AZ48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49" spans="1:52" x14ac:dyDescent="0.2">
      <c r="A49">
        <v>48</v>
      </c>
      <c r="B49" t="str">
        <f>IFERROR(INDEX(TableQBCalcPts[PLAYER],MATCH(TableQBRanks30[[#This Row],[RK]],TableQBCalcPts[RK],0)),"")</f>
        <v>Jimmy Garoppolo</v>
      </c>
      <c r="C49" t="str">
        <f>IFERROR(INDEX(TableQBCalcPts[TM],MATCH(TableQBRanks30[[#This Row],[Player]],TableQBCalcPts[PLAYER],0)),"")</f>
        <v>LAR</v>
      </c>
      <c r="D49">
        <f>IFERROR(INDEX(TableQBCalcPts[BYE],MATCH(TableQBRanks30[[#This Row],[Player]],TableQBCalcPts[PLAYER],0)),"")</f>
        <v>6</v>
      </c>
      <c r="E49" s="83">
        <f>IFERROR((VLOOKUP(TableQBRanks30[[#This Row],[Player]],QB!B:O,4,FALSE)),"")</f>
        <v>24.643760000000018</v>
      </c>
      <c r="F49" s="83">
        <f>IFERROR((VLOOKUP(TableQBRanks30[[#This Row],[Player]],QB!B:O,5,FALSE)),"")</f>
        <v>15.991886148862717</v>
      </c>
      <c r="G49" s="83">
        <f>IFERROR((VLOOKUP(TableQBRanks30[[#This Row],[Player]],QB!B:O,6,FALSE)),"")</f>
        <v>184.32597815797246</v>
      </c>
      <c r="H49" s="83">
        <f>IFERROR((VLOOKUP(TableQBRanks30[[#This Row],[Player]],QB!B:O,7,FALSE)),"")</f>
        <v>1.1488446127976062</v>
      </c>
      <c r="I49" s="83">
        <f>IFERROR((VLOOKUP(TableQBRanks30[[#This Row],[Player]],QB!B:O,8,FALSE)),"")</f>
        <v>0.40828595440010063</v>
      </c>
      <c r="J49" s="83">
        <f>IFERROR((VLOOKUP(TableQBRanks30[[#This Row],[Player]],QB!B:O,9,FALSE)),"")</f>
        <v>0</v>
      </c>
      <c r="K49" s="83">
        <f>IFERROR((VLOOKUP(TableQBRanks30[[#This Row],[Player]],QB!B:O,10,FALSE)),"")</f>
        <v>0</v>
      </c>
      <c r="L49" s="83">
        <f>IFERROR((VLOOKUP(TableQBRanks30[[#This Row],[Player]],QB!B:O,11,FALSE)),"")</f>
        <v>0</v>
      </c>
      <c r="M49" s="57">
        <f>IFERROR(INDEX(TableQBCalcPts[Custom],MATCH(TableQBRanks30[[#This Row],[RK]],TableQBCalcPts[RK],0)),"")</f>
        <v>11.151845668709123</v>
      </c>
      <c r="N49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49">
        <v>48</v>
      </c>
      <c r="Q49" t="str">
        <f>IFERROR(INDEX(TableRBCalcPts[PLAYER],MATCH(TableRBRanks31[[#This Row],[RK]],TableRBCalcPts[RK],0)),"")</f>
        <v>Chase Brown</v>
      </c>
      <c r="R49" t="str">
        <f>IFERROR(INDEX(TableRBCalcPts[TM],MATCH(TableRBRanks31[[#This Row],[Player]],TableRBCalcPts[PLAYER],0)),"")</f>
        <v>CIN</v>
      </c>
      <c r="S49">
        <f>IFERROR(INDEX(TableRBCalcPts[BYE],MATCH(TableRBRanks31[[#This Row],[Player]],TableRBCalcPts[PLAYER],0)),"")</f>
        <v>12</v>
      </c>
      <c r="T49" s="83">
        <f>IFERROR((VLOOKUP(TableRBRanks31[[#This Row],[Player]],RB!B:O,4,FALSE)),"")</f>
        <v>121.64461091999999</v>
      </c>
      <c r="U49" s="83">
        <f>IFERROR((VLOOKUP(TableRBRanks31[[#This Row],[Player]],RB!B:O,5,FALSE)),"")</f>
        <v>533.71801245632651</v>
      </c>
      <c r="V49" s="83">
        <f>IFERROR((VLOOKUP(TableRBRanks31[[#This Row],[Player]],RB!B:O,6,FALSE)),"")</f>
        <v>4.3913704542119998</v>
      </c>
      <c r="W49" s="83">
        <f>IFERROR((VLOOKUP(TableRBRanks31[[#This Row],[Player]],RB!B:O,7,FALSE)),"")</f>
        <v>24.942724799999997</v>
      </c>
      <c r="X49" s="83">
        <f>IFERROR((VLOOKUP(TableRBRanks31[[#This Row],[Player]],RB!B:O,8,FALSE)),"")</f>
        <v>19.629924417599998</v>
      </c>
      <c r="Y49" s="83">
        <f>IFERROR((VLOOKUP(TableRBRanks31[[#This Row],[Player]],RB!B:O,9,FALSE)),"")</f>
        <v>148.00963010870399</v>
      </c>
      <c r="Z49" s="83">
        <f>IFERROR((VLOOKUP(TableRBRanks31[[#This Row],[Player]],RB!B:O,10,FALSE)),"")</f>
        <v>0.90297652320959987</v>
      </c>
      <c r="AA49" s="57">
        <f>IFERROR((IFERROR(INDEX(TableRBCalcPts[Custom],MATCH(TableRBRanks31[[#This Row],[RK]],TableRBCalcPts[RK],0)),"")),"")</f>
        <v>109.75380832983265</v>
      </c>
      <c r="AB49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49">
        <v>48</v>
      </c>
      <c r="AE49" t="str">
        <f>IFERROR(INDEX(TableWRCalcPts[PLAYER],MATCH(TableWRRanks32[[#This Row],[RK]],TableWRCalcPts[RK],0)),"")</f>
        <v>Jakobi Meyers</v>
      </c>
      <c r="AF49" t="str">
        <f>IFERROR(INDEX(TableWRCalcPts[TM],MATCH(TableWRRanks32[[#This Row],[Player]],TableWRCalcPts[PLAYER],0)),"")</f>
        <v>LV</v>
      </c>
      <c r="AG49">
        <f>IFERROR(INDEX(TableWRCalcPts[BYE],MATCH(TableWRRanks32[[#This Row],[Player]],TableWRCalcPts[PLAYER],0)),"")</f>
        <v>10</v>
      </c>
      <c r="AH49" s="83">
        <f>IFERROR((VLOOKUP(TableWRRanks32[[#This Row],[Player]],WR!B:O,4,FALSE)),"")</f>
        <v>23.246139000000003</v>
      </c>
      <c r="AI49" s="83">
        <f>IFERROR((VLOOKUP(TableWRRanks32[[#This Row],[Player]],WR!B:O,5,FALSE)),"")</f>
        <v>6.2749530810861293E-2</v>
      </c>
      <c r="AJ49" s="83">
        <f>IFERROR((VLOOKUP(TableWRRanks32[[#This Row],[Player]],WR!B:O,6,FALSE)),"")</f>
        <v>118.26983</v>
      </c>
      <c r="AK49" s="83">
        <f>IFERROR((VLOOKUP(TableWRRanks32[[#This Row],[Player]],WR!B:O,7,FALSE)),"")</f>
        <v>75.692691199999985</v>
      </c>
      <c r="AL49" s="83">
        <f>IFERROR((VLOOKUP(TableWRRanks32[[#This Row],[Player]],WR!B:O,8,FALSE)),"")</f>
        <v>885.41638080094435</v>
      </c>
      <c r="AM49" s="83">
        <f>IFERROR((VLOOKUP(TableWRRanks32[[#This Row],[Player]],WR!B:O,9,FALSE)),"")</f>
        <v>5.0714103103999992</v>
      </c>
      <c r="AN49" s="57">
        <f>IFERROR((IFERROR(INDEX(TableWRCalcPts[Custom],MATCH(TableWRRanks32[[#This Row],[RK]],TableWRCalcPts[RK],0)),"")),"")</f>
        <v>159.5175566273596</v>
      </c>
      <c r="AO49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5.3585077913441621</v>
      </c>
      <c r="AQ49">
        <v>48</v>
      </c>
      <c r="AR49" t="str">
        <f>IFERROR(INDEX(TableTECalcPts[PLAYER],MATCH(TableTERanks33[[#This Row],[RK]],TableTECalcPts[RK],0)),"")</f>
        <v>Cade Stover</v>
      </c>
      <c r="AS49" t="str">
        <f>IFERROR(INDEX(TableTECalcPts[TM],MATCH(TableTERanks33[[#This Row],[Player]],TableTECalcPts[PLAYER],0)),"")</f>
        <v>HOU</v>
      </c>
      <c r="AT49">
        <f>IFERROR(INDEX(TableTECalcPts[BYE],MATCH(TableTERanks33[[#This Row],[Player]],TableTECalcPts[PLAYER],0)),"")</f>
        <v>14</v>
      </c>
      <c r="AU49" s="83">
        <f>IFERROR((VLOOKUP(TableTERanks33[[#This Row],[Player]],TE!B:O,4,FALSE)),"")</f>
        <v>23.767743999999997</v>
      </c>
      <c r="AV49" s="83">
        <f>IFERROR((VLOOKUP(TableTERanks33[[#This Row],[Player]],TE!B:O,5,FALSE)),"")</f>
        <v>15.995691711999999</v>
      </c>
      <c r="AW49" s="83">
        <f>IFERROR((VLOOKUP(TableTERanks33[[#This Row],[Player]],TE!B:O,6,FALSE)),"")</f>
        <v>168.91197013890178</v>
      </c>
      <c r="AX49" s="83">
        <f>IFERROR((VLOOKUP(TableTERanks33[[#This Row],[Player]],TE!B:O,7,FALSE)),"")</f>
        <v>1.2972052419868549</v>
      </c>
      <c r="AY49" s="57">
        <f>IFERROR((IFERROR(INDEX(TableTECalcPts[Custom],MATCH(TableTERanks33[[#This Row],[RK]],TableTECalcPts[RK],0)),"")),"")</f>
        <v>32.672274321811308</v>
      </c>
      <c r="AZ49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50" spans="1:52" x14ac:dyDescent="0.2">
      <c r="A50">
        <v>49</v>
      </c>
      <c r="B50" t="str">
        <f>IFERROR(INDEX(TableQBCalcPts[PLAYER],MATCH(TableQBRanks30[[#This Row],[RK]],TableQBCalcPts[RK],0)),"")</f>
        <v>Zach Wilson</v>
      </c>
      <c r="C50" t="str">
        <f>IFERROR(INDEX(TableQBCalcPts[TM],MATCH(TableQBRanks30[[#This Row],[Player]],TableQBCalcPts[PLAYER],0)),"")</f>
        <v>DEN</v>
      </c>
      <c r="D50">
        <f>IFERROR(INDEX(TableQBCalcPts[BYE],MATCH(TableQBRanks30[[#This Row],[Player]],TableQBCalcPts[PLAYER],0)),"")</f>
        <v>14</v>
      </c>
      <c r="E50" s="83">
        <f>IFERROR((VLOOKUP(TableQBRanks30[[#This Row],[Player]],QB!B:O,4,FALSE)),"")</f>
        <v>23.300599999999999</v>
      </c>
      <c r="F50" s="83">
        <f>IFERROR((VLOOKUP(TableQBRanks30[[#This Row],[Player]],QB!B:O,5,FALSE)),"")</f>
        <v>13.793955199999999</v>
      </c>
      <c r="G50" s="83">
        <f>IFERROR((VLOOKUP(TableQBRanks30[[#This Row],[Player]],QB!B:O,6,FALSE)),"")</f>
        <v>148.14707884800001</v>
      </c>
      <c r="H50" s="83">
        <f>IFERROR((VLOOKUP(TableQBRanks30[[#This Row],[Player]],QB!B:O,7,FALSE)),"")</f>
        <v>0.88542279999999995</v>
      </c>
      <c r="I50" s="83">
        <f>IFERROR((VLOOKUP(TableQBRanks30[[#This Row],[Player]],QB!B:O,8,FALSE)),"")</f>
        <v>0.20415053695999999</v>
      </c>
      <c r="J50" s="83">
        <f>IFERROR((VLOOKUP(TableQBRanks30[[#This Row],[Player]],QB!B:O,9,FALSE)),"")</f>
        <v>0.87903060000000011</v>
      </c>
      <c r="K50" s="83">
        <f>IFERROR((VLOOKUP(TableQBRanks30[[#This Row],[Player]],QB!B:O,10,FALSE)),"")</f>
        <v>3.9116861700000007</v>
      </c>
      <c r="L50" s="83">
        <f>IFERROR((VLOOKUP(TableQBRanks30[[#This Row],[Player]],QB!B:O,11,FALSE)),"")</f>
        <v>2.4612856800000003E-2</v>
      </c>
      <c r="M50" s="57">
        <f>IFERROR(INDEX(TableQBCalcPts[Custom],MATCH(TableQBRanks30[[#This Row],[RK]],TableQBCalcPts[RK],0)),"")</f>
        <v>9.5981190378000001</v>
      </c>
      <c r="N50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50">
        <v>49</v>
      </c>
      <c r="Q50" t="str">
        <f>IFERROR(INDEX(TableRBCalcPts[PLAYER],MATCH(TableRBRanks31[[#This Row],[RK]],TableRBCalcPts[RK],0)),"")</f>
        <v>Bucky Irving</v>
      </c>
      <c r="R50" t="str">
        <f>IFERROR(INDEX(TableRBCalcPts[TM],MATCH(TableRBRanks31[[#This Row],[Player]],TableRBCalcPts[PLAYER],0)),"")</f>
        <v>TB</v>
      </c>
      <c r="S50">
        <f>IFERROR(INDEX(TableRBCalcPts[BYE],MATCH(TableRBRanks31[[#This Row],[Player]],TableRBCalcPts[PLAYER],0)),"")</f>
        <v>11</v>
      </c>
      <c r="T50" s="83">
        <f>IFERROR((VLOOKUP(TableRBRanks31[[#This Row],[Player]],RB!B:O,4,FALSE)),"")</f>
        <v>100.10862288000001</v>
      </c>
      <c r="U50" s="83">
        <f>IFERROR((VLOOKUP(TableRBRanks31[[#This Row],[Player]],RB!B:O,5,FALSE)),"")</f>
        <v>414.44969872320002</v>
      </c>
      <c r="V50" s="83">
        <f>IFERROR((VLOOKUP(TableRBRanks31[[#This Row],[Player]],RB!B:O,6,FALSE)),"")</f>
        <v>3.2034759321600004</v>
      </c>
      <c r="W50" s="83">
        <f>IFERROR((VLOOKUP(TableRBRanks31[[#This Row],[Player]],RB!B:O,7,FALSE)),"")</f>
        <v>38.548309800000006</v>
      </c>
      <c r="X50" s="83">
        <f>IFERROR((VLOOKUP(TableRBRanks31[[#This Row],[Player]],RB!B:O,8,FALSE)),"")</f>
        <v>31.069937698800008</v>
      </c>
      <c r="Y50" s="83">
        <f>IFERROR((VLOOKUP(TableRBRanks31[[#This Row],[Player]],RB!B:O,9,FALSE)),"")</f>
        <v>251.80779797119325</v>
      </c>
      <c r="Z50" s="83">
        <f>IFERROR((VLOOKUP(TableRBRanks31[[#This Row],[Player]],RB!B:O,10,FALSE)),"")</f>
        <v>1.1185177571568001</v>
      </c>
      <c r="AA50" s="57">
        <f>IFERROR((IFERROR(INDEX(TableRBCalcPts[Custom],MATCH(TableRBRanks31[[#This Row],[RK]],TableRBCalcPts[RK],0)),"")),"")</f>
        <v>108.09268065474014</v>
      </c>
      <c r="AB50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50">
        <v>49</v>
      </c>
      <c r="AE50" t="str">
        <f>IFERROR(INDEX(TableWRCalcPts[PLAYER],MATCH(TableWRRanks32[[#This Row],[RK]],TableWRCalcPts[RK],0)),"")</f>
        <v>Romeo Doubs</v>
      </c>
      <c r="AF50" t="str">
        <f>IFERROR(INDEX(TableWRCalcPts[TM],MATCH(TableWRRanks32[[#This Row],[Player]],TableWRCalcPts[PLAYER],0)),"")</f>
        <v>GB</v>
      </c>
      <c r="AG50">
        <f>IFERROR(INDEX(TableWRCalcPts[BYE],MATCH(TableWRRanks32[[#This Row],[Player]],TableWRCalcPts[PLAYER],0)),"")</f>
        <v>10</v>
      </c>
      <c r="AH50" s="83">
        <f>IFERROR((VLOOKUP(TableWRRanks32[[#This Row],[Player]],WR!B:O,4,FALSE)),"")</f>
        <v>0</v>
      </c>
      <c r="AI50" s="83">
        <f>IFERROR((VLOOKUP(TableWRRanks32[[#This Row],[Player]],WR!B:O,5,FALSE)),"")</f>
        <v>0</v>
      </c>
      <c r="AJ50" s="83">
        <f>IFERROR((VLOOKUP(TableWRRanks32[[#This Row],[Player]],WR!B:O,6,FALSE)),"")</f>
        <v>108.90881120000002</v>
      </c>
      <c r="AK50" s="83">
        <f>IFERROR((VLOOKUP(TableWRRanks32[[#This Row],[Player]],WR!B:O,7,FALSE)),"")</f>
        <v>68.939277489600016</v>
      </c>
      <c r="AL50" s="83">
        <f>IFERROR((VLOOKUP(TableWRRanks32[[#This Row],[Player]],WR!B:O,8,FALSE)),"")</f>
        <v>818.99861657644828</v>
      </c>
      <c r="AM50" s="83">
        <f>IFERROR((VLOOKUP(TableWRRanks32[[#This Row],[Player]],WR!B:O,9,FALSE)),"")</f>
        <v>7.1758097393709663</v>
      </c>
      <c r="AN50" s="57">
        <f>IFERROR((IFERROR(INDEX(TableWRCalcPts[Custom],MATCH(TableWRRanks32[[#This Row],[RK]],TableWRCalcPts[RK],0)),"")),"")</f>
        <v>159.42435883867063</v>
      </c>
      <c r="AO50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5.3179009434408355</v>
      </c>
      <c r="AQ50">
        <v>49</v>
      </c>
      <c r="AR50" t="str">
        <f>IFERROR(INDEX(TableTECalcPts[PLAYER],MATCH(TableTERanks33[[#This Row],[RK]],TableTECalcPts[RK],0)),"")</f>
        <v>Gerald Everett</v>
      </c>
      <c r="AS50" t="str">
        <f>IFERROR(INDEX(TableTECalcPts[TM],MATCH(TableTERanks33[[#This Row],[Player]],TableTECalcPts[PLAYER],0)),"")</f>
        <v>CHI</v>
      </c>
      <c r="AT50">
        <f>IFERROR(INDEX(TableTECalcPts[BYE],MATCH(TableTERanks33[[#This Row],[Player]],TableTECalcPts[PLAYER],0)),"")</f>
        <v>7</v>
      </c>
      <c r="AU50" s="83">
        <f>IFERROR((VLOOKUP(TableTERanks33[[#This Row],[Player]],TE!B:O,4,FALSE)),"")</f>
        <v>22.6723392</v>
      </c>
      <c r="AV50" s="83">
        <f>IFERROR((VLOOKUP(TableTERanks33[[#This Row],[Player]],TE!B:O,5,FALSE)),"")</f>
        <v>14.737020479999998</v>
      </c>
      <c r="AW50" s="83">
        <f>IFERROR((VLOOKUP(TableTERanks33[[#This Row],[Player]],TE!B:O,6,FALSE)),"")</f>
        <v>140.20428061375699</v>
      </c>
      <c r="AX50" s="83">
        <f>IFERROR((VLOOKUP(TableTERanks33[[#This Row],[Player]],TE!B:O,7,FALSE)),"")</f>
        <v>1.128424237287815</v>
      </c>
      <c r="AY50" s="57">
        <f>IFERROR((IFERROR(INDEX(TableTECalcPts[Custom],MATCH(TableTERanks33[[#This Row],[RK]],TableTECalcPts[RK],0)),"")),"")</f>
        <v>28.159483725102589</v>
      </c>
      <c r="AZ50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51" spans="1:52" x14ac:dyDescent="0.2">
      <c r="A51">
        <v>50</v>
      </c>
      <c r="B51" t="str">
        <f>IFERROR(INDEX(TableQBCalcPts[PLAYER],MATCH(TableQBRanks30[[#This Row],[RK]],TableQBCalcPts[RK],0)),"")</f>
        <v>Mike White</v>
      </c>
      <c r="C51" t="str">
        <f>IFERROR(INDEX(TableQBCalcPts[TM],MATCH(TableQBRanks30[[#This Row],[Player]],TableQBCalcPts[PLAYER],0)),"")</f>
        <v>MIA</v>
      </c>
      <c r="D51">
        <f>IFERROR(INDEX(TableQBCalcPts[BYE],MATCH(TableQBRanks30[[#This Row],[Player]],TableQBCalcPts[PLAYER],0)),"")</f>
        <v>6</v>
      </c>
      <c r="E51" s="83">
        <f>IFERROR((VLOOKUP(TableQBRanks30[[#This Row],[Player]],QB!B:O,4,FALSE)),"")</f>
        <v>17.948880000000013</v>
      </c>
      <c r="F51" s="83">
        <f>IFERROR((VLOOKUP(TableQBRanks30[[#This Row],[Player]],QB!B:O,5,FALSE)),"")</f>
        <v>11.358146943747206</v>
      </c>
      <c r="G51" s="83">
        <f>IFERROR((VLOOKUP(TableQBRanks30[[#This Row],[Player]],QB!B:O,6,FALSE)),"")</f>
        <v>123.4619881246482</v>
      </c>
      <c r="H51" s="83">
        <f>IFERROR((VLOOKUP(TableQBRanks30[[#This Row],[Player]],QB!B:O,7,FALSE)),"")</f>
        <v>0.64068026286198543</v>
      </c>
      <c r="I51" s="83">
        <f>IFERROR((VLOOKUP(TableQBRanks30[[#This Row],[Player]],QB!B:O,8,FALSE)),"")</f>
        <v>0.34553974779714297</v>
      </c>
      <c r="J51" s="83">
        <f>IFERROR((VLOOKUP(TableQBRanks30[[#This Row],[Player]],QB!B:O,9,FALSE)),"")</f>
        <v>0</v>
      </c>
      <c r="K51" s="83">
        <f>IFERROR((VLOOKUP(TableQBRanks30[[#This Row],[Player]],QB!B:O,10,FALSE)),"")</f>
        <v>0</v>
      </c>
      <c r="L51" s="83">
        <f>IFERROR((VLOOKUP(TableQBRanks30[[#This Row],[Player]],QB!B:O,11,FALSE)),"")</f>
        <v>0</v>
      </c>
      <c r="M51" s="57">
        <f>IFERROR(INDEX(TableQBCalcPts[Custom],MATCH(TableQBRanks30[[#This Row],[RK]],TableQBCalcPts[RK],0)),"")</f>
        <v>6.8101210808395845</v>
      </c>
      <c r="N51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51">
        <v>50</v>
      </c>
      <c r="Q51" t="str">
        <f>IFERROR(INDEX(TableRBCalcPts[PLAYER],MATCH(TableRBRanks31[[#This Row],[RK]],TableRBCalcPts[RK],0)),"")</f>
        <v>Jaleel McLaughlin</v>
      </c>
      <c r="R51" t="str">
        <f>IFERROR(INDEX(TableRBCalcPts[TM],MATCH(TableRBRanks31[[#This Row],[Player]],TableRBCalcPts[PLAYER],0)),"")</f>
        <v>DEN</v>
      </c>
      <c r="S51">
        <f>IFERROR(INDEX(TableRBCalcPts[BYE],MATCH(TableRBRanks31[[#This Row],[Player]],TableRBCalcPts[PLAYER],0)),"")</f>
        <v>14</v>
      </c>
      <c r="T51" s="83">
        <f>IFERROR((VLOOKUP(TableRBRanks31[[#This Row],[Player]],RB!B:O,4,FALSE)),"")</f>
        <v>69.003902100000005</v>
      </c>
      <c r="U51" s="83">
        <f>IFERROR((VLOOKUP(TableRBRanks31[[#This Row],[Player]],RB!B:O,5,FALSE)),"")</f>
        <v>308.44744238700002</v>
      </c>
      <c r="V51" s="83">
        <f>IFERROR((VLOOKUP(TableRBRanks31[[#This Row],[Player]],RB!B:O,6,FALSE)),"")</f>
        <v>2.1391209651</v>
      </c>
      <c r="W51" s="83">
        <f>IFERROR((VLOOKUP(TableRBRanks31[[#This Row],[Player]],RB!B:O,7,FALSE)),"")</f>
        <v>52.209736381909536</v>
      </c>
      <c r="X51" s="83">
        <f>IFERROR((VLOOKUP(TableRBRanks31[[#This Row],[Player]],RB!B:O,8,FALSE)),"")</f>
        <v>39.679399650251241</v>
      </c>
      <c r="Y51" s="83">
        <f>IFERROR((VLOOKUP(TableRBRanks31[[#This Row],[Player]],RB!B:O,9,FALSE)),"")</f>
        <v>298.78587936639184</v>
      </c>
      <c r="Z51" s="83">
        <f>IFERROR((VLOOKUP(TableRBRanks31[[#This Row],[Player]],RB!B:O,10,FALSE)),"")</f>
        <v>1.4284583874090446</v>
      </c>
      <c r="AA51" s="57">
        <f>IFERROR((IFERROR(INDEX(TableRBCalcPts[Custom],MATCH(TableRBRanks31[[#This Row],[RK]],TableRBCalcPts[RK],0)),"")),"")</f>
        <v>101.96850811551907</v>
      </c>
      <c r="AB51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51">
        <v>50</v>
      </c>
      <c r="AE51" t="str">
        <f>IFERROR(INDEX(TableWRCalcPts[PLAYER],MATCH(TableWRRanks32[[#This Row],[RK]],TableWRCalcPts[RK],0)),"")</f>
        <v>Mike Williams</v>
      </c>
      <c r="AF51" t="str">
        <f>IFERROR(INDEX(TableWRCalcPts[TM],MATCH(TableWRRanks32[[#This Row],[Player]],TableWRCalcPts[PLAYER],0)),"")</f>
        <v>NYJ</v>
      </c>
      <c r="AG51">
        <f>IFERROR(INDEX(TableWRCalcPts[BYE],MATCH(TableWRRanks32[[#This Row],[Player]],TableWRCalcPts[PLAYER],0)),"")</f>
        <v>12</v>
      </c>
      <c r="AH51" s="83">
        <f>IFERROR((VLOOKUP(TableWRRanks32[[#This Row],[Player]],WR!B:O,4,FALSE)),"")</f>
        <v>0</v>
      </c>
      <c r="AI51" s="83">
        <f>IFERROR((VLOOKUP(TableWRRanks32[[#This Row],[Player]],WR!B:O,5,FALSE)),"")</f>
        <v>0</v>
      </c>
      <c r="AJ51" s="83">
        <f>IFERROR((VLOOKUP(TableWRRanks32[[#This Row],[Player]],WR!B:O,6,FALSE)),"")</f>
        <v>109.02219327999998</v>
      </c>
      <c r="AK51" s="83">
        <f>IFERROR((VLOOKUP(TableWRRanks32[[#This Row],[Player]],WR!B:O,7,FALSE)),"")</f>
        <v>64.323094035199972</v>
      </c>
      <c r="AL51" s="83">
        <f>IFERROR((VLOOKUP(TableWRRanks32[[#This Row],[Player]],WR!B:O,8,FALSE)),"")</f>
        <v>896.90368514187469</v>
      </c>
      <c r="AM51" s="83">
        <f>IFERROR((VLOOKUP(TableWRRanks32[[#This Row],[Player]],WR!B:O,9,FALSE)),"")</f>
        <v>6.1360858732534407</v>
      </c>
      <c r="AN51" s="57">
        <f>IFERROR((IFERROR(INDEX(TableWRCalcPts[Custom],MATCH(TableWRRanks32[[#This Row],[RK]],TableWRCalcPts[RK],0)),"")),"")</f>
        <v>158.6684307713081</v>
      </c>
      <c r="AO51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4.988538450091478</v>
      </c>
      <c r="AQ51">
        <v>50</v>
      </c>
      <c r="AR51" t="str">
        <f>IFERROR(INDEX(TableTECalcPts[PLAYER],MATCH(TableTERanks33[[#This Row],[RK]],TableTECalcPts[RK],0)),"")</f>
        <v>Charlie Woerner</v>
      </c>
      <c r="AS51" t="str">
        <f>IFERROR(INDEX(TableTECalcPts[TM],MATCH(TableTERanks33[[#This Row],[Player]],TableTECalcPts[PLAYER],0)),"")</f>
        <v>ATL</v>
      </c>
      <c r="AT51">
        <f>IFERROR(INDEX(TableTECalcPts[BYE],MATCH(TableTERanks33[[#This Row],[Player]],TableTECalcPts[PLAYER],0)),"")</f>
        <v>12</v>
      </c>
      <c r="AU51" s="83">
        <f>IFERROR((VLOOKUP(TableTERanks33[[#This Row],[Player]],TE!B:O,4,FALSE)),"")</f>
        <v>23.005382399999998</v>
      </c>
      <c r="AV51" s="83">
        <f>IFERROR((VLOOKUP(TableTERanks33[[#This Row],[Player]],TE!B:O,5,FALSE)),"")</f>
        <v>14.723444735999994</v>
      </c>
      <c r="AW51" s="83">
        <f>IFERROR((VLOOKUP(TableTERanks33[[#This Row],[Player]],TE!B:O,6,FALSE)),"")</f>
        <v>136.21587343973044</v>
      </c>
      <c r="AX51" s="83">
        <f>IFERROR((VLOOKUP(TableTERanks33[[#This Row],[Player]],TE!B:O,7,FALSE)),"")</f>
        <v>1.1218617632780226</v>
      </c>
      <c r="AY51" s="57">
        <f>IFERROR((IFERROR(INDEX(TableTECalcPts[Custom],MATCH(TableTERanks33[[#This Row],[RK]],TableTECalcPts[RK],0)),"")),"")</f>
        <v>27.714480291641177</v>
      </c>
      <c r="AZ51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52" spans="1:52" x14ac:dyDescent="0.2">
      <c r="A52">
        <v>51</v>
      </c>
      <c r="B52" t="str">
        <f>IFERROR(INDEX(TableQBCalcPts[PLAYER],MATCH(TableQBRanks30[[#This Row],[RK]],TableQBCalcPts[RK],0)),"")</f>
        <v>Jameis Winston</v>
      </c>
      <c r="C52" t="str">
        <f>IFERROR(INDEX(TableQBCalcPts[TM],MATCH(TableQBRanks30[[#This Row],[Player]],TableQBCalcPts[PLAYER],0)),"")</f>
        <v>CLE</v>
      </c>
      <c r="D52">
        <f>IFERROR(INDEX(TableQBCalcPts[BYE],MATCH(TableQBRanks30[[#This Row],[Player]],TableQBCalcPts[PLAYER],0)),"")</f>
        <v>10</v>
      </c>
      <c r="E52" s="83">
        <f>IFERROR((VLOOKUP(TableQBRanks30[[#This Row],[Player]],QB!B:O,4,FALSE)),"")</f>
        <v>10.972500000000009</v>
      </c>
      <c r="F52" s="83">
        <f>IFERROR((VLOOKUP(TableQBRanks30[[#This Row],[Player]],QB!B:O,5,FALSE)),"")</f>
        <v>6.7543698454041987</v>
      </c>
      <c r="G52" s="83">
        <f>IFERROR((VLOOKUP(TableQBRanks30[[#This Row],[Player]],QB!B:O,6,FALSE)),"")</f>
        <v>75.909460684343799</v>
      </c>
      <c r="H52" s="83">
        <f>IFERROR((VLOOKUP(TableQBRanks30[[#This Row],[Player]],QB!B:O,7,FALSE)),"")</f>
        <v>0.41878439108182036</v>
      </c>
      <c r="I52" s="83">
        <f>IFERROR((VLOOKUP(TableQBRanks30[[#This Row],[Player]],QB!B:O,8,FALSE)),"")</f>
        <v>0.21422733386578013</v>
      </c>
      <c r="J52" s="83">
        <f>IFERROR((VLOOKUP(TableQBRanks30[[#This Row],[Player]],QB!B:O,9,FALSE)),"")</f>
        <v>4.8644749999999997</v>
      </c>
      <c r="K52" s="83">
        <f>IFERROR((VLOOKUP(TableQBRanks30[[#This Row],[Player]],QB!B:O,10,FALSE)),"")</f>
        <v>16.588640695597348</v>
      </c>
      <c r="L52" s="83">
        <f>IFERROR((VLOOKUP(TableQBRanks30[[#This Row],[Player]],QB!B:O,11,FALSE)),"")</f>
        <v>8.7076054863993377E-2</v>
      </c>
      <c r="M52" s="57">
        <f>IFERROR(INDEX(TableQBCalcPts[Custom],MATCH(TableQBRanks30[[#This Row],[RK]],TableQBCalcPts[RK],0)),"")</f>
        <v>6.4643817227131688</v>
      </c>
      <c r="N52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52">
        <v>51</v>
      </c>
      <c r="Q52" t="str">
        <f>IFERROR(INDEX(TableRBCalcPts[PLAYER],MATCH(TableRBRanks31[[#This Row],[RK]],TableRBCalcPts[RK],0)),"")</f>
        <v>Jordan Mason</v>
      </c>
      <c r="R52" t="str">
        <f>IFERROR(INDEX(TableRBCalcPts[TM],MATCH(TableRBRanks31[[#This Row],[Player]],TableRBCalcPts[PLAYER],0)),"")</f>
        <v>SF</v>
      </c>
      <c r="S52">
        <f>IFERROR(INDEX(TableRBCalcPts[BYE],MATCH(TableRBRanks31[[#This Row],[Player]],TableRBCalcPts[PLAYER],0)),"")</f>
        <v>9</v>
      </c>
      <c r="T52" s="83">
        <f>IFERROR((VLOOKUP(TableRBRanks31[[#This Row],[Player]],RB!B:O,4,FALSE)),"")</f>
        <v>119.96092584</v>
      </c>
      <c r="U52" s="83">
        <f>IFERROR((VLOOKUP(TableRBRanks31[[#This Row],[Player]],RB!B:O,5,FALSE)),"")</f>
        <v>537.42494776320007</v>
      </c>
      <c r="V52" s="83">
        <f>IFERROR((VLOOKUP(TableRBRanks31[[#This Row],[Player]],RB!B:O,6,FALSE)),"")</f>
        <v>5.2782807369599993</v>
      </c>
      <c r="W52" s="83">
        <f>IFERROR((VLOOKUP(TableRBRanks31[[#This Row],[Player]],RB!B:O,7,FALSE)),"")</f>
        <v>12.248281079999996</v>
      </c>
      <c r="X52" s="83">
        <f>IFERROR((VLOOKUP(TableRBRanks31[[#This Row],[Player]],RB!B:O,8,FALSE)),"")</f>
        <v>8.5737967559999984</v>
      </c>
      <c r="Y52" s="83">
        <f>IFERROR((VLOOKUP(TableRBRanks31[[#This Row],[Player]],RB!B:O,9,FALSE)),"")</f>
        <v>67.539494398241672</v>
      </c>
      <c r="Z52" s="83">
        <f>IFERROR((VLOOKUP(TableRBRanks31[[#This Row],[Player]],RB!B:O,10,FALSE)),"")</f>
        <v>0.3403670258823181</v>
      </c>
      <c r="AA52" s="57">
        <f>IFERROR((IFERROR(INDEX(TableRBCalcPts[Custom],MATCH(TableRBRanks31[[#This Row],[RK]],TableRBCalcPts[RK],0)),"")),"")</f>
        <v>98.495229171198076</v>
      </c>
      <c r="AB52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52">
        <v>51</v>
      </c>
      <c r="AE52" t="str">
        <f>IFERROR(INDEX(TableWRCalcPts[PLAYER],MATCH(TableWRRanks32[[#This Row],[RK]],TableWRCalcPts[RK],0)),"")</f>
        <v>Keenan Allen</v>
      </c>
      <c r="AF52" t="str">
        <f>IFERROR(INDEX(TableWRCalcPts[TM],MATCH(TableWRRanks32[[#This Row],[Player]],TableWRCalcPts[PLAYER],0)),"")</f>
        <v>CHI</v>
      </c>
      <c r="AG52">
        <f>IFERROR(INDEX(TableWRCalcPts[BYE],MATCH(TableWRRanks32[[#This Row],[Player]],TableWRCalcPts[PLAYER],0)),"")</f>
        <v>7</v>
      </c>
      <c r="AH52" s="83">
        <f>IFERROR((VLOOKUP(TableWRRanks32[[#This Row],[Player]],WR!B:O,4,FALSE)),"")</f>
        <v>0</v>
      </c>
      <c r="AI52" s="83">
        <f>IFERROR((VLOOKUP(TableWRRanks32[[#This Row],[Player]],WR!B:O,5,FALSE)),"")</f>
        <v>0</v>
      </c>
      <c r="AJ52" s="83">
        <f>IFERROR((VLOOKUP(TableWRRanks32[[#This Row],[Player]],WR!B:O,6,FALSE)),"")</f>
        <v>117.89616383999999</v>
      </c>
      <c r="AK52" s="83">
        <f>IFERROR((VLOOKUP(TableWRRanks32[[#This Row],[Player]],WR!B:O,7,FALSE)),"")</f>
        <v>76.632506495999991</v>
      </c>
      <c r="AL52" s="83">
        <f>IFERROR((VLOOKUP(TableWRRanks32[[#This Row],[Player]],WR!B:O,8,FALSE)),"")</f>
        <v>859.61397974057593</v>
      </c>
      <c r="AM52" s="83">
        <f>IFERROR((VLOOKUP(TableWRRanks32[[#This Row],[Player]],WR!B:O,9,FALSE)),"")</f>
        <v>5.4409079612159985</v>
      </c>
      <c r="AN52" s="57">
        <f>IFERROR((IFERROR(INDEX(TableWRCalcPts[Custom],MATCH(TableWRRanks32[[#This Row],[RK]],TableWRCalcPts[RK],0)),"")),"")</f>
        <v>156.9230989893536</v>
      </c>
      <c r="AO52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4.228086692516082</v>
      </c>
      <c r="AQ52">
        <v>51</v>
      </c>
      <c r="AR52" t="str">
        <f>IFERROR(INDEX(TableTECalcPts[PLAYER],MATCH(TableTERanks33[[#This Row],[RK]],TableTECalcPts[RK],0)),"")</f>
        <v>Jared Wiley</v>
      </c>
      <c r="AS52" t="str">
        <f>IFERROR(INDEX(TableTECalcPts[TM],MATCH(TableTERanks33[[#This Row],[Player]],TableTECalcPts[PLAYER],0)),"")</f>
        <v>KC</v>
      </c>
      <c r="AT52">
        <f>IFERROR(INDEX(TableTECalcPts[BYE],MATCH(TableTERanks33[[#This Row],[Player]],TableTECalcPts[PLAYER],0)),"")</f>
        <v>6</v>
      </c>
      <c r="AU52" s="83">
        <f>IFERROR((VLOOKUP(TableTERanks33[[#This Row],[Player]],TE!B:O,4,FALSE)),"")</f>
        <v>18.910079999999997</v>
      </c>
      <c r="AV52" s="83">
        <f>IFERROR((VLOOKUP(TableTERanks33[[#This Row],[Player]],TE!B:O,5,FALSE)),"")</f>
        <v>13.142505599999996</v>
      </c>
      <c r="AW52" s="83">
        <f>IFERROR((VLOOKUP(TableTERanks33[[#This Row],[Player]],TE!B:O,6,FALSE)),"")</f>
        <v>131.95075622399995</v>
      </c>
      <c r="AX52" s="83">
        <f>IFERROR((VLOOKUP(TableTERanks33[[#This Row],[Player]],TE!B:O,7,FALSE)),"")</f>
        <v>1.0119532691757369</v>
      </c>
      <c r="AY52" s="57">
        <f>IFERROR((IFERROR(INDEX(TableTECalcPts[Custom],MATCH(TableTERanks33[[#This Row],[RK]],TableTECalcPts[RK],0)),"")),"")</f>
        <v>25.838048037454413</v>
      </c>
      <c r="AZ52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53" spans="1:52" x14ac:dyDescent="0.2">
      <c r="A53">
        <v>52</v>
      </c>
      <c r="B53" t="str">
        <f>IFERROR(INDEX(TableQBCalcPts[PLAYER],MATCH(TableQBRanks30[[#This Row],[RK]],TableQBCalcPts[RK],0)),"")</f>
        <v>Taylor Heinicke</v>
      </c>
      <c r="C53" t="str">
        <f>IFERROR(INDEX(TableQBCalcPts[TM],MATCH(TableQBRanks30[[#This Row],[Player]],TableQBCalcPts[PLAYER],0)),"")</f>
        <v>ATL</v>
      </c>
      <c r="D53">
        <f>IFERROR(INDEX(TableQBCalcPts[BYE],MATCH(TableQBRanks30[[#This Row],[Player]],TableQBCalcPts[PLAYER],0)),"")</f>
        <v>12</v>
      </c>
      <c r="E53" s="83">
        <f>IFERROR((VLOOKUP(TableQBRanks30[[#This Row],[Player]],QB!B:O,4,FALSE)),"")</f>
        <v>11.737439999999999</v>
      </c>
      <c r="F53" s="83">
        <f>IFERROR((VLOOKUP(TableQBRanks30[[#This Row],[Player]],QB!B:O,5,FALSE)),"")</f>
        <v>7.3476374399999997</v>
      </c>
      <c r="G53" s="83">
        <f>IFERROR((VLOOKUP(TableQBRanks30[[#This Row],[Player]],QB!B:O,6,FALSE)),"")</f>
        <v>79.354484352</v>
      </c>
      <c r="H53" s="83">
        <f>IFERROR((VLOOKUP(TableQBRanks30[[#This Row],[Player]],QB!B:O,7,FALSE)),"")</f>
        <v>0.51644735999999991</v>
      </c>
      <c r="I53" s="83">
        <f>IFERROR((VLOOKUP(TableQBRanks30[[#This Row],[Player]],QB!B:O,8,FALSE)),"")</f>
        <v>0.114990525936</v>
      </c>
      <c r="J53" s="83">
        <f>IFERROR((VLOOKUP(TableQBRanks30[[#This Row],[Player]],QB!B:O,9,FALSE)),"")</f>
        <v>2.1517272000000003</v>
      </c>
      <c r="K53" s="83">
        <f>IFERROR((VLOOKUP(TableQBRanks30[[#This Row],[Player]],QB!B:O,10,FALSE)),"")</f>
        <v>12.221810496000002</v>
      </c>
      <c r="L53" s="83">
        <f>IFERROR((VLOOKUP(TableQBRanks30[[#This Row],[Player]],QB!B:O,11,FALSE)),"")</f>
        <v>2.3668999200000002E-2</v>
      </c>
      <c r="M53" s="57">
        <f>IFERROR(INDEX(TableQBCalcPts[Custom],MATCH(TableQBRanks30[[#This Row],[RK]],TableQBCalcPts[RK],0)),"")</f>
        <v>6.3741828070080002</v>
      </c>
      <c r="N53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53">
        <v>52</v>
      </c>
      <c r="Q53" t="str">
        <f>IFERROR(INDEX(TableRBCalcPts[PLAYER],MATCH(TableRBRanks31[[#This Row],[RK]],TableRBCalcPts[RK],0)),"")</f>
        <v>MarShawn Lloyd</v>
      </c>
      <c r="R53" t="str">
        <f>IFERROR(INDEX(TableRBCalcPts[TM],MATCH(TableRBRanks31[[#This Row],[Player]],TableRBCalcPts[PLAYER],0)),"")</f>
        <v>GB</v>
      </c>
      <c r="S53">
        <f>IFERROR(INDEX(TableRBCalcPts[BYE],MATCH(TableRBRanks31[[#This Row],[Player]],TableRBCalcPts[PLAYER],0)),"")</f>
        <v>10</v>
      </c>
      <c r="T53" s="83">
        <f>IFERROR((VLOOKUP(TableRBRanks31[[#This Row],[Player]],RB!B:O,4,FALSE)),"")</f>
        <v>122.75660320000001</v>
      </c>
      <c r="U53" s="83">
        <f>IFERROR((VLOOKUP(TableRBRanks31[[#This Row],[Player]],RB!B:O,5,FALSE)),"")</f>
        <v>522.74098110395937</v>
      </c>
      <c r="V53" s="83">
        <f>IFERROR((VLOOKUP(TableRBRanks31[[#This Row],[Player]],RB!B:O,6,FALSE)),"")</f>
        <v>4.1737245088000012</v>
      </c>
      <c r="W53" s="83">
        <f>IFERROR((VLOOKUP(TableRBRanks31[[#This Row],[Player]],RB!B:O,7,FALSE)),"")</f>
        <v>17.676299200000003</v>
      </c>
      <c r="X53" s="83">
        <f>IFERROR((VLOOKUP(TableRBRanks31[[#This Row],[Player]],RB!B:O,8,FALSE)),"")</f>
        <v>12.514819833600001</v>
      </c>
      <c r="Y53" s="83">
        <f>IFERROR((VLOOKUP(TableRBRanks31[[#This Row],[Player]],RB!B:O,9,FALSE)),"")</f>
        <v>99.611614967870196</v>
      </c>
      <c r="Z53" s="83">
        <f>IFERROR((VLOOKUP(TableRBRanks31[[#This Row],[Player]],RB!B:O,10,FALSE)),"")</f>
        <v>0.47556315367680002</v>
      </c>
      <c r="AA53" s="57">
        <f>IFERROR((IFERROR(INDEX(TableRBCalcPts[Custom],MATCH(TableRBRanks31[[#This Row],[RK]],TableRBCalcPts[RK],0)),"")),"")</f>
        <v>96.388395498843764</v>
      </c>
      <c r="AB53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53">
        <v>52</v>
      </c>
      <c r="AE53" t="str">
        <f>IFERROR(INDEX(TableWRCalcPts[PLAYER],MATCH(TableWRRanks32[[#This Row],[RK]],TableWRCalcPts[RK],0)),"")</f>
        <v>Christian Watson</v>
      </c>
      <c r="AF53" t="str">
        <f>IFERROR(INDEX(TableWRCalcPts[TM],MATCH(TableWRRanks32[[#This Row],[Player]],TableWRCalcPts[PLAYER],0)),"")</f>
        <v>GB</v>
      </c>
      <c r="AG53">
        <f>IFERROR(INDEX(TableWRCalcPts[BYE],MATCH(TableWRRanks32[[#This Row],[Player]],TableWRCalcPts[PLAYER],0)),"")</f>
        <v>10</v>
      </c>
      <c r="AH53" s="83">
        <f>IFERROR((VLOOKUP(TableWRRanks32[[#This Row],[Player]],WR!B:O,4,FALSE)),"")</f>
        <v>29.210695359999999</v>
      </c>
      <c r="AI53" s="83">
        <f>IFERROR((VLOOKUP(TableWRRanks32[[#This Row],[Player]],WR!B:O,5,FALSE)),"")</f>
        <v>5.0365375419039952E-2</v>
      </c>
      <c r="AJ53" s="83">
        <f>IFERROR((VLOOKUP(TableWRRanks32[[#This Row],[Player]],WR!B:O,6,FALSE)),"")</f>
        <v>100.92596639999999</v>
      </c>
      <c r="AK53" s="83">
        <f>IFERROR((VLOOKUP(TableWRRanks32[[#This Row],[Player]],WR!B:O,7,FALSE)),"")</f>
        <v>58.839838411199977</v>
      </c>
      <c r="AL53" s="83">
        <f>IFERROR((VLOOKUP(TableWRRanks32[[#This Row],[Player]],WR!B:O,8,FALSE)),"")</f>
        <v>850.23566504183964</v>
      </c>
      <c r="AM53" s="83">
        <f>IFERROR((VLOOKUP(TableWRRanks32[[#This Row],[Player]],WR!B:O,9,FALSE)),"")</f>
        <v>6.3664705160918382</v>
      </c>
      <c r="AN53" s="57">
        <f>IFERROR((IFERROR(INDEX(TableWRCalcPts[Custom],MATCH(TableWRRanks32[[#This Row],[RK]],TableWRCalcPts[RK],0)),"")),"")</f>
        <v>155.86557059484923</v>
      </c>
      <c r="AO53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3.7673150875974093</v>
      </c>
      <c r="AQ53">
        <v>52</v>
      </c>
      <c r="AR53" t="str">
        <f>IFERROR(INDEX(TableTECalcPts[PLAYER],MATCH(TableTERanks33[[#This Row],[RK]],TableTECalcPts[RK],0)),"")</f>
        <v>Adam Trautman</v>
      </c>
      <c r="AS53" t="str">
        <f>IFERROR(INDEX(TableTECalcPts[TM],MATCH(TableTERanks33[[#This Row],[Player]],TableTECalcPts[PLAYER],0)),"")</f>
        <v>DEN</v>
      </c>
      <c r="AT53">
        <f>IFERROR(INDEX(TableTECalcPts[BYE],MATCH(TableTERanks33[[#This Row],[Player]],TableTECalcPts[PLAYER],0)),"")</f>
        <v>14</v>
      </c>
      <c r="AU53" s="83">
        <f>IFERROR((VLOOKUP(TableTERanks33[[#This Row],[Player]],TE!B:O,4,FALSE)),"")</f>
        <v>21.801867939698489</v>
      </c>
      <c r="AV53" s="83">
        <f>IFERROR((VLOOKUP(TableTERanks33[[#This Row],[Player]],TE!B:O,5,FALSE)),"")</f>
        <v>13.299139443216076</v>
      </c>
      <c r="AW53" s="83">
        <f>IFERROR((VLOOKUP(TableTERanks33[[#This Row],[Player]],TE!B:O,6,FALSE)),"")</f>
        <v>127.01160192857439</v>
      </c>
      <c r="AX53" s="83">
        <f>IFERROR((VLOOKUP(TableTERanks33[[#This Row],[Player]],TE!B:O,7,FALSE)),"")</f>
        <v>0.86444406380904493</v>
      </c>
      <c r="AY53" s="57">
        <f>IFERROR((IFERROR(INDEX(TableTECalcPts[Custom],MATCH(TableTERanks33[[#This Row],[RK]],TableTECalcPts[RK],0)),"")),"")</f>
        <v>24.53739429731975</v>
      </c>
      <c r="AZ53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54" spans="1:52" x14ac:dyDescent="0.2">
      <c r="A54">
        <v>53</v>
      </c>
      <c r="B54" t="str">
        <f>IFERROR(INDEX(TableQBCalcPts[PLAYER],MATCH(TableQBRanks30[[#This Row],[RK]],TableQBCalcPts[RK],0)),"")</f>
        <v>Tyrod Taylor</v>
      </c>
      <c r="C54" t="str">
        <f>IFERROR(INDEX(TableQBCalcPts[TM],MATCH(TableQBRanks30[[#This Row],[Player]],TableQBCalcPts[PLAYER],0)),"")</f>
        <v>NYJ</v>
      </c>
      <c r="D54">
        <f>IFERROR(INDEX(TableQBCalcPts[BYE],MATCH(TableQBRanks30[[#This Row],[Player]],TableQBCalcPts[PLAYER],0)),"")</f>
        <v>12</v>
      </c>
      <c r="E54" s="83">
        <f>IFERROR((VLOOKUP(TableQBRanks30[[#This Row],[Player]],QB!B:O,4,FALSE)),"")</f>
        <v>12.092079999999999</v>
      </c>
      <c r="F54" s="83">
        <f>IFERROR((VLOOKUP(TableQBRanks30[[#This Row],[Player]],QB!B:O,5,FALSE)),"")</f>
        <v>7.546333683580567</v>
      </c>
      <c r="G54" s="83">
        <f>IFERROR((VLOOKUP(TableQBRanks30[[#This Row],[Player]],QB!B:O,6,FALSE)),"")</f>
        <v>79.927391228270267</v>
      </c>
      <c r="H54" s="83">
        <f>IFERROR((VLOOKUP(TableQBRanks30[[#This Row],[Player]],QB!B:O,7,FALSE)),"")</f>
        <v>0.55818400774813781</v>
      </c>
      <c r="I54" s="83">
        <f>IFERROR((VLOOKUP(TableQBRanks30[[#This Row],[Player]],QB!B:O,8,FALSE)),"")</f>
        <v>0.14707058056687605</v>
      </c>
      <c r="J54" s="83">
        <f>IFERROR((VLOOKUP(TableQBRanks30[[#This Row],[Player]],QB!B:O,9,FALSE)),"")</f>
        <v>2.2167404000000004</v>
      </c>
      <c r="K54" s="83">
        <f>IFERROR((VLOOKUP(TableQBRanks30[[#This Row],[Player]],QB!B:O,10,FALSE)),"")</f>
        <v>8.9692498645265637</v>
      </c>
      <c r="L54" s="83">
        <f>IFERROR((VLOOKUP(TableQBRanks30[[#This Row],[Player]],QB!B:O,11,FALSE)),"")</f>
        <v>3.3544434299398067E-2</v>
      </c>
      <c r="M54" s="57">
        <f>IFERROR(INDEX(TableQBCalcPts[Custom],MATCH(TableQBRanks30[[#This Row],[RK]],TableQBCalcPts[RK],0)),"")</f>
        <v>6.2338821112386551</v>
      </c>
      <c r="N54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54">
        <v>53</v>
      </c>
      <c r="Q54" t="str">
        <f>IFERROR(INDEX(TableRBCalcPts[PLAYER],MATCH(TableRBRanks31[[#This Row],[RK]],TableRBCalcPts[RK],0)),"")</f>
        <v>Dalvin Cook</v>
      </c>
      <c r="R54" t="str">
        <f>IFERROR(INDEX(TableRBCalcPts[TM],MATCH(TableRBRanks31[[#This Row],[Player]],TableRBCalcPts[PLAYER],0)),"")</f>
        <v>DAL</v>
      </c>
      <c r="S54">
        <f>IFERROR(INDEX(TableRBCalcPts[BYE],MATCH(TableRBRanks31[[#This Row],[Player]],TableRBCalcPts[PLAYER],0)),"")</f>
        <v>7</v>
      </c>
      <c r="T54" s="83">
        <f>IFERROR((VLOOKUP(TableRBRanks31[[#This Row],[Player]],RB!B:O,4,FALSE)),"")</f>
        <v>119.51970828000002</v>
      </c>
      <c r="U54" s="83">
        <f>IFERROR((VLOOKUP(TableRBRanks31[[#This Row],[Player]],RB!B:O,5,FALSE)),"")</f>
        <v>474.49324187160011</v>
      </c>
      <c r="V54" s="83">
        <f>IFERROR((VLOOKUP(TableRBRanks31[[#This Row],[Player]],RB!B:O,6,FALSE)),"")</f>
        <v>4.3027094980800005</v>
      </c>
      <c r="W54" s="83">
        <f>IFERROR((VLOOKUP(TableRBRanks31[[#This Row],[Player]],RB!B:O,7,FALSE)),"")</f>
        <v>10.976983919999995</v>
      </c>
      <c r="X54" s="83">
        <f>IFERROR((VLOOKUP(TableRBRanks31[[#This Row],[Player]],RB!B:O,8,FALSE)),"")</f>
        <v>8.2217609560799971</v>
      </c>
      <c r="Y54" s="83">
        <f>IFERROR((VLOOKUP(TableRBRanks31[[#This Row],[Player]],RB!B:O,9,FALSE)),"")</f>
        <v>58.950026055093581</v>
      </c>
      <c r="Z54" s="83">
        <f>IFERROR((VLOOKUP(TableRBRanks31[[#This Row],[Player]],RB!B:O,10,FALSE)),"")</f>
        <v>0.32887043824319989</v>
      </c>
      <c r="AA54" s="57">
        <f>IFERROR((IFERROR(INDEX(TableRBCalcPts[Custom],MATCH(TableRBRanks31[[#This Row],[RK]],TableRBCalcPts[RK],0)),"")),"")</f>
        <v>85.244686888648587</v>
      </c>
      <c r="AB54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54">
        <v>53</v>
      </c>
      <c r="AE54" t="str">
        <f>IFERROR(INDEX(TableWRCalcPts[PLAYER],MATCH(TableWRRanks32[[#This Row],[RK]],TableWRCalcPts[RK],0)),"")</f>
        <v>Curtis Samuel</v>
      </c>
      <c r="AF54" t="str">
        <f>IFERROR(INDEX(TableWRCalcPts[TM],MATCH(TableWRRanks32[[#This Row],[Player]],TableWRCalcPts[PLAYER],0)),"")</f>
        <v>BUF</v>
      </c>
      <c r="AG54">
        <f>IFERROR(INDEX(TableWRCalcPts[BYE],MATCH(TableWRRanks32[[#This Row],[Player]],TableWRCalcPts[PLAYER],0)),"")</f>
        <v>12</v>
      </c>
      <c r="AH54" s="83">
        <f>IFERROR((VLOOKUP(TableWRRanks32[[#This Row],[Player]],WR!B:O,4,FALSE)),"")</f>
        <v>72.430122240000003</v>
      </c>
      <c r="AI54" s="83">
        <f>IFERROR((VLOOKUP(TableWRRanks32[[#This Row],[Player]],WR!B:O,5,FALSE)),"")</f>
        <v>0.45604151040000007</v>
      </c>
      <c r="AJ54" s="83">
        <f>IFERROR((VLOOKUP(TableWRRanks32[[#This Row],[Player]],WR!B:O,6,FALSE)),"")</f>
        <v>105.68420351999998</v>
      </c>
      <c r="AK54" s="83">
        <f>IFERROR((VLOOKUP(TableWRRanks32[[#This Row],[Player]],WR!B:O,7,FALSE)),"")</f>
        <v>69.751574323199989</v>
      </c>
      <c r="AL54" s="83">
        <f>IFERROR((VLOOKUP(TableWRRanks32[[#This Row],[Player]],WR!B:O,8,FALSE)),"")</f>
        <v>759.22881980822569</v>
      </c>
      <c r="AM54" s="83">
        <f>IFERROR((VLOOKUP(TableWRRanks32[[#This Row],[Player]],WR!B:O,9,FALSE)),"")</f>
        <v>5.253634436081648</v>
      </c>
      <c r="AN54" s="57">
        <f>IFERROR((IFERROR(INDEX(TableWRCalcPts[Custom],MATCH(TableWRRanks32[[#This Row],[RK]],TableWRCalcPts[RK],0)),"")),"")</f>
        <v>152.29973704531247</v>
      </c>
      <c r="AO54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2.2136595488608513</v>
      </c>
      <c r="AQ54">
        <v>53</v>
      </c>
      <c r="AR54" t="str">
        <f>IFERROR(INDEX(TableTECalcPts[PLAYER],MATCH(TableTERanks33[[#This Row],[RK]],TableTECalcPts[RK],0)),"")</f>
        <v>Luke Schoonmaker</v>
      </c>
      <c r="AS54" t="str">
        <f>IFERROR(INDEX(TableTECalcPts[TM],MATCH(TableTERanks33[[#This Row],[Player]],TableTECalcPts[PLAYER],0)),"")</f>
        <v>DAL</v>
      </c>
      <c r="AT54">
        <f>IFERROR(INDEX(TableTECalcPts[BYE],MATCH(TableTERanks33[[#This Row],[Player]],TableTECalcPts[PLAYER],0)),"")</f>
        <v>7</v>
      </c>
      <c r="AU54" s="83">
        <f>IFERROR((VLOOKUP(TableTERanks33[[#This Row],[Player]],TE!B:O,4,FALSE)),"")</f>
        <v>18.294973199999994</v>
      </c>
      <c r="AV54" s="83">
        <f>IFERROR((VLOOKUP(TableTERanks33[[#This Row],[Player]],TE!B:O,5,FALSE)),"")</f>
        <v>12.202747124399998</v>
      </c>
      <c r="AW54" s="83">
        <f>IFERROR((VLOOKUP(TableTERanks33[[#This Row],[Player]],TE!B:O,6,FALSE)),"")</f>
        <v>120.19705917533997</v>
      </c>
      <c r="AX54" s="83">
        <f>IFERROR((VLOOKUP(TableTERanks33[[#This Row],[Player]],TE!B:O,7,FALSE)),"")</f>
        <v>0.98842251707639994</v>
      </c>
      <c r="AY54" s="57">
        <f>IFERROR((IFERROR(INDEX(TableTECalcPts[Custom],MATCH(TableTERanks33[[#This Row],[RK]],TableTECalcPts[RK],0)),"")),"")</f>
        <v>24.051614582192396</v>
      </c>
      <c r="AZ54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55" spans="1:52" x14ac:dyDescent="0.2">
      <c r="A55">
        <v>54</v>
      </c>
      <c r="B55" t="str">
        <f>IFERROR(INDEX(TableQBCalcPts[PLAYER],MATCH(TableQBRanks30[[#This Row],[RK]],TableQBCalcPts[RK],0)),"")</f>
        <v>Kenny Pickett</v>
      </c>
      <c r="C55" t="str">
        <f>IFERROR(INDEX(TableQBCalcPts[TM],MATCH(TableQBRanks30[[#This Row],[Player]],TableQBCalcPts[PLAYER],0)),"")</f>
        <v>PHI</v>
      </c>
      <c r="D55">
        <f>IFERROR(INDEX(TableQBCalcPts[BYE],MATCH(TableQBRanks30[[#This Row],[Player]],TableQBCalcPts[PLAYER],0)),"")</f>
        <v>5</v>
      </c>
      <c r="E55" s="83">
        <f>IFERROR((VLOOKUP(TableQBRanks30[[#This Row],[Player]],QB!B:O,4,FALSE)),"")</f>
        <v>11.384640000000012</v>
      </c>
      <c r="F55" s="83">
        <f>IFERROR((VLOOKUP(TableQBRanks30[[#This Row],[Player]],QB!B:O,5,FALSE)),"")</f>
        <v>7.3964416896480492</v>
      </c>
      <c r="G55" s="83">
        <f>IFERROR((VLOOKUP(TableQBRanks30[[#This Row],[Player]],QB!B:O,6,FALSE)),"")</f>
        <v>80.704324055045902</v>
      </c>
      <c r="H55" s="83">
        <f>IFERROR((VLOOKUP(TableQBRanks30[[#This Row],[Player]],QB!B:O,7,FALSE)),"")</f>
        <v>0.49671990302767033</v>
      </c>
      <c r="I55" s="83">
        <f>IFERROR((VLOOKUP(TableQBRanks30[[#This Row],[Player]],QB!B:O,8,FALSE)),"")</f>
        <v>0.19025843666186737</v>
      </c>
      <c r="J55" s="83">
        <f>IFERROR((VLOOKUP(TableQBRanks30[[#This Row],[Player]],QB!B:O,9,FALSE)),"")</f>
        <v>2.4145631999999999</v>
      </c>
      <c r="K55" s="83">
        <f>IFERROR((VLOOKUP(TableQBRanks30[[#This Row],[Player]],QB!B:O,10,FALSE)),"")</f>
        <v>8.416841661163053</v>
      </c>
      <c r="L55" s="83">
        <f>IFERROR((VLOOKUP(TableQBRanks30[[#This Row],[Player]],QB!B:O,11,FALSE)),"")</f>
        <v>6.9360172784886431E-2</v>
      </c>
      <c r="M55" s="57">
        <f>IFERROR(INDEX(TableQBCalcPts[Custom],MATCH(TableQBRanks30[[#This Row],[RK]],TableQBCalcPts[RK],0)),"")</f>
        <v>6.0923809038144068</v>
      </c>
      <c r="N55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55">
        <v>54</v>
      </c>
      <c r="Q55" t="str">
        <f>IFERROR(INDEX(TableRBCalcPts[PLAYER],MATCH(TableRBRanks31[[#This Row],[RK]],TableRBCalcPts[RK],0)),"")</f>
        <v>Alexander Mattison</v>
      </c>
      <c r="R55" t="str">
        <f>IFERROR(INDEX(TableRBCalcPts[TM],MATCH(TableRBRanks31[[#This Row],[Player]],TableRBCalcPts[PLAYER],0)),"")</f>
        <v>LV</v>
      </c>
      <c r="S55">
        <f>IFERROR(INDEX(TableRBCalcPts[BYE],MATCH(TableRBRanks31[[#This Row],[Player]],TableRBCalcPts[PLAYER],0)),"")</f>
        <v>10</v>
      </c>
      <c r="T55" s="83">
        <f>IFERROR((VLOOKUP(TableRBRanks31[[#This Row],[Player]],RB!B:O,4,FALSE)),"")</f>
        <v>97.034700000000015</v>
      </c>
      <c r="U55" s="83">
        <f>IFERROR((VLOOKUP(TableRBRanks31[[#This Row],[Player]],RB!B:O,5,FALSE)),"")</f>
        <v>384.91243466048115</v>
      </c>
      <c r="V55" s="83">
        <f>IFERROR((VLOOKUP(TableRBRanks31[[#This Row],[Player]],RB!B:O,6,FALSE)),"")</f>
        <v>2.6199369000000003</v>
      </c>
      <c r="W55" s="83">
        <f>IFERROR((VLOOKUP(TableRBRanks31[[#This Row],[Player]],RB!B:O,7,FALSE)),"")</f>
        <v>29.130500000000001</v>
      </c>
      <c r="X55" s="83">
        <f>IFERROR((VLOOKUP(TableRBRanks31[[#This Row],[Player]],RB!B:O,8,FALSE)),"")</f>
        <v>20.449611000000008</v>
      </c>
      <c r="Y55" s="83">
        <f>IFERROR((VLOOKUP(TableRBRanks31[[#This Row],[Player]],RB!B:O,9,FALSE)),"")</f>
        <v>142.84275470573382</v>
      </c>
      <c r="Z55" s="83">
        <f>IFERROR((VLOOKUP(TableRBRanks31[[#This Row],[Player]],RB!B:O,10,FALSE)),"")</f>
        <v>0.90727212057443829</v>
      </c>
      <c r="AA55" s="57">
        <f>IFERROR((IFERROR(INDEX(TableRBCalcPts[Custom],MATCH(TableRBRanks31[[#This Row],[RK]],TableRBCalcPts[RK],0)),"")),"")</f>
        <v>84.163578560068146</v>
      </c>
      <c r="AB55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55">
        <v>54</v>
      </c>
      <c r="AE55" t="str">
        <f>IFERROR(INDEX(TableWRCalcPts[PLAYER],MATCH(TableWRRanks32[[#This Row],[RK]],TableWRCalcPts[RK],0)),"")</f>
        <v>Adonai Mitchell</v>
      </c>
      <c r="AF55" t="str">
        <f>IFERROR(INDEX(TableWRCalcPts[TM],MATCH(TableWRRanks32[[#This Row],[Player]],TableWRCalcPts[PLAYER],0)),"")</f>
        <v>IND</v>
      </c>
      <c r="AG55">
        <f>IFERROR(INDEX(TableWRCalcPts[BYE],MATCH(TableWRRanks32[[#This Row],[Player]],TableWRCalcPts[PLAYER],0)),"")</f>
        <v>14</v>
      </c>
      <c r="AH55" s="83">
        <f>IFERROR((VLOOKUP(TableWRRanks32[[#This Row],[Player]],WR!B:O,4,FALSE)),"")</f>
        <v>0</v>
      </c>
      <c r="AI55" s="83">
        <f>IFERROR((VLOOKUP(TableWRRanks32[[#This Row],[Player]],WR!B:O,5,FALSE)),"")</f>
        <v>0</v>
      </c>
      <c r="AJ55" s="83">
        <f>IFERROR((VLOOKUP(TableWRRanks32[[#This Row],[Player]],WR!B:O,6,FALSE)),"")</f>
        <v>109.4721936</v>
      </c>
      <c r="AK55" s="83">
        <f>IFERROR((VLOOKUP(TableWRRanks32[[#This Row],[Player]],WR!B:O,7,FALSE)),"")</f>
        <v>65.68331615999999</v>
      </c>
      <c r="AL55" s="83">
        <f>IFERROR((VLOOKUP(TableWRRanks32[[#This Row],[Player]],WR!B:O,8,FALSE)),"")</f>
        <v>891.97943345279987</v>
      </c>
      <c r="AM55" s="83">
        <f>IFERROR((VLOOKUP(TableWRRanks32[[#This Row],[Player]],WR!B:O,9,FALSE)),"")</f>
        <v>4.991932028159999</v>
      </c>
      <c r="AN55" s="57">
        <f>IFERROR((IFERROR(INDEX(TableWRCalcPts[Custom],MATCH(TableWRRanks32[[#This Row],[RK]],TableWRCalcPts[RK],0)),"")),"")</f>
        <v>151.99119359423997</v>
      </c>
      <c r="AO55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2.0792252756284539</v>
      </c>
      <c r="AQ55">
        <v>54</v>
      </c>
      <c r="AR55" t="str">
        <f>IFERROR(INDEX(TableTECalcPts[PLAYER],MATCH(TableTERanks33[[#This Row],[RK]],TableTECalcPts[RK],0)),"")</f>
        <v>Brenton Strange</v>
      </c>
      <c r="AS55" t="str">
        <f>IFERROR(INDEX(TableTECalcPts[TM],MATCH(TableTERanks33[[#This Row],[Player]],TableTECalcPts[PLAYER],0)),"")</f>
        <v>JAX</v>
      </c>
      <c r="AT55">
        <f>IFERROR(INDEX(TableTECalcPts[BYE],MATCH(TableTERanks33[[#This Row],[Player]],TableTECalcPts[PLAYER],0)),"")</f>
        <v>12</v>
      </c>
      <c r="AU55" s="83">
        <f>IFERROR((VLOOKUP(TableTERanks33[[#This Row],[Player]],TE!B:O,4,FALSE)),"")</f>
        <v>18.065770799999999</v>
      </c>
      <c r="AV55" s="83">
        <f>IFERROR((VLOOKUP(TableTERanks33[[#This Row],[Player]],TE!B:O,5,FALSE)),"")</f>
        <v>11.977606040399998</v>
      </c>
      <c r="AW55" s="83">
        <f>IFERROR((VLOOKUP(TableTERanks33[[#This Row],[Player]],TE!B:O,6,FALSE)),"")</f>
        <v>112.97281335824182</v>
      </c>
      <c r="AX55" s="83">
        <f>IFERROR((VLOOKUP(TableTERanks33[[#This Row],[Player]],TE!B:O,7,FALSE)),"")</f>
        <v>0.95820848323199981</v>
      </c>
      <c r="AY55" s="57">
        <f>IFERROR((IFERROR(INDEX(TableTECalcPts[Custom],MATCH(TableTERanks33[[#This Row],[RK]],TableTECalcPts[RK],0)),"")),"")</f>
        <v>23.035335255416182</v>
      </c>
      <c r="AZ55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56" spans="1:52" x14ac:dyDescent="0.2">
      <c r="A56">
        <v>55</v>
      </c>
      <c r="B56" t="str">
        <f>IFERROR(INDEX(TableQBCalcPts[PLAYER],MATCH(TableQBRanks30[[#This Row],[RK]],TableQBCalcPts[RK],0)),"")</f>
        <v>Spencer Rattler</v>
      </c>
      <c r="C56" t="str">
        <f>IFERROR(INDEX(TableQBCalcPts[TM],MATCH(TableQBRanks30[[#This Row],[Player]],TableQBCalcPts[PLAYER],0)),"")</f>
        <v>NO</v>
      </c>
      <c r="D56">
        <f>IFERROR(INDEX(TableQBCalcPts[BYE],MATCH(TableQBRanks30[[#This Row],[Player]],TableQBCalcPts[PLAYER],0)),"")</f>
        <v>12</v>
      </c>
      <c r="E56" s="83">
        <f>IFERROR((VLOOKUP(TableQBRanks30[[#This Row],[Player]],QB!B:O,4,FALSE)),"")</f>
        <v>11.704879999999999</v>
      </c>
      <c r="F56" s="83">
        <f>IFERROR((VLOOKUP(TableQBRanks30[[#This Row],[Player]],QB!B:O,5,FALSE)),"")</f>
        <v>7.3389597599999998</v>
      </c>
      <c r="G56" s="83">
        <f>IFERROR((VLOOKUP(TableQBRanks30[[#This Row],[Player]],QB!B:O,6,FALSE)),"")</f>
        <v>80.068050981599995</v>
      </c>
      <c r="H56" s="83">
        <f>IFERROR((VLOOKUP(TableQBRanks30[[#This Row],[Player]],QB!B:O,7,FALSE)),"")</f>
        <v>0.47990008000000001</v>
      </c>
      <c r="I56" s="83">
        <f>IFERROR((VLOOKUP(TableQBRanks30[[#This Row],[Player]],QB!B:O,8,FALSE)),"")</f>
        <v>0.14677919519999999</v>
      </c>
      <c r="J56" s="83">
        <f>IFERROR((VLOOKUP(TableQBRanks30[[#This Row],[Player]],QB!B:O,9,FALSE)),"")</f>
        <v>2.1989044</v>
      </c>
      <c r="K56" s="83">
        <f>IFERROR((VLOOKUP(TableQBRanks30[[#This Row],[Player]],QB!B:O,10,FALSE)),"")</f>
        <v>6.6406912880000002</v>
      </c>
      <c r="L56" s="83">
        <f>IFERROR((VLOOKUP(TableQBRanks30[[#This Row],[Player]],QB!B:O,11,FALSE)),"")</f>
        <v>4.3978087999999999E-2</v>
      </c>
      <c r="M56" s="57">
        <f>IFERROR(INDEX(TableQBCalcPts[Custom],MATCH(TableQBRanks30[[#This Row],[RK]],TableQBCalcPts[RK],0)),"")</f>
        <v>5.7567016256639985</v>
      </c>
      <c r="N56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56">
        <v>55</v>
      </c>
      <c r="Q56" t="str">
        <f>IFERROR(INDEX(TableRBCalcPts[PLAYER],MATCH(TableRBRanks31[[#This Row],[RK]],TableRBCalcPts[RK],0)),"")</f>
        <v>Roschon Johnson</v>
      </c>
      <c r="R56" t="str">
        <f>IFERROR(INDEX(TableRBCalcPts[TM],MATCH(TableRBRanks31[[#This Row],[Player]],TableRBCalcPts[PLAYER],0)),"")</f>
        <v>CHI</v>
      </c>
      <c r="S56">
        <f>IFERROR(INDEX(TableRBCalcPts[BYE],MATCH(TableRBRanks31[[#This Row],[Player]],TableRBCalcPts[PLAYER],0)),"")</f>
        <v>7</v>
      </c>
      <c r="T56" s="83">
        <f>IFERROR((VLOOKUP(TableRBRanks31[[#This Row],[Player]],RB!B:O,4,FALSE)),"")</f>
        <v>81.223450559999989</v>
      </c>
      <c r="U56" s="83">
        <f>IFERROR((VLOOKUP(TableRBRanks31[[#This Row],[Player]],RB!B:O,5,FALSE)),"")</f>
        <v>357.38318246399996</v>
      </c>
      <c r="V56" s="83">
        <f>IFERROR((VLOOKUP(TableRBRanks31[[#This Row],[Player]],RB!B:O,6,FALSE)),"")</f>
        <v>2.8428207695999999</v>
      </c>
      <c r="W56" s="83">
        <f>IFERROR((VLOOKUP(TableRBRanks31[[#This Row],[Player]],RB!B:O,7,FALSE)),"")</f>
        <v>28.340423999999999</v>
      </c>
      <c r="X56" s="83">
        <f>IFERROR((VLOOKUP(TableRBRanks31[[#This Row],[Player]],RB!B:O,8,FALSE)),"")</f>
        <v>20.971913759999996</v>
      </c>
      <c r="Y56" s="83">
        <f>IFERROR((VLOOKUP(TableRBRanks31[[#This Row],[Player]],RB!B:O,9,FALSE)),"")</f>
        <v>151.20749820959998</v>
      </c>
      <c r="Z56" s="83">
        <f>IFERROR((VLOOKUP(TableRBRanks31[[#This Row],[Player]],RB!B:O,10,FALSE)),"")</f>
        <v>0.7652672484924139</v>
      </c>
      <c r="AA56" s="57">
        <f>IFERROR((IFERROR(INDEX(TableRBCalcPts[Custom],MATCH(TableRBRanks31[[#This Row],[RK]],TableRBCalcPts[RK],0)),"")),"")</f>
        <v>82.993553055914475</v>
      </c>
      <c r="AB56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56">
        <v>55</v>
      </c>
      <c r="AE56" t="str">
        <f>IFERROR(INDEX(TableWRCalcPts[PLAYER],MATCH(TableWRRanks32[[#This Row],[RK]],TableWRCalcPts[RK],0)),"")</f>
        <v>Rome Odunze</v>
      </c>
      <c r="AF56" t="str">
        <f>IFERROR(INDEX(TableWRCalcPts[TM],MATCH(TableWRRanks32[[#This Row],[Player]],TableWRCalcPts[PLAYER],0)),"")</f>
        <v>CHI</v>
      </c>
      <c r="AG56">
        <f>IFERROR(INDEX(TableWRCalcPts[BYE],MATCH(TableWRRanks32[[#This Row],[Player]],TableWRCalcPts[PLAYER],0)),"")</f>
        <v>7</v>
      </c>
      <c r="AH56" s="83">
        <f>IFERROR((VLOOKUP(TableWRRanks32[[#This Row],[Player]],WR!B:O,4,FALSE)),"")</f>
        <v>0</v>
      </c>
      <c r="AI56" s="83">
        <f>IFERROR((VLOOKUP(TableWRRanks32[[#This Row],[Player]],WR!B:O,5,FALSE)),"")</f>
        <v>0</v>
      </c>
      <c r="AJ56" s="83">
        <f>IFERROR((VLOOKUP(TableWRRanks32[[#This Row],[Player]],WR!B:O,6,FALSE)),"")</f>
        <v>104.29276031999999</v>
      </c>
      <c r="AK56" s="83">
        <f>IFERROR((VLOOKUP(TableWRRanks32[[#This Row],[Player]],WR!B:O,7,FALSE)),"")</f>
        <v>63.618583795199974</v>
      </c>
      <c r="AL56" s="83">
        <f>IFERROR((VLOOKUP(TableWRRanks32[[#This Row],[Player]],WR!B:O,8,FALSE)),"")</f>
        <v>863.94036793881571</v>
      </c>
      <c r="AM56" s="83">
        <f>IFERROR((VLOOKUP(TableWRRanks32[[#This Row],[Player]],WR!B:O,9,FALSE)),"")</f>
        <v>5.4726278311605565</v>
      </c>
      <c r="AN56" s="57">
        <f>IFERROR((IFERROR(INDEX(TableWRCalcPts[Custom],MATCH(TableWRRanks32[[#This Row],[RK]],TableWRCalcPts[RK],0)),"")),"")</f>
        <v>151.03909567844491</v>
      </c>
      <c r="AO56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1.664390376650428</v>
      </c>
      <c r="AQ56">
        <v>55</v>
      </c>
      <c r="AR56" t="str">
        <f>IFERROR(INDEX(TableTECalcPts[PLAYER],MATCH(TableTERanks33[[#This Row],[RK]],TableTECalcPts[RK],0)),"")</f>
        <v>Ko Kieft</v>
      </c>
      <c r="AS56" t="str">
        <f>IFERROR(INDEX(TableTECalcPts[TM],MATCH(TableTERanks33[[#This Row],[Player]],TableTECalcPts[PLAYER],0)),"")</f>
        <v>TB</v>
      </c>
      <c r="AT56">
        <f>IFERROR(INDEX(TableTECalcPts[BYE],MATCH(TableTERanks33[[#This Row],[Player]],TableTECalcPts[PLAYER],0)),"")</f>
        <v>11</v>
      </c>
      <c r="AU56" s="83">
        <f>IFERROR((VLOOKUP(TableTERanks33[[#This Row],[Player]],TE!B:O,4,FALSE)),"")</f>
        <v>20.756782200000004</v>
      </c>
      <c r="AV56" s="83">
        <f>IFERROR((VLOOKUP(TableTERanks33[[#This Row],[Player]],TE!B:O,5,FALSE)),"")</f>
        <v>12.661637142000002</v>
      </c>
      <c r="AW56" s="83">
        <f>IFERROR((VLOOKUP(TableTERanks33[[#This Row],[Player]],TE!B:O,6,FALSE)),"")</f>
        <v>116.49334482614039</v>
      </c>
      <c r="AX56" s="83">
        <f>IFERROR((VLOOKUP(TableTERanks33[[#This Row],[Player]],TE!B:O,7,FALSE)),"")</f>
        <v>0.70905167995200014</v>
      </c>
      <c r="AY56" s="57">
        <f>IFERROR((IFERROR(INDEX(TableTECalcPts[Custom],MATCH(TableTERanks33[[#This Row],[RK]],TableTECalcPts[RK],0)),"")),"")</f>
        <v>22.234463133326038</v>
      </c>
      <c r="AZ56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57" spans="1:52" x14ac:dyDescent="0.2">
      <c r="A57">
        <v>56</v>
      </c>
      <c r="B57" t="str">
        <f>IFERROR(INDEX(TableQBCalcPts[PLAYER],MATCH(TableQBRanks30[[#This Row],[RK]],TableQBCalcPts[RK],0)),"")</f>
        <v>Trey Lance</v>
      </c>
      <c r="C57" t="str">
        <f>IFERROR(INDEX(TableQBCalcPts[TM],MATCH(TableQBRanks30[[#This Row],[Player]],TableQBCalcPts[PLAYER],0)),"")</f>
        <v>DAL</v>
      </c>
      <c r="D57">
        <f>IFERROR(INDEX(TableQBCalcPts[BYE],MATCH(TableQBRanks30[[#This Row],[Player]],TableQBCalcPts[PLAYER],0)),"")</f>
        <v>7</v>
      </c>
      <c r="E57" s="83">
        <f>IFERROR((VLOOKUP(TableQBRanks30[[#This Row],[Player]],QB!B:O,4,FALSE)),"")</f>
        <v>12.445560000000009</v>
      </c>
      <c r="F57" s="83">
        <f>IFERROR((VLOOKUP(TableQBRanks30[[#This Row],[Player]],QB!B:O,5,FALSE)),"")</f>
        <v>7.7169749141520727</v>
      </c>
      <c r="G57" s="83">
        <f>IFERROR((VLOOKUP(TableQBRanks30[[#This Row],[Player]],QB!B:O,6,FALSE)),"")</f>
        <v>82.184950252455806</v>
      </c>
      <c r="H57" s="83">
        <f>IFERROR((VLOOKUP(TableQBRanks30[[#This Row],[Player]],QB!B:O,7,FALSE)),"")</f>
        <v>0.50404414639701622</v>
      </c>
      <c r="I57" s="83">
        <f>IFERROR((VLOOKUP(TableQBRanks30[[#This Row],[Player]],QB!B:O,8,FALSE)),"")</f>
        <v>0.27825469245695994</v>
      </c>
      <c r="J57" s="83">
        <f>IFERROR((VLOOKUP(TableQBRanks30[[#This Row],[Player]],QB!B:O,9,FALSE)),"")</f>
        <v>2.2722378000000001</v>
      </c>
      <c r="K57" s="83">
        <f>IFERROR((VLOOKUP(TableQBRanks30[[#This Row],[Player]],QB!B:O,10,FALSE)),"")</f>
        <v>7.7130669439256323</v>
      </c>
      <c r="L57" s="83">
        <f>IFERROR((VLOOKUP(TableQBRanks30[[#This Row],[Player]],QB!B:O,11,FALSE)),"")</f>
        <v>1.6828437336013292E-2</v>
      </c>
      <c r="M57" s="57">
        <f>IFERROR(INDEX(TableQBCalcPts[Custom],MATCH(TableQBRanks30[[#This Row],[RK]],TableQBCalcPts[RK],0)),"")</f>
        <v>5.6193425291810213</v>
      </c>
      <c r="N57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57">
        <v>56</v>
      </c>
      <c r="Q57" t="str">
        <f>IFERROR(INDEX(TableRBCalcPts[PLAYER],MATCH(TableRBRanks31[[#This Row],[RK]],TableRBCalcPts[RK],0)),"")</f>
        <v>Jamaal Williams</v>
      </c>
      <c r="R57" t="str">
        <f>IFERROR(INDEX(TableRBCalcPts[TM],MATCH(TableRBRanks31[[#This Row],[Player]],TableRBCalcPts[PLAYER],0)),"")</f>
        <v>NO</v>
      </c>
      <c r="S57">
        <f>IFERROR(INDEX(TableRBCalcPts[BYE],MATCH(TableRBRanks31[[#This Row],[Player]],TableRBCalcPts[PLAYER],0)),"")</f>
        <v>12</v>
      </c>
      <c r="T57" s="83">
        <f>IFERROR((VLOOKUP(TableRBRanks31[[#This Row],[Player]],RB!B:O,4,FALSE)),"")</f>
        <v>125.3375508</v>
      </c>
      <c r="U57" s="83">
        <f>IFERROR((VLOOKUP(TableRBRanks31[[#This Row],[Player]],RB!B:O,5,FALSE)),"")</f>
        <v>501.35020320000001</v>
      </c>
      <c r="V57" s="83">
        <f>IFERROR((VLOOKUP(TableRBRanks31[[#This Row],[Player]],RB!B:O,6,FALSE)),"")</f>
        <v>3.8854640748000002</v>
      </c>
      <c r="W57" s="83">
        <f>IFERROR((VLOOKUP(TableRBRanks31[[#This Row],[Player]],RB!B:O,7,FALSE)),"")</f>
        <v>8.3449941959999983</v>
      </c>
      <c r="X57" s="83">
        <f>IFERROR((VLOOKUP(TableRBRanks31[[#This Row],[Player]],RB!B:O,8,FALSE)),"")</f>
        <v>6.6175803974279992</v>
      </c>
      <c r="Y57" s="83">
        <f>IFERROR((VLOOKUP(TableRBRanks31[[#This Row],[Player]],RB!B:O,9,FALSE)),"")</f>
        <v>39.308427560722315</v>
      </c>
      <c r="Z57" s="83">
        <f>IFERROR((VLOOKUP(TableRBRanks31[[#This Row],[Player]],RB!B:O,10,FALSE)),"")</f>
        <v>0.19852741192283996</v>
      </c>
      <c r="AA57" s="57">
        <f>IFERROR((IFERROR(INDEX(TableRBCalcPts[Custom],MATCH(TableRBRanks31[[#This Row],[RK]],TableRBCalcPts[RK],0)),"")),"")</f>
        <v>81.878602195123278</v>
      </c>
      <c r="AB57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57">
        <v>56</v>
      </c>
      <c r="AE57" t="str">
        <f>IFERROR(INDEX(TableWRCalcPts[PLAYER],MATCH(TableWRRanks32[[#This Row],[RK]],TableWRCalcPts[RK],0)),"")</f>
        <v>Keon Coleman</v>
      </c>
      <c r="AF57" t="str">
        <f>IFERROR(INDEX(TableWRCalcPts[TM],MATCH(TableWRRanks32[[#This Row],[Player]],TableWRCalcPts[PLAYER],0)),"")</f>
        <v>BUF</v>
      </c>
      <c r="AG57">
        <f>IFERROR(INDEX(TableWRCalcPts[BYE],MATCH(TableWRRanks32[[#This Row],[Player]],TableWRCalcPts[PLAYER],0)),"")</f>
        <v>12</v>
      </c>
      <c r="AH57" s="83">
        <f>IFERROR((VLOOKUP(TableWRRanks32[[#This Row],[Player]],WR!B:O,4,FALSE)),"")</f>
        <v>0</v>
      </c>
      <c r="AI57" s="83">
        <f>IFERROR((VLOOKUP(TableWRRanks32[[#This Row],[Player]],WR!B:O,5,FALSE)),"")</f>
        <v>0</v>
      </c>
      <c r="AJ57" s="83">
        <f>IFERROR((VLOOKUP(TableWRRanks32[[#This Row],[Player]],WR!B:O,6,FALSE)),"")</f>
        <v>106.29158399999999</v>
      </c>
      <c r="AK57" s="83">
        <f>IFERROR((VLOOKUP(TableWRRanks32[[#This Row],[Player]],WR!B:O,7,FALSE)),"")</f>
        <v>63.66865881599999</v>
      </c>
      <c r="AL57" s="83">
        <f>IFERROR((VLOOKUP(TableWRRanks32[[#This Row],[Player]],WR!B:O,8,FALSE)),"")</f>
        <v>832.78605731327991</v>
      </c>
      <c r="AM57" s="83">
        <f>IFERROR((VLOOKUP(TableWRRanks32[[#This Row],[Player]],WR!B:O,9,FALSE)),"")</f>
        <v>5.4430790493871664</v>
      </c>
      <c r="AN57" s="57">
        <f>IFERROR((IFERROR(INDEX(TableWRCalcPts[Custom],MATCH(TableWRRanks32[[#This Row],[RK]],TableWRCalcPts[RK],0)),"")),"")</f>
        <v>147.77140943565098</v>
      </c>
      <c r="AO57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0.2406394473257609</v>
      </c>
      <c r="AQ57">
        <v>56</v>
      </c>
      <c r="AR57" t="str">
        <f>IFERROR(INDEX(TableTECalcPts[PLAYER],MATCH(TableTERanks33[[#This Row],[RK]],TableTECalcPts[RK],0)),"")</f>
        <v>Pharaoh Brown</v>
      </c>
      <c r="AS57" t="str">
        <f>IFERROR(INDEX(TableTECalcPts[TM],MATCH(TableTERanks33[[#This Row],[Player]],TableTECalcPts[PLAYER],0)),"")</f>
        <v>SEA</v>
      </c>
      <c r="AT57">
        <f>IFERROR(INDEX(TableTECalcPts[BYE],MATCH(TableTERanks33[[#This Row],[Player]],TableTECalcPts[PLAYER],0)),"")</f>
        <v>10</v>
      </c>
      <c r="AU57" s="83">
        <f>IFERROR((VLOOKUP(TableTERanks33[[#This Row],[Player]],TE!B:O,4,FALSE)),"")</f>
        <v>17.414472599999996</v>
      </c>
      <c r="AV57" s="83">
        <f>IFERROR((VLOOKUP(TableTERanks33[[#This Row],[Player]],TE!B:O,5,FALSE)),"")</f>
        <v>11.319407189999996</v>
      </c>
      <c r="AW57" s="83">
        <f>IFERROR((VLOOKUP(TableTERanks33[[#This Row],[Player]],TE!B:O,6,FALSE)),"")</f>
        <v>117.37499404445633</v>
      </c>
      <c r="AX57" s="83">
        <f>IFERROR((VLOOKUP(TableTERanks33[[#This Row],[Player]],TE!B:O,7,FALSE)),"")</f>
        <v>0.67231172218580615</v>
      </c>
      <c r="AY57" s="57">
        <f>IFERROR((IFERROR(INDEX(TableTECalcPts[Custom],MATCH(TableTERanks33[[#This Row],[RK]],TableTECalcPts[RK],0)),"")),"")</f>
        <v>21.431073332560469</v>
      </c>
      <c r="AZ57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58" spans="1:52" x14ac:dyDescent="0.2">
      <c r="A58">
        <v>57</v>
      </c>
      <c r="B58" t="str">
        <f>IFERROR(INDEX(TableQBCalcPts[PLAYER],MATCH(TableQBRanks30[[#This Row],[RK]],TableQBCalcPts[RK],0)),"")</f>
        <v>Hendon Hooker</v>
      </c>
      <c r="C58" t="str">
        <f>IFERROR(INDEX(TableQBCalcPts[TM],MATCH(TableQBRanks30[[#This Row],[Player]],TableQBCalcPts[PLAYER],0)),"")</f>
        <v>DET</v>
      </c>
      <c r="D58">
        <f>IFERROR(INDEX(TableQBCalcPts[BYE],MATCH(TableQBRanks30[[#This Row],[Player]],TableQBCalcPts[PLAYER],0)),"")</f>
        <v>5</v>
      </c>
      <c r="E58" s="83">
        <f>IFERROR((VLOOKUP(TableQBRanks30[[#This Row],[Player]],QB!B:O,4,FALSE)),"")</f>
        <v>12.09540000000001</v>
      </c>
      <c r="F58" s="83">
        <f>IFERROR((VLOOKUP(TableQBRanks30[[#This Row],[Player]],QB!B:O,5,FALSE)),"")</f>
        <v>7.8102907970081281</v>
      </c>
      <c r="G58" s="83">
        <f>IFERROR((VLOOKUP(TableQBRanks30[[#This Row],[Player]],QB!B:O,6,FALSE)),"")</f>
        <v>82.323179939237278</v>
      </c>
      <c r="H58" s="83">
        <f>IFERROR((VLOOKUP(TableQBRanks30[[#This Row],[Player]],QB!B:O,7,FALSE)),"")</f>
        <v>0.51380625560603266</v>
      </c>
      <c r="I58" s="83">
        <f>IFERROR((VLOOKUP(TableQBRanks30[[#This Row],[Player]],QB!B:O,8,FALSE)),"")</f>
        <v>0.18473386771647521</v>
      </c>
      <c r="J58" s="83">
        <f>IFERROR((VLOOKUP(TableQBRanks30[[#This Row],[Player]],QB!B:O,9,FALSE)),"")</f>
        <v>0</v>
      </c>
      <c r="K58" s="83">
        <f>IFERROR((VLOOKUP(TableQBRanks30[[#This Row],[Player]],QB!B:O,10,FALSE)),"")</f>
        <v>0</v>
      </c>
      <c r="L58" s="83">
        <f>IFERROR((VLOOKUP(TableQBRanks30[[#This Row],[Player]],QB!B:O,11,FALSE)),"")</f>
        <v>0</v>
      </c>
      <c r="M58" s="57">
        <f>IFERROR(INDEX(TableQBCalcPts[Custom],MATCH(TableQBRanks30[[#This Row],[RK]],TableQBCalcPts[RK],0)),"")</f>
        <v>4.9786844845606719</v>
      </c>
      <c r="N58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58">
        <v>57</v>
      </c>
      <c r="Q58" t="str">
        <f>IFERROR(INDEX(TableRBCalcPts[PLAYER],MATCH(TableRBRanks31[[#This Row],[RK]],TableRBCalcPts[RK],0)),"")</f>
        <v>Cordarrelle Patterson</v>
      </c>
      <c r="R58" t="str">
        <f>IFERROR(INDEX(TableRBCalcPts[TM],MATCH(TableRBRanks31[[#This Row],[Player]],TableRBCalcPts[PLAYER],0)),"")</f>
        <v>PIT</v>
      </c>
      <c r="S58">
        <f>IFERROR(INDEX(TableRBCalcPts[BYE],MATCH(TableRBRanks31[[#This Row],[Player]],TableRBCalcPts[PLAYER],0)),"")</f>
        <v>9</v>
      </c>
      <c r="T58" s="83">
        <f>IFERROR((VLOOKUP(TableRBRanks31[[#This Row],[Player]],RB!B:O,4,FALSE)),"")</f>
        <v>44.977589999999999</v>
      </c>
      <c r="U58" s="83">
        <f>IFERROR((VLOOKUP(TableRBRanks31[[#This Row],[Player]],RB!B:O,5,FALSE)),"")</f>
        <v>183.50856719999999</v>
      </c>
      <c r="V58" s="83">
        <f>IFERROR((VLOOKUP(TableRBRanks31[[#This Row],[Player]],RB!B:O,6,FALSE)),"")</f>
        <v>1.75412601</v>
      </c>
      <c r="W58" s="83">
        <f>IFERROR((VLOOKUP(TableRBRanks31[[#This Row],[Player]],RB!B:O,7,FALSE)),"")</f>
        <v>44.591715000000001</v>
      </c>
      <c r="X58" s="83">
        <f>IFERROR((VLOOKUP(TableRBRanks31[[#This Row],[Player]],RB!B:O,8,FALSE)),"")</f>
        <v>34.201845405000007</v>
      </c>
      <c r="Y58" s="83">
        <f>IFERROR((VLOOKUP(TableRBRanks31[[#This Row],[Player]],RB!B:O,9,FALSE)),"")</f>
        <v>242.49108392145004</v>
      </c>
      <c r="Z58" s="83">
        <f>IFERROR((VLOOKUP(TableRBRanks31[[#This Row],[Player]],RB!B:O,10,FALSE)),"")</f>
        <v>1.536897570984842</v>
      </c>
      <c r="AA58" s="57">
        <f>IFERROR((IFERROR(INDEX(TableRBCalcPts[Custom],MATCH(TableRBRanks31[[#This Row],[RK]],TableRBCalcPts[RK],0)),"")),"")</f>
        <v>79.44702930055405</v>
      </c>
      <c r="AB58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58">
        <v>57</v>
      </c>
      <c r="AE58" t="str">
        <f>IFERROR(INDEX(TableWRCalcPts[PLAYER],MATCH(TableWRRanks32[[#This Row],[RK]],TableWRCalcPts[RK],0)),"")</f>
        <v>Darnell Mooney</v>
      </c>
      <c r="AF58" t="str">
        <f>IFERROR(INDEX(TableWRCalcPts[TM],MATCH(TableWRRanks32[[#This Row],[Player]],TableWRCalcPts[PLAYER],0)),"")</f>
        <v>ATL</v>
      </c>
      <c r="AG58">
        <f>IFERROR(INDEX(TableWRCalcPts[BYE],MATCH(TableWRRanks32[[#This Row],[Player]],TableWRCalcPts[PLAYER],0)),"")</f>
        <v>12</v>
      </c>
      <c r="AH58" s="83">
        <f>IFERROR((VLOOKUP(TableWRRanks32[[#This Row],[Player]],WR!B:O,4,FALSE)),"")</f>
        <v>0</v>
      </c>
      <c r="AI58" s="83">
        <f>IFERROR((VLOOKUP(TableWRRanks32[[#This Row],[Player]],WR!B:O,5,FALSE)),"")</f>
        <v>0</v>
      </c>
      <c r="AJ58" s="83">
        <f>IFERROR((VLOOKUP(TableWRRanks32[[#This Row],[Player]],WR!B:O,6,FALSE)),"")</f>
        <v>98.923144319999992</v>
      </c>
      <c r="AK58" s="83">
        <f>IFERROR((VLOOKUP(TableWRRanks32[[#This Row],[Player]],WR!B:O,7,FALSE)),"")</f>
        <v>59.74957916927999</v>
      </c>
      <c r="AL58" s="83">
        <f>IFERROR((VLOOKUP(TableWRRanks32[[#This Row],[Player]],WR!B:O,8,FALSE)),"")</f>
        <v>827.53167149452781</v>
      </c>
      <c r="AM58" s="83">
        <f>IFERROR((VLOOKUP(TableWRRanks32[[#This Row],[Player]],WR!B:O,9,FALSE)),"")</f>
        <v>5.7651925180693366</v>
      </c>
      <c r="AN58" s="57">
        <f>IFERROR((IFERROR(INDEX(TableWRCalcPts[Custom],MATCH(TableWRRanks32[[#This Row],[RK]],TableWRCalcPts[RK],0)),"")),"")</f>
        <v>147.21911184250882</v>
      </c>
      <c r="AO58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58">
        <v>57</v>
      </c>
      <c r="AR58" t="str">
        <f>IFERROR(INDEX(TableTECalcPts[PLAYER],MATCH(TableTERanks33[[#This Row],[RK]],TableTECalcPts[RK],0)),"")</f>
        <v>Jordan Akins</v>
      </c>
      <c r="AS58" t="str">
        <f>IFERROR(INDEX(TableTECalcPts[TM],MATCH(TableTERanks33[[#This Row],[Player]],TableTECalcPts[PLAYER],0)),"")</f>
        <v>CLE</v>
      </c>
      <c r="AT58">
        <f>IFERROR(INDEX(TableTECalcPts[BYE],MATCH(TableTERanks33[[#This Row],[Player]],TableTECalcPts[PLAYER],0)),"")</f>
        <v>10</v>
      </c>
      <c r="AU58" s="83">
        <f>IFERROR((VLOOKUP(TableTERanks33[[#This Row],[Player]],TE!B:O,4,FALSE)),"")</f>
        <v>16.129574999999996</v>
      </c>
      <c r="AV58" s="83">
        <f>IFERROR((VLOOKUP(TableTERanks33[[#This Row],[Player]],TE!B:O,5,FALSE)),"")</f>
        <v>10.887463125000002</v>
      </c>
      <c r="AW58" s="83">
        <f>IFERROR((VLOOKUP(TableTERanks33[[#This Row],[Player]],TE!B:O,6,FALSE)),"")</f>
        <v>106.11131499374042</v>
      </c>
      <c r="AX58" s="83">
        <f>IFERROR((VLOOKUP(TableTERanks33[[#This Row],[Player]],TE!B:O,7,FALSE)),"")</f>
        <v>0.7185725662500001</v>
      </c>
      <c r="AY58" s="57">
        <f>IFERROR((IFERROR(INDEX(TableTECalcPts[Custom],MATCH(TableTERanks33[[#This Row],[RK]],TableTECalcPts[RK],0)),"")),"")</f>
        <v>20.366298459374043</v>
      </c>
      <c r="AZ58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59" spans="1:52" x14ac:dyDescent="0.2">
      <c r="A59">
        <v>58</v>
      </c>
      <c r="B59" t="str">
        <f>IFERROR(INDEX(TableQBCalcPts[PLAYER],MATCH(TableQBRanks30[[#This Row],[RK]],TableQBCalcPts[RK],0)),"")</f>
        <v>Tyson Bagent</v>
      </c>
      <c r="C59" t="str">
        <f>IFERROR(INDEX(TableQBCalcPts[TM],MATCH(TableQBRanks30[[#This Row],[Player]],TableQBCalcPts[PLAYER],0)),"")</f>
        <v>CHI</v>
      </c>
      <c r="D59">
        <f>IFERROR(INDEX(TableQBCalcPts[BYE],MATCH(TableQBRanks30[[#This Row],[Player]],TableQBCalcPts[PLAYER],0)),"")</f>
        <v>7</v>
      </c>
      <c r="E59" s="83">
        <f>IFERROR((VLOOKUP(TableQBRanks30[[#This Row],[Player]],QB!B:O,4,FALSE)),"")</f>
        <v>11.567520000000002</v>
      </c>
      <c r="F59" s="83">
        <f>IFERROR((VLOOKUP(TableQBRanks30[[#This Row],[Player]],QB!B:O,5,FALSE)),"")</f>
        <v>7.4362083752478112</v>
      </c>
      <c r="G59" s="83">
        <f>IFERROR((VLOOKUP(TableQBRanks30[[#This Row],[Player]],QB!B:O,6,FALSE)),"")</f>
        <v>80.529406705151601</v>
      </c>
      <c r="H59" s="83">
        <f>IFERROR((VLOOKUP(TableQBRanks30[[#This Row],[Player]],QB!B:O,7,FALSE)),"")</f>
        <v>0.4859973311436821</v>
      </c>
      <c r="I59" s="83">
        <f>IFERROR((VLOOKUP(TableQBRanks30[[#This Row],[Player]],QB!B:O,8,FALSE)),"")</f>
        <v>0.18065996552588781</v>
      </c>
      <c r="J59" s="83">
        <f>IFERROR((VLOOKUP(TableQBRanks30[[#This Row],[Player]],QB!B:O,9,FALSE)),"")</f>
        <v>0</v>
      </c>
      <c r="K59" s="83">
        <f>IFERROR((VLOOKUP(TableQBRanks30[[#This Row],[Player]],QB!B:O,10,FALSE)),"")</f>
        <v>0</v>
      </c>
      <c r="L59" s="83">
        <f>IFERROR((VLOOKUP(TableQBRanks30[[#This Row],[Player]],QB!B:O,11,FALSE)),"")</f>
        <v>0</v>
      </c>
      <c r="M59" s="57">
        <f>IFERROR(INDEX(TableQBCalcPts[Custom],MATCH(TableQBRanks30[[#This Row],[RK]],TableQBCalcPts[RK],0)),"")</f>
        <v>4.8038456617290173</v>
      </c>
      <c r="N59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59">
        <v>58</v>
      </c>
      <c r="Q59" t="str">
        <f>IFERROR(INDEX(TableRBCalcPts[PLAYER],MATCH(TableRBRanks31[[#This Row],[RK]],TableRBCalcPts[RK],0)),"")</f>
        <v>Ray Davis</v>
      </c>
      <c r="R59" t="str">
        <f>IFERROR(INDEX(TableRBCalcPts[TM],MATCH(TableRBRanks31[[#This Row],[Player]],TableRBCalcPts[PLAYER],0)),"")</f>
        <v>BUF</v>
      </c>
      <c r="S59">
        <f>IFERROR(INDEX(TableRBCalcPts[BYE],MATCH(TableRBRanks31[[#This Row],[Player]],TableRBCalcPts[PLAYER],0)),"")</f>
        <v>12</v>
      </c>
      <c r="T59" s="83">
        <f>IFERROR((VLOOKUP(TableRBRanks31[[#This Row],[Player]],RB!B:O,4,FALSE)),"")</f>
        <v>91.20830208000001</v>
      </c>
      <c r="U59" s="83">
        <f>IFERROR((VLOOKUP(TableRBRanks31[[#This Row],[Player]],RB!B:O,5,FALSE)),"")</f>
        <v>388.19179678162135</v>
      </c>
      <c r="V59" s="83">
        <f>IFERROR((VLOOKUP(TableRBRanks31[[#This Row],[Player]],RB!B:O,6,FALSE)),"")</f>
        <v>3.1418739197821406</v>
      </c>
      <c r="W59" s="83">
        <f>IFERROR((VLOOKUP(TableRBRanks31[[#This Row],[Player]],RB!B:O,7,FALSE)),"")</f>
        <v>18.221414399999997</v>
      </c>
      <c r="X59" s="83">
        <f>IFERROR((VLOOKUP(TableRBRanks31[[#This Row],[Player]],RB!B:O,8,FALSE)),"")</f>
        <v>13.319853926399999</v>
      </c>
      <c r="Y59" s="83">
        <f>IFERROR((VLOOKUP(TableRBRanks31[[#This Row],[Player]],RB!B:O,9,FALSE)),"")</f>
        <v>109.47065962537322</v>
      </c>
      <c r="Z59" s="83">
        <f>IFERROR((VLOOKUP(TableRBRanks31[[#This Row],[Player]],RB!B:O,10,FALSE)),"")</f>
        <v>0.53279415705599997</v>
      </c>
      <c r="AA59" s="57">
        <f>IFERROR((IFERROR(INDEX(TableRBCalcPts[Custom],MATCH(TableRBRanks31[[#This Row],[RK]],TableRBCalcPts[RK],0)),"")),"")</f>
        <v>78.474181064928302</v>
      </c>
      <c r="AB59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59">
        <v>58</v>
      </c>
      <c r="AE59" t="str">
        <f>IFERROR(INDEX(TableWRCalcPts[PLAYER],MATCH(TableWRRanks32[[#This Row],[RK]],TableWRCalcPts[RK],0)),"")</f>
        <v>Rashid Shaheed</v>
      </c>
      <c r="AF59" t="str">
        <f>IFERROR(INDEX(TableWRCalcPts[TM],MATCH(TableWRRanks32[[#This Row],[Player]],TableWRCalcPts[PLAYER],0)),"")</f>
        <v>NO</v>
      </c>
      <c r="AG59">
        <f>IFERROR(INDEX(TableWRCalcPts[BYE],MATCH(TableWRRanks32[[#This Row],[Player]],TableWRCalcPts[PLAYER],0)),"")</f>
        <v>12</v>
      </c>
      <c r="AH59" s="83">
        <f>IFERROR((VLOOKUP(TableWRRanks32[[#This Row],[Player]],WR!B:O,4,FALSE)),"")</f>
        <v>0</v>
      </c>
      <c r="AI59" s="83">
        <f>IFERROR((VLOOKUP(TableWRRanks32[[#This Row],[Player]],WR!B:O,5,FALSE)),"")</f>
        <v>0</v>
      </c>
      <c r="AJ59" s="83">
        <f>IFERROR((VLOOKUP(TableWRRanks32[[#This Row],[Player]],WR!B:O,6,FALSE)),"")</f>
        <v>99.583597405599974</v>
      </c>
      <c r="AK59" s="83">
        <f>IFERROR((VLOOKUP(TableWRRanks32[[#This Row],[Player]],WR!B:O,7,FALSE)),"")</f>
        <v>60.945161612227182</v>
      </c>
      <c r="AL59" s="83">
        <f>IFERROR((VLOOKUP(TableWRRanks32[[#This Row],[Player]],WR!B:O,8,FALSE)),"")</f>
        <v>862.98348842913686</v>
      </c>
      <c r="AM59" s="83">
        <f>IFERROR((VLOOKUP(TableWRRanks32[[#This Row],[Player]],WR!B:O,9,FALSE)),"")</f>
        <v>4.9733005590957413</v>
      </c>
      <c r="AN59" s="57">
        <f>IFERROR((IFERROR(INDEX(TableWRCalcPts[Custom],MATCH(TableWRRanks32[[#This Row],[RK]],TableWRCalcPts[RK],0)),"")),"")</f>
        <v>146.61073300360175</v>
      </c>
      <c r="AO59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59">
        <v>58</v>
      </c>
      <c r="AR59" t="str">
        <f>IFERROR(INDEX(TableTECalcPts[PLAYER],MATCH(TableTERanks33[[#This Row],[RK]],TableTECalcPts[RK],0)),"")</f>
        <v>Grant Calcaterra</v>
      </c>
      <c r="AS59" t="str">
        <f>IFERROR(INDEX(TableTECalcPts[TM],MATCH(TableTERanks33[[#This Row],[Player]],TableTECalcPts[PLAYER],0)),"")</f>
        <v>PHI</v>
      </c>
      <c r="AT59">
        <f>IFERROR(INDEX(TableTECalcPts[BYE],MATCH(TableTERanks33[[#This Row],[Player]],TableTECalcPts[PLAYER],0)),"")</f>
        <v>5</v>
      </c>
      <c r="AU59" s="83">
        <f>IFERROR((VLOOKUP(TableTERanks33[[#This Row],[Player]],TE!B:O,4,FALSE)),"")</f>
        <v>15.619726080000001</v>
      </c>
      <c r="AV59" s="83">
        <f>IFERROR((VLOOKUP(TableTERanks33[[#This Row],[Player]],TE!B:O,5,FALSE)),"")</f>
        <v>10.309019212800001</v>
      </c>
      <c r="AW59" s="83">
        <f>IFERROR((VLOOKUP(TableTERanks33[[#This Row],[Player]],TE!B:O,6,FALSE)),"")</f>
        <v>106.28598808396801</v>
      </c>
      <c r="AX59" s="83">
        <f>IFERROR((VLOOKUP(TableTERanks33[[#This Row],[Player]],TE!B:O,7,FALSE)),"")</f>
        <v>0.76286742174720001</v>
      </c>
      <c r="AY59" s="57">
        <f>IFERROR((IFERROR(INDEX(TableTECalcPts[Custom],MATCH(TableTERanks33[[#This Row],[RK]],TableTECalcPts[RK],0)),"")),"")</f>
        <v>20.360312945280004</v>
      </c>
      <c r="AZ59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60" spans="1:52" x14ac:dyDescent="0.2">
      <c r="A60">
        <v>59</v>
      </c>
      <c r="B60" t="str">
        <f>IFERROR(INDEX(TableQBCalcPts[PLAYER],MATCH(TableQBRanks30[[#This Row],[RK]],TableQBCalcPts[RK],0)),"")</f>
        <v>Josh Dobbs</v>
      </c>
      <c r="C60" t="str">
        <f>IFERROR(INDEX(TableQBCalcPts[TM],MATCH(TableQBRanks30[[#This Row],[Player]],TableQBCalcPts[PLAYER],0)),"")</f>
        <v>SF</v>
      </c>
      <c r="D60">
        <f>IFERROR(INDEX(TableQBCalcPts[BYE],MATCH(TableQBRanks30[[#This Row],[Player]],TableQBCalcPts[PLAYER],0)),"")</f>
        <v>9</v>
      </c>
      <c r="E60" s="83">
        <f>IFERROR((VLOOKUP(TableQBRanks30[[#This Row],[Player]],QB!B:O,4,FALSE)),"")</f>
        <v>10.868040000000001</v>
      </c>
      <c r="F60" s="83">
        <f>IFERROR((VLOOKUP(TableQBRanks30[[#This Row],[Player]],QB!B:O,5,FALSE)),"")</f>
        <v>6.5969002799999998</v>
      </c>
      <c r="G60" s="83">
        <f>IFERROR((VLOOKUP(TableQBRanks30[[#This Row],[Player]],QB!B:O,6,FALSE)),"")</f>
        <v>71.70830604359999</v>
      </c>
      <c r="H60" s="83">
        <f>IFERROR((VLOOKUP(TableQBRanks30[[#This Row],[Player]],QB!B:O,7,FALSE)),"")</f>
        <v>0.36951336000000007</v>
      </c>
      <c r="I60" s="83">
        <f>IFERROR((VLOOKUP(TableQBRanks30[[#This Row],[Player]],QB!B:O,8,FALSE)),"")</f>
        <v>8.0086369399199983E-2</v>
      </c>
      <c r="J60" s="83">
        <f>IFERROR((VLOOKUP(TableQBRanks30[[#This Row],[Player]],QB!B:O,9,FALSE)),"")</f>
        <v>0</v>
      </c>
      <c r="K60" s="83">
        <f>IFERROR((VLOOKUP(TableQBRanks30[[#This Row],[Player]],QB!B:O,10,FALSE)),"")</f>
        <v>0</v>
      </c>
      <c r="L60" s="83">
        <f>IFERROR((VLOOKUP(TableQBRanks30[[#This Row],[Player]],QB!B:O,11,FALSE)),"")</f>
        <v>0</v>
      </c>
      <c r="M60" s="57">
        <f>IFERROR(INDEX(TableQBCalcPts[Custom],MATCH(TableQBRanks30[[#This Row],[RK]],TableQBCalcPts[RK],0)),"")</f>
        <v>4.1862129429456001</v>
      </c>
      <c r="N60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60">
        <v>59</v>
      </c>
      <c r="Q60" t="str">
        <f>IFERROR(INDEX(TableRBCalcPts[PLAYER],MATCH(TableRBRanks31[[#This Row],[RK]],TableRBCalcPts[RK],0)),"")</f>
        <v>Jaylen Wright</v>
      </c>
      <c r="R60" t="str">
        <f>IFERROR(INDEX(TableRBCalcPts[TM],MATCH(TableRBRanks31[[#This Row],[Player]],TableRBCalcPts[PLAYER],0)),"")</f>
        <v>MIA</v>
      </c>
      <c r="S60">
        <f>IFERROR(INDEX(TableRBCalcPts[BYE],MATCH(TableRBRanks31[[#This Row],[Player]],TableRBCalcPts[PLAYER],0)),"")</f>
        <v>6</v>
      </c>
      <c r="T60" s="83">
        <f>IFERROR((VLOOKUP(TableRBRanks31[[#This Row],[Player]],RB!B:O,4,FALSE)),"")</f>
        <v>51.796520160000007</v>
      </c>
      <c r="U60" s="83">
        <f>IFERROR((VLOOKUP(TableRBRanks31[[#This Row],[Player]],RB!B:O,5,FALSE)),"")</f>
        <v>242.49294226543481</v>
      </c>
      <c r="V60" s="83">
        <f>IFERROR((VLOOKUP(TableRBRanks31[[#This Row],[Player]],RB!B:O,6,FALSE)),"")</f>
        <v>2.3857305637087038</v>
      </c>
      <c r="W60" s="83">
        <f>IFERROR((VLOOKUP(TableRBRanks31[[#This Row],[Player]],RB!B:O,7,FALSE)),"")</f>
        <v>29.316503999999991</v>
      </c>
      <c r="X60" s="83">
        <f>IFERROR((VLOOKUP(TableRBRanks31[[#This Row],[Player]],RB!B:O,8,FALSE)),"")</f>
        <v>21.459680928000001</v>
      </c>
      <c r="Y60" s="83">
        <f>IFERROR((VLOOKUP(TableRBRanks31[[#This Row],[Player]],RB!B:O,9,FALSE)),"")</f>
        <v>180.37396931468604</v>
      </c>
      <c r="Z60" s="83">
        <f>IFERROR((VLOOKUP(TableRBRanks31[[#This Row],[Player]],RB!B:O,10,FALSE)),"")</f>
        <v>1.1729359641013992</v>
      </c>
      <c r="AA60" s="57">
        <f>IFERROR((IFERROR(INDEX(TableRBCalcPts[Custom],MATCH(TableRBRanks31[[#This Row],[RK]],TableRBCalcPts[RK],0)),"")),"")</f>
        <v>74.368530788872704</v>
      </c>
      <c r="AB60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60">
        <v>59</v>
      </c>
      <c r="AE60" t="str">
        <f>IFERROR(INDEX(TableWRCalcPts[PLAYER],MATCH(TableWRRanks32[[#This Row],[RK]],TableWRCalcPts[RK],0)),"")</f>
        <v>Jayden Reed</v>
      </c>
      <c r="AF60" t="str">
        <f>IFERROR(INDEX(TableWRCalcPts[TM],MATCH(TableWRRanks32[[#This Row],[Player]],TableWRCalcPts[PLAYER],0)),"")</f>
        <v>GB</v>
      </c>
      <c r="AG60">
        <f>IFERROR(INDEX(TableWRCalcPts[BYE],MATCH(TableWRRanks32[[#This Row],[Player]],TableWRCalcPts[PLAYER],0)),"")</f>
        <v>10</v>
      </c>
      <c r="AH60" s="83">
        <f>IFERROR((VLOOKUP(TableWRRanks32[[#This Row],[Player]],WR!B:O,4,FALSE)),"")</f>
        <v>137.09314079999999</v>
      </c>
      <c r="AI60" s="83">
        <f>IFERROR((VLOOKUP(TableWRRanks32[[#This Row],[Player]],WR!B:O,5,FALSE)),"")</f>
        <v>0.80643023999999985</v>
      </c>
      <c r="AJ60" s="83">
        <f>IFERROR((VLOOKUP(TableWRRanks32[[#This Row],[Player]],WR!B:O,6,FALSE)),"")</f>
        <v>82.679463999999996</v>
      </c>
      <c r="AK60" s="83">
        <f>IFERROR((VLOOKUP(TableWRRanks32[[#This Row],[Player]],WR!B:O,7,FALSE)),"")</f>
        <v>55.312561416000001</v>
      </c>
      <c r="AL60" s="83">
        <f>IFERROR((VLOOKUP(TableWRRanks32[[#This Row],[Player]],WR!B:O,8,FALSE)),"")</f>
        <v>680.89763103096004</v>
      </c>
      <c r="AM60" s="83">
        <f>IFERROR((VLOOKUP(TableWRRanks32[[#This Row],[Player]],WR!B:O,9,FALSE)),"")</f>
        <v>5.199380773104</v>
      </c>
      <c r="AN60" s="57">
        <f>IFERROR((IFERROR(INDEX(TableWRCalcPts[Custom],MATCH(TableWRRanks32[[#This Row],[RK]],TableWRCalcPts[RK],0)),"")),"")</f>
        <v>145.49022396972001</v>
      </c>
      <c r="AO60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60">
        <v>59</v>
      </c>
      <c r="AR60" t="str">
        <f>IFERROR(INDEX(TableTECalcPts[PLAYER],MATCH(TableTERanks33[[#This Row],[RK]],TableTECalcPts[RK],0)),"")</f>
        <v>James Mitchell</v>
      </c>
      <c r="AS60" t="str">
        <f>IFERROR(INDEX(TableTECalcPts[TM],MATCH(TableTERanks33[[#This Row],[Player]],TableTECalcPts[PLAYER],0)),"")</f>
        <v>DET</v>
      </c>
      <c r="AT60">
        <f>IFERROR(INDEX(TableTECalcPts[BYE],MATCH(TableTERanks33[[#This Row],[Player]],TableTECalcPts[PLAYER],0)),"")</f>
        <v>5</v>
      </c>
      <c r="AU60" s="83">
        <f>IFERROR((VLOOKUP(TableTERanks33[[#This Row],[Player]],TE!B:O,4,FALSE)),"")</f>
        <v>14.816865</v>
      </c>
      <c r="AV60" s="83">
        <f>IFERROR((VLOOKUP(TableTERanks33[[#This Row],[Player]],TE!B:O,5,FALSE)),"")</f>
        <v>9.7346803050000013</v>
      </c>
      <c r="AW60" s="83">
        <f>IFERROR((VLOOKUP(TableTERanks33[[#This Row],[Player]],TE!B:O,6,FALSE)),"")</f>
        <v>91.616653065463851</v>
      </c>
      <c r="AX60" s="83">
        <f>IFERROR((VLOOKUP(TableTERanks33[[#This Row],[Player]],TE!B:O,7,FALSE)),"")</f>
        <v>0.73762301057938029</v>
      </c>
      <c r="AY60" s="57">
        <f>IFERROR((IFERROR(INDEX(TableTECalcPts[Custom],MATCH(TableTERanks33[[#This Row],[RK]],TableTECalcPts[RK],0)),"")),"")</f>
        <v>18.454743522522669</v>
      </c>
      <c r="AZ60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61" spans="1:52" x14ac:dyDescent="0.2">
      <c r="A61">
        <v>60</v>
      </c>
      <c r="B61" t="str">
        <f>IFERROR(INDEX(TableQBCalcPts[PLAYER],MATCH(TableQBRanks30[[#This Row],[RK]],TableQBCalcPts[RK],0)),"")</f>
        <v>Carson Wentz</v>
      </c>
      <c r="C61" t="str">
        <f>IFERROR(INDEX(TableQBCalcPts[TM],MATCH(TableQBRanks30[[#This Row],[Player]],TableQBCalcPts[PLAYER],0)),"")</f>
        <v>KC</v>
      </c>
      <c r="D61">
        <f>IFERROR(INDEX(TableQBCalcPts[BYE],MATCH(TableQBRanks30[[#This Row],[Player]],TableQBCalcPts[PLAYER],0)),"")</f>
        <v>6</v>
      </c>
      <c r="E61" s="83">
        <f>IFERROR((VLOOKUP(TableQBRanks30[[#This Row],[Player]],QB!B:O,4,FALSE)),"")</f>
        <v>6.4320000000000048</v>
      </c>
      <c r="F61" s="83">
        <f>IFERROR((VLOOKUP(TableQBRanks30[[#This Row],[Player]],QB!B:O,5,FALSE)),"")</f>
        <v>4.122912000000003</v>
      </c>
      <c r="G61" s="83">
        <f>IFERROR((VLOOKUP(TableQBRanks30[[#This Row],[Player]],QB!B:O,6,FALSE)),"")</f>
        <v>43.690640662688217</v>
      </c>
      <c r="H61" s="83">
        <f>IFERROR((VLOOKUP(TableQBRanks30[[#This Row],[Player]],QB!B:O,7,FALSE)),"")</f>
        <v>0.33696536097145974</v>
      </c>
      <c r="I61" s="83">
        <f>IFERROR((VLOOKUP(TableQBRanks30[[#This Row],[Player]],QB!B:O,8,FALSE)),"")</f>
        <v>0.1147235772256726</v>
      </c>
      <c r="J61" s="83">
        <f>IFERROR((VLOOKUP(TableQBRanks30[[#This Row],[Player]],QB!B:O,9,FALSE)),"")</f>
        <v>0</v>
      </c>
      <c r="K61" s="83">
        <f>IFERROR((VLOOKUP(TableQBRanks30[[#This Row],[Player]],QB!B:O,10,FALSE)),"")</f>
        <v>0</v>
      </c>
      <c r="L61" s="83">
        <f>IFERROR((VLOOKUP(TableQBRanks30[[#This Row],[Player]],QB!B:O,11,FALSE)),"")</f>
        <v>0</v>
      </c>
      <c r="M61" s="57">
        <f>IFERROR(INDEX(TableQBCalcPts[Custom],MATCH(TableQBRanks30[[#This Row],[RK]],TableQBCalcPts[RK],0)),"")</f>
        <v>2.8660399159420229</v>
      </c>
      <c r="N61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61">
        <v>60</v>
      </c>
      <c r="Q61" t="str">
        <f>IFERROR(INDEX(TableRBCalcPts[PLAYER],MATCH(TableRBRanks31[[#This Row],[RK]],TableRBCalcPts[RK],0)),"")</f>
        <v>Samaje Perine</v>
      </c>
      <c r="R61" t="str">
        <f>IFERROR(INDEX(TableRBCalcPts[TM],MATCH(TableRBRanks31[[#This Row],[Player]],TableRBCalcPts[PLAYER],0)),"")</f>
        <v>KC</v>
      </c>
      <c r="S61">
        <f>IFERROR(INDEX(TableRBCalcPts[BYE],MATCH(TableRBRanks31[[#This Row],[Player]],TableRBCalcPts[PLAYER],0)),"")</f>
        <v>6</v>
      </c>
      <c r="T61" s="83">
        <f>IFERROR((VLOOKUP(TableRBRanks31[[#This Row],[Player]],RB!B:O,4,FALSE)),"")</f>
        <v>71.438079999999999</v>
      </c>
      <c r="U61" s="83">
        <f>IFERROR((VLOOKUP(TableRBRanks31[[#This Row],[Player]],RB!B:O,5,FALSE)),"")</f>
        <v>307.18374399999999</v>
      </c>
      <c r="V61" s="83">
        <f>IFERROR((VLOOKUP(TableRBRanks31[[#This Row],[Player]],RB!B:O,6,FALSE)),"")</f>
        <v>2.3574566400000001</v>
      </c>
      <c r="W61" s="83">
        <f>IFERROR((VLOOKUP(TableRBRanks31[[#This Row],[Player]],RB!B:O,7,FALSE)),"")</f>
        <v>20.170751999999997</v>
      </c>
      <c r="X61" s="83">
        <f>IFERROR((VLOOKUP(TableRBRanks31[[#This Row],[Player]],RB!B:O,8,FALSE)),"")</f>
        <v>17.084626943999996</v>
      </c>
      <c r="Y61" s="83">
        <f>IFERROR((VLOOKUP(TableRBRanks31[[#This Row],[Player]],RB!B:O,9,FALSE)),"")</f>
        <v>133.26009016319998</v>
      </c>
      <c r="Z61" s="83">
        <f>IFERROR((VLOOKUP(TableRBRanks31[[#This Row],[Player]],RB!B:O,10,FALSE)),"")</f>
        <v>0.82006209331199986</v>
      </c>
      <c r="AA61" s="57">
        <f>IFERROR((IFERROR(INDEX(TableRBCalcPts[Custom],MATCH(TableRBRanks31[[#This Row],[RK]],TableRBCalcPts[RK],0)),"")),"")</f>
        <v>71.651809288191984</v>
      </c>
      <c r="AB61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61">
        <v>60</v>
      </c>
      <c r="AE61" t="str">
        <f>IFERROR(INDEX(TableWRCalcPts[PLAYER],MATCH(TableWRRanks32[[#This Row],[RK]],TableWRCalcPts[RK],0)),"")</f>
        <v>Brandin Cooks</v>
      </c>
      <c r="AF61" t="str">
        <f>IFERROR(INDEX(TableWRCalcPts[TM],MATCH(TableWRRanks32[[#This Row],[Player]],TableWRCalcPts[PLAYER],0)),"")</f>
        <v>DAL</v>
      </c>
      <c r="AG61">
        <f>IFERROR(INDEX(TableWRCalcPts[BYE],MATCH(TableWRRanks32[[#This Row],[Player]],TableWRCalcPts[PLAYER],0)),"")</f>
        <v>7</v>
      </c>
      <c r="AH61" s="83">
        <f>IFERROR((VLOOKUP(TableWRRanks32[[#This Row],[Player]],WR!B:O,4,FALSE)),"")</f>
        <v>0</v>
      </c>
      <c r="AI61" s="83">
        <f>IFERROR((VLOOKUP(TableWRRanks32[[#This Row],[Player]],WR!B:O,5,FALSE)),"")</f>
        <v>0</v>
      </c>
      <c r="AJ61" s="83">
        <f>IFERROR((VLOOKUP(TableWRRanks32[[#This Row],[Player]],WR!B:O,6,FALSE)),"")</f>
        <v>98.183022839999964</v>
      </c>
      <c r="AK61" s="83">
        <f>IFERROR((VLOOKUP(TableWRRanks32[[#This Row],[Player]],WR!B:O,7,FALSE)),"")</f>
        <v>64.408062983039997</v>
      </c>
      <c r="AL61" s="83">
        <f>IFERROR((VLOOKUP(TableWRRanks32[[#This Row],[Player]],WR!B:O,8,FALSE)),"")</f>
        <v>774.18491705614076</v>
      </c>
      <c r="AM61" s="83">
        <f>IFERROR((VLOOKUP(TableWRRanks32[[#This Row],[Player]],WR!B:O,9,FALSE)),"")</f>
        <v>5.6035014795244793</v>
      </c>
      <c r="AN61" s="57">
        <f>IFERROR((IFERROR(INDEX(TableWRCalcPts[Custom],MATCH(TableWRRanks32[[#This Row],[RK]],TableWRCalcPts[RK],0)),"")),"")</f>
        <v>143.24353207428095</v>
      </c>
      <c r="AO61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61">
        <v>60</v>
      </c>
      <c r="AR61" t="str">
        <f>IFERROR(INDEX(TableTECalcPts[PLAYER],MATCH(TableTERanks33[[#This Row],[RK]],TableTECalcPts[RK],0)),"")</f>
        <v>Elijah Higgins</v>
      </c>
      <c r="AS61" t="str">
        <f>IFERROR(INDEX(TableTECalcPts[TM],MATCH(TableTERanks33[[#This Row],[Player]],TableTECalcPts[PLAYER],0)),"")</f>
        <v>ARI</v>
      </c>
      <c r="AT61">
        <f>IFERROR(INDEX(TableTECalcPts[BYE],MATCH(TableTERanks33[[#This Row],[Player]],TableTECalcPts[PLAYER],0)),"")</f>
        <v>11</v>
      </c>
      <c r="AU61" s="83">
        <f>IFERROR((VLOOKUP(TableTERanks33[[#This Row],[Player]],TE!B:O,4,FALSE)),"")</f>
        <v>14.742262500000001</v>
      </c>
      <c r="AV61" s="83">
        <f>IFERROR((VLOOKUP(TableTERanks33[[#This Row],[Player]],TE!B:O,5,FALSE)),"")</f>
        <v>9.8773158750000007</v>
      </c>
      <c r="AW61" s="83">
        <f>IFERROR((VLOOKUP(TableTERanks33[[#This Row],[Player]],TE!B:O,6,FALSE)),"")</f>
        <v>99.563344020000002</v>
      </c>
      <c r="AX61" s="83">
        <f>IFERROR((VLOOKUP(TableTERanks33[[#This Row],[Player]],TE!B:O,7,FALSE)),"")</f>
        <v>0.57278511638731122</v>
      </c>
      <c r="AY61" s="57">
        <f>IFERROR((IFERROR(INDEX(TableTECalcPts[Custom],MATCH(TableTERanks33[[#This Row],[RK]],TableTECalcPts[RK],0)),"")),"")</f>
        <v>18.331703037823868</v>
      </c>
      <c r="AZ61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62" spans="1:52" x14ac:dyDescent="0.2">
      <c r="A62">
        <v>61</v>
      </c>
      <c r="B62" t="str">
        <f>IFERROR(INDEX(TableQBCalcPts[PLAYER],MATCH(TableQBRanks30[[#This Row],[RK]],TableQBCalcPts[RK],0)),"")</f>
        <v>Sean Clifford</v>
      </c>
      <c r="C62" t="str">
        <f>IFERROR(INDEX(TableQBCalcPts[TM],MATCH(TableQBRanks30[[#This Row],[Player]],TableQBCalcPts[PLAYER],0)),"")</f>
        <v>GB</v>
      </c>
      <c r="D62">
        <f>IFERROR(INDEX(TableQBCalcPts[BYE],MATCH(TableQBRanks30[[#This Row],[Player]],TableQBCalcPts[PLAYER],0)),"")</f>
        <v>10</v>
      </c>
      <c r="E62" s="83">
        <f>IFERROR((VLOOKUP(TableQBRanks30[[#This Row],[Player]],QB!B:O,4,FALSE)),"")</f>
        <v>5.8184000000000058</v>
      </c>
      <c r="F62" s="83">
        <f>IFERROR((VLOOKUP(TableQBRanks30[[#This Row],[Player]],QB!B:O,5,FALSE)),"")</f>
        <v>3.6625231036463926</v>
      </c>
      <c r="G62" s="83">
        <f>IFERROR((VLOOKUP(TableQBRanks30[[#This Row],[Player]],QB!B:O,6,FALSE)),"")</f>
        <v>40.486071093469072</v>
      </c>
      <c r="H62" s="83">
        <f>IFERROR((VLOOKUP(TableQBRanks30[[#This Row],[Player]],QB!B:O,7,FALSE)),"")</f>
        <v>0.30377610998709209</v>
      </c>
      <c r="I62" s="83">
        <f>IFERROR((VLOOKUP(TableQBRanks30[[#This Row],[Player]],QB!B:O,8,FALSE)),"")</f>
        <v>9.167665644347156E-2</v>
      </c>
      <c r="J62" s="83">
        <f>IFERROR((VLOOKUP(TableQBRanks30[[#This Row],[Player]],QB!B:O,9,FALSE)),"")</f>
        <v>0</v>
      </c>
      <c r="K62" s="83">
        <f>IFERROR((VLOOKUP(TableQBRanks30[[#This Row],[Player]],QB!B:O,10,FALSE)),"")</f>
        <v>0</v>
      </c>
      <c r="L62" s="83">
        <f>IFERROR((VLOOKUP(TableQBRanks30[[#This Row],[Player]],QB!B:O,11,FALSE)),"")</f>
        <v>0</v>
      </c>
      <c r="M62" s="57">
        <f>IFERROR(INDEX(TableQBCalcPts[Custom],MATCH(TableQBRanks30[[#This Row],[RK]],TableQBCalcPts[RK],0)),"")</f>
        <v>2.6511939708001879</v>
      </c>
      <c r="N62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62">
        <v>61</v>
      </c>
      <c r="Q62" t="str">
        <f>IFERROR(INDEX(TableRBCalcPts[PLAYER],MATCH(TableRBRanks31[[#This Row],[RK]],TableRBCalcPts[RK],0)),"")</f>
        <v>Khalil Herbert</v>
      </c>
      <c r="R62" t="str">
        <f>IFERROR(INDEX(TableRBCalcPts[TM],MATCH(TableRBRanks31[[#This Row],[Player]],TableRBCalcPts[PLAYER],0)),"")</f>
        <v>CHI</v>
      </c>
      <c r="S62">
        <f>IFERROR(INDEX(TableRBCalcPts[BYE],MATCH(TableRBRanks31[[#This Row],[Player]],TableRBCalcPts[PLAYER],0)),"")</f>
        <v>7</v>
      </c>
      <c r="T62" s="83">
        <f>IFERROR((VLOOKUP(TableRBRanks31[[#This Row],[Player]],RB!B:O,4,FALSE)),"")</f>
        <v>87.611811839999987</v>
      </c>
      <c r="U62" s="83">
        <f>IFERROR((VLOOKUP(TableRBRanks31[[#This Row],[Player]],RB!B:O,5,FALSE)),"")</f>
        <v>391.75948324736351</v>
      </c>
      <c r="V62" s="83">
        <f>IFERROR((VLOOKUP(TableRBRanks31[[#This Row],[Player]],RB!B:O,6,FALSE)),"")</f>
        <v>2.9788016025599999</v>
      </c>
      <c r="W62" s="83">
        <f>IFERROR((VLOOKUP(TableRBRanks31[[#This Row],[Player]],RB!B:O,7,FALSE)),"")</f>
        <v>13.036595039999998</v>
      </c>
      <c r="X62" s="83">
        <f>IFERROR((VLOOKUP(TableRBRanks31[[#This Row],[Player]],RB!B:O,8,FALSE)),"")</f>
        <v>9.1907995031999974</v>
      </c>
      <c r="Y62" s="83">
        <f>IFERROR((VLOOKUP(TableRBRanks31[[#This Row],[Player]],RB!B:O,9,FALSE)),"")</f>
        <v>63.876056547239983</v>
      </c>
      <c r="Z62" s="83">
        <f>IFERROR((VLOOKUP(TableRBRanks31[[#This Row],[Player]],RB!B:O,10,FALSE)),"")</f>
        <v>0.38379518014963382</v>
      </c>
      <c r="AA62" s="57">
        <f>IFERROR((IFERROR(INDEX(TableRBCalcPts[Custom],MATCH(TableRBRanks31[[#This Row],[RK]],TableRBCalcPts[RK],0)),"")),"")</f>
        <v>70.334534427318147</v>
      </c>
      <c r="AB62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62">
        <v>61</v>
      </c>
      <c r="AE62" t="str">
        <f>IFERROR(INDEX(TableWRCalcPts[PLAYER],MATCH(TableWRRanks32[[#This Row],[RK]],TableWRCalcPts[RK],0)),"")</f>
        <v>Adam Thielen</v>
      </c>
      <c r="AF62" t="str">
        <f>IFERROR(INDEX(TableWRCalcPts[TM],MATCH(TableWRRanks32[[#This Row],[Player]],TableWRCalcPts[PLAYER],0)),"")</f>
        <v>CAR</v>
      </c>
      <c r="AG62">
        <f>IFERROR(INDEX(TableWRCalcPts[BYE],MATCH(TableWRRanks32[[#This Row],[Player]],TableWRCalcPts[PLAYER],0)),"")</f>
        <v>11</v>
      </c>
      <c r="AH62" s="83">
        <f>IFERROR((VLOOKUP(TableWRRanks32[[#This Row],[Player]],WR!B:O,4,FALSE)),"")</f>
        <v>0</v>
      </c>
      <c r="AI62" s="83">
        <f>IFERROR((VLOOKUP(TableWRRanks32[[#This Row],[Player]],WR!B:O,5,FALSE)),"")</f>
        <v>0</v>
      </c>
      <c r="AJ62" s="83">
        <f>IFERROR((VLOOKUP(TableWRRanks32[[#This Row],[Player]],WR!B:O,6,FALSE)),"")</f>
        <v>103.67146579999998</v>
      </c>
      <c r="AK62" s="83">
        <f>IFERROR((VLOOKUP(TableWRRanks32[[#This Row],[Player]],WR!B:O,7,FALSE)),"")</f>
        <v>67.490124235799996</v>
      </c>
      <c r="AL62" s="83">
        <f>IFERROR((VLOOKUP(TableWRRanks32[[#This Row],[Player]],WR!B:O,8,FALSE)),"")</f>
        <v>750.49018150209588</v>
      </c>
      <c r="AM62" s="83">
        <f>IFERROR((VLOOKUP(TableWRRanks32[[#This Row],[Player]],WR!B:O,9,FALSE)),"")</f>
        <v>4.6568185722702005</v>
      </c>
      <c r="AN62" s="57">
        <f>IFERROR((IFERROR(INDEX(TableWRCalcPts[Custom],MATCH(TableWRRanks32[[#This Row],[RK]],TableWRCalcPts[RK],0)),"")),"")</f>
        <v>136.73499170173079</v>
      </c>
      <c r="AO62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62">
        <v>61</v>
      </c>
      <c r="AR62" t="str">
        <f>IFERROR(INDEX(TableTECalcPts[PLAYER],MATCH(TableTERanks33[[#This Row],[RK]],TableTECalcPts[RK],0)),"")</f>
        <v>Josh Whyle</v>
      </c>
      <c r="AS62" t="str">
        <f>IFERROR(INDEX(TableTECalcPts[TM],MATCH(TableTERanks33[[#This Row],[Player]],TableTECalcPts[PLAYER],0)),"")</f>
        <v>TEN</v>
      </c>
      <c r="AT62">
        <f>IFERROR(INDEX(TableTECalcPts[BYE],MATCH(TableTERanks33[[#This Row],[Player]],TableTECalcPts[PLAYER],0)),"")</f>
        <v>5</v>
      </c>
      <c r="AU62" s="83">
        <f>IFERROR((VLOOKUP(TableTERanks33[[#This Row],[Player]],TE!B:O,4,FALSE)),"")</f>
        <v>14.461639499999999</v>
      </c>
      <c r="AV62" s="83">
        <f>IFERROR((VLOOKUP(TableTERanks33[[#This Row],[Player]],TE!B:O,5,FALSE)),"")</f>
        <v>9.414527314499999</v>
      </c>
      <c r="AW62" s="83">
        <f>IFERROR((VLOOKUP(TableTERanks33[[#This Row],[Player]],TE!B:O,6,FALSE)),"")</f>
        <v>98.473787421521408</v>
      </c>
      <c r="AX62" s="83">
        <f>IFERROR((VLOOKUP(TableTERanks33[[#This Row],[Player]],TE!B:O,7,FALSE)),"")</f>
        <v>0.58257469683816998</v>
      </c>
      <c r="AY62" s="57">
        <f>IFERROR((IFERROR(INDEX(TableTECalcPts[Custom],MATCH(TableTERanks33[[#This Row],[RK]],TableTECalcPts[RK],0)),"")),"")</f>
        <v>18.05009058043116</v>
      </c>
      <c r="AZ62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63" spans="1:52" x14ac:dyDescent="0.2">
      <c r="A63">
        <v>62</v>
      </c>
      <c r="B63" t="str">
        <f>IFERROR(INDEX(TableQBCalcPts[PLAYER],MATCH(TableQBRanks30[[#This Row],[RK]],TableQBCalcPts[RK],0)),"")</f>
        <v>Case Keenum</v>
      </c>
      <c r="C63" t="str">
        <f>IFERROR(INDEX(TableQBCalcPts[TM],MATCH(TableQBRanks30[[#This Row],[Player]],TableQBCalcPts[PLAYER],0)),"")</f>
        <v>HOU</v>
      </c>
      <c r="D63">
        <f>IFERROR(INDEX(TableQBCalcPts[BYE],MATCH(TableQBRanks30[[#This Row],[Player]],TableQBCalcPts[PLAYER],0)),"")</f>
        <v>14</v>
      </c>
      <c r="E63" s="83">
        <f>IFERROR((VLOOKUP(TableQBRanks30[[#This Row],[Player]],QB!B:O,4,FALSE)),"")</f>
        <v>6.0631999999999993</v>
      </c>
      <c r="F63" s="83">
        <f>IFERROR((VLOOKUP(TableQBRanks30[[#This Row],[Player]],QB!B:O,5,FALSE)),"")</f>
        <v>3.7760003718600279</v>
      </c>
      <c r="G63" s="83">
        <f>IFERROR((VLOOKUP(TableQBRanks30[[#This Row],[Player]],QB!B:O,6,FALSE)),"")</f>
        <v>40.8627664792416</v>
      </c>
      <c r="H63" s="83">
        <f>IFERROR((VLOOKUP(TableQBRanks30[[#This Row],[Player]],QB!B:O,7,FALSE)),"")</f>
        <v>0.29103359999999995</v>
      </c>
      <c r="I63" s="83">
        <f>IFERROR((VLOOKUP(TableQBRanks30[[#This Row],[Player]],QB!B:O,8,FALSE)),"")</f>
        <v>9.8725444638517984E-2</v>
      </c>
      <c r="J63" s="83">
        <f>IFERROR((VLOOKUP(TableQBRanks30[[#This Row],[Player]],QB!B:O,9,FALSE)),"")</f>
        <v>0</v>
      </c>
      <c r="K63" s="83">
        <f>IFERROR((VLOOKUP(TableQBRanks30[[#This Row],[Player]],QB!B:O,10,FALSE)),"")</f>
        <v>0</v>
      </c>
      <c r="L63" s="83">
        <f>IFERROR((VLOOKUP(TableQBRanks30[[#This Row],[Player]],QB!B:O,11,FALSE)),"")</f>
        <v>0</v>
      </c>
      <c r="M63" s="57">
        <f>IFERROR(INDEX(TableQBCalcPts[Custom],MATCH(TableQBRanks30[[#This Row],[RK]],TableQBCalcPts[RK],0)),"")</f>
        <v>2.601194169892628</v>
      </c>
      <c r="N63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63">
        <v>62</v>
      </c>
      <c r="Q63" t="str">
        <f>IFERROR(INDEX(TableRBCalcPts[PLAYER],MATCH(TableRBRanks31[[#This Row],[RK]],TableRBCalcPts[RK],0)),"")</f>
        <v>Braelon Allen</v>
      </c>
      <c r="R63" t="str">
        <f>IFERROR(INDEX(TableRBCalcPts[TM],MATCH(TableRBRanks31[[#This Row],[Player]],TableRBCalcPts[PLAYER],0)),"")</f>
        <v>NYJ</v>
      </c>
      <c r="S63">
        <f>IFERROR(INDEX(TableRBCalcPts[BYE],MATCH(TableRBRanks31[[#This Row],[Player]],TableRBCalcPts[PLAYER],0)),"")</f>
        <v>12</v>
      </c>
      <c r="T63" s="83">
        <f>IFERROR((VLOOKUP(TableRBRanks31[[#This Row],[Player]],RB!B:O,4,FALSE)),"")</f>
        <v>97.536577600000015</v>
      </c>
      <c r="U63" s="83">
        <f>IFERROR((VLOOKUP(TableRBRanks31[[#This Row],[Player]],RB!B:O,5,FALSE)),"")</f>
        <v>416.60229871605276</v>
      </c>
      <c r="V63" s="83">
        <f>IFERROR((VLOOKUP(TableRBRanks31[[#This Row],[Player]],RB!B:O,6,FALSE)),"")</f>
        <v>3.6088533712000004</v>
      </c>
      <c r="W63" s="83">
        <f>IFERROR((VLOOKUP(TableRBRanks31[[#This Row],[Player]],RB!B:O,7,FALSE)),"")</f>
        <v>5.9251191999999984</v>
      </c>
      <c r="X63" s="83">
        <f>IFERROR((VLOOKUP(TableRBRanks31[[#This Row],[Player]],RB!B:O,8,FALSE)),"")</f>
        <v>4.337187254399999</v>
      </c>
      <c r="Y63" s="83">
        <f>IFERROR((VLOOKUP(TableRBRanks31[[#This Row],[Player]],RB!B:O,9,FALSE)),"")</f>
        <v>33.910559698509715</v>
      </c>
      <c r="Z63" s="83">
        <f>IFERROR((VLOOKUP(TableRBRanks31[[#This Row],[Player]],RB!B:O,10,FALSE)),"")</f>
        <v>0.22999599728590189</v>
      </c>
      <c r="AA63" s="57">
        <f>IFERROR((IFERROR(INDEX(TableRBCalcPts[Custom],MATCH(TableRBRanks31[[#This Row],[RK]],TableRBCalcPts[RK],0)),"")),"")</f>
        <v>70.252975679571662</v>
      </c>
      <c r="AB63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63">
        <v>62</v>
      </c>
      <c r="AE63" t="str">
        <f>IFERROR(INDEX(TableWRCalcPts[PLAYER],MATCH(TableWRRanks32[[#This Row],[RK]],TableWRCalcPts[RK],0)),"")</f>
        <v>Gabe Davis</v>
      </c>
      <c r="AF63" t="str">
        <f>IFERROR(INDEX(TableWRCalcPts[TM],MATCH(TableWRRanks32[[#This Row],[Player]],TableWRCalcPts[PLAYER],0)),"")</f>
        <v>JAX</v>
      </c>
      <c r="AG63">
        <f>IFERROR(INDEX(TableWRCalcPts[BYE],MATCH(TableWRRanks32[[#This Row],[Player]],TableWRCalcPts[PLAYER],0)),"")</f>
        <v>12</v>
      </c>
      <c r="AH63" s="83">
        <f>IFERROR((VLOOKUP(TableWRRanks32[[#This Row],[Player]],WR!B:O,4,FALSE)),"")</f>
        <v>0</v>
      </c>
      <c r="AI63" s="83">
        <f>IFERROR((VLOOKUP(TableWRRanks32[[#This Row],[Player]],WR!B:O,5,FALSE)),"")</f>
        <v>0</v>
      </c>
      <c r="AJ63" s="83">
        <f>IFERROR((VLOOKUP(TableWRRanks32[[#This Row],[Player]],WR!B:O,6,FALSE)),"")</f>
        <v>91.533238719999986</v>
      </c>
      <c r="AK63" s="83">
        <f>IFERROR((VLOOKUP(TableWRRanks32[[#This Row],[Player]],WR!B:O,7,FALSE)),"")</f>
        <v>53.089278457599988</v>
      </c>
      <c r="AL63" s="83">
        <f>IFERROR((VLOOKUP(TableWRRanks32[[#This Row],[Player]],WR!B:O,8,FALSE)),"")</f>
        <v>743.24989840639978</v>
      </c>
      <c r="AM63" s="83">
        <f>IFERROR((VLOOKUP(TableWRRanks32[[#This Row],[Player]],WR!B:O,9,FALSE)),"")</f>
        <v>5.2558385673023995</v>
      </c>
      <c r="AN63" s="57">
        <f>IFERROR((IFERROR(INDEX(TableWRCalcPts[Custom],MATCH(TableWRRanks32[[#This Row],[RK]],TableWRCalcPts[RK],0)),"")),"")</f>
        <v>132.40466047325438</v>
      </c>
      <c r="AO63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63">
        <v>62</v>
      </c>
      <c r="AR63" t="str">
        <f>IFERROR(INDEX(TableTECalcPts[PLAYER],MATCH(TableTERanks33[[#This Row],[RK]],TableTECalcPts[RK],0)),"")</f>
        <v>Robert Tonyan</v>
      </c>
      <c r="AS63" t="str">
        <f>IFERROR(INDEX(TableTECalcPts[TM],MATCH(TableTERanks33[[#This Row],[Player]],TableTECalcPts[PLAYER],0)),"")</f>
        <v>MIN</v>
      </c>
      <c r="AT63">
        <f>IFERROR(INDEX(TableTECalcPts[BYE],MATCH(TableTERanks33[[#This Row],[Player]],TableTECalcPts[PLAYER],0)),"")</f>
        <v>6</v>
      </c>
      <c r="AU63" s="83">
        <f>IFERROR((VLOOKUP(TableTERanks33[[#This Row],[Player]],TE!B:O,4,FALSE)),"")</f>
        <v>15.5526</v>
      </c>
      <c r="AV63" s="83">
        <f>IFERROR((VLOOKUP(TableTERanks33[[#This Row],[Player]],TE!B:O,5,FALSE)),"")</f>
        <v>9.7981380000000016</v>
      </c>
      <c r="AW63" s="83">
        <f>IFERROR((VLOOKUP(TableTERanks33[[#This Row],[Player]],TE!B:O,6,FALSE)),"")</f>
        <v>90.840604437177802</v>
      </c>
      <c r="AX63" s="83">
        <f>IFERROR((VLOOKUP(TableTERanks33[[#This Row],[Player]],TE!B:O,7,FALSE)),"")</f>
        <v>0.63400331384696529</v>
      </c>
      <c r="AY63" s="57">
        <f>IFERROR((IFERROR(INDEX(TableTECalcPts[Custom],MATCH(TableTERanks33[[#This Row],[RK]],TableTECalcPts[RK],0)),"")),"")</f>
        <v>17.787149326799572</v>
      </c>
      <c r="AZ63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64" spans="1:52" x14ac:dyDescent="0.2">
      <c r="A64">
        <v>63</v>
      </c>
      <c r="B64" t="str">
        <f>IFERROR(INDEX(TableQBCalcPts[PLAYER],MATCH(TableQBRanks30[[#This Row],[RK]],TableQBCalcPts[RK],0)),"")</f>
        <v>Mac Jones</v>
      </c>
      <c r="C64" t="str">
        <f>IFERROR(INDEX(TableQBCalcPts[TM],MATCH(TableQBRanks30[[#This Row],[Player]],TableQBCalcPts[PLAYER],0)),"")</f>
        <v>JAX</v>
      </c>
      <c r="D64">
        <f>IFERROR(INDEX(TableQBCalcPts[BYE],MATCH(TableQBRanks30[[#This Row],[Player]],TableQBCalcPts[PLAYER],0)),"")</f>
        <v>12</v>
      </c>
      <c r="E64" s="83">
        <f>IFERROR((VLOOKUP(TableQBRanks30[[#This Row],[Player]],QB!B:O,4,FALSE)),"")</f>
        <v>6.1448200000000055</v>
      </c>
      <c r="F64" s="83">
        <f>IFERROR((VLOOKUP(TableQBRanks30[[#This Row],[Player]],QB!B:O,5,FALSE)),"")</f>
        <v>4.1265444873741135</v>
      </c>
      <c r="G64" s="83">
        <f>IFERROR((VLOOKUP(TableQBRanks30[[#This Row],[Player]],QB!B:O,6,FALSE)),"")</f>
        <v>44.106535516988409</v>
      </c>
      <c r="H64" s="83">
        <f>IFERROR((VLOOKUP(TableQBRanks30[[#This Row],[Player]],QB!B:O,7,FALSE)),"")</f>
        <v>0.25808244000000025</v>
      </c>
      <c r="I64" s="83">
        <f>IFERROR((VLOOKUP(TableQBRanks30[[#This Row],[Player]],QB!B:O,8,FALSE)),"")</f>
        <v>0.12025715801226826</v>
      </c>
      <c r="J64" s="83">
        <f>IFERROR((VLOOKUP(TableQBRanks30[[#This Row],[Player]],QB!B:O,9,FALSE)),"")</f>
        <v>0</v>
      </c>
      <c r="K64" s="83">
        <f>IFERROR((VLOOKUP(TableQBRanks30[[#This Row],[Player]],QB!B:O,10,FALSE)),"")</f>
        <v>0</v>
      </c>
      <c r="L64" s="83">
        <f>IFERROR((VLOOKUP(TableQBRanks30[[#This Row],[Player]],QB!B:O,11,FALSE)),"")</f>
        <v>0</v>
      </c>
      <c r="M64" s="57">
        <f>IFERROR(INDEX(TableQBCalcPts[Custom],MATCH(TableQBRanks30[[#This Row],[RK]],TableQBCalcPts[RK],0)),"")</f>
        <v>2.5560768646550009</v>
      </c>
      <c r="N64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64">
        <v>63</v>
      </c>
      <c r="Q64" t="str">
        <f>IFERROR(INDEX(TableRBCalcPts[PLAYER],MATCH(TableRBRanks31[[#This Row],[RK]],TableRBCalcPts[RK],0)),"")</f>
        <v>Kenneth Gainwell</v>
      </c>
      <c r="R64" t="str">
        <f>IFERROR(INDEX(TableRBCalcPts[TM],MATCH(TableRBRanks31[[#This Row],[Player]],TableRBCalcPts[PLAYER],0)),"")</f>
        <v>PHI</v>
      </c>
      <c r="S64">
        <f>IFERROR(INDEX(TableRBCalcPts[BYE],MATCH(TableRBRanks31[[#This Row],[Player]],TableRBCalcPts[PLAYER],0)),"")</f>
        <v>5</v>
      </c>
      <c r="T64" s="83">
        <f>IFERROR((VLOOKUP(TableRBRanks31[[#This Row],[Player]],RB!B:O,4,FALSE)),"")</f>
        <v>62.778643200000005</v>
      </c>
      <c r="U64" s="83">
        <f>IFERROR((VLOOKUP(TableRBRanks31[[#This Row],[Player]],RB!B:O,5,FALSE)),"")</f>
        <v>267.74646120413456</v>
      </c>
      <c r="V64" s="83">
        <f>IFERROR((VLOOKUP(TableRBRanks31[[#This Row],[Player]],RB!B:O,6,FALSE)),"")</f>
        <v>2.1972525120000004</v>
      </c>
      <c r="W64" s="83">
        <f>IFERROR((VLOOKUP(TableRBRanks31[[#This Row],[Player]],RB!B:O,7,FALSE)),"")</f>
        <v>28.450215360000001</v>
      </c>
      <c r="X64" s="83">
        <f>IFERROR((VLOOKUP(TableRBRanks31[[#This Row],[Player]],RB!B:O,8,FALSE)),"")</f>
        <v>21.166960227840001</v>
      </c>
      <c r="Y64" s="83">
        <f>IFERROR((VLOOKUP(TableRBRanks31[[#This Row],[Player]],RB!B:O,9,FALSE)),"")</f>
        <v>154.49231311258944</v>
      </c>
      <c r="Z64" s="83">
        <f>IFERROR((VLOOKUP(TableRBRanks31[[#This Row],[Player]],RB!B:O,10,FALSE)),"")</f>
        <v>0.6350088068352</v>
      </c>
      <c r="AA64" s="57">
        <f>IFERROR((IFERROR(INDEX(TableRBCalcPts[Custom],MATCH(TableRBRanks31[[#This Row],[RK]],TableRBCalcPts[RK],0)),"")),"")</f>
        <v>69.800925458603601</v>
      </c>
      <c r="AB64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64">
        <v>63</v>
      </c>
      <c r="AE64" t="str">
        <f>IFERROR(INDEX(TableWRCalcPts[PLAYER],MATCH(TableWRRanks32[[#This Row],[RK]],TableWRCalcPts[RK],0)),"")</f>
        <v>Demarcus Robinson</v>
      </c>
      <c r="AF64" t="str">
        <f>IFERROR(INDEX(TableWRCalcPts[TM],MATCH(TableWRRanks32[[#This Row],[Player]],TableWRCalcPts[PLAYER],0)),"")</f>
        <v>LAR</v>
      </c>
      <c r="AG64">
        <f>IFERROR(INDEX(TableWRCalcPts[BYE],MATCH(TableWRRanks32[[#This Row],[Player]],TableWRCalcPts[PLAYER],0)),"")</f>
        <v>6</v>
      </c>
      <c r="AH64" s="83">
        <f>IFERROR((VLOOKUP(TableWRRanks32[[#This Row],[Player]],WR!B:O,4,FALSE)),"")</f>
        <v>0</v>
      </c>
      <c r="AI64" s="83">
        <f>IFERROR((VLOOKUP(TableWRRanks32[[#This Row],[Player]],WR!B:O,5,FALSE)),"")</f>
        <v>0</v>
      </c>
      <c r="AJ64" s="83">
        <f>IFERROR((VLOOKUP(TableWRRanks32[[#This Row],[Player]],WR!B:O,6,FALSE)),"")</f>
        <v>85.131868919999988</v>
      </c>
      <c r="AK64" s="83">
        <f>IFERROR((VLOOKUP(TableWRRanks32[[#This Row],[Player]],WR!B:O,7,FALSE)),"")</f>
        <v>55.335714797999991</v>
      </c>
      <c r="AL64" s="83">
        <f>IFERROR((VLOOKUP(TableWRRanks32[[#This Row],[Player]],WR!B:O,8,FALSE)),"")</f>
        <v>727.66464959369989</v>
      </c>
      <c r="AM64" s="83">
        <f>IFERROR((VLOOKUP(TableWRRanks32[[#This Row],[Player]],WR!B:O,9,FALSE)),"")</f>
        <v>4.9802143318199992</v>
      </c>
      <c r="AN64" s="57">
        <f>IFERROR((IFERROR(INDEX(TableWRCalcPts[Custom],MATCH(TableWRRanks32[[#This Row],[RK]],TableWRCalcPts[RK],0)),"")),"")</f>
        <v>130.31560834928999</v>
      </c>
      <c r="AO64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64">
        <v>63</v>
      </c>
      <c r="AR64" t="str">
        <f>IFERROR(INDEX(TableTECalcPts[PLAYER],MATCH(TableTERanks33[[#This Row],[RK]],TableTECalcPts[RK],0)),"")</f>
        <v>Erick All</v>
      </c>
      <c r="AS64" t="str">
        <f>IFERROR(INDEX(TableTECalcPts[TM],MATCH(TableTERanks33[[#This Row],[Player]],TableTECalcPts[PLAYER],0)),"")</f>
        <v>CIN</v>
      </c>
      <c r="AT64">
        <f>IFERROR(INDEX(TableTECalcPts[BYE],MATCH(TableTERanks33[[#This Row],[Player]],TableTECalcPts[PLAYER],0)),"")</f>
        <v>12</v>
      </c>
      <c r="AU64" s="83">
        <f>IFERROR((VLOOKUP(TableTERanks33[[#This Row],[Player]],TE!B:O,4,FALSE)),"")</f>
        <v>13.71849864</v>
      </c>
      <c r="AV64" s="83">
        <f>IFERROR((VLOOKUP(TableTERanks33[[#This Row],[Player]],TE!B:O,5,FALSE)),"")</f>
        <v>9.3697345711200004</v>
      </c>
      <c r="AW64" s="83">
        <f>IFERROR((VLOOKUP(TableTERanks33[[#This Row],[Player]],TE!B:O,6,FALSE)),"")</f>
        <v>89.519754170492931</v>
      </c>
      <c r="AX64" s="83">
        <f>IFERROR((VLOOKUP(TableTERanks33[[#This Row],[Player]],TE!B:O,7,FALSE)),"")</f>
        <v>0.66525115454952</v>
      </c>
      <c r="AY64" s="57">
        <f>IFERROR((IFERROR(INDEX(TableTECalcPts[Custom],MATCH(TableTERanks33[[#This Row],[RK]],TableTECalcPts[RK],0)),"")),"")</f>
        <v>17.628349629906413</v>
      </c>
      <c r="AZ64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65" spans="1:52" x14ac:dyDescent="0.2">
      <c r="A65">
        <v>64</v>
      </c>
      <c r="B65" t="str">
        <f>IFERROR(INDEX(TableQBCalcPts[PLAYER],MATCH(TableQBRanks30[[#This Row],[RK]],TableQBCalcPts[RK],0)),"")</f>
        <v>Mitch Trubisky</v>
      </c>
      <c r="C65" t="str">
        <f>IFERROR(INDEX(TableQBCalcPts[TM],MATCH(TableQBRanks30[[#This Row],[Player]],TableQBCalcPts[PLAYER],0)),"")</f>
        <v>BUF</v>
      </c>
      <c r="D65">
        <f>IFERROR(INDEX(TableQBCalcPts[BYE],MATCH(TableQBRanks30[[#This Row],[Player]],TableQBCalcPts[PLAYER],0)),"")</f>
        <v>12</v>
      </c>
      <c r="E65" s="83">
        <f>IFERROR((VLOOKUP(TableQBRanks30[[#This Row],[Player]],QB!B:O,4,FALSE)),"")</f>
        <v>6.197760000000005</v>
      </c>
      <c r="F65" s="83">
        <f>IFERROR((VLOOKUP(TableQBRanks30[[#This Row],[Player]],QB!B:O,5,FALSE)),"")</f>
        <v>3.793029120000003</v>
      </c>
      <c r="G65" s="83">
        <f>IFERROR((VLOOKUP(TableQBRanks30[[#This Row],[Player]],QB!B:O,6,FALSE)),"")</f>
        <v>36.792382464000028</v>
      </c>
      <c r="H65" s="83">
        <f>IFERROR((VLOOKUP(TableQBRanks30[[#This Row],[Player]],QB!B:O,7,FALSE)),"")</f>
        <v>0.21072384000000019</v>
      </c>
      <c r="I65" s="83">
        <f>IFERROR((VLOOKUP(TableQBRanks30[[#This Row],[Player]],QB!B:O,8,FALSE)),"")</f>
        <v>4.6426676428800037E-2</v>
      </c>
      <c r="J65" s="83">
        <f>IFERROR((VLOOKUP(TableQBRanks30[[#This Row],[Player]],QB!B:O,9,FALSE)),"")</f>
        <v>0</v>
      </c>
      <c r="K65" s="83">
        <f>IFERROR((VLOOKUP(TableQBRanks30[[#This Row],[Player]],QB!B:O,10,FALSE)),"")</f>
        <v>0</v>
      </c>
      <c r="L65" s="83">
        <f>IFERROR((VLOOKUP(TableQBRanks30[[#This Row],[Player]],QB!B:O,11,FALSE)),"")</f>
        <v>0</v>
      </c>
      <c r="M65" s="57">
        <f>IFERROR(INDEX(TableQBCalcPts[Custom],MATCH(TableQBRanks30[[#This Row],[RK]],TableQBCalcPts[RK],0)),"")</f>
        <v>2.2217373057024021</v>
      </c>
      <c r="N65" s="125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>0</v>
      </c>
      <c r="P65">
        <v>64</v>
      </c>
      <c r="Q65" t="str">
        <f>IFERROR(INDEX(TableRBCalcPts[PLAYER],MATCH(TableRBRanks31[[#This Row],[RK]],TableRBCalcPts[RK],0)),"")</f>
        <v>Tyrone Tracy</v>
      </c>
      <c r="R65" t="str">
        <f>IFERROR(INDEX(TableRBCalcPts[TM],MATCH(TableRBRanks31[[#This Row],[Player]],TableRBCalcPts[PLAYER],0)),"")</f>
        <v>NYG</v>
      </c>
      <c r="S65">
        <f>IFERROR(INDEX(TableRBCalcPts[BYE],MATCH(TableRBRanks31[[#This Row],[Player]],TableRBCalcPts[PLAYER],0)),"")</f>
        <v>11</v>
      </c>
      <c r="T65" s="83">
        <f>IFERROR((VLOOKUP(TableRBRanks31[[#This Row],[Player]],RB!B:O,4,FALSE)),"")</f>
        <v>55.695352160000006</v>
      </c>
      <c r="U65" s="83">
        <f>IFERROR((VLOOKUP(TableRBRanks31[[#This Row],[Player]],RB!B:O,5,FALSE)),"")</f>
        <v>237.8191537232</v>
      </c>
      <c r="V65" s="83">
        <f>IFERROR((VLOOKUP(TableRBRanks31[[#This Row],[Player]],RB!B:O,6,FALSE)),"")</f>
        <v>1.7265559169600002</v>
      </c>
      <c r="W65" s="83">
        <f>IFERROR((VLOOKUP(TableRBRanks31[[#This Row],[Player]],RB!B:O,7,FALSE)),"")</f>
        <v>28.247708159999995</v>
      </c>
      <c r="X65" s="83">
        <f>IFERROR((VLOOKUP(TableRBRanks31[[#This Row],[Player]],RB!B:O,8,FALSE)),"")</f>
        <v>21.383515077119995</v>
      </c>
      <c r="Y65" s="83">
        <f>IFERROR((VLOOKUP(TableRBRanks31[[#This Row],[Player]],RB!B:O,9,FALSE)),"")</f>
        <v>156.92584693461001</v>
      </c>
      <c r="Z65" s="83">
        <f>IFERROR((VLOOKUP(TableRBRanks31[[#This Row],[Player]],RB!B:O,10,FALSE)),"")</f>
        <v>0.95629493294192869</v>
      </c>
      <c r="AA65" s="57">
        <f>IFERROR((IFERROR(INDEX(TableRBCalcPts[Custom],MATCH(TableRBRanks31[[#This Row],[RK]],TableRBCalcPts[RK],0)),"")),"")</f>
        <v>66.263362703752577</v>
      </c>
      <c r="AB65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65">
        <v>64</v>
      </c>
      <c r="AE65" t="str">
        <f>IFERROR(INDEX(TableWRCalcPts[PLAYER],MATCH(TableWRRanks32[[#This Row],[RK]],TableWRCalcPts[RK],0)),"")</f>
        <v>Demario Douglas</v>
      </c>
      <c r="AF65" t="str">
        <f>IFERROR(INDEX(TableWRCalcPts[TM],MATCH(TableWRRanks32[[#This Row],[Player]],TableWRCalcPts[PLAYER],0)),"")</f>
        <v>NE</v>
      </c>
      <c r="AG65">
        <f>IFERROR(INDEX(TableWRCalcPts[BYE],MATCH(TableWRRanks32[[#This Row],[Player]],TableWRCalcPts[PLAYER],0)),"")</f>
        <v>14</v>
      </c>
      <c r="AH65" s="83">
        <f>IFERROR((VLOOKUP(TableWRRanks32[[#This Row],[Player]],WR!B:O,4,FALSE)),"")</f>
        <v>0</v>
      </c>
      <c r="AI65" s="83">
        <f>IFERROR((VLOOKUP(TableWRRanks32[[#This Row],[Player]],WR!B:O,5,FALSE)),"")</f>
        <v>0</v>
      </c>
      <c r="AJ65" s="83">
        <f>IFERROR((VLOOKUP(TableWRRanks32[[#This Row],[Player]],WR!B:O,6,FALSE)),"")</f>
        <v>102.60581575999998</v>
      </c>
      <c r="AK65" s="83">
        <f>IFERROR((VLOOKUP(TableWRRanks32[[#This Row],[Player]],WR!B:O,7,FALSE)),"")</f>
        <v>63.718211586959988</v>
      </c>
      <c r="AL65" s="83">
        <f>IFERROR((VLOOKUP(TableWRRanks32[[#This Row],[Player]],WR!B:O,8,FALSE)),"")</f>
        <v>745.50307556743178</v>
      </c>
      <c r="AM65" s="83">
        <f>IFERROR((VLOOKUP(TableWRRanks32[[#This Row],[Player]],WR!B:O,9,FALSE)),"")</f>
        <v>3.5045016372827993</v>
      </c>
      <c r="AN65" s="57">
        <f>IFERROR((IFERROR(INDEX(TableWRCalcPts[Custom],MATCH(TableWRRanks32[[#This Row],[RK]],TableWRCalcPts[RK],0)),"")),"")</f>
        <v>127.43642317391996</v>
      </c>
      <c r="AO65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65">
        <v>64</v>
      </c>
      <c r="AR65" t="str">
        <f>IFERROR(INDEX(TableTECalcPts[PLAYER],MATCH(TableTERanks33[[#This Row],[RK]],TableTECalcPts[RK],0)),"")</f>
        <v>Logan Thomas</v>
      </c>
      <c r="AS65" t="str">
        <f>IFERROR(INDEX(TableTECalcPts[TM],MATCH(TableTERanks33[[#This Row],[Player]],TableTECalcPts[PLAYER],0)),"")</f>
        <v>SF</v>
      </c>
      <c r="AT65">
        <f>IFERROR(INDEX(TableTECalcPts[BYE],MATCH(TableTERanks33[[#This Row],[Player]],TableTECalcPts[PLAYER],0)),"")</f>
        <v>9</v>
      </c>
      <c r="AU65" s="83">
        <f>IFERROR((VLOOKUP(TableTERanks33[[#This Row],[Player]],TE!B:O,4,FALSE)),"")</f>
        <v>10.650679199999999</v>
      </c>
      <c r="AV65" s="83">
        <f>IFERROR((VLOOKUP(TableTERanks33[[#This Row],[Player]],TE!B:O,5,FALSE)),"")</f>
        <v>6.8164346879999993</v>
      </c>
      <c r="AW65" s="83">
        <f>IFERROR((VLOOKUP(TableTERanks33[[#This Row],[Player]],TE!B:O,6,FALSE)),"")</f>
        <v>74.691955717254558</v>
      </c>
      <c r="AX65" s="83">
        <f>IFERROR((VLOOKUP(TableTERanks33[[#This Row],[Player]],TE!B:O,7,FALSE)),"")</f>
        <v>0.64756129535999996</v>
      </c>
      <c r="AY65" s="57">
        <f>IFERROR((IFERROR(INDEX(TableTECalcPts[Custom],MATCH(TableTERanks33[[#This Row],[RK]],TableTECalcPts[RK],0)),"")),"")</f>
        <v>14.762780687885456</v>
      </c>
      <c r="AZ65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66" spans="1:52" x14ac:dyDescent="0.2">
      <c r="A66">
        <v>65</v>
      </c>
      <c r="B66" t="str">
        <f>IFERROR(INDEX(TableQBCalcPts[PLAYER],MATCH(TableQBRanks30[[#This Row],[RK]],TableQBCalcPts[RK],0)),"")</f>
        <v/>
      </c>
      <c r="C66" t="str">
        <f>IFERROR(INDEX(TableQBCalcPts[TM],MATCH(TableQBRanks30[[#This Row],[Player]],TableQBCalcPts[PLAYER],0)),"")</f>
        <v/>
      </c>
      <c r="D66" t="str">
        <f>IFERROR(INDEX(TableQBCalcPts[BYE],MATCH(TableQBRanks30[[#This Row],[Player]],TableQBCalcPts[PLAYER],0)),"")</f>
        <v/>
      </c>
      <c r="E66" s="83" t="str">
        <f>IFERROR((VLOOKUP(TableQBRanks30[[#This Row],[Player]],QB!B:O,4,FALSE)),"")</f>
        <v/>
      </c>
      <c r="F66" s="83" t="str">
        <f>IFERROR((VLOOKUP(TableQBRanks30[[#This Row],[Player]],QB!B:O,5,FALSE)),"")</f>
        <v/>
      </c>
      <c r="G66" s="83" t="str">
        <f>IFERROR((VLOOKUP(TableQBRanks30[[#This Row],[Player]],QB!B:O,6,FALSE)),"")</f>
        <v/>
      </c>
      <c r="H66" s="83" t="str">
        <f>IFERROR((VLOOKUP(TableQBRanks30[[#This Row],[Player]],QB!B:O,7,FALSE)),"")</f>
        <v/>
      </c>
      <c r="I66" s="83" t="str">
        <f>IFERROR((VLOOKUP(TableQBRanks30[[#This Row],[Player]],QB!B:O,8,FALSE)),"")</f>
        <v/>
      </c>
      <c r="J66" s="83" t="str">
        <f>IFERROR((VLOOKUP(TableQBRanks30[[#This Row],[Player]],QB!B:O,9,FALSE)),"")</f>
        <v/>
      </c>
      <c r="K66" s="83" t="str">
        <f>IFERROR((VLOOKUP(TableQBRanks30[[#This Row],[Player]],QB!B:O,10,FALSE)),"")</f>
        <v/>
      </c>
      <c r="L66" s="83" t="str">
        <f>IFERROR((VLOOKUP(TableQBRanks30[[#This Row],[Player]],QB!B:O,11,FALSE)),"")</f>
        <v/>
      </c>
      <c r="M66" s="57" t="str">
        <f>IFERROR(INDEX(TableQBCalcPts[Custom],MATCH(TableQBRanks30[[#This Row],[RK]],TableQBCalcPts[RK],0)),"")</f>
        <v/>
      </c>
      <c r="N66" s="125" t="str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/>
      </c>
      <c r="P66">
        <v>65</v>
      </c>
      <c r="Q66" t="str">
        <f>IFERROR(INDEX(TableRBCalcPts[PLAYER],MATCH(TableRBRanks31[[#This Row],[RK]],TableRBCalcPts[RK],0)),"")</f>
        <v>Audric Estime</v>
      </c>
      <c r="R66" t="str">
        <f>IFERROR(INDEX(TableRBCalcPts[TM],MATCH(TableRBRanks31[[#This Row],[Player]],TableRBCalcPts[PLAYER],0)),"")</f>
        <v>DEN</v>
      </c>
      <c r="S66">
        <f>IFERROR(INDEX(TableRBCalcPts[BYE],MATCH(TableRBRanks31[[#This Row],[Player]],TableRBCalcPts[PLAYER],0)),"")</f>
        <v>14</v>
      </c>
      <c r="T66" s="83">
        <f>IFERROR((VLOOKUP(TableRBRanks31[[#This Row],[Player]],RB!B:O,4,FALSE)),"")</f>
        <v>93.616758900000008</v>
      </c>
      <c r="U66" s="83">
        <f>IFERROR((VLOOKUP(TableRBRanks31[[#This Row],[Player]],RB!B:O,5,FALSE)),"")</f>
        <v>401.77053929659263</v>
      </c>
      <c r="V66" s="83">
        <f>IFERROR((VLOOKUP(TableRBRanks31[[#This Row],[Player]],RB!B:O,6,FALSE)),"")</f>
        <v>2.9957362848000004</v>
      </c>
      <c r="W66" s="83">
        <f>IFERROR((VLOOKUP(TableRBRanks31[[#This Row],[Player]],RB!B:O,7,FALSE)),"")</f>
        <v>6.3110670351758786</v>
      </c>
      <c r="X66" s="83">
        <f>IFERROR((VLOOKUP(TableRBRanks31[[#This Row],[Player]],RB!B:O,8,FALSE)),"")</f>
        <v>4.6070789356783921</v>
      </c>
      <c r="Y66" s="83">
        <f>IFERROR((VLOOKUP(TableRBRanks31[[#This Row],[Player]],RB!B:O,9,FALSE)),"")</f>
        <v>31.512419920040202</v>
      </c>
      <c r="Z66" s="83">
        <f>IFERROR((VLOOKUP(TableRBRanks31[[#This Row],[Player]],RB!B:O,10,FALSE)),"")</f>
        <v>0.11978405232763818</v>
      </c>
      <c r="AA66" s="57">
        <f>IFERROR((IFERROR(INDEX(TableRBCalcPts[Custom],MATCH(TableRBRanks31[[#This Row],[RK]],TableRBCalcPts[RK],0)),"")),"")</f>
        <v>64.324957412268304</v>
      </c>
      <c r="AB66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66">
        <v>65</v>
      </c>
      <c r="AE66" t="str">
        <f>IFERROR(INDEX(TableWRCalcPts[PLAYER],MATCH(TableWRRanks32[[#This Row],[RK]],TableWRCalcPts[RK],0)),"")</f>
        <v>Xavier Legette</v>
      </c>
      <c r="AF66" t="str">
        <f>IFERROR(INDEX(TableWRCalcPts[TM],MATCH(TableWRRanks32[[#This Row],[Player]],TableWRCalcPts[PLAYER],0)),"")</f>
        <v>CAR</v>
      </c>
      <c r="AG66">
        <f>IFERROR(INDEX(TableWRCalcPts[BYE],MATCH(TableWRRanks32[[#This Row],[Player]],TableWRCalcPts[PLAYER],0)),"")</f>
        <v>11</v>
      </c>
      <c r="AH66" s="83">
        <f>IFERROR((VLOOKUP(TableWRRanks32[[#This Row],[Player]],WR!B:O,4,FALSE)),"")</f>
        <v>26.754587999999998</v>
      </c>
      <c r="AI66" s="83">
        <f>IFERROR((VLOOKUP(TableWRRanks32[[#This Row],[Player]],WR!B:O,5,FALSE)),"")</f>
        <v>3.4820397502044652E-2</v>
      </c>
      <c r="AJ66" s="83">
        <f>IFERROR((VLOOKUP(TableWRRanks32[[#This Row],[Player]],WR!B:O,6,FALSE)),"")</f>
        <v>88.613040599999977</v>
      </c>
      <c r="AK66" s="83">
        <f>IFERROR((VLOOKUP(TableWRRanks32[[#This Row],[Player]],WR!B:O,7,FALSE)),"")</f>
        <v>55.205924293799995</v>
      </c>
      <c r="AL66" s="83">
        <f>IFERROR((VLOOKUP(TableWRRanks32[[#This Row],[Player]],WR!B:O,8,FALSE)),"")</f>
        <v>735.34291159341592</v>
      </c>
      <c r="AM66" s="83">
        <f>IFERROR((VLOOKUP(TableWRRanks32[[#This Row],[Player]],WR!B:O,9,FALSE)),"")</f>
        <v>3.6987969276846</v>
      </c>
      <c r="AN66" s="57">
        <f>IFERROR((IFERROR(INDEX(TableWRCalcPts[Custom],MATCH(TableWRRanks32[[#This Row],[RK]],TableWRCalcPts[RK],0)),"")),"")</f>
        <v>126.21441605736145</v>
      </c>
      <c r="AO66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66">
        <v>65</v>
      </c>
      <c r="AR66" t="str">
        <f>IFERROR(INDEX(TableTECalcPts[PLAYER],MATCH(TableTERanks33[[#This Row],[RK]],TableTECalcPts[RK],0)),"")</f>
        <v>Harrison Bryant</v>
      </c>
      <c r="AS66" t="str">
        <f>IFERROR(INDEX(TableTECalcPts[TM],MATCH(TableTERanks33[[#This Row],[Player]],TableTECalcPts[PLAYER],0)),"")</f>
        <v>LV</v>
      </c>
      <c r="AT66">
        <f>IFERROR(INDEX(TableTECalcPts[BYE],MATCH(TableTERanks33[[#This Row],[Player]],TableTECalcPts[PLAYER],0)),"")</f>
        <v>10</v>
      </c>
      <c r="AU66" s="83">
        <f>IFERROR((VLOOKUP(TableTERanks33[[#This Row],[Player]],TE!B:O,4,FALSE)),"")</f>
        <v>11.069589999999998</v>
      </c>
      <c r="AV66" s="83">
        <f>IFERROR((VLOOKUP(TableTERanks33[[#This Row],[Player]],TE!B:O,5,FALSE)),"")</f>
        <v>7.2395118599999986</v>
      </c>
      <c r="AW66" s="83">
        <f>IFERROR((VLOOKUP(TableTERanks33[[#This Row],[Player]],TE!B:O,6,FALSE)),"")</f>
        <v>75.4428654611837</v>
      </c>
      <c r="AX66" s="83">
        <f>IFERROR((VLOOKUP(TableTERanks33[[#This Row],[Player]],TE!B:O,7,FALSE)),"")</f>
        <v>0.46121763581338121</v>
      </c>
      <c r="AY66" s="57">
        <f>IFERROR((IFERROR(INDEX(TableTECalcPts[Custom],MATCH(TableTERanks33[[#This Row],[RK]],TableTECalcPts[RK],0)),"")),"")</f>
        <v>13.931348290998656</v>
      </c>
      <c r="AZ66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67" spans="1:52" x14ac:dyDescent="0.2">
      <c r="A67">
        <v>66</v>
      </c>
      <c r="B67" t="str">
        <f>IFERROR(INDEX(TableQBCalcPts[PLAYER],MATCH(TableQBRanks30[[#This Row],[RK]],TableQBCalcPts[RK],0)),"")</f>
        <v/>
      </c>
      <c r="C67" t="str">
        <f>IFERROR(INDEX(TableQBCalcPts[TM],MATCH(TableQBRanks30[[#This Row],[Player]],TableQBCalcPts[PLAYER],0)),"")</f>
        <v/>
      </c>
      <c r="D67" t="str">
        <f>IFERROR(INDEX(TableQBCalcPts[BYE],MATCH(TableQBRanks30[[#This Row],[Player]],TableQBCalcPts[PLAYER],0)),"")</f>
        <v/>
      </c>
      <c r="E67" s="83" t="str">
        <f>IFERROR((VLOOKUP(TableQBRanks30[[#This Row],[Player]],QB!B:O,4,FALSE)),"")</f>
        <v/>
      </c>
      <c r="F67" s="83" t="str">
        <f>IFERROR((VLOOKUP(TableQBRanks30[[#This Row],[Player]],QB!B:O,5,FALSE)),"")</f>
        <v/>
      </c>
      <c r="G67" s="83" t="str">
        <f>IFERROR((VLOOKUP(TableQBRanks30[[#This Row],[Player]],QB!B:O,6,FALSE)),"")</f>
        <v/>
      </c>
      <c r="H67" s="83" t="str">
        <f>IFERROR((VLOOKUP(TableQBRanks30[[#This Row],[Player]],QB!B:O,7,FALSE)),"")</f>
        <v/>
      </c>
      <c r="I67" s="83" t="str">
        <f>IFERROR((VLOOKUP(TableQBRanks30[[#This Row],[Player]],QB!B:O,8,FALSE)),"")</f>
        <v/>
      </c>
      <c r="J67" s="83" t="str">
        <f>IFERROR((VLOOKUP(TableQBRanks30[[#This Row],[Player]],QB!B:O,9,FALSE)),"")</f>
        <v/>
      </c>
      <c r="K67" s="83" t="str">
        <f>IFERROR((VLOOKUP(TableQBRanks30[[#This Row],[Player]],QB!B:O,10,FALSE)),"")</f>
        <v/>
      </c>
      <c r="L67" s="83" t="str">
        <f>IFERROR((VLOOKUP(TableQBRanks30[[#This Row],[Player]],QB!B:O,11,FALSE)),"")</f>
        <v/>
      </c>
      <c r="M67" s="57" t="str">
        <f>IFERROR(INDEX(TableQBCalcPts[Custom],MATCH(TableQBRanks30[[#This Row],[RK]],TableQBCalcPts[RK],0)),"")</f>
        <v/>
      </c>
      <c r="N67" s="125" t="str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/>
      </c>
      <c r="P67">
        <v>66</v>
      </c>
      <c r="Q67" t="str">
        <f>IFERROR(INDEX(TableRBCalcPts[PLAYER],MATCH(TableRBRanks31[[#This Row],[RK]],TableRBCalcPts[RK],0)),"")</f>
        <v>Tank Bigsby</v>
      </c>
      <c r="R67" t="str">
        <f>IFERROR(INDEX(TableRBCalcPts[TM],MATCH(TableRBRanks31[[#This Row],[Player]],TableRBCalcPts[PLAYER],0)),"")</f>
        <v>JAX</v>
      </c>
      <c r="S67">
        <f>IFERROR(INDEX(TableRBCalcPts[BYE],MATCH(TableRBRanks31[[#This Row],[Player]],TableRBCalcPts[PLAYER],0)),"")</f>
        <v>12</v>
      </c>
      <c r="T67" s="83">
        <f>IFERROR((VLOOKUP(TableRBRanks31[[#This Row],[Player]],RB!B:O,4,FALSE)),"")</f>
        <v>93.467897879999995</v>
      </c>
      <c r="U67" s="83">
        <f>IFERROR((VLOOKUP(TableRBRanks31[[#This Row],[Player]],RB!B:O,5,FALSE)),"")</f>
        <v>382.28370232919997</v>
      </c>
      <c r="V67" s="83">
        <f>IFERROR((VLOOKUP(TableRBRanks31[[#This Row],[Player]],RB!B:O,6,FALSE)),"")</f>
        <v>3.1779085279200001</v>
      </c>
      <c r="W67" s="83">
        <f>IFERROR((VLOOKUP(TableRBRanks31[[#This Row],[Player]],RB!B:O,7,FALSE)),"")</f>
        <v>6.0219235999999992</v>
      </c>
      <c r="X67" s="83">
        <f>IFERROR((VLOOKUP(TableRBRanks31[[#This Row],[Player]],RB!B:O,8,FALSE)),"")</f>
        <v>4.2334122907999996</v>
      </c>
      <c r="Y67" s="83">
        <f>IFERROR((VLOOKUP(TableRBRanks31[[#This Row],[Player]],RB!B:O,9,FALSE)),"")</f>
        <v>30.495338068351781</v>
      </c>
      <c r="Z67" s="83">
        <f>IFERROR((VLOOKUP(TableRBRanks31[[#This Row],[Player]],RB!B:O,10,FALSE)),"")</f>
        <v>0.13123578101479999</v>
      </c>
      <c r="AA67" s="57">
        <f>IFERROR((IFERROR(INDEX(TableRBCalcPts[Custom],MATCH(TableRBRanks31[[#This Row],[RK]],TableRBCalcPts[RK],0)),"")),"")</f>
        <v>63.249476038763987</v>
      </c>
      <c r="AB67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67">
        <v>66</v>
      </c>
      <c r="AE67" t="str">
        <f>IFERROR(INDEX(TableWRCalcPts[PLAYER],MATCH(TableWRRanks32[[#This Row],[RK]],TableWRCalcPts[RK],0)),"")</f>
        <v>Wan'Dale Robinson</v>
      </c>
      <c r="AF67" t="str">
        <f>IFERROR(INDEX(TableWRCalcPts[TM],MATCH(TableWRRanks32[[#This Row],[Player]],TableWRCalcPts[PLAYER],0)),"")</f>
        <v>NYG</v>
      </c>
      <c r="AG67">
        <f>IFERROR(INDEX(TableWRCalcPts[BYE],MATCH(TableWRRanks32[[#This Row],[Player]],TableWRCalcPts[PLAYER],0)),"")</f>
        <v>11</v>
      </c>
      <c r="AH67" s="83">
        <f>IFERROR((VLOOKUP(TableWRRanks32[[#This Row],[Player]],WR!B:O,4,FALSE)),"")</f>
        <v>52.713238816000008</v>
      </c>
      <c r="AI67" s="83">
        <f>IFERROR((VLOOKUP(TableWRRanks32[[#This Row],[Player]],WR!B:O,5,FALSE)),"")</f>
        <v>8.3695114626934686E-2</v>
      </c>
      <c r="AJ67" s="83">
        <f>IFERROR((VLOOKUP(TableWRRanks32[[#This Row],[Player]],WR!B:O,6,FALSE)),"")</f>
        <v>98.278484639999988</v>
      </c>
      <c r="AK67" s="83">
        <f>IFERROR((VLOOKUP(TableWRRanks32[[#This Row],[Player]],WR!B:O,7,FALSE)),"")</f>
        <v>68.303546824799994</v>
      </c>
      <c r="AL67" s="83">
        <f>IFERROR((VLOOKUP(TableWRRanks32[[#This Row],[Player]],WR!B:O,8,FALSE)),"")</f>
        <v>661.39370114474991</v>
      </c>
      <c r="AM67" s="83">
        <f>IFERROR((VLOOKUP(TableWRRanks32[[#This Row],[Player]],WR!B:O,9,FALSE)),"")</f>
        <v>3.2193948437875664</v>
      </c>
      <c r="AN67" s="57">
        <f>IFERROR((IFERROR(INDEX(TableWRCalcPts[Custom],MATCH(TableWRRanks32[[#This Row],[RK]],TableWRCalcPts[RK],0)),"")),"")</f>
        <v>125.38100715896201</v>
      </c>
      <c r="AO67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67">
        <v>66</v>
      </c>
      <c r="AR67" t="str">
        <f>IFERROR(INDEX(TableTECalcPts[PLAYER],MATCH(TableTERanks33[[#This Row],[RK]],TableTECalcPts[RK],0)),"")</f>
        <v>Brock Wright</v>
      </c>
      <c r="AS67" t="str">
        <f>IFERROR(INDEX(TableTECalcPts[TM],MATCH(TableTERanks33[[#This Row],[Player]],TableTECalcPts[PLAYER],0)),"")</f>
        <v>DET</v>
      </c>
      <c r="AT67">
        <f>IFERROR(INDEX(TableTECalcPts[BYE],MATCH(TableTERanks33[[#This Row],[Player]],TableTECalcPts[PLAYER],0)),"")</f>
        <v>5</v>
      </c>
      <c r="AU67" s="83">
        <f>IFERROR((VLOOKUP(TableTERanks33[[#This Row],[Player]],TE!B:O,4,FALSE)),"")</f>
        <v>8.8901190000000003</v>
      </c>
      <c r="AV67" s="83">
        <f>IFERROR((VLOOKUP(TableTERanks33[[#This Row],[Player]],TE!B:O,5,FALSE)),"")</f>
        <v>5.8852587779999999</v>
      </c>
      <c r="AW67" s="83">
        <f>IFERROR((VLOOKUP(TableTERanks33[[#This Row],[Player]],TE!B:O,6,FALSE)),"")</f>
        <v>56.587348622931877</v>
      </c>
      <c r="AX67" s="83">
        <f>IFERROR((VLOOKUP(TableTERanks33[[#This Row],[Player]],TE!B:O,7,FALSE)),"")</f>
        <v>0.54736741581672876</v>
      </c>
      <c r="AY67" s="57">
        <f>IFERROR((IFERROR(INDEX(TableTECalcPts[Custom],MATCH(TableTERanks33[[#This Row],[RK]],TableTECalcPts[RK],0)),"")),"")</f>
        <v>11.88556874619356</v>
      </c>
      <c r="AZ67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68" spans="1:52" x14ac:dyDescent="0.2">
      <c r="A68">
        <v>67</v>
      </c>
      <c r="B68" t="str">
        <f>IFERROR(INDEX(TableQBCalcPts[PLAYER],MATCH(TableQBRanks30[[#This Row],[RK]],TableQBCalcPts[RK],0)),"")</f>
        <v/>
      </c>
      <c r="C68" t="str">
        <f>IFERROR(INDEX(TableQBCalcPts[TM],MATCH(TableQBRanks30[[#This Row],[Player]],TableQBCalcPts[PLAYER],0)),"")</f>
        <v/>
      </c>
      <c r="D68" t="str">
        <f>IFERROR(INDEX(TableQBCalcPts[BYE],MATCH(TableQBRanks30[[#This Row],[Player]],TableQBCalcPts[PLAYER],0)),"")</f>
        <v/>
      </c>
      <c r="E68" s="83" t="str">
        <f>IFERROR((VLOOKUP(TableQBRanks30[[#This Row],[Player]],QB!B:O,4,FALSE)),"")</f>
        <v/>
      </c>
      <c r="F68" s="83" t="str">
        <f>IFERROR((VLOOKUP(TableQBRanks30[[#This Row],[Player]],QB!B:O,5,FALSE)),"")</f>
        <v/>
      </c>
      <c r="G68" s="83" t="str">
        <f>IFERROR((VLOOKUP(TableQBRanks30[[#This Row],[Player]],QB!B:O,6,FALSE)),"")</f>
        <v/>
      </c>
      <c r="H68" s="83" t="str">
        <f>IFERROR((VLOOKUP(TableQBRanks30[[#This Row],[Player]],QB!B:O,7,FALSE)),"")</f>
        <v/>
      </c>
      <c r="I68" s="83" t="str">
        <f>IFERROR((VLOOKUP(TableQBRanks30[[#This Row],[Player]],QB!B:O,8,FALSE)),"")</f>
        <v/>
      </c>
      <c r="J68" s="83" t="str">
        <f>IFERROR((VLOOKUP(TableQBRanks30[[#This Row],[Player]],QB!B:O,9,FALSE)),"")</f>
        <v/>
      </c>
      <c r="K68" s="83" t="str">
        <f>IFERROR((VLOOKUP(TableQBRanks30[[#This Row],[Player]],QB!B:O,10,FALSE)),"")</f>
        <v/>
      </c>
      <c r="L68" s="83" t="str">
        <f>IFERROR((VLOOKUP(TableQBRanks30[[#This Row],[Player]],QB!B:O,11,FALSE)),"")</f>
        <v/>
      </c>
      <c r="M68" s="57" t="str">
        <f>IFERROR(INDEX(TableQBCalcPts[Custom],MATCH(TableQBRanks30[[#This Row],[RK]],TableQBCalcPts[RK],0)),"")</f>
        <v/>
      </c>
      <c r="N68" s="125" t="str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/>
      </c>
      <c r="P68">
        <v>67</v>
      </c>
      <c r="Q68" t="str">
        <f>IFERROR(INDEX(TableRBCalcPts[PLAYER],MATCH(TableRBRanks31[[#This Row],[RK]],TableRBCalcPts[RK],0)),"")</f>
        <v>Isaiah Davis</v>
      </c>
      <c r="R68" t="str">
        <f>IFERROR(INDEX(TableRBCalcPts[TM],MATCH(TableRBRanks31[[#This Row],[Player]],TableRBCalcPts[PLAYER],0)),"")</f>
        <v>NYJ</v>
      </c>
      <c r="S68">
        <f>IFERROR(INDEX(TableRBCalcPts[BYE],MATCH(TableRBRanks31[[#This Row],[Player]],TableRBCalcPts[PLAYER],0)),"")</f>
        <v>12</v>
      </c>
      <c r="T68" s="83">
        <f>IFERROR((VLOOKUP(TableRBRanks31[[#This Row],[Player]],RB!B:O,4,FALSE)),"")</f>
        <v>61.182035040000009</v>
      </c>
      <c r="U68" s="83">
        <f>IFERROR((VLOOKUP(TableRBRanks31[[#This Row],[Player]],RB!B:O,5,FALSE)),"")</f>
        <v>258.10674757674207</v>
      </c>
      <c r="V68" s="83">
        <f>IFERROR((VLOOKUP(TableRBRanks31[[#This Row],[Player]],RB!B:O,6,FALSE)),"")</f>
        <v>2.0801891913600006</v>
      </c>
      <c r="W68" s="83">
        <f>IFERROR((VLOOKUP(TableRBRanks31[[#This Row],[Player]],RB!B:O,7,FALSE)),"")</f>
        <v>20.737917199999995</v>
      </c>
      <c r="X68" s="83">
        <f>IFERROR((VLOOKUP(TableRBRanks31[[#This Row],[Player]],RB!B:O,8,FALSE)),"")</f>
        <v>16.382954587999993</v>
      </c>
      <c r="Y68" s="83">
        <f>IFERROR((VLOOKUP(TableRBRanks31[[#This Row],[Player]],RB!B:O,9,FALSE)),"")</f>
        <v>121.65533652850371</v>
      </c>
      <c r="Z68" s="83">
        <f>IFERROR((VLOOKUP(TableRBRanks31[[#This Row],[Player]],RB!B:O,10,FALSE)),"")</f>
        <v>0.70446704728399967</v>
      </c>
      <c r="AA68" s="57">
        <f>IFERROR((IFERROR(INDEX(TableRBCalcPts[Custom],MATCH(TableRBRanks31[[#This Row],[RK]],TableRBCalcPts[RK],0)),"")),"")</f>
        <v>62.875623136388576</v>
      </c>
      <c r="AB68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68">
        <v>67</v>
      </c>
      <c r="AE68" t="str">
        <f>IFERROR(INDEX(TableWRCalcPts[PLAYER],MATCH(TableWRRanks32[[#This Row],[RK]],TableWRCalcPts[RK],0)),"")</f>
        <v>Jalen Tolbert</v>
      </c>
      <c r="AF68" t="str">
        <f>IFERROR(INDEX(TableWRCalcPts[TM],MATCH(TableWRRanks32[[#This Row],[Player]],TableWRCalcPts[PLAYER],0)),"")</f>
        <v>DAL</v>
      </c>
      <c r="AG68">
        <f>IFERROR(INDEX(TableWRCalcPts[BYE],MATCH(TableWRRanks32[[#This Row],[Player]],TableWRCalcPts[PLAYER],0)),"")</f>
        <v>7</v>
      </c>
      <c r="AH68" s="83">
        <f>IFERROR((VLOOKUP(TableWRRanks32[[#This Row],[Player]],WR!B:O,4,FALSE)),"")</f>
        <v>0</v>
      </c>
      <c r="AI68" s="83">
        <f>IFERROR((VLOOKUP(TableWRRanks32[[#This Row],[Player]],WR!B:O,5,FALSE)),"")</f>
        <v>0</v>
      </c>
      <c r="AJ68" s="83">
        <f>IFERROR((VLOOKUP(TableWRRanks32[[#This Row],[Player]],WR!B:O,6,FALSE)),"")</f>
        <v>90.255201119999967</v>
      </c>
      <c r="AK68" s="83">
        <f>IFERROR((VLOOKUP(TableWRRanks32[[#This Row],[Player]],WR!B:O,7,FALSE)),"")</f>
        <v>55.145927884319981</v>
      </c>
      <c r="AL68" s="83">
        <f>IFERROR((VLOOKUP(TableWRRanks32[[#This Row],[Player]],WR!B:O,8,FALSE)),"")</f>
        <v>678.29491297713582</v>
      </c>
      <c r="AM68" s="83">
        <f>IFERROR((VLOOKUP(TableWRRanks32[[#This Row],[Player]],WR!B:O,9,FALSE)),"")</f>
        <v>4.6322579422828785</v>
      </c>
      <c r="AN68" s="57">
        <f>IFERROR((IFERROR(INDEX(TableWRCalcPts[Custom],MATCH(TableWRRanks32[[#This Row],[RK]],TableWRCalcPts[RK],0)),"")),"")</f>
        <v>123.19600289357085</v>
      </c>
      <c r="AO68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68">
        <v>67</v>
      </c>
      <c r="AR68" t="str">
        <f>IFERROR(INDEX(TableTECalcPts[PLAYER],MATCH(TableTERanks33[[#This Row],[RK]],TableTECalcPts[RK],0)),"")</f>
        <v>Luke Farrell</v>
      </c>
      <c r="AS68" t="str">
        <f>IFERROR(INDEX(TableTECalcPts[TM],MATCH(TableTERanks33[[#This Row],[Player]],TableTECalcPts[PLAYER],0)),"")</f>
        <v>JAX</v>
      </c>
      <c r="AT68">
        <f>IFERROR(INDEX(TableTECalcPts[BYE],MATCH(TableTERanks33[[#This Row],[Player]],TableTECalcPts[PLAYER],0)),"")</f>
        <v>12</v>
      </c>
      <c r="AU68" s="83">
        <f>IFERROR((VLOOKUP(TableTERanks33[[#This Row],[Player]],TE!B:O,4,FALSE)),"")</f>
        <v>9.0328853999999996</v>
      </c>
      <c r="AV68" s="83">
        <f>IFERROR((VLOOKUP(TableTERanks33[[#This Row],[Player]],TE!B:O,5,FALSE)),"")</f>
        <v>6.1423620719999992</v>
      </c>
      <c r="AW68" s="83">
        <f>IFERROR((VLOOKUP(TableTERanks33[[#This Row],[Player]],TE!B:O,6,FALSE)),"")</f>
        <v>60.14511884123884</v>
      </c>
      <c r="AX68" s="83">
        <f>IFERROR((VLOOKUP(TableTERanks33[[#This Row],[Player]],TE!B:O,7,FALSE)),"")</f>
        <v>0.45995885566280226</v>
      </c>
      <c r="AY68" s="57">
        <f>IFERROR((IFERROR(INDEX(TableTECalcPts[Custom],MATCH(TableTERanks33[[#This Row],[RK]],TableTECalcPts[RK],0)),"")),"")</f>
        <v>11.845446054100696</v>
      </c>
      <c r="AZ68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69" spans="1:52" x14ac:dyDescent="0.2">
      <c r="A69">
        <v>68</v>
      </c>
      <c r="B69" t="str">
        <f>IFERROR(INDEX(TableQBCalcPts[PLAYER],MATCH(TableQBRanks30[[#This Row],[RK]],TableQBCalcPts[RK],0)),"")</f>
        <v/>
      </c>
      <c r="C69" t="str">
        <f>IFERROR(INDEX(TableQBCalcPts[TM],MATCH(TableQBRanks30[[#This Row],[Player]],TableQBCalcPts[PLAYER],0)),"")</f>
        <v/>
      </c>
      <c r="D69" t="str">
        <f>IFERROR(INDEX(TableQBCalcPts[BYE],MATCH(TableQBRanks30[[#This Row],[Player]],TableQBCalcPts[PLAYER],0)),"")</f>
        <v/>
      </c>
      <c r="E69" s="83" t="str">
        <f>IFERROR((VLOOKUP(TableQBRanks30[[#This Row],[Player]],QB!B:O,4,FALSE)),"")</f>
        <v/>
      </c>
      <c r="F69" s="83" t="str">
        <f>IFERROR((VLOOKUP(TableQBRanks30[[#This Row],[Player]],QB!B:O,5,FALSE)),"")</f>
        <v/>
      </c>
      <c r="G69" s="83" t="str">
        <f>IFERROR((VLOOKUP(TableQBRanks30[[#This Row],[Player]],QB!B:O,6,FALSE)),"")</f>
        <v/>
      </c>
      <c r="H69" s="83" t="str">
        <f>IFERROR((VLOOKUP(TableQBRanks30[[#This Row],[Player]],QB!B:O,7,FALSE)),"")</f>
        <v/>
      </c>
      <c r="I69" s="83" t="str">
        <f>IFERROR((VLOOKUP(TableQBRanks30[[#This Row],[Player]],QB!B:O,8,FALSE)),"")</f>
        <v/>
      </c>
      <c r="J69" s="83" t="str">
        <f>IFERROR((VLOOKUP(TableQBRanks30[[#This Row],[Player]],QB!B:O,9,FALSE)),"")</f>
        <v/>
      </c>
      <c r="K69" s="83" t="str">
        <f>IFERROR((VLOOKUP(TableQBRanks30[[#This Row],[Player]],QB!B:O,10,FALSE)),"")</f>
        <v/>
      </c>
      <c r="L69" s="83" t="str">
        <f>IFERROR((VLOOKUP(TableQBRanks30[[#This Row],[Player]],QB!B:O,11,FALSE)),"")</f>
        <v/>
      </c>
      <c r="M69" s="57" t="str">
        <f>IFERROR(INDEX(TableQBCalcPts[Custom],MATCH(TableQBRanks30[[#This Row],[RK]],TableQBCalcPts[RK],0)),"")</f>
        <v/>
      </c>
      <c r="N69" s="125" t="str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/>
      </c>
      <c r="P69">
        <v>68</v>
      </c>
      <c r="Q69" t="str">
        <f>IFERROR(INDEX(TableRBCalcPts[PLAYER],MATCH(TableRBRanks31[[#This Row],[RK]],TableRBCalcPts[RK],0)),"")</f>
        <v>Eric Gray</v>
      </c>
      <c r="R69" t="str">
        <f>IFERROR(INDEX(TableRBCalcPts[TM],MATCH(TableRBRanks31[[#This Row],[Player]],TableRBCalcPts[PLAYER],0)),"")</f>
        <v>NYG</v>
      </c>
      <c r="S69">
        <f>IFERROR(INDEX(TableRBCalcPts[BYE],MATCH(TableRBRanks31[[#This Row],[Player]],TableRBCalcPts[PLAYER],0)),"")</f>
        <v>11</v>
      </c>
      <c r="T69" s="83">
        <f>IFERROR((VLOOKUP(TableRBRanks31[[#This Row],[Player]],RB!B:O,4,FALSE)),"")</f>
        <v>64.027727679999998</v>
      </c>
      <c r="U69" s="83">
        <f>IFERROR((VLOOKUP(TableRBRanks31[[#This Row],[Player]],RB!B:O,5,FALSE)),"")</f>
        <v>267.63590170239996</v>
      </c>
      <c r="V69" s="83">
        <f>IFERROR((VLOOKUP(TableRBRanks31[[#This Row],[Player]],RB!B:O,6,FALSE)),"")</f>
        <v>2.1129150134399999</v>
      </c>
      <c r="W69" s="83">
        <f>IFERROR((VLOOKUP(TableRBRanks31[[#This Row],[Player]],RB!B:O,7,FALSE)),"")</f>
        <v>16.477829759999995</v>
      </c>
      <c r="X69" s="83">
        <f>IFERROR((VLOOKUP(TableRBRanks31[[#This Row],[Player]],RB!B:O,8,FALSE)),"")</f>
        <v>11.864037427199996</v>
      </c>
      <c r="Y69" s="83">
        <f>IFERROR((VLOOKUP(TableRBRanks31[[#This Row],[Player]],RB!B:O,9,FALSE)),"")</f>
        <v>83.443313080964188</v>
      </c>
      <c r="Z69" s="83">
        <f>IFERROR((VLOOKUP(TableRBRanks31[[#This Row],[Player]],RB!B:O,10,FALSE)),"")</f>
        <v>0.39362498111725314</v>
      </c>
      <c r="AA69" s="57">
        <f>IFERROR((IFERROR(INDEX(TableRBCalcPts[Custom],MATCH(TableRBRanks31[[#This Row],[RK]],TableRBCalcPts[RK],0)),"")),"")</f>
        <v>56.079180159279936</v>
      </c>
      <c r="AB69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69">
        <v>68</v>
      </c>
      <c r="AE69" t="str">
        <f>IFERROR(INDEX(TableWRCalcPts[PLAYER],MATCH(TableWRRanks32[[#This Row],[RK]],TableWRCalcPts[RK],0)),"")</f>
        <v>Jerry Jeudy</v>
      </c>
      <c r="AF69" t="str">
        <f>IFERROR(INDEX(TableWRCalcPts[TM],MATCH(TableWRRanks32[[#This Row],[Player]],TableWRCalcPts[PLAYER],0)),"")</f>
        <v>CLE</v>
      </c>
      <c r="AG69">
        <f>IFERROR(INDEX(TableWRCalcPts[BYE],MATCH(TableWRRanks32[[#This Row],[Player]],TableWRCalcPts[PLAYER],0)),"")</f>
        <v>10</v>
      </c>
      <c r="AH69" s="83">
        <f>IFERROR((VLOOKUP(TableWRRanks32[[#This Row],[Player]],WR!B:O,4,FALSE)),"")</f>
        <v>0</v>
      </c>
      <c r="AI69" s="83">
        <f>IFERROR((VLOOKUP(TableWRRanks32[[#This Row],[Player]],WR!B:O,5,FALSE)),"")</f>
        <v>0</v>
      </c>
      <c r="AJ69" s="83">
        <f>IFERROR((VLOOKUP(TableWRRanks32[[#This Row],[Player]],WR!B:O,6,FALSE)),"")</f>
        <v>86.024399999999986</v>
      </c>
      <c r="AK69" s="83">
        <f>IFERROR((VLOOKUP(TableWRRanks32[[#This Row],[Player]],WR!B:O,7,FALSE)),"")</f>
        <v>54.023323199999993</v>
      </c>
      <c r="AL69" s="83">
        <f>IFERROR((VLOOKUP(TableWRRanks32[[#This Row],[Player]],WR!B:O,8,FALSE)),"")</f>
        <v>700.142268672</v>
      </c>
      <c r="AM69" s="83">
        <f>IFERROR((VLOOKUP(TableWRRanks32[[#This Row],[Player]],WR!B:O,9,FALSE)),"")</f>
        <v>3.7384237329299896</v>
      </c>
      <c r="AN69" s="57">
        <f>IFERROR((IFERROR(INDEX(TableWRCalcPts[Custom],MATCH(TableWRRanks32[[#This Row],[RK]],TableWRCalcPts[RK],0)),"")),"")</f>
        <v>119.45643086477995</v>
      </c>
      <c r="AO69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69">
        <v>68</v>
      </c>
      <c r="AR69" t="str">
        <f>IFERROR(INDEX(TableTECalcPts[PLAYER],MATCH(TableTERanks33[[#This Row],[RK]],TableTECalcPts[RK],0)),"")</f>
        <v>Ian Thomas</v>
      </c>
      <c r="AS69" t="str">
        <f>IFERROR(INDEX(TableTECalcPts[TM],MATCH(TableTERanks33[[#This Row],[Player]],TableTECalcPts[PLAYER],0)),"")</f>
        <v>CAR</v>
      </c>
      <c r="AT69">
        <f>IFERROR(INDEX(TableTECalcPts[BYE],MATCH(TableTERanks33[[#This Row],[Player]],TableTECalcPts[PLAYER],0)),"")</f>
        <v>11</v>
      </c>
      <c r="AU69" s="83">
        <f>IFERROR((VLOOKUP(TableTERanks33[[#This Row],[Player]],TE!B:O,4,FALSE)),"")</f>
        <v>9.8458933999999996</v>
      </c>
      <c r="AV69" s="83">
        <f>IFERROR((VLOOKUP(TableTERanks33[[#This Row],[Player]],TE!B:O,5,FALSE)),"")</f>
        <v>5.9370737201999999</v>
      </c>
      <c r="AW69" s="83">
        <f>IFERROR((VLOOKUP(TableTERanks33[[#This Row],[Player]],TE!B:O,6,FALSE)),"")</f>
        <v>59.744008272387262</v>
      </c>
      <c r="AX69" s="83">
        <f>IFERROR((VLOOKUP(TableTERanks33[[#This Row],[Player]],TE!B:O,7,FALSE)),"")</f>
        <v>0.34435027577159999</v>
      </c>
      <c r="AY69" s="57">
        <f>IFERROR((IFERROR(INDEX(TableTECalcPts[Custom],MATCH(TableTERanks33[[#This Row],[RK]],TableTECalcPts[RK],0)),"")),"")</f>
        <v>11.009039341968327</v>
      </c>
      <c r="AZ69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70" spans="1:52" x14ac:dyDescent="0.2">
      <c r="A70">
        <v>69</v>
      </c>
      <c r="B70" t="str">
        <f>IFERROR(INDEX(TableQBCalcPts[PLAYER],MATCH(TableQBRanks30[[#This Row],[RK]],TableQBCalcPts[RK],0)),"")</f>
        <v/>
      </c>
      <c r="C70" t="str">
        <f>IFERROR(INDEX(TableQBCalcPts[TM],MATCH(TableQBRanks30[[#This Row],[Player]],TableQBCalcPts[PLAYER],0)),"")</f>
        <v/>
      </c>
      <c r="D70" t="str">
        <f>IFERROR(INDEX(TableQBCalcPts[BYE],MATCH(TableQBRanks30[[#This Row],[Player]],TableQBCalcPts[PLAYER],0)),"")</f>
        <v/>
      </c>
      <c r="E70" s="83" t="str">
        <f>IFERROR((VLOOKUP(TableQBRanks30[[#This Row],[Player]],QB!B:O,4,FALSE)),"")</f>
        <v/>
      </c>
      <c r="F70" s="83" t="str">
        <f>IFERROR((VLOOKUP(TableQBRanks30[[#This Row],[Player]],QB!B:O,5,FALSE)),"")</f>
        <v/>
      </c>
      <c r="G70" s="83" t="str">
        <f>IFERROR((VLOOKUP(TableQBRanks30[[#This Row],[Player]],QB!B:O,6,FALSE)),"")</f>
        <v/>
      </c>
      <c r="H70" s="83" t="str">
        <f>IFERROR((VLOOKUP(TableQBRanks30[[#This Row],[Player]],QB!B:O,7,FALSE)),"")</f>
        <v/>
      </c>
      <c r="I70" s="83" t="str">
        <f>IFERROR((VLOOKUP(TableQBRanks30[[#This Row],[Player]],QB!B:O,8,FALSE)),"")</f>
        <v/>
      </c>
      <c r="J70" s="83" t="str">
        <f>IFERROR((VLOOKUP(TableQBRanks30[[#This Row],[Player]],QB!B:O,9,FALSE)),"")</f>
        <v/>
      </c>
      <c r="K70" s="83" t="str">
        <f>IFERROR((VLOOKUP(TableQBRanks30[[#This Row],[Player]],QB!B:O,10,FALSE)),"")</f>
        <v/>
      </c>
      <c r="L70" s="83" t="str">
        <f>IFERROR((VLOOKUP(TableQBRanks30[[#This Row],[Player]],QB!B:O,11,FALSE)),"")</f>
        <v/>
      </c>
      <c r="M70" s="57" t="str">
        <f>IFERROR(INDEX(TableQBCalcPts[Custom],MATCH(TableQBRanks30[[#This Row],[RK]],TableQBCalcPts[RK],0)),"")</f>
        <v/>
      </c>
      <c r="N70" s="125" t="str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/>
      </c>
      <c r="P70">
        <v>69</v>
      </c>
      <c r="Q70" t="str">
        <f>IFERROR(INDEX(TableRBCalcPts[PLAYER],MATCH(TableRBRanks31[[#This Row],[RK]],TableRBCalcPts[RK],0)),"")</f>
        <v>Cam Akers</v>
      </c>
      <c r="R70" t="str">
        <f>IFERROR(INDEX(TableRBCalcPts[TM],MATCH(TableRBRanks31[[#This Row],[Player]],TableRBCalcPts[PLAYER],0)),"")</f>
        <v>HOU</v>
      </c>
      <c r="S70">
        <f>IFERROR(INDEX(TableRBCalcPts[BYE],MATCH(TableRBRanks31[[#This Row],[Player]],TableRBCalcPts[PLAYER],0)),"")</f>
        <v>14</v>
      </c>
      <c r="T70" s="83">
        <f>IFERROR((VLOOKUP(TableRBRanks31[[#This Row],[Player]],RB!B:O,4,FALSE)),"")</f>
        <v>50.150755200000006</v>
      </c>
      <c r="U70" s="83">
        <f>IFERROR((VLOOKUP(TableRBRanks31[[#This Row],[Player]],RB!B:O,5,FALSE)),"")</f>
        <v>206.62111142400002</v>
      </c>
      <c r="V70" s="83">
        <f>IFERROR((VLOOKUP(TableRBRanks31[[#This Row],[Player]],RB!B:O,6,FALSE)),"")</f>
        <v>1.4543719008000002</v>
      </c>
      <c r="W70" s="83">
        <f>IFERROR((VLOOKUP(TableRBRanks31[[#This Row],[Player]],RB!B:O,7,FALSE)),"")</f>
        <v>23.767743999999997</v>
      </c>
      <c r="X70" s="83">
        <f>IFERROR((VLOOKUP(TableRBRanks31[[#This Row],[Player]],RB!B:O,8,FALSE)),"")</f>
        <v>18.420001599999999</v>
      </c>
      <c r="Y70" s="83">
        <f>IFERROR((VLOOKUP(TableRBRanks31[[#This Row],[Player]],RB!B:O,9,FALSE)),"")</f>
        <v>133.54501159999998</v>
      </c>
      <c r="Z70" s="83">
        <f>IFERROR((VLOOKUP(TableRBRanks31[[#This Row],[Player]],RB!B:O,10,FALSE)),"")</f>
        <v>0.64470005600000002</v>
      </c>
      <c r="AA70" s="57">
        <f>IFERROR((IFERROR(INDEX(TableRBCalcPts[Custom],MATCH(TableRBRanks31[[#This Row],[RK]],TableRBCalcPts[RK],0)),"")),"")</f>
        <v>55.821044843199999</v>
      </c>
      <c r="AB70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70">
        <v>69</v>
      </c>
      <c r="AE70" t="str">
        <f>IFERROR(INDEX(TableWRCalcPts[PLAYER],MATCH(TableWRRanks32[[#This Row],[RK]],TableWRCalcPts[RK],0)),"")</f>
        <v>Josh Downs</v>
      </c>
      <c r="AF70" t="str">
        <f>IFERROR(INDEX(TableWRCalcPts[TM],MATCH(TableWRRanks32[[#This Row],[Player]],TableWRCalcPts[PLAYER],0)),"")</f>
        <v>IND</v>
      </c>
      <c r="AG70">
        <f>IFERROR(INDEX(TableWRCalcPts[BYE],MATCH(TableWRRanks32[[#This Row],[Player]],TableWRCalcPts[PLAYER],0)),"")</f>
        <v>14</v>
      </c>
      <c r="AH70" s="83">
        <f>IFERROR((VLOOKUP(TableWRRanks32[[#This Row],[Player]],WR!B:O,4,FALSE)),"")</f>
        <v>0</v>
      </c>
      <c r="AI70" s="83">
        <f>IFERROR((VLOOKUP(TableWRRanks32[[#This Row],[Player]],WR!B:O,5,FALSE)),"")</f>
        <v>0</v>
      </c>
      <c r="AJ70" s="83">
        <f>IFERROR((VLOOKUP(TableWRRanks32[[#This Row],[Player]],WR!B:O,6,FALSE)),"")</f>
        <v>90.153571200000016</v>
      </c>
      <c r="AK70" s="83">
        <f>IFERROR((VLOOKUP(TableWRRanks32[[#This Row],[Player]],WR!B:O,7,FALSE)),"")</f>
        <v>57.247517712000004</v>
      </c>
      <c r="AL70" s="83">
        <f>IFERROR((VLOOKUP(TableWRRanks32[[#This Row],[Player]],WR!B:O,8,FALSE)),"")</f>
        <v>665.63086757443432</v>
      </c>
      <c r="AM70" s="83">
        <f>IFERROR((VLOOKUP(TableWRRanks32[[#This Row],[Player]],WR!B:O,9,FALSE)),"")</f>
        <v>3.8355836867040005</v>
      </c>
      <c r="AN70" s="57">
        <f>IFERROR((IFERROR(INDEX(TableWRCalcPts[Custom],MATCH(TableWRRanks32[[#This Row],[RK]],TableWRCalcPts[RK],0)),"")),"")</f>
        <v>118.20034773366744</v>
      </c>
      <c r="AO70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70">
        <v>69</v>
      </c>
      <c r="AR70" t="str">
        <f>IFERROR(INDEX(TableTECalcPts[PLAYER],MATCH(TableTERanks33[[#This Row],[RK]],TableTECalcPts[RK],0)),"")</f>
        <v>Julian Hill</v>
      </c>
      <c r="AS70" t="str">
        <f>IFERROR(INDEX(TableTECalcPts[TM],MATCH(TableTERanks33[[#This Row],[Player]],TableTECalcPts[PLAYER],0)),"")</f>
        <v>MIA</v>
      </c>
      <c r="AT70">
        <f>IFERROR(INDEX(TableTECalcPts[BYE],MATCH(TableTERanks33[[#This Row],[Player]],TableTECalcPts[PLAYER],0)),"")</f>
        <v>6</v>
      </c>
      <c r="AU70" s="83">
        <f>IFERROR((VLOOKUP(TableTERanks33[[#This Row],[Player]],TE!B:O,4,FALSE)),"")</f>
        <v>8.7949511999999963</v>
      </c>
      <c r="AV70" s="83">
        <f>IFERROR((VLOOKUP(TableTERanks33[[#This Row],[Player]],TE!B:O,5,FALSE)),"")</f>
        <v>6.209235547199996</v>
      </c>
      <c r="AW70" s="83">
        <f>IFERROR((VLOOKUP(TableTERanks33[[#This Row],[Player]],TE!B:O,6,FALSE)),"")</f>
        <v>54.906433383179603</v>
      </c>
      <c r="AX70" s="83">
        <f>IFERROR((VLOOKUP(TableTERanks33[[#This Row],[Player]],TE!B:O,7,FALSE)),"")</f>
        <v>0.37764677441980432</v>
      </c>
      <c r="AY70" s="57">
        <f>IFERROR((IFERROR(INDEX(TableTECalcPts[Custom],MATCH(TableTERanks33[[#This Row],[RK]],TableTECalcPts[RK],0)),"")),"")</f>
        <v>10.861141758436784</v>
      </c>
      <c r="AZ70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71" spans="1:52" x14ac:dyDescent="0.2">
      <c r="A71">
        <v>70</v>
      </c>
      <c r="B71" t="str">
        <f>IFERROR(INDEX(TableQBCalcPts[PLAYER],MATCH(TableQBRanks30[[#This Row],[RK]],TableQBCalcPts[RK],0)),"")</f>
        <v/>
      </c>
      <c r="C71" t="str">
        <f>IFERROR(INDEX(TableQBCalcPts[TM],MATCH(TableQBRanks30[[#This Row],[Player]],TableQBCalcPts[PLAYER],0)),"")</f>
        <v/>
      </c>
      <c r="D71" t="str">
        <f>IFERROR(INDEX(TableQBCalcPts[BYE],MATCH(TableQBRanks30[[#This Row],[Player]],TableQBCalcPts[PLAYER],0)),"")</f>
        <v/>
      </c>
      <c r="E71" s="83" t="str">
        <f>IFERROR((VLOOKUP(TableQBRanks30[[#This Row],[Player]],QB!B:O,4,FALSE)),"")</f>
        <v/>
      </c>
      <c r="F71" s="83" t="str">
        <f>IFERROR((VLOOKUP(TableQBRanks30[[#This Row],[Player]],QB!B:O,5,FALSE)),"")</f>
        <v/>
      </c>
      <c r="G71" s="83" t="str">
        <f>IFERROR((VLOOKUP(TableQBRanks30[[#This Row],[Player]],QB!B:O,6,FALSE)),"")</f>
        <v/>
      </c>
      <c r="H71" s="83" t="str">
        <f>IFERROR((VLOOKUP(TableQBRanks30[[#This Row],[Player]],QB!B:O,7,FALSE)),"")</f>
        <v/>
      </c>
      <c r="I71" s="83" t="str">
        <f>IFERROR((VLOOKUP(TableQBRanks30[[#This Row],[Player]],QB!B:O,8,FALSE)),"")</f>
        <v/>
      </c>
      <c r="J71" s="83" t="str">
        <f>IFERROR((VLOOKUP(TableQBRanks30[[#This Row],[Player]],QB!B:O,9,FALSE)),"")</f>
        <v/>
      </c>
      <c r="K71" s="83" t="str">
        <f>IFERROR((VLOOKUP(TableQBRanks30[[#This Row],[Player]],QB!B:O,10,FALSE)),"")</f>
        <v/>
      </c>
      <c r="L71" s="83" t="str">
        <f>IFERROR((VLOOKUP(TableQBRanks30[[#This Row],[Player]],QB!B:O,11,FALSE)),"")</f>
        <v/>
      </c>
      <c r="M71" s="57" t="str">
        <f>IFERROR(INDEX(TableQBCalcPts[Custom],MATCH(TableQBRanks30[[#This Row],[RK]],TableQBCalcPts[RK],0)),"")</f>
        <v/>
      </c>
      <c r="N71" s="125" t="str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/>
      </c>
      <c r="P71">
        <v>70</v>
      </c>
      <c r="Q71" t="str">
        <f>IFERROR(INDEX(TableRBCalcPts[PLAYER],MATCH(TableRBRanks31[[#This Row],[RK]],TableRBCalcPts[RK],0)),"")</f>
        <v>Dylan Laube</v>
      </c>
      <c r="R71" t="str">
        <f>IFERROR(INDEX(TableRBCalcPts[TM],MATCH(TableRBRanks31[[#This Row],[Player]],TableRBCalcPts[PLAYER],0)),"")</f>
        <v>LV</v>
      </c>
      <c r="S71">
        <f>IFERROR(INDEX(TableRBCalcPts[BYE],MATCH(TableRBRanks31[[#This Row],[Player]],TableRBCalcPts[PLAYER],0)),"")</f>
        <v>10</v>
      </c>
      <c r="T71" s="83">
        <f>IFERROR((VLOOKUP(TableRBRanks31[[#This Row],[Player]],RB!B:O,4,FALSE)),"")</f>
        <v>46.407900000000005</v>
      </c>
      <c r="U71" s="83">
        <f>IFERROR((VLOOKUP(TableRBRanks31[[#This Row],[Player]],RB!B:O,5,FALSE)),"")</f>
        <v>198.69206506604641</v>
      </c>
      <c r="V71" s="83">
        <f>IFERROR((VLOOKUP(TableRBRanks31[[#This Row],[Player]],RB!B:O,6,FALSE)),"")</f>
        <v>1.4850528000000003</v>
      </c>
      <c r="W71" s="83">
        <f>IFERROR((VLOOKUP(TableRBRanks31[[#This Row],[Player]],RB!B:O,7,FALSE)),"")</f>
        <v>23.304399999999998</v>
      </c>
      <c r="X71" s="83">
        <f>IFERROR((VLOOKUP(TableRBRanks31[[#This Row],[Player]],RB!B:O,8,FALSE)),"")</f>
        <v>17.105429599999994</v>
      </c>
      <c r="Y71" s="83">
        <f>IFERROR((VLOOKUP(TableRBRanks31[[#This Row],[Player]],RB!B:O,9,FALSE)),"")</f>
        <v>132.31325108910247</v>
      </c>
      <c r="Z71" s="83">
        <f>IFERROR((VLOOKUP(TableRBRanks31[[#This Row],[Player]],RB!B:O,10,FALSE)),"")</f>
        <v>0.48073023317946967</v>
      </c>
      <c r="AA71" s="57">
        <f>IFERROR((IFERROR(INDEX(TableRBCalcPts[Custom],MATCH(TableRBRanks31[[#This Row],[RK]],TableRBCalcPts[RK],0)),"")),"")</f>
        <v>53.447944614591705</v>
      </c>
      <c r="AB71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71">
        <v>70</v>
      </c>
      <c r="AE71" t="str">
        <f>IFERROR(INDEX(TableWRCalcPts[PLAYER],MATCH(TableWRRanks32[[#This Row],[RK]],TableWRCalcPts[RK],0)),"")</f>
        <v>Dontayvion Wicks</v>
      </c>
      <c r="AF71" t="str">
        <f>IFERROR(INDEX(TableWRCalcPts[TM],MATCH(TableWRRanks32[[#This Row],[Player]],TableWRCalcPts[PLAYER],0)),"")</f>
        <v>GB</v>
      </c>
      <c r="AG71">
        <f>IFERROR(INDEX(TableWRCalcPts[BYE],MATCH(TableWRRanks32[[#This Row],[Player]],TableWRCalcPts[PLAYER],0)),"")</f>
        <v>10</v>
      </c>
      <c r="AH71" s="83">
        <f>IFERROR((VLOOKUP(TableWRRanks32[[#This Row],[Player]],WR!B:O,4,FALSE)),"")</f>
        <v>0</v>
      </c>
      <c r="AI71" s="83">
        <f>IFERROR((VLOOKUP(TableWRRanks32[[#This Row],[Player]],WR!B:O,5,FALSE)),"")</f>
        <v>0</v>
      </c>
      <c r="AJ71" s="83">
        <f>IFERROR((VLOOKUP(TableWRRanks32[[#This Row],[Player]],WR!B:O,6,FALSE)),"")</f>
        <v>77.547635200000016</v>
      </c>
      <c r="AK71" s="83">
        <f>IFERROR((VLOOKUP(TableWRRanks32[[#This Row],[Player]],WR!B:O,7,FALSE)),"")</f>
        <v>49.320295987200012</v>
      </c>
      <c r="AL71" s="83">
        <f>IFERROR((VLOOKUP(TableWRRanks32[[#This Row],[Player]],WR!B:O,8,FALSE)),"")</f>
        <v>632.28619455590422</v>
      </c>
      <c r="AM71" s="83">
        <f>IFERROR((VLOOKUP(TableWRRanks32[[#This Row],[Player]],WR!B:O,9,FALSE)),"")</f>
        <v>4.8229422719613764</v>
      </c>
      <c r="AN71" s="57">
        <f>IFERROR((IFERROR(INDEX(TableWRCalcPts[Custom],MATCH(TableWRRanks32[[#This Row],[RK]],TableWRCalcPts[RK],0)),"")),"")</f>
        <v>116.82642108095868</v>
      </c>
      <c r="AO71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71">
        <v>70</v>
      </c>
      <c r="AR71" t="str">
        <f>IFERROR(INDEX(TableTECalcPts[PLAYER],MATCH(TableTERanks33[[#This Row],[RK]],TableTECalcPts[RK],0)),"")</f>
        <v>Durham Smythe</v>
      </c>
      <c r="AS71" t="str">
        <f>IFERROR(INDEX(TableTECalcPts[TM],MATCH(TableTERanks33[[#This Row],[Player]],TableTECalcPts[PLAYER],0)),"")</f>
        <v>MIA</v>
      </c>
      <c r="AT71">
        <f>IFERROR(INDEX(TableTECalcPts[BYE],MATCH(TableTERanks33[[#This Row],[Player]],TableTECalcPts[PLAYER],0)),"")</f>
        <v>6</v>
      </c>
      <c r="AU71" s="83">
        <f>IFERROR((VLOOKUP(TableTERanks33[[#This Row],[Player]],TE!B:O,4,FALSE)),"")</f>
        <v>7.6222910399999968</v>
      </c>
      <c r="AV71" s="83">
        <f>IFERROR((VLOOKUP(TableTERanks33[[#This Row],[Player]],TE!B:O,5,FALSE)),"")</f>
        <v>5.564272459199997</v>
      </c>
      <c r="AW71" s="83">
        <f>IFERROR((VLOOKUP(TableTERanks33[[#This Row],[Player]],TE!B:O,6,FALSE)),"")</f>
        <v>52.716665398698375</v>
      </c>
      <c r="AX71" s="83">
        <f>IFERROR((VLOOKUP(TableTERanks33[[#This Row],[Player]],TE!B:O,7,FALSE)),"")</f>
        <v>0.27821362295999985</v>
      </c>
      <c r="AY71" s="57">
        <f>IFERROR((IFERROR(INDEX(TableTECalcPts[Custom],MATCH(TableTERanks33[[#This Row],[RK]],TableTECalcPts[RK],0)),"")),"")</f>
        <v>9.7230845072298351</v>
      </c>
      <c r="AZ71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72" spans="1:52" x14ac:dyDescent="0.2">
      <c r="A72">
        <v>71</v>
      </c>
      <c r="B72" t="str">
        <f>IFERROR(INDEX(TableQBCalcPts[PLAYER],MATCH(TableQBRanks30[[#This Row],[RK]],TableQBCalcPts[RK],0)),"")</f>
        <v/>
      </c>
      <c r="C72" t="str">
        <f>IFERROR(INDEX(TableQBCalcPts[TM],MATCH(TableQBRanks30[[#This Row],[Player]],TableQBCalcPts[PLAYER],0)),"")</f>
        <v/>
      </c>
      <c r="D72" t="str">
        <f>IFERROR(INDEX(TableQBCalcPts[BYE],MATCH(TableQBRanks30[[#This Row],[Player]],TableQBCalcPts[PLAYER],0)),"")</f>
        <v/>
      </c>
      <c r="E72" s="83" t="str">
        <f>IFERROR((VLOOKUP(TableQBRanks30[[#This Row],[Player]],QB!B:O,4,FALSE)),"")</f>
        <v/>
      </c>
      <c r="F72" s="83" t="str">
        <f>IFERROR((VLOOKUP(TableQBRanks30[[#This Row],[Player]],QB!B:O,5,FALSE)),"")</f>
        <v/>
      </c>
      <c r="G72" s="83" t="str">
        <f>IFERROR((VLOOKUP(TableQBRanks30[[#This Row],[Player]],QB!B:O,6,FALSE)),"")</f>
        <v/>
      </c>
      <c r="H72" s="83" t="str">
        <f>IFERROR((VLOOKUP(TableQBRanks30[[#This Row],[Player]],QB!B:O,7,FALSE)),"")</f>
        <v/>
      </c>
      <c r="I72" s="83" t="str">
        <f>IFERROR((VLOOKUP(TableQBRanks30[[#This Row],[Player]],QB!B:O,8,FALSE)),"")</f>
        <v/>
      </c>
      <c r="J72" s="83" t="str">
        <f>IFERROR((VLOOKUP(TableQBRanks30[[#This Row],[Player]],QB!B:O,9,FALSE)),"")</f>
        <v/>
      </c>
      <c r="K72" s="83" t="str">
        <f>IFERROR((VLOOKUP(TableQBRanks30[[#This Row],[Player]],QB!B:O,10,FALSE)),"")</f>
        <v/>
      </c>
      <c r="L72" s="83" t="str">
        <f>IFERROR((VLOOKUP(TableQBRanks30[[#This Row],[Player]],QB!B:O,11,FALSE)),"")</f>
        <v/>
      </c>
      <c r="M72" s="57" t="str">
        <f>IFERROR(INDEX(TableQBCalcPts[Custom],MATCH(TableQBRanks30[[#This Row],[RK]],TableQBCalcPts[RK],0)),"")</f>
        <v/>
      </c>
      <c r="N72" s="125" t="str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/>
      </c>
      <c r="P72">
        <v>71</v>
      </c>
      <c r="Q72" t="str">
        <f>IFERROR(INDEX(TableRBCalcPts[PLAYER],MATCH(TableRBRanks31[[#This Row],[RK]],TableRBCalcPts[RK],0)),"")</f>
        <v>Kendre Miller</v>
      </c>
      <c r="R72" t="str">
        <f>IFERROR(INDEX(TableRBCalcPts[TM],MATCH(TableRBRanks31[[#This Row],[Player]],TableRBCalcPts[PLAYER],0)),"")</f>
        <v>NO</v>
      </c>
      <c r="S72">
        <f>IFERROR(INDEX(TableRBCalcPts[BYE],MATCH(TableRBRanks31[[#This Row],[Player]],TableRBCalcPts[PLAYER],0)),"")</f>
        <v>12</v>
      </c>
      <c r="T72" s="83">
        <f>IFERROR((VLOOKUP(TableRBRanks31[[#This Row],[Player]],RB!B:O,4,FALSE)),"")</f>
        <v>36.941593920000003</v>
      </c>
      <c r="U72" s="83">
        <f>IFERROR((VLOOKUP(TableRBRanks31[[#This Row],[Player]],RB!B:O,5,FALSE)),"")</f>
        <v>149.24403943680002</v>
      </c>
      <c r="V72" s="83">
        <f>IFERROR((VLOOKUP(TableRBRanks31[[#This Row],[Player]],RB!B:O,6,FALSE)),"")</f>
        <v>1.0713062236800002</v>
      </c>
      <c r="W72" s="83">
        <f>IFERROR((VLOOKUP(TableRBRanks31[[#This Row],[Player]],RB!B:O,7,FALSE)),"")</f>
        <v>27.816647319999998</v>
      </c>
      <c r="X72" s="83">
        <f>IFERROR((VLOOKUP(TableRBRanks31[[#This Row],[Player]],RB!B:O,8,FALSE)),"")</f>
        <v>21.001568726599999</v>
      </c>
      <c r="Y72" s="83">
        <f>IFERROR((VLOOKUP(TableRBRanks31[[#This Row],[Player]],RB!B:O,9,FALSE)),"")</f>
        <v>142.81066734087997</v>
      </c>
      <c r="Z72" s="83">
        <f>IFERROR((VLOOKUP(TableRBRanks31[[#This Row],[Player]],RB!B:O,10,FALSE)),"")</f>
        <v>0.71405333670439997</v>
      </c>
      <c r="AA72" s="57">
        <f>IFERROR((IFERROR(INDEX(TableRBCalcPts[Custom],MATCH(TableRBRanks31[[#This Row],[RK]],TableRBCalcPts[RK],0)),"")),"")</f>
        <v>50.418412403374404</v>
      </c>
      <c r="AB72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72">
        <v>71</v>
      </c>
      <c r="AE72" t="str">
        <f>IFERROR(INDEX(TableWRCalcPts[PLAYER],MATCH(TableWRRanks32[[#This Row],[RK]],TableWRCalcPts[RK],0)),"")</f>
        <v>Josh Reynolds</v>
      </c>
      <c r="AF72" t="str">
        <f>IFERROR(INDEX(TableWRCalcPts[TM],MATCH(TableWRRanks32[[#This Row],[Player]],TableWRCalcPts[PLAYER],0)),"")</f>
        <v>DEN</v>
      </c>
      <c r="AG72">
        <f>IFERROR(INDEX(TableWRCalcPts[BYE],MATCH(TableWRRanks32[[#This Row],[Player]],TableWRCalcPts[PLAYER],0)),"")</f>
        <v>14</v>
      </c>
      <c r="AH72" s="83">
        <f>IFERROR((VLOOKUP(TableWRRanks32[[#This Row],[Player]],WR!B:O,4,FALSE)),"")</f>
        <v>0</v>
      </c>
      <c r="AI72" s="83">
        <f>IFERROR((VLOOKUP(TableWRRanks32[[#This Row],[Player]],WR!B:O,5,FALSE)),"")</f>
        <v>0</v>
      </c>
      <c r="AJ72" s="83">
        <f>IFERROR((VLOOKUP(TableWRRanks32[[#This Row],[Player]],WR!B:O,6,FALSE)),"")</f>
        <v>91.223605326633148</v>
      </c>
      <c r="AK72" s="83">
        <f>IFERROR((VLOOKUP(TableWRRanks32[[#This Row],[Player]],WR!B:O,7,FALSE)),"")</f>
        <v>54.095597958693453</v>
      </c>
      <c r="AL72" s="83">
        <f>IFERROR((VLOOKUP(TableWRRanks32[[#This Row],[Player]],WR!B:O,8,FALSE)),"")</f>
        <v>651.31099942266917</v>
      </c>
      <c r="AM72" s="83">
        <f>IFERROR((VLOOKUP(TableWRRanks32[[#This Row],[Player]],WR!B:O,9,FALSE)),"")</f>
        <v>3.9489786509846216</v>
      </c>
      <c r="AN72" s="57">
        <f>IFERROR((IFERROR(INDEX(TableWRCalcPts[Custom],MATCH(TableWRRanks32[[#This Row],[RK]],TableWRCalcPts[RK],0)),"")),"")</f>
        <v>115.87277082752136</v>
      </c>
      <c r="AO72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72">
        <v>71</v>
      </c>
      <c r="AR72" t="str">
        <f>IFERROR(INDEX(TableTECalcPts[PLAYER],MATCH(TableTERanks33[[#This Row],[RK]],TableTECalcPts[RK],0)),"")</f>
        <v>Chris Manhertz</v>
      </c>
      <c r="AS72" t="str">
        <f>IFERROR(INDEX(TableTECalcPts[TM],MATCH(TableTERanks33[[#This Row],[Player]],TableTECalcPts[PLAYER],0)),"")</f>
        <v>NYG</v>
      </c>
      <c r="AT72">
        <f>IFERROR(INDEX(TableTECalcPts[BYE],MATCH(TableTERanks33[[#This Row],[Player]],TableTECalcPts[PLAYER],0)),"")</f>
        <v>11</v>
      </c>
      <c r="AU72" s="83">
        <f>IFERROR((VLOOKUP(TableTERanks33[[#This Row],[Player]],TE!B:O,4,FALSE)),"")</f>
        <v>7.6504209599999982</v>
      </c>
      <c r="AV72" s="83">
        <f>IFERROR((VLOOKUP(TableTERanks33[[#This Row],[Player]],TE!B:O,5,FALSE)),"")</f>
        <v>4.9727736239999984</v>
      </c>
      <c r="AW72" s="83">
        <f>IFERROR((VLOOKUP(TableTERanks33[[#This Row],[Player]],TE!B:O,6,FALSE)),"")</f>
        <v>44.652935908304407</v>
      </c>
      <c r="AX72" s="83">
        <f>IFERROR((VLOOKUP(TableTERanks33[[#This Row],[Player]],TE!B:O,7,FALSE)),"")</f>
        <v>0.24991401504619476</v>
      </c>
      <c r="AY72" s="57">
        <f>IFERROR((IFERROR(INDEX(TableTECalcPts[Custom],MATCH(TableTERanks33[[#This Row],[RK]],TableTECalcPts[RK],0)),"")),"")</f>
        <v>8.4511644931076084</v>
      </c>
      <c r="AZ72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73" spans="1:52" x14ac:dyDescent="0.2">
      <c r="A73">
        <v>72</v>
      </c>
      <c r="B73" t="str">
        <f>IFERROR(INDEX(TableQBCalcPts[PLAYER],MATCH(TableQBRanks30[[#This Row],[RK]],TableQBCalcPts[RK],0)),"")</f>
        <v/>
      </c>
      <c r="C73" t="str">
        <f>IFERROR(INDEX(TableQBCalcPts[TM],MATCH(TableQBRanks30[[#This Row],[Player]],TableQBCalcPts[PLAYER],0)),"")</f>
        <v/>
      </c>
      <c r="D73" t="str">
        <f>IFERROR(INDEX(TableQBCalcPts[BYE],MATCH(TableQBRanks30[[#This Row],[Player]],TableQBCalcPts[PLAYER],0)),"")</f>
        <v/>
      </c>
      <c r="E73" s="83" t="str">
        <f>IFERROR((VLOOKUP(TableQBRanks30[[#This Row],[Player]],QB!B:O,4,FALSE)),"")</f>
        <v/>
      </c>
      <c r="F73" s="83" t="str">
        <f>IFERROR((VLOOKUP(TableQBRanks30[[#This Row],[Player]],QB!B:O,5,FALSE)),"")</f>
        <v/>
      </c>
      <c r="G73" s="83" t="str">
        <f>IFERROR((VLOOKUP(TableQBRanks30[[#This Row],[Player]],QB!B:O,6,FALSE)),"")</f>
        <v/>
      </c>
      <c r="H73" s="83" t="str">
        <f>IFERROR((VLOOKUP(TableQBRanks30[[#This Row],[Player]],QB!B:O,7,FALSE)),"")</f>
        <v/>
      </c>
      <c r="I73" s="83" t="str">
        <f>IFERROR((VLOOKUP(TableQBRanks30[[#This Row],[Player]],QB!B:O,8,FALSE)),"")</f>
        <v/>
      </c>
      <c r="J73" s="83" t="str">
        <f>IFERROR((VLOOKUP(TableQBRanks30[[#This Row],[Player]],QB!B:O,9,FALSE)),"")</f>
        <v/>
      </c>
      <c r="K73" s="83" t="str">
        <f>IFERROR((VLOOKUP(TableQBRanks30[[#This Row],[Player]],QB!B:O,10,FALSE)),"")</f>
        <v/>
      </c>
      <c r="L73" s="83" t="str">
        <f>IFERROR((VLOOKUP(TableQBRanks30[[#This Row],[Player]],QB!B:O,11,FALSE)),"")</f>
        <v/>
      </c>
      <c r="M73" s="57" t="str">
        <f>IFERROR(INDEX(TableQBCalcPts[Custom],MATCH(TableQBRanks30[[#This Row],[RK]],TableQBCalcPts[RK],0)),"")</f>
        <v/>
      </c>
      <c r="N73" s="125" t="str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/>
      </c>
      <c r="P73">
        <v>72</v>
      </c>
      <c r="Q73" t="str">
        <f>IFERROR(INDEX(TableRBCalcPts[PLAYER],MATCH(TableRBRanks31[[#This Row],[RK]],TableRBCalcPts[RK],0)),"")</f>
        <v>Sean Tucker</v>
      </c>
      <c r="R73" t="str">
        <f>IFERROR(INDEX(TableRBCalcPts[TM],MATCH(TableRBRanks31[[#This Row],[Player]],TableRBCalcPts[PLAYER],0)),"")</f>
        <v>TB</v>
      </c>
      <c r="S73">
        <f>IFERROR(INDEX(TableRBCalcPts[BYE],MATCH(TableRBRanks31[[#This Row],[Player]],TableRBCalcPts[PLAYER],0)),"")</f>
        <v>11</v>
      </c>
      <c r="T73" s="83">
        <f>IFERROR((VLOOKUP(TableRBRanks31[[#This Row],[Player]],RB!B:O,4,FALSE)),"")</f>
        <v>52.599445920000008</v>
      </c>
      <c r="U73" s="83">
        <f>IFERROR((VLOOKUP(TableRBRanks31[[#This Row],[Player]],RB!B:O,5,FALSE)),"")</f>
        <v>212.50176151680003</v>
      </c>
      <c r="V73" s="83">
        <f>IFERROR((VLOOKUP(TableRBRanks31[[#This Row],[Player]],RB!B:O,6,FALSE)),"")</f>
        <v>1.5779833776000001</v>
      </c>
      <c r="W73" s="83">
        <f>IFERROR((VLOOKUP(TableRBRanks31[[#This Row],[Player]],RB!B:O,7,FALSE)),"")</f>
        <v>13.640171159999998</v>
      </c>
      <c r="X73" s="83">
        <f>IFERROR((VLOOKUP(TableRBRanks31[[#This Row],[Player]],RB!B:O,8,FALSE)),"")</f>
        <v>9.8072830640399982</v>
      </c>
      <c r="Y73" s="83">
        <f>IFERROR((VLOOKUP(TableRBRanks31[[#This Row],[Player]],RB!B:O,9,FALSE)),"")</f>
        <v>67.440637143735884</v>
      </c>
      <c r="Z73" s="83">
        <f>IFERROR((VLOOKUP(TableRBRanks31[[#This Row],[Player]],RB!B:O,10,FALSE)),"")</f>
        <v>0.26479664272907993</v>
      </c>
      <c r="AA73" s="57">
        <f>IFERROR((IFERROR(INDEX(TableRBCalcPts[Custom],MATCH(TableRBRanks31[[#This Row],[RK]],TableRBCalcPts[RK],0)),"")),"")</f>
        <v>43.954561520048074</v>
      </c>
      <c r="AB73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73">
        <v>72</v>
      </c>
      <c r="AE73" t="str">
        <f>IFERROR(INDEX(TableWRCalcPts[PLAYER],MATCH(TableWRRanks32[[#This Row],[RK]],TableWRCalcPts[RK],0)),"")</f>
        <v>Greg Dortch</v>
      </c>
      <c r="AF73" t="str">
        <f>IFERROR(INDEX(TableWRCalcPts[TM],MATCH(TableWRRanks32[[#This Row],[Player]],TableWRCalcPts[PLAYER],0)),"")</f>
        <v>ARI</v>
      </c>
      <c r="AG73">
        <f>IFERROR(INDEX(TableWRCalcPts[BYE],MATCH(TableWRRanks32[[#This Row],[Player]],TableWRCalcPts[PLAYER],0)),"")</f>
        <v>11</v>
      </c>
      <c r="AH73" s="83">
        <f>IFERROR((VLOOKUP(TableWRRanks32[[#This Row],[Player]],WR!B:O,4,FALSE)),"")</f>
        <v>22.7912769</v>
      </c>
      <c r="AI73" s="83">
        <f>IFERROR((VLOOKUP(TableWRRanks32[[#This Row],[Player]],WR!B:O,5,FALSE)),"")</f>
        <v>1.8917865093866917E-2</v>
      </c>
      <c r="AJ73" s="83">
        <f>IFERROR((VLOOKUP(TableWRRanks32[[#This Row],[Player]],WR!B:O,6,FALSE)),"")</f>
        <v>89.043265500000004</v>
      </c>
      <c r="AK73" s="83">
        <f>IFERROR((VLOOKUP(TableWRRanks32[[#This Row],[Player]],WR!B:O,7,FALSE)),"")</f>
        <v>57.878122575000006</v>
      </c>
      <c r="AL73" s="83">
        <f>IFERROR((VLOOKUP(TableWRRanks32[[#This Row],[Player]],WR!B:O,8,FALSE)),"")</f>
        <v>613.56250624091058</v>
      </c>
      <c r="AM73" s="83">
        <f>IFERROR((VLOOKUP(TableWRRanks32[[#This Row],[Player]],WR!B:O,9,FALSE)),"")</f>
        <v>3.7041998448000006</v>
      </c>
      <c r="AN73" s="57">
        <f>IFERROR((IFERROR(INDEX(TableWRCalcPts[Custom],MATCH(TableWRRanks32[[#This Row],[RK]],TableWRCalcPts[RK],0)),"")),"")</f>
        <v>114.91314586095427</v>
      </c>
      <c r="AO73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73">
        <v>72</v>
      </c>
      <c r="AR73" t="str">
        <f>IFERROR(INDEX(TableTECalcPts[PLAYER],MATCH(TableTERanks33[[#This Row],[RK]],TableTECalcPts[RK],0)),"")</f>
        <v>Brevin Jordan</v>
      </c>
      <c r="AS73" t="str">
        <f>IFERROR(INDEX(TableTECalcPts[TM],MATCH(TableTERanks33[[#This Row],[Player]],TableTECalcPts[PLAYER],0)),"")</f>
        <v>HOU</v>
      </c>
      <c r="AT73">
        <f>IFERROR(INDEX(TableTECalcPts[BYE],MATCH(TableTERanks33[[#This Row],[Player]],TableTECalcPts[PLAYER],0)),"")</f>
        <v>14</v>
      </c>
      <c r="AU73" s="83">
        <f>IFERROR((VLOOKUP(TableTERanks33[[#This Row],[Player]],TE!B:O,4,FALSE)),"")</f>
        <v>5.9419359999999992</v>
      </c>
      <c r="AV73" s="83">
        <f>IFERROR((VLOOKUP(TableTERanks33[[#This Row],[Player]],TE!B:O,5,FALSE)),"")</f>
        <v>4.0642842239999988</v>
      </c>
      <c r="AW73" s="83">
        <f>IFERROR((VLOOKUP(TableTERanks33[[#This Row],[Player]],TE!B:O,6,FALSE)),"")</f>
        <v>44.138126672639984</v>
      </c>
      <c r="AX73" s="83">
        <f>IFERROR((VLOOKUP(TableTERanks33[[#This Row],[Player]],TE!B:O,7,FALSE)),"")</f>
        <v>0.3332713063679999</v>
      </c>
      <c r="AY73" s="57">
        <f>IFERROR((IFERROR(INDEX(TableTECalcPts[Custom],MATCH(TableTERanks33[[#This Row],[RK]],TableTECalcPts[RK],0)),"")),"")</f>
        <v>8.445582617471997</v>
      </c>
      <c r="AZ73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74" spans="1:52" x14ac:dyDescent="0.2">
      <c r="A74">
        <v>73</v>
      </c>
      <c r="B74" t="str">
        <f>IFERROR(INDEX(TableQBCalcPts[PLAYER],MATCH(TableQBRanks30[[#This Row],[RK]],TableQBCalcPts[RK],0)),"")</f>
        <v/>
      </c>
      <c r="C74" t="str">
        <f>IFERROR(INDEX(TableQBCalcPts[TM],MATCH(TableQBRanks30[[#This Row],[Player]],TableQBCalcPts[PLAYER],0)),"")</f>
        <v/>
      </c>
      <c r="D74" t="str">
        <f>IFERROR(INDEX(TableQBCalcPts[BYE],MATCH(TableQBRanks30[[#This Row],[Player]],TableQBCalcPts[PLAYER],0)),"")</f>
        <v/>
      </c>
      <c r="E74" s="83" t="str">
        <f>IFERROR((VLOOKUP(TableQBRanks30[[#This Row],[Player]],QB!B:O,4,FALSE)),"")</f>
        <v/>
      </c>
      <c r="F74" s="83" t="str">
        <f>IFERROR((VLOOKUP(TableQBRanks30[[#This Row],[Player]],QB!B:O,5,FALSE)),"")</f>
        <v/>
      </c>
      <c r="G74" s="83" t="str">
        <f>IFERROR((VLOOKUP(TableQBRanks30[[#This Row],[Player]],QB!B:O,6,FALSE)),"")</f>
        <v/>
      </c>
      <c r="H74" s="83" t="str">
        <f>IFERROR((VLOOKUP(TableQBRanks30[[#This Row],[Player]],QB!B:O,7,FALSE)),"")</f>
        <v/>
      </c>
      <c r="I74" s="83" t="str">
        <f>IFERROR((VLOOKUP(TableQBRanks30[[#This Row],[Player]],QB!B:O,8,FALSE)),"")</f>
        <v/>
      </c>
      <c r="J74" s="83" t="str">
        <f>IFERROR((VLOOKUP(TableQBRanks30[[#This Row],[Player]],QB!B:O,9,FALSE)),"")</f>
        <v/>
      </c>
      <c r="K74" s="83" t="str">
        <f>IFERROR((VLOOKUP(TableQBRanks30[[#This Row],[Player]],QB!B:O,10,FALSE)),"")</f>
        <v/>
      </c>
      <c r="L74" s="83" t="str">
        <f>IFERROR((VLOOKUP(TableQBRanks30[[#This Row],[Player]],QB!B:O,11,FALSE)),"")</f>
        <v/>
      </c>
      <c r="M74" s="57" t="str">
        <f>IFERROR(INDEX(TableQBCalcPts[Custom],MATCH(TableQBRanks30[[#This Row],[RK]],TableQBCalcPts[RK],0)),"")</f>
        <v/>
      </c>
      <c r="N74" s="125" t="str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/>
      </c>
      <c r="P74">
        <v>73</v>
      </c>
      <c r="Q74" t="str">
        <f>IFERROR(INDEX(TableRBCalcPts[PLAYER],MATCH(TableRBRanks31[[#This Row],[RK]],TableRBCalcPts[RK],0)),"")</f>
        <v>Dameon Pierce</v>
      </c>
      <c r="R74" t="str">
        <f>IFERROR(INDEX(TableRBCalcPts[TM],MATCH(TableRBRanks31[[#This Row],[Player]],TableRBCalcPts[PLAYER],0)),"")</f>
        <v>HOU</v>
      </c>
      <c r="S74">
        <f>IFERROR(INDEX(TableRBCalcPts[BYE],MATCH(TableRBRanks31[[#This Row],[Player]],TableRBCalcPts[PLAYER],0)),"")</f>
        <v>14</v>
      </c>
      <c r="T74" s="83">
        <f>IFERROR((VLOOKUP(TableRBRanks31[[#This Row],[Player]],RB!B:O,4,FALSE)),"")</f>
        <v>64.600972800000008</v>
      </c>
      <c r="U74" s="83">
        <f>IFERROR((VLOOKUP(TableRBRanks31[[#This Row],[Player]],RB!B:O,5,FALSE)),"")</f>
        <v>260.34192038400005</v>
      </c>
      <c r="V74" s="83">
        <f>IFERROR((VLOOKUP(TableRBRanks31[[#This Row],[Player]],RB!B:O,6,FALSE)),"")</f>
        <v>1.9380291840000001</v>
      </c>
      <c r="W74" s="83">
        <f>IFERROR((VLOOKUP(TableRBRanks31[[#This Row],[Player]],RB!B:O,7,FALSE)),"")</f>
        <v>5.9419359999999992</v>
      </c>
      <c r="X74" s="83">
        <f>IFERROR((VLOOKUP(TableRBRanks31[[#This Row],[Player]],RB!B:O,8,FALSE)),"")</f>
        <v>4.2306584319999994</v>
      </c>
      <c r="Y74" s="83">
        <f>IFERROR((VLOOKUP(TableRBRanks31[[#This Row],[Player]],RB!B:O,9,FALSE)),"")</f>
        <v>30.550307876084961</v>
      </c>
      <c r="Z74" s="83">
        <f>IFERROR((VLOOKUP(TableRBRanks31[[#This Row],[Player]],RB!B:O,10,FALSE)),"")</f>
        <v>0.10198107656411776</v>
      </c>
      <c r="AA74" s="57">
        <f>IFERROR((IFERROR(INDEX(TableRBCalcPts[Custom],MATCH(TableRBRanks31[[#This Row],[RK]],TableRBCalcPts[RK],0)),"")),"")</f>
        <v>43.444613605393208</v>
      </c>
      <c r="AB74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74">
        <v>73</v>
      </c>
      <c r="AE74" t="str">
        <f>IFERROR(INDEX(TableWRCalcPts[PLAYER],MATCH(TableWRRanks32[[#This Row],[RK]],TableWRCalcPts[RK],0)),"")</f>
        <v>Marvin Mims</v>
      </c>
      <c r="AF74" t="str">
        <f>IFERROR(INDEX(TableWRCalcPts[TM],MATCH(TableWRRanks32[[#This Row],[Player]],TableWRCalcPts[PLAYER],0)),"")</f>
        <v>DEN</v>
      </c>
      <c r="AG74">
        <f>IFERROR(INDEX(TableWRCalcPts[BYE],MATCH(TableWRRanks32[[#This Row],[Player]],TableWRCalcPts[PLAYER],0)),"")</f>
        <v>14</v>
      </c>
      <c r="AH74" s="83">
        <f>IFERROR((VLOOKUP(TableWRRanks32[[#This Row],[Player]],WR!B:O,4,FALSE)),"")</f>
        <v>0</v>
      </c>
      <c r="AI74" s="83">
        <f>IFERROR((VLOOKUP(TableWRRanks32[[#This Row],[Player]],WR!B:O,5,FALSE)),"")</f>
        <v>0</v>
      </c>
      <c r="AJ74" s="83">
        <f>IFERROR((VLOOKUP(TableWRRanks32[[#This Row],[Player]],WR!B:O,6,FALSE)),"")</f>
        <v>82.61760482412059</v>
      </c>
      <c r="AK74" s="83">
        <f>IFERROR((VLOOKUP(TableWRRanks32[[#This Row],[Player]],WR!B:O,7,FALSE)),"")</f>
        <v>49.074857265527626</v>
      </c>
      <c r="AL74" s="83">
        <f>IFERROR((VLOOKUP(TableWRRanks32[[#This Row],[Player]],WR!B:O,8,FALSE)),"")</f>
        <v>667.41805881117568</v>
      </c>
      <c r="AM74" s="83">
        <f>IFERROR((VLOOKUP(TableWRRanks32[[#This Row],[Player]],WR!B:O,9,FALSE)),"")</f>
        <v>3.7787640094456272</v>
      </c>
      <c r="AN74" s="57">
        <f>IFERROR((IFERROR(INDEX(TableWRCalcPts[Custom],MATCH(TableWRRanks32[[#This Row],[RK]],TableWRCalcPts[RK],0)),"")),"")</f>
        <v>113.95181857055516</v>
      </c>
      <c r="AO74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74">
        <v>73</v>
      </c>
      <c r="AR74" t="str">
        <f>IFERROR(INDEX(TableTECalcPts[PLAYER],MATCH(TableTERanks33[[#This Row],[RK]],TableTECalcPts[RK],0)),"")</f>
        <v>Tanner Hudson</v>
      </c>
      <c r="AS74" t="str">
        <f>IFERROR(INDEX(TableTECalcPts[TM],MATCH(TableTERanks33[[#This Row],[Player]],TableTECalcPts[PLAYER],0)),"")</f>
        <v>CIN</v>
      </c>
      <c r="AT74">
        <f>IFERROR(INDEX(TableTECalcPts[BYE],MATCH(TableTERanks33[[#This Row],[Player]],TableTECalcPts[PLAYER],0)),"")</f>
        <v>12</v>
      </c>
      <c r="AU74" s="83">
        <f>IFERROR((VLOOKUP(TableTERanks33[[#This Row],[Player]],TE!B:O,4,FALSE)),"")</f>
        <v>6.2356811999999993</v>
      </c>
      <c r="AV74" s="83">
        <f>IFERROR((VLOOKUP(TableTERanks33[[#This Row],[Player]],TE!B:O,5,FALSE)),"")</f>
        <v>4.5832256819999984</v>
      </c>
      <c r="AW74" s="83">
        <f>IFERROR((VLOOKUP(TableTERanks33[[#This Row],[Player]],TE!B:O,6,FALSE)),"")</f>
        <v>42.766274116007132</v>
      </c>
      <c r="AX74" s="83">
        <f>IFERROR((VLOOKUP(TableTERanks33[[#This Row],[Player]],TE!B:O,7,FALSE)),"")</f>
        <v>0.30539196773932936</v>
      </c>
      <c r="AY74" s="57">
        <f>IFERROR((IFERROR(INDEX(TableTECalcPts[Custom],MATCH(TableTERanks33[[#This Row],[RK]],TableTECalcPts[RK],0)),"")),"")</f>
        <v>8.400592059036688</v>
      </c>
      <c r="AZ74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75" spans="1:52" x14ac:dyDescent="0.2">
      <c r="A75">
        <v>74</v>
      </c>
      <c r="B75" t="str">
        <f>IFERROR(INDEX(TableQBCalcPts[PLAYER],MATCH(TableQBRanks30[[#This Row],[RK]],TableQBCalcPts[RK],0)),"")</f>
        <v/>
      </c>
      <c r="C75" t="str">
        <f>IFERROR(INDEX(TableQBCalcPts[TM],MATCH(TableQBRanks30[[#This Row],[Player]],TableQBCalcPts[PLAYER],0)),"")</f>
        <v/>
      </c>
      <c r="D75" t="str">
        <f>IFERROR(INDEX(TableQBCalcPts[BYE],MATCH(TableQBRanks30[[#This Row],[Player]],TableQBCalcPts[PLAYER],0)),"")</f>
        <v/>
      </c>
      <c r="E75" s="83" t="str">
        <f>IFERROR((VLOOKUP(TableQBRanks30[[#This Row],[Player]],QB!B:O,4,FALSE)),"")</f>
        <v/>
      </c>
      <c r="F75" s="83" t="str">
        <f>IFERROR((VLOOKUP(TableQBRanks30[[#This Row],[Player]],QB!B:O,5,FALSE)),"")</f>
        <v/>
      </c>
      <c r="G75" s="83" t="str">
        <f>IFERROR((VLOOKUP(TableQBRanks30[[#This Row],[Player]],QB!B:O,6,FALSE)),"")</f>
        <v/>
      </c>
      <c r="H75" s="83" t="str">
        <f>IFERROR((VLOOKUP(TableQBRanks30[[#This Row],[Player]],QB!B:O,7,FALSE)),"")</f>
        <v/>
      </c>
      <c r="I75" s="83" t="str">
        <f>IFERROR((VLOOKUP(TableQBRanks30[[#This Row],[Player]],QB!B:O,8,FALSE)),"")</f>
        <v/>
      </c>
      <c r="J75" s="83" t="str">
        <f>IFERROR((VLOOKUP(TableQBRanks30[[#This Row],[Player]],QB!B:O,9,FALSE)),"")</f>
        <v/>
      </c>
      <c r="K75" s="83" t="str">
        <f>IFERROR((VLOOKUP(TableQBRanks30[[#This Row],[Player]],QB!B:O,10,FALSE)),"")</f>
        <v/>
      </c>
      <c r="L75" s="83" t="str">
        <f>IFERROR((VLOOKUP(TableQBRanks30[[#This Row],[Player]],QB!B:O,11,FALSE)),"")</f>
        <v/>
      </c>
      <c r="M75" s="57" t="str">
        <f>IFERROR(INDEX(TableQBCalcPts[Custom],MATCH(TableQBRanks30[[#This Row],[RK]],TableQBCalcPts[RK],0)),"")</f>
        <v/>
      </c>
      <c r="N75" s="125" t="str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/>
      </c>
      <c r="P75">
        <v>74</v>
      </c>
      <c r="Q75" t="str">
        <f>IFERROR(INDEX(TableRBCalcPts[PLAYER],MATCH(TableRBRanks31[[#This Row],[RK]],TableRBCalcPts[RK],0)),"")</f>
        <v>Rasheen Ali</v>
      </c>
      <c r="R75" t="str">
        <f>IFERROR(INDEX(TableRBCalcPts[TM],MATCH(TableRBRanks31[[#This Row],[Player]],TableRBCalcPts[PLAYER],0)),"")</f>
        <v>BAL</v>
      </c>
      <c r="S75">
        <f>IFERROR(INDEX(TableRBCalcPts[BYE],MATCH(TableRBRanks31[[#This Row],[Player]],TableRBCalcPts[PLAYER],0)),"")</f>
        <v>14</v>
      </c>
      <c r="T75" s="83">
        <f>IFERROR((VLOOKUP(TableRBRanks31[[#This Row],[Player]],RB!B:O,4,FALSE)),"")</f>
        <v>50.412579839999992</v>
      </c>
      <c r="U75" s="83">
        <f>IFERROR((VLOOKUP(TableRBRanks31[[#This Row],[Player]],RB!B:O,5,FALSE)),"")</f>
        <v>229.37850225896884</v>
      </c>
      <c r="V75" s="83">
        <f>IFERROR((VLOOKUP(TableRBRanks31[[#This Row],[Player]],RB!B:O,6,FALSE)),"")</f>
        <v>2.2685660927999995</v>
      </c>
      <c r="W75" s="83">
        <f>IFERROR((VLOOKUP(TableRBRanks31[[#This Row],[Player]],RB!B:O,7,FALSE)),"")</f>
        <v>5.2934896</v>
      </c>
      <c r="X75" s="83">
        <f>IFERROR((VLOOKUP(TableRBRanks31[[#This Row],[Player]],RB!B:O,8,FALSE)),"")</f>
        <v>3.9701171999999998</v>
      </c>
      <c r="Y75" s="83">
        <f>IFERROR((VLOOKUP(TableRBRanks31[[#This Row],[Player]],RB!B:O,9,FALSE)),"")</f>
        <v>32.043357909012151</v>
      </c>
      <c r="Z75" s="83">
        <f>IFERROR((VLOOKUP(TableRBRanks31[[#This Row],[Player]],RB!B:O,10,FALSE)),"")</f>
        <v>0.15086445359999998</v>
      </c>
      <c r="AA75" s="57">
        <f>IFERROR((IFERROR(INDEX(TableRBCalcPts[Custom],MATCH(TableRBRanks31[[#This Row],[RK]],TableRBCalcPts[RK],0)),"")),"")</f>
        <v>42.6438278951981</v>
      </c>
      <c r="AB75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75">
        <v>74</v>
      </c>
      <c r="AE75" t="str">
        <f>IFERROR(INDEX(TableWRCalcPts[PLAYER],MATCH(TableWRRanks32[[#This Row],[RK]],TableWRCalcPts[RK],0)),"")</f>
        <v>Michael Wilson</v>
      </c>
      <c r="AF75" t="str">
        <f>IFERROR(INDEX(TableWRCalcPts[TM],MATCH(TableWRRanks32[[#This Row],[Player]],TableWRCalcPts[PLAYER],0)),"")</f>
        <v>ARI</v>
      </c>
      <c r="AG75">
        <f>IFERROR(INDEX(TableWRCalcPts[BYE],MATCH(TableWRRanks32[[#This Row],[Player]],TableWRCalcPts[PLAYER],0)),"")</f>
        <v>11</v>
      </c>
      <c r="AH75" s="83">
        <f>IFERROR((VLOOKUP(TableWRRanks32[[#This Row],[Player]],WR!B:O,4,FALSE)),"")</f>
        <v>0</v>
      </c>
      <c r="AI75" s="83">
        <f>IFERROR((VLOOKUP(TableWRRanks32[[#This Row],[Player]],WR!B:O,5,FALSE)),"")</f>
        <v>0</v>
      </c>
      <c r="AJ75" s="83">
        <f>IFERROR((VLOOKUP(TableWRRanks32[[#This Row],[Player]],WR!B:O,6,FALSE)),"")</f>
        <v>82.556670000000011</v>
      </c>
      <c r="AK75" s="83">
        <f>IFERROR((VLOOKUP(TableWRRanks32[[#This Row],[Player]],WR!B:O,7,FALSE)),"")</f>
        <v>49.781672010000008</v>
      </c>
      <c r="AL75" s="83">
        <f>IFERROR((VLOOKUP(TableWRRanks32[[#This Row],[Player]],WR!B:O,8,FALSE)),"")</f>
        <v>619.78181652450007</v>
      </c>
      <c r="AM75" s="83">
        <f>IFERROR((VLOOKUP(TableWRRanks32[[#This Row],[Player]],WR!B:O,9,FALSE)),"")</f>
        <v>3.7336254007500003</v>
      </c>
      <c r="AN75" s="57">
        <f>IFERROR((IFERROR(INDEX(TableWRCalcPts[Custom],MATCH(TableWRRanks32[[#This Row],[RK]],TableWRCalcPts[RK],0)),"")),"")</f>
        <v>109.27077006195002</v>
      </c>
      <c r="AO75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75">
        <v>74</v>
      </c>
      <c r="AR75" t="str">
        <f>IFERROR(INDEX(TableTECalcPts[PLAYER],MATCH(TableTERanks33[[#This Row],[RK]],TableTECalcPts[RK],0)),"")</f>
        <v>Foster Moreau</v>
      </c>
      <c r="AS75" t="str">
        <f>IFERROR(INDEX(TableTECalcPts[TM],MATCH(TableTERanks33[[#This Row],[Player]],TableTECalcPts[PLAYER],0)),"")</f>
        <v>NO</v>
      </c>
      <c r="AT75">
        <f>IFERROR(INDEX(TableTECalcPts[BYE],MATCH(TableTERanks33[[#This Row],[Player]],TableTECalcPts[PLAYER],0)),"")</f>
        <v>12</v>
      </c>
      <c r="AU75" s="83">
        <f>IFERROR((VLOOKUP(TableTERanks33[[#This Row],[Player]],TE!B:O,4,FALSE)),"")</f>
        <v>5.5633294639999988</v>
      </c>
      <c r="AV75" s="83">
        <f>IFERROR((VLOOKUP(TableTERanks33[[#This Row],[Player]],TE!B:O,5,FALSE)),"")</f>
        <v>3.9555272489039988</v>
      </c>
      <c r="AW75" s="83">
        <f>IFERROR((VLOOKUP(TableTERanks33[[#This Row],[Player]],TE!B:O,6,FALSE)),"")</f>
        <v>42.086809928338546</v>
      </c>
      <c r="AX75" s="83">
        <f>IFERROR((VLOOKUP(TableTERanks33[[#This Row],[Player]],TE!B:O,7,FALSE)),"")</f>
        <v>0.32967620805979231</v>
      </c>
      <c r="AY75" s="57">
        <f>IFERROR((IFERROR(INDEX(TableTECalcPts[Custom],MATCH(TableTERanks33[[#This Row],[RK]],TableTECalcPts[RK],0)),"")),"")</f>
        <v>8.164501865644608</v>
      </c>
      <c r="AZ75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76" spans="1:52" x14ac:dyDescent="0.2">
      <c r="A76">
        <v>75</v>
      </c>
      <c r="B76" t="str">
        <f>IFERROR(INDEX(TableQBCalcPts[PLAYER],MATCH(TableQBRanks30[[#This Row],[RK]],TableQBCalcPts[RK],0)),"")</f>
        <v/>
      </c>
      <c r="C76" t="str">
        <f>IFERROR(INDEX(TableQBCalcPts[TM],MATCH(TableQBRanks30[[#This Row],[Player]],TableQBCalcPts[PLAYER],0)),"")</f>
        <v/>
      </c>
      <c r="D76" t="str">
        <f>IFERROR(INDEX(TableQBCalcPts[BYE],MATCH(TableQBRanks30[[#This Row],[Player]],TableQBCalcPts[PLAYER],0)),"")</f>
        <v/>
      </c>
      <c r="E76" s="83" t="str">
        <f>IFERROR((VLOOKUP(TableQBRanks30[[#This Row],[Player]],QB!B:O,4,FALSE)),"")</f>
        <v/>
      </c>
      <c r="F76" s="83" t="str">
        <f>IFERROR((VLOOKUP(TableQBRanks30[[#This Row],[Player]],QB!B:O,5,FALSE)),"")</f>
        <v/>
      </c>
      <c r="G76" s="83" t="str">
        <f>IFERROR((VLOOKUP(TableQBRanks30[[#This Row],[Player]],QB!B:O,6,FALSE)),"")</f>
        <v/>
      </c>
      <c r="H76" s="83" t="str">
        <f>IFERROR((VLOOKUP(TableQBRanks30[[#This Row],[Player]],QB!B:O,7,FALSE)),"")</f>
        <v/>
      </c>
      <c r="I76" s="83" t="str">
        <f>IFERROR((VLOOKUP(TableQBRanks30[[#This Row],[Player]],QB!B:O,8,FALSE)),"")</f>
        <v/>
      </c>
      <c r="J76" s="83" t="str">
        <f>IFERROR((VLOOKUP(TableQBRanks30[[#This Row],[Player]],QB!B:O,9,FALSE)),"")</f>
        <v/>
      </c>
      <c r="K76" s="83" t="str">
        <f>IFERROR((VLOOKUP(TableQBRanks30[[#This Row],[Player]],QB!B:O,10,FALSE)),"")</f>
        <v/>
      </c>
      <c r="L76" s="83" t="str">
        <f>IFERROR((VLOOKUP(TableQBRanks30[[#This Row],[Player]],QB!B:O,11,FALSE)),"")</f>
        <v/>
      </c>
      <c r="M76" s="57" t="str">
        <f>IFERROR(INDEX(TableQBCalcPts[Custom],MATCH(TableQBRanks30[[#This Row],[RK]],TableQBCalcPts[RK],0)),"")</f>
        <v/>
      </c>
      <c r="N76" s="125" t="str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/>
      </c>
      <c r="P76">
        <v>75</v>
      </c>
      <c r="Q76" t="str">
        <f>IFERROR(INDEX(TableRBCalcPts[PLAYER],MATCH(TableRBRanks31[[#This Row],[RK]],TableRBCalcPts[RK],0)),"")</f>
        <v>Trey Sermon</v>
      </c>
      <c r="R76" t="str">
        <f>IFERROR(INDEX(TableRBCalcPts[TM],MATCH(TableRBRanks31[[#This Row],[Player]],TableRBCalcPts[PLAYER],0)),"")</f>
        <v>IND</v>
      </c>
      <c r="S76">
        <f>IFERROR(INDEX(TableRBCalcPts[BYE],MATCH(TableRBRanks31[[#This Row],[Player]],TableRBCalcPts[PLAYER],0)),"")</f>
        <v>14</v>
      </c>
      <c r="T76" s="83">
        <f>IFERROR((VLOOKUP(TableRBRanks31[[#This Row],[Player]],RB!B:O,4,FALSE)),"")</f>
        <v>41.435085999999998</v>
      </c>
      <c r="U76" s="83">
        <f>IFERROR((VLOOKUP(TableRBRanks31[[#This Row],[Player]],RB!B:O,5,FALSE)),"")</f>
        <v>179.16653108141364</v>
      </c>
      <c r="V76" s="83">
        <f>IFERROR((VLOOKUP(TableRBRanks31[[#This Row],[Player]],RB!B:O,6,FALSE)),"")</f>
        <v>1.2430525799999999</v>
      </c>
      <c r="W76" s="83">
        <f>IFERROR((VLOOKUP(TableRBRanks31[[#This Row],[Player]],RB!B:O,7,FALSE)),"")</f>
        <v>16.098852000000001</v>
      </c>
      <c r="X76" s="83">
        <f>IFERROR((VLOOKUP(TableRBRanks31[[#This Row],[Player]],RB!B:O,8,FALSE)),"")</f>
        <v>11.2691964</v>
      </c>
      <c r="Y76" s="83">
        <f>IFERROR((VLOOKUP(TableRBRanks31[[#This Row],[Player]],RB!B:O,9,FALSE)),"")</f>
        <v>82.265133719999994</v>
      </c>
      <c r="Z76" s="83">
        <f>IFERROR((VLOOKUP(TableRBRanks31[[#This Row],[Player]],RB!B:O,10,FALSE)),"")</f>
        <v>0.33807589199999999</v>
      </c>
      <c r="AA76" s="57">
        <f>IFERROR((IFERROR(INDEX(TableRBCalcPts[Custom],MATCH(TableRBRanks31[[#This Row],[RK]],TableRBCalcPts[RK],0)),"")),"")</f>
        <v>41.264535512141364</v>
      </c>
      <c r="AB76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76">
        <v>75</v>
      </c>
      <c r="AE76" t="str">
        <f>IFERROR(INDEX(TableWRCalcPts[PLAYER],MATCH(TableWRRanks32[[#This Row],[RK]],TableWRCalcPts[RK],0)),"")</f>
        <v>Jalen McMillan</v>
      </c>
      <c r="AF76" t="str">
        <f>IFERROR(INDEX(TableWRCalcPts[TM],MATCH(TableWRRanks32[[#This Row],[Player]],TableWRCalcPts[PLAYER],0)),"")</f>
        <v>TB</v>
      </c>
      <c r="AG76">
        <f>IFERROR(INDEX(TableWRCalcPts[BYE],MATCH(TableWRRanks32[[#This Row],[Player]],TableWRCalcPts[PLAYER],0)),"")</f>
        <v>11</v>
      </c>
      <c r="AH76" s="83">
        <f>IFERROR((VLOOKUP(TableWRRanks32[[#This Row],[Player]],WR!B:O,4,FALSE)),"")</f>
        <v>0</v>
      </c>
      <c r="AI76" s="83">
        <f>IFERROR((VLOOKUP(TableWRRanks32[[#This Row],[Player]],WR!B:O,5,FALSE)),"")</f>
        <v>0</v>
      </c>
      <c r="AJ76" s="83">
        <f>IFERROR((VLOOKUP(TableWRRanks32[[#This Row],[Player]],WR!B:O,6,FALSE)),"")</f>
        <v>81.841026959999994</v>
      </c>
      <c r="AK76" s="83">
        <f>IFERROR((VLOOKUP(TableWRRanks32[[#This Row],[Player]],WR!B:O,7,FALSE)),"")</f>
        <v>49.923026445599987</v>
      </c>
      <c r="AL76" s="83">
        <f>IFERROR((VLOOKUP(TableWRRanks32[[#This Row],[Player]],WR!B:O,8,FALSE)),"")</f>
        <v>617.5554387832201</v>
      </c>
      <c r="AM76" s="83">
        <f>IFERROR((VLOOKUP(TableWRRanks32[[#This Row],[Player]],WR!B:O,9,FALSE)),"")</f>
        <v>3.7331631957992308</v>
      </c>
      <c r="AN76" s="57">
        <f>IFERROR((IFERROR(INDEX(TableWRCalcPts[Custom],MATCH(TableWRRanks32[[#This Row],[RK]],TableWRCalcPts[RK],0)),"")),"")</f>
        <v>109.11603627591739</v>
      </c>
      <c r="AO76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76">
        <v>75</v>
      </c>
      <c r="AR76" t="str">
        <f>IFERROR(INDEX(TableTECalcPts[PLAYER],MATCH(TableTERanks33[[#This Row],[RK]],TableTECalcPts[RK],0)),"")</f>
        <v>Drew Ogletree</v>
      </c>
      <c r="AS76" t="str">
        <f>IFERROR(INDEX(TableTECalcPts[TM],MATCH(TableTERanks33[[#This Row],[Player]],TableTECalcPts[PLAYER],0)),"")</f>
        <v>IND</v>
      </c>
      <c r="AT76">
        <f>IFERROR(INDEX(TableTECalcPts[BYE],MATCH(TableTERanks33[[#This Row],[Player]],TableTECalcPts[PLAYER],0)),"")</f>
        <v>14</v>
      </c>
      <c r="AU76" s="83">
        <f>IFERROR((VLOOKUP(TableTERanks33[[#This Row],[Player]],TE!B:O,4,FALSE)),"")</f>
        <v>6.4395408000000005</v>
      </c>
      <c r="AV76" s="83">
        <f>IFERROR((VLOOKUP(TableTERanks33[[#This Row],[Player]],TE!B:O,5,FALSE)),"")</f>
        <v>3.8894826432</v>
      </c>
      <c r="AW76" s="83">
        <f>IFERROR((VLOOKUP(TableTERanks33[[#This Row],[Player]],TE!B:O,6,FALSE)),"")</f>
        <v>41.850833240832003</v>
      </c>
      <c r="AX76" s="83">
        <f>IFERROR((VLOOKUP(TableTERanks33[[#This Row],[Player]],TE!B:O,7,FALSE)),"")</f>
        <v>0.33060602467200001</v>
      </c>
      <c r="AY76" s="57">
        <f>IFERROR((IFERROR(INDEX(TableTECalcPts[Custom],MATCH(TableTERanks33[[#This Row],[RK]],TableTECalcPts[RK],0)),"")),"")</f>
        <v>8.1134607937152001</v>
      </c>
      <c r="AZ76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77" spans="1:52" x14ac:dyDescent="0.2">
      <c r="A77">
        <v>76</v>
      </c>
      <c r="B77" t="str">
        <f>IFERROR(INDEX(TableQBCalcPts[PLAYER],MATCH(TableQBRanks30[[#This Row],[RK]],TableQBCalcPts[RK],0)),"")</f>
        <v/>
      </c>
      <c r="C77" t="str">
        <f>IFERROR(INDEX(TableQBCalcPts[TM],MATCH(TableQBRanks30[[#This Row],[Player]],TableQBCalcPts[PLAYER],0)),"")</f>
        <v/>
      </c>
      <c r="D77" t="str">
        <f>IFERROR(INDEX(TableQBCalcPts[BYE],MATCH(TableQBRanks30[[#This Row],[Player]],TableQBCalcPts[PLAYER],0)),"")</f>
        <v/>
      </c>
      <c r="E77" s="83" t="str">
        <f>IFERROR((VLOOKUP(TableQBRanks30[[#This Row],[Player]],QB!B:O,4,FALSE)),"")</f>
        <v/>
      </c>
      <c r="F77" s="83" t="str">
        <f>IFERROR((VLOOKUP(TableQBRanks30[[#This Row],[Player]],QB!B:O,5,FALSE)),"")</f>
        <v/>
      </c>
      <c r="G77" s="83" t="str">
        <f>IFERROR((VLOOKUP(TableQBRanks30[[#This Row],[Player]],QB!B:O,6,FALSE)),"")</f>
        <v/>
      </c>
      <c r="H77" s="83" t="str">
        <f>IFERROR((VLOOKUP(TableQBRanks30[[#This Row],[Player]],QB!B:O,7,FALSE)),"")</f>
        <v/>
      </c>
      <c r="I77" s="83" t="str">
        <f>IFERROR((VLOOKUP(TableQBRanks30[[#This Row],[Player]],QB!B:O,8,FALSE)),"")</f>
        <v/>
      </c>
      <c r="J77" s="83" t="str">
        <f>IFERROR((VLOOKUP(TableQBRanks30[[#This Row],[Player]],QB!B:O,9,FALSE)),"")</f>
        <v/>
      </c>
      <c r="K77" s="83" t="str">
        <f>IFERROR((VLOOKUP(TableQBRanks30[[#This Row],[Player]],QB!B:O,10,FALSE)),"")</f>
        <v/>
      </c>
      <c r="L77" s="83" t="str">
        <f>IFERROR((VLOOKUP(TableQBRanks30[[#This Row],[Player]],QB!B:O,11,FALSE)),"")</f>
        <v/>
      </c>
      <c r="M77" s="57" t="str">
        <f>IFERROR(INDEX(TableQBCalcPts[Custom],MATCH(TableQBRanks30[[#This Row],[RK]],TableQBCalcPts[RK],0)),"")</f>
        <v/>
      </c>
      <c r="N77" s="125" t="str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/>
      </c>
      <c r="P77">
        <v>76</v>
      </c>
      <c r="Q77" t="str">
        <f>IFERROR(INDEX(TableRBCalcPts[PLAYER],MATCH(TableRBRanks31[[#This Row],[RK]],TableRBCalcPts[RK],0)),"")</f>
        <v>Keaton Mitchell</v>
      </c>
      <c r="R77" t="str">
        <f>IFERROR(INDEX(TableRBCalcPts[TM],MATCH(TableRBRanks31[[#This Row],[Player]],TableRBCalcPts[PLAYER],0)),"")</f>
        <v>BAL</v>
      </c>
      <c r="S77">
        <f>IFERROR(INDEX(TableRBCalcPts[BYE],MATCH(TableRBRanks31[[#This Row],[Player]],TableRBCalcPts[PLAYER],0)),"")</f>
        <v>14</v>
      </c>
      <c r="T77" s="83">
        <f>IFERROR((VLOOKUP(TableRBRanks31[[#This Row],[Player]],RB!B:O,4,FALSE)),"")</f>
        <v>31.507862399999997</v>
      </c>
      <c r="U77" s="83">
        <f>IFERROR((VLOOKUP(TableRBRanks31[[#This Row],[Player]],RB!B:O,5,FALSE)),"")</f>
        <v>158.71783172949858</v>
      </c>
      <c r="V77" s="83">
        <f>IFERROR((VLOOKUP(TableRBRanks31[[#This Row],[Player]],RB!B:O,6,FALSE)),"")</f>
        <v>1.3548380831999998</v>
      </c>
      <c r="W77" s="83">
        <f>IFERROR((VLOOKUP(TableRBRanks31[[#This Row],[Player]],RB!B:O,7,FALSE)),"")</f>
        <v>13.233724000000002</v>
      </c>
      <c r="X77" s="83">
        <f>IFERROR((VLOOKUP(TableRBRanks31[[#This Row],[Player]],RB!B:O,8,FALSE)),"")</f>
        <v>10.282603548000003</v>
      </c>
      <c r="Y77" s="83">
        <f>IFERROR((VLOOKUP(TableRBRanks31[[#This Row],[Player]],RB!B:O,9,FALSE)),"")</f>
        <v>85.253322478722666</v>
      </c>
      <c r="Z77" s="83">
        <f>IFERROR((VLOOKUP(TableRBRanks31[[#This Row],[Player]],RB!B:O,10,FALSE)),"")</f>
        <v>0.43656218640058941</v>
      </c>
      <c r="AA77" s="57">
        <f>IFERROR((IFERROR(INDEX(TableRBCalcPts[Custom],MATCH(TableRBRanks31[[#This Row],[RK]],TableRBCalcPts[RK],0)),"")),"")</f>
        <v>40.286818812425665</v>
      </c>
      <c r="AB77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77">
        <v>76</v>
      </c>
      <c r="AE77" t="str">
        <f>IFERROR(INDEX(TableWRCalcPts[PLAYER],MATCH(TableWRRanks32[[#This Row],[RK]],TableWRCalcPts[RK],0)),"")</f>
        <v>Rashod Bateman</v>
      </c>
      <c r="AF77" t="str">
        <f>IFERROR(INDEX(TableWRCalcPts[TM],MATCH(TableWRRanks32[[#This Row],[Player]],TableWRCalcPts[PLAYER],0)),"")</f>
        <v>BAL</v>
      </c>
      <c r="AG77">
        <f>IFERROR(INDEX(TableWRCalcPts[BYE],MATCH(TableWRRanks32[[#This Row],[Player]],TableWRCalcPts[PLAYER],0)),"")</f>
        <v>14</v>
      </c>
      <c r="AH77" s="83">
        <f>IFERROR((VLOOKUP(TableWRRanks32[[#This Row],[Player]],WR!B:O,4,FALSE)),"")</f>
        <v>0</v>
      </c>
      <c r="AI77" s="83">
        <f>IFERROR((VLOOKUP(TableWRRanks32[[#This Row],[Player]],WR!B:O,5,FALSE)),"")</f>
        <v>0</v>
      </c>
      <c r="AJ77" s="83">
        <f>IFERROR((VLOOKUP(TableWRRanks32[[#This Row],[Player]],WR!B:O,6,FALSE)),"")</f>
        <v>79.402343999999999</v>
      </c>
      <c r="AK77" s="83">
        <f>IFERROR((VLOOKUP(TableWRRanks32[[#This Row],[Player]],WR!B:O,7,FALSE)),"")</f>
        <v>47.244394679999992</v>
      </c>
      <c r="AL77" s="83">
        <f>IFERROR((VLOOKUP(TableWRRanks32[[#This Row],[Player]],WR!B:O,8,FALSE)),"")</f>
        <v>615.38894501593722</v>
      </c>
      <c r="AM77" s="83">
        <f>IFERROR((VLOOKUP(TableWRRanks32[[#This Row],[Player]],WR!B:O,9,FALSE)),"")</f>
        <v>3.2126188382399996</v>
      </c>
      <c r="AN77" s="57">
        <f>IFERROR((IFERROR(INDEX(TableWRCalcPts[Custom],MATCH(TableWRRanks32[[#This Row],[RK]],TableWRCalcPts[RK],0)),"")),"")</f>
        <v>104.43680487103371</v>
      </c>
      <c r="AO77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77">
        <v>76</v>
      </c>
      <c r="AR77" t="str">
        <f>IFERROR(INDEX(TableTECalcPts[PLAYER],MATCH(TableTERanks33[[#This Row],[RK]],TableTECalcPts[RK],0)),"")</f>
        <v>Quintin Morris</v>
      </c>
      <c r="AS77" t="str">
        <f>IFERROR(INDEX(TableTECalcPts[TM],MATCH(TableTERanks33[[#This Row],[Player]],TableTECalcPts[PLAYER],0)),"")</f>
        <v>BUF</v>
      </c>
      <c r="AT77">
        <f>IFERROR(INDEX(TableTECalcPts[BYE],MATCH(TableTERanks33[[#This Row],[Player]],TableTECalcPts[PLAYER],0)),"")</f>
        <v>12</v>
      </c>
      <c r="AU77" s="83">
        <f>IFERROR((VLOOKUP(TableTERanks33[[#This Row],[Player]],TE!B:O,4,FALSE)),"")</f>
        <v>6.0738047999999996</v>
      </c>
      <c r="AV77" s="83">
        <f>IFERROR((VLOOKUP(TableTERanks33[[#This Row],[Player]],TE!B:O,5,FALSE)),"")</f>
        <v>3.6442828799999996</v>
      </c>
      <c r="AW77" s="83">
        <f>IFERROR((VLOOKUP(TableTERanks33[[#This Row],[Player]],TE!B:O,6,FALSE)),"")</f>
        <v>37.558275018066539</v>
      </c>
      <c r="AX77" s="83">
        <f>IFERROR((VLOOKUP(TableTERanks33[[#This Row],[Player]],TE!B:O,7,FALSE)),"")</f>
        <v>0.34620687359999996</v>
      </c>
      <c r="AY77" s="57">
        <f>IFERROR((IFERROR(INDEX(TableTECalcPts[Custom],MATCH(TableTERanks33[[#This Row],[RK]],TableTECalcPts[RK],0)),"")),"")</f>
        <v>7.6552101834066537</v>
      </c>
      <c r="AZ77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78" spans="1:52" x14ac:dyDescent="0.2">
      <c r="A78">
        <v>77</v>
      </c>
      <c r="B78" t="str">
        <f>IFERROR(INDEX(TableQBCalcPts[PLAYER],MATCH(TableQBRanks30[[#This Row],[RK]],TableQBCalcPts[RK],0)),"")</f>
        <v/>
      </c>
      <c r="C78" t="str">
        <f>IFERROR(INDEX(TableQBCalcPts[TM],MATCH(TableQBRanks30[[#This Row],[Player]],TableQBCalcPts[PLAYER],0)),"")</f>
        <v/>
      </c>
      <c r="D78" t="str">
        <f>IFERROR(INDEX(TableQBCalcPts[BYE],MATCH(TableQBRanks30[[#This Row],[Player]],TableQBCalcPts[PLAYER],0)),"")</f>
        <v/>
      </c>
      <c r="E78" s="83" t="str">
        <f>IFERROR((VLOOKUP(TableQBRanks30[[#This Row],[Player]],QB!B:O,4,FALSE)),"")</f>
        <v/>
      </c>
      <c r="F78" s="83" t="str">
        <f>IFERROR((VLOOKUP(TableQBRanks30[[#This Row],[Player]],QB!B:O,5,FALSE)),"")</f>
        <v/>
      </c>
      <c r="G78" s="83" t="str">
        <f>IFERROR((VLOOKUP(TableQBRanks30[[#This Row],[Player]],QB!B:O,6,FALSE)),"")</f>
        <v/>
      </c>
      <c r="H78" s="83" t="str">
        <f>IFERROR((VLOOKUP(TableQBRanks30[[#This Row],[Player]],QB!B:O,7,FALSE)),"")</f>
        <v/>
      </c>
      <c r="I78" s="83" t="str">
        <f>IFERROR((VLOOKUP(TableQBRanks30[[#This Row],[Player]],QB!B:O,8,FALSE)),"")</f>
        <v/>
      </c>
      <c r="J78" s="83" t="str">
        <f>IFERROR((VLOOKUP(TableQBRanks30[[#This Row],[Player]],QB!B:O,9,FALSE)),"")</f>
        <v/>
      </c>
      <c r="K78" s="83" t="str">
        <f>IFERROR((VLOOKUP(TableQBRanks30[[#This Row],[Player]],QB!B:O,10,FALSE)),"")</f>
        <v/>
      </c>
      <c r="L78" s="83" t="str">
        <f>IFERROR((VLOOKUP(TableQBRanks30[[#This Row],[Player]],QB!B:O,11,FALSE)),"")</f>
        <v/>
      </c>
      <c r="M78" s="57" t="str">
        <f>IFERROR(INDEX(TableQBCalcPts[Custom],MATCH(TableQBRanks30[[#This Row],[RK]],TableQBCalcPts[RK],0)),"")</f>
        <v/>
      </c>
      <c r="N78" s="125" t="str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/>
      </c>
      <c r="P78">
        <v>77</v>
      </c>
      <c r="Q78" t="str">
        <f>IFERROR(INDEX(TableRBCalcPts[PLAYER],MATCH(TableRBRanks31[[#This Row],[RK]],TableRBCalcPts[RK],0)),"")</f>
        <v>Will Shipley</v>
      </c>
      <c r="R78" t="str">
        <f>IFERROR(INDEX(TableRBCalcPts[TM],MATCH(TableRBRanks31[[#This Row],[Player]],TableRBCalcPts[PLAYER],0)),"")</f>
        <v>PHI</v>
      </c>
      <c r="S78">
        <f>IFERROR(INDEX(TableRBCalcPts[BYE],MATCH(TableRBRanks31[[#This Row],[Player]],TableRBCalcPts[PLAYER],0)),"")</f>
        <v>5</v>
      </c>
      <c r="T78" s="83">
        <f>IFERROR((VLOOKUP(TableRBRanks31[[#This Row],[Player]],RB!B:O,4,FALSE)),"")</f>
        <v>33.803884799999999</v>
      </c>
      <c r="U78" s="83">
        <f>IFERROR((VLOOKUP(TableRBRanks31[[#This Row],[Player]],RB!B:O,5,FALSE)),"")</f>
        <v>144.26113156502868</v>
      </c>
      <c r="V78" s="83">
        <f>IFERROR((VLOOKUP(TableRBRanks31[[#This Row],[Player]],RB!B:O,6,FALSE)),"")</f>
        <v>1.3456661718998111</v>
      </c>
      <c r="W78" s="83">
        <f>IFERROR((VLOOKUP(TableRBRanks31[[#This Row],[Player]],RB!B:O,7,FALSE)),"")</f>
        <v>12.272641920000002</v>
      </c>
      <c r="X78" s="83">
        <f>IFERROR((VLOOKUP(TableRBRanks31[[#This Row],[Player]],RB!B:O,8,FALSE)),"")</f>
        <v>9.0817550208000029</v>
      </c>
      <c r="Y78" s="83">
        <f>IFERROR((VLOOKUP(TableRBRanks31[[#This Row],[Player]],RB!B:O,9,FALSE)),"")</f>
        <v>69.867615245038294</v>
      </c>
      <c r="Z78" s="83">
        <f>IFERROR((VLOOKUP(TableRBRanks31[[#This Row],[Player]],RB!B:O,10,FALSE)),"")</f>
        <v>0.34510669079040007</v>
      </c>
      <c r="AA78" s="57">
        <f>IFERROR((IFERROR(INDEX(TableRBCalcPts[Custom],MATCH(TableRBRanks31[[#This Row],[RK]],TableRBCalcPts[RK],0)),"")),"")</f>
        <v>36.098389367547966</v>
      </c>
      <c r="AB78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78">
        <v>77</v>
      </c>
      <c r="AE78" t="str">
        <f>IFERROR(INDEX(TableWRCalcPts[PLAYER],MATCH(TableWRRanks32[[#This Row],[RK]],TableWRCalcPts[RK],0)),"")</f>
        <v>Malachi Corley</v>
      </c>
      <c r="AF78" t="str">
        <f>IFERROR(INDEX(TableWRCalcPts[TM],MATCH(TableWRRanks32[[#This Row],[Player]],TableWRCalcPts[PLAYER],0)),"")</f>
        <v>NYJ</v>
      </c>
      <c r="AG78">
        <f>IFERROR(INDEX(TableWRCalcPts[BYE],MATCH(TableWRRanks32[[#This Row],[Player]],TableWRCalcPts[PLAYER],0)),"")</f>
        <v>12</v>
      </c>
      <c r="AH78" s="83">
        <f>IFERROR((VLOOKUP(TableWRRanks32[[#This Row],[Player]],WR!B:O,4,FALSE)),"")</f>
        <v>24.960496904000003</v>
      </c>
      <c r="AI78" s="83">
        <f>IFERROR((VLOOKUP(TableWRRanks32[[#This Row],[Player]],WR!B:O,5,FALSE)),"")</f>
        <v>3.0751864593784175E-2</v>
      </c>
      <c r="AJ78" s="83">
        <f>IFERROR((VLOOKUP(TableWRRanks32[[#This Row],[Player]],WR!B:O,6,FALSE)),"")</f>
        <v>72.286454239999969</v>
      </c>
      <c r="AK78" s="83">
        <f>IFERROR((VLOOKUP(TableWRRanks32[[#This Row],[Player]],WR!B:O,7,FALSE)),"")</f>
        <v>45.829611988159982</v>
      </c>
      <c r="AL78" s="83">
        <f>IFERROR((VLOOKUP(TableWRRanks32[[#This Row],[Player]],WR!B:O,8,FALSE)),"")</f>
        <v>548.61108023331667</v>
      </c>
      <c r="AM78" s="83">
        <f>IFERROR((VLOOKUP(TableWRRanks32[[#This Row],[Player]],WR!B:O,9,FALSE)),"")</f>
        <v>3.7674978441924276</v>
      </c>
      <c r="AN78" s="57">
        <f>IFERROR((IFERROR(INDEX(TableWRCalcPts[Custom],MATCH(TableWRRanks32[[#This Row],[RK]],TableWRCalcPts[RK],0)),"")),"")</f>
        <v>103.06146196052893</v>
      </c>
      <c r="AO78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78">
        <v>77</v>
      </c>
      <c r="AR78" t="str">
        <f>IFERROR(INDEX(TableTECalcPts[PLAYER],MATCH(TableTERanks33[[#This Row],[RK]],TableTECalcPts[RK],0)),"")</f>
        <v>AJ Barner</v>
      </c>
      <c r="AS78" t="str">
        <f>IFERROR(INDEX(TableTECalcPts[TM],MATCH(TableTERanks33[[#This Row],[Player]],TableTECalcPts[PLAYER],0)),"")</f>
        <v>SEA</v>
      </c>
      <c r="AT78">
        <f>IFERROR(INDEX(TableTECalcPts[BYE],MATCH(TableTERanks33[[#This Row],[Player]],TableTECalcPts[PLAYER],0)),"")</f>
        <v>10</v>
      </c>
      <c r="AU78" s="83">
        <f>IFERROR((VLOOKUP(TableTERanks33[[#This Row],[Player]],TE!B:O,4,FALSE)),"")</f>
        <v>5.8048241999999997</v>
      </c>
      <c r="AV78" s="83">
        <f>IFERROR((VLOOKUP(TableTERanks33[[#This Row],[Player]],TE!B:O,5,FALSE)),"")</f>
        <v>3.8950370381999995</v>
      </c>
      <c r="AW78" s="83">
        <f>IFERROR((VLOOKUP(TableTERanks33[[#This Row],[Player]],TE!B:O,6,FALSE)),"")</f>
        <v>38.793821749006035</v>
      </c>
      <c r="AX78" s="83">
        <f>IFERROR((VLOOKUP(TableTERanks33[[#This Row],[Player]],TE!B:O,7,FALSE)),"")</f>
        <v>0.28922159791899582</v>
      </c>
      <c r="AY78" s="57">
        <f>IFERROR((IFERROR(INDEX(TableTECalcPts[Custom],MATCH(TableTERanks33[[#This Row],[RK]],TableTECalcPts[RK],0)),"")),"")</f>
        <v>7.5622302815145783</v>
      </c>
      <c r="AZ78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79" spans="1:52" x14ac:dyDescent="0.2">
      <c r="A79">
        <v>78</v>
      </c>
      <c r="B79" t="str">
        <f>IFERROR(INDEX(TableQBCalcPts[PLAYER],MATCH(TableQBRanks30[[#This Row],[RK]],TableQBCalcPts[RK],0)),"")</f>
        <v/>
      </c>
      <c r="C79" t="str">
        <f>IFERROR(INDEX(TableQBCalcPts[TM],MATCH(TableQBRanks30[[#This Row],[Player]],TableQBCalcPts[PLAYER],0)),"")</f>
        <v/>
      </c>
      <c r="D79" t="str">
        <f>IFERROR(INDEX(TableQBCalcPts[BYE],MATCH(TableQBRanks30[[#This Row],[Player]],TableQBCalcPts[PLAYER],0)),"")</f>
        <v/>
      </c>
      <c r="E79" s="83" t="str">
        <f>IFERROR((VLOOKUP(TableQBRanks30[[#This Row],[Player]],QB!B:O,4,FALSE)),"")</f>
        <v/>
      </c>
      <c r="F79" s="83" t="str">
        <f>IFERROR((VLOOKUP(TableQBRanks30[[#This Row],[Player]],QB!B:O,5,FALSE)),"")</f>
        <v/>
      </c>
      <c r="G79" s="83" t="str">
        <f>IFERROR((VLOOKUP(TableQBRanks30[[#This Row],[Player]],QB!B:O,6,FALSE)),"")</f>
        <v/>
      </c>
      <c r="H79" s="83" t="str">
        <f>IFERROR((VLOOKUP(TableQBRanks30[[#This Row],[Player]],QB!B:O,7,FALSE)),"")</f>
        <v/>
      </c>
      <c r="I79" s="83" t="str">
        <f>IFERROR((VLOOKUP(TableQBRanks30[[#This Row],[Player]],QB!B:O,8,FALSE)),"")</f>
        <v/>
      </c>
      <c r="J79" s="83" t="str">
        <f>IFERROR((VLOOKUP(TableQBRanks30[[#This Row],[Player]],QB!B:O,9,FALSE)),"")</f>
        <v/>
      </c>
      <c r="K79" s="83" t="str">
        <f>IFERROR((VLOOKUP(TableQBRanks30[[#This Row],[Player]],QB!B:O,10,FALSE)),"")</f>
        <v/>
      </c>
      <c r="L79" s="83" t="str">
        <f>IFERROR((VLOOKUP(TableQBRanks30[[#This Row],[Player]],QB!B:O,11,FALSE)),"")</f>
        <v/>
      </c>
      <c r="M79" s="57" t="str">
        <f>IFERROR(INDEX(TableQBCalcPts[Custom],MATCH(TableQBRanks30[[#This Row],[RK]],TableQBCalcPts[RK],0)),"")</f>
        <v/>
      </c>
      <c r="N79" s="125" t="str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/>
      </c>
      <c r="P79">
        <v>78</v>
      </c>
      <c r="Q79" t="str">
        <f>IFERROR(INDEX(TableRBCalcPts[PLAYER],MATCH(TableRBRanks31[[#This Row],[RK]],TableRBCalcPts[RK],0)),"")</f>
        <v>Justice Hill</v>
      </c>
      <c r="R79" t="str">
        <f>IFERROR(INDEX(TableRBCalcPts[TM],MATCH(TableRBRanks31[[#This Row],[Player]],TableRBCalcPts[PLAYER],0)),"")</f>
        <v>BAL</v>
      </c>
      <c r="S79">
        <f>IFERROR(INDEX(TableRBCalcPts[BYE],MATCH(TableRBRanks31[[#This Row],[Player]],TableRBCalcPts[PLAYER],0)),"")</f>
        <v>14</v>
      </c>
      <c r="T79" s="83">
        <f>IFERROR((VLOOKUP(TableRBRanks31[[#This Row],[Player]],RB!B:O,4,FALSE)),"")</f>
        <v>26.256551999999999</v>
      </c>
      <c r="U79" s="83">
        <f>IFERROR((VLOOKUP(TableRBRanks31[[#This Row],[Player]],RB!B:O,5,FALSE)),"")</f>
        <v>120.1320346716457</v>
      </c>
      <c r="V79" s="83">
        <f>IFERROR((VLOOKUP(TableRBRanks31[[#This Row],[Player]],RB!B:O,6,FALSE)),"")</f>
        <v>1.076518632</v>
      </c>
      <c r="W79" s="83">
        <f>IFERROR((VLOOKUP(TableRBRanks31[[#This Row],[Player]],RB!B:O,7,FALSE)),"")</f>
        <v>10.5869792</v>
      </c>
      <c r="X79" s="83">
        <f>IFERROR((VLOOKUP(TableRBRanks31[[#This Row],[Player]],RB!B:O,8,FALSE)),"")</f>
        <v>8.1413870047999986</v>
      </c>
      <c r="Y79" s="83">
        <f>IFERROR((VLOOKUP(TableRBRanks31[[#This Row],[Player]],RB!B:O,9,FALSE)),"")</f>
        <v>61.793127366431989</v>
      </c>
      <c r="Z79" s="83">
        <f>IFERROR((VLOOKUP(TableRBRanks31[[#This Row],[Player]],RB!B:O,10,FALSE)),"")</f>
        <v>0.28464897499032138</v>
      </c>
      <c r="AA79" s="57">
        <f>IFERROR((IFERROR(INDEX(TableRBCalcPts[Custom],MATCH(TableRBRanks31[[#This Row],[RK]],TableRBCalcPts[RK],0)),"")),"")</f>
        <v>30.430215348149698</v>
      </c>
      <c r="AB79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79">
        <v>78</v>
      </c>
      <c r="AE79" t="str">
        <f>IFERROR(INDEX(TableWRCalcPts[PLAYER],MATCH(TableWRRanks32[[#This Row],[RK]],TableWRCalcPts[RK],0)),"")</f>
        <v>Elijah Moore</v>
      </c>
      <c r="AF79" t="str">
        <f>IFERROR(INDEX(TableWRCalcPts[TM],MATCH(TableWRRanks32[[#This Row],[Player]],TableWRCalcPts[PLAYER],0)),"")</f>
        <v>CLE</v>
      </c>
      <c r="AG79">
        <f>IFERROR(INDEX(TableWRCalcPts[BYE],MATCH(TableWRRanks32[[#This Row],[Player]],TableWRCalcPts[PLAYER],0)),"")</f>
        <v>10</v>
      </c>
      <c r="AH79" s="83">
        <f>IFERROR((VLOOKUP(TableWRRanks32[[#This Row],[Player]],WR!B:O,4,FALSE)),"")</f>
        <v>0</v>
      </c>
      <c r="AI79" s="83">
        <f>IFERROR((VLOOKUP(TableWRRanks32[[#This Row],[Player]],WR!B:O,5,FALSE)),"")</f>
        <v>0</v>
      </c>
      <c r="AJ79" s="83">
        <f>IFERROR((VLOOKUP(TableWRRanks32[[#This Row],[Player]],WR!B:O,6,FALSE)),"")</f>
        <v>87.099704999999986</v>
      </c>
      <c r="AK79" s="83">
        <f>IFERROR((VLOOKUP(TableWRRanks32[[#This Row],[Player]],WR!B:O,7,FALSE)),"")</f>
        <v>52.085623589999983</v>
      </c>
      <c r="AL79" s="83">
        <f>IFERROR((VLOOKUP(TableWRRanks32[[#This Row],[Player]],WR!B:O,8,FALSE)),"")</f>
        <v>571.3792907822999</v>
      </c>
      <c r="AM79" s="83">
        <f>IFERROR((VLOOKUP(TableWRRanks32[[#This Row],[Player]],WR!B:O,9,FALSE)),"")</f>
        <v>3.281394286169999</v>
      </c>
      <c r="AN79" s="57">
        <f>IFERROR((IFERROR(INDEX(TableWRCalcPts[Custom],MATCH(TableWRRanks32[[#This Row],[RK]],TableWRCalcPts[RK],0)),"")),"")</f>
        <v>102.86910659024997</v>
      </c>
      <c r="AO79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79">
        <v>78</v>
      </c>
      <c r="AR79" t="str">
        <f>IFERROR(INDEX(TableTECalcPts[PLAYER],MATCH(TableTERanks33[[#This Row],[RK]],TableTECalcPts[RK],0)),"")</f>
        <v>Charlie Kolar</v>
      </c>
      <c r="AS79" t="str">
        <f>IFERROR(INDEX(TableTECalcPts[TM],MATCH(TableTERanks33[[#This Row],[Player]],TableTECalcPts[PLAYER],0)),"")</f>
        <v>BAL</v>
      </c>
      <c r="AT79">
        <f>IFERROR(INDEX(TableTECalcPts[BYE],MATCH(TableTERanks33[[#This Row],[Player]],TableTECalcPts[PLAYER],0)),"")</f>
        <v>14</v>
      </c>
      <c r="AU79" s="83">
        <f>IFERROR((VLOOKUP(TableTERanks33[[#This Row],[Player]],TE!B:O,4,FALSE)),"")</f>
        <v>5.2934896</v>
      </c>
      <c r="AV79" s="83">
        <f>IFERROR((VLOOKUP(TableTERanks33[[#This Row],[Player]],TE!B:O,5,FALSE)),"")</f>
        <v>3.4725291776000007</v>
      </c>
      <c r="AW79" s="83">
        <f>IFERROR((VLOOKUP(TableTERanks33[[#This Row],[Player]],TE!B:O,6,FALSE)),"")</f>
        <v>39.430584905367567</v>
      </c>
      <c r="AX79" s="83">
        <f>IFERROR((VLOOKUP(TableTERanks33[[#This Row],[Player]],TE!B:O,7,FALSE)),"")</f>
        <v>0.31252762598400002</v>
      </c>
      <c r="AY79" s="57">
        <f>IFERROR((IFERROR(INDEX(TableTECalcPts[Custom],MATCH(TableTERanks33[[#This Row],[RK]],TableTECalcPts[RK],0)),"")),"")</f>
        <v>7.5544888352407575</v>
      </c>
      <c r="AZ79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80" spans="1:52" x14ac:dyDescent="0.2">
      <c r="A80">
        <v>79</v>
      </c>
      <c r="B80" t="str">
        <f>IFERROR(INDEX(TableQBCalcPts[PLAYER],MATCH(TableQBRanks30[[#This Row],[RK]],TableQBCalcPts[RK],0)),"")</f>
        <v/>
      </c>
      <c r="C80" t="str">
        <f>IFERROR(INDEX(TableQBCalcPts[TM],MATCH(TableQBRanks30[[#This Row],[Player]],TableQBCalcPts[PLAYER],0)),"")</f>
        <v/>
      </c>
      <c r="D80" t="str">
        <f>IFERROR(INDEX(TableQBCalcPts[BYE],MATCH(TableQBRanks30[[#This Row],[Player]],TableQBCalcPts[PLAYER],0)),"")</f>
        <v/>
      </c>
      <c r="E80" s="83" t="str">
        <f>IFERROR((VLOOKUP(TableQBRanks30[[#This Row],[Player]],QB!B:O,4,FALSE)),"")</f>
        <v/>
      </c>
      <c r="F80" s="83" t="str">
        <f>IFERROR((VLOOKUP(TableQBRanks30[[#This Row],[Player]],QB!B:O,5,FALSE)),"")</f>
        <v/>
      </c>
      <c r="G80" s="83" t="str">
        <f>IFERROR((VLOOKUP(TableQBRanks30[[#This Row],[Player]],QB!B:O,6,FALSE)),"")</f>
        <v/>
      </c>
      <c r="H80" s="83" t="str">
        <f>IFERROR((VLOOKUP(TableQBRanks30[[#This Row],[Player]],QB!B:O,7,FALSE)),"")</f>
        <v/>
      </c>
      <c r="I80" s="83" t="str">
        <f>IFERROR((VLOOKUP(TableQBRanks30[[#This Row],[Player]],QB!B:O,8,FALSE)),"")</f>
        <v/>
      </c>
      <c r="J80" s="83" t="str">
        <f>IFERROR((VLOOKUP(TableQBRanks30[[#This Row],[Player]],QB!B:O,9,FALSE)),"")</f>
        <v/>
      </c>
      <c r="K80" s="83" t="str">
        <f>IFERROR((VLOOKUP(TableQBRanks30[[#This Row],[Player]],QB!B:O,10,FALSE)),"")</f>
        <v/>
      </c>
      <c r="L80" s="83" t="str">
        <f>IFERROR((VLOOKUP(TableQBRanks30[[#This Row],[Player]],QB!B:O,11,FALSE)),"")</f>
        <v/>
      </c>
      <c r="M80" s="57" t="str">
        <f>IFERROR(INDEX(TableQBCalcPts[Custom],MATCH(TableQBRanks30[[#This Row],[RK]],TableQBCalcPts[RK],0)),"")</f>
        <v/>
      </c>
      <c r="N80" s="125" t="str">
        <f>IFERROR((IF(((VLOOKUP(TableQBRanks30[[#This Row],[Player]],'OVR &amp; VORP Ranks'!$B:$F,5,FALSE))/('OVR &amp; VORP Ranks'!$BM$6))*(Settings!$E$10*TEAMS)&lt;0,0,((VLOOKUP(TableQBRanks30[[#This Row],[Player]],'OVR &amp; VORP Ranks'!$B:$F,5,FALSE))/('OVR &amp; VORP Ranks'!$BM$6))*(Settings!$E$10*TEAMS))),"")</f>
        <v/>
      </c>
      <c r="P80">
        <v>79</v>
      </c>
      <c r="Q80" t="str">
        <f>IFERROR(INDEX(TableRBCalcPts[PLAYER],MATCH(TableRBRanks31[[#This Row],[RK]],TableRBCalcPts[RK],0)),"")</f>
        <v>Jaret Patterson</v>
      </c>
      <c r="R80" t="str">
        <f>IFERROR(INDEX(TableRBCalcPts[TM],MATCH(TableRBRanks31[[#This Row],[Player]],TableRBCalcPts[PLAYER],0)),"")</f>
        <v>LAC</v>
      </c>
      <c r="S80">
        <f>IFERROR(INDEX(TableRBCalcPts[BYE],MATCH(TableRBRanks31[[#This Row],[Player]],TableRBCalcPts[PLAYER],0)),"")</f>
        <v>5</v>
      </c>
      <c r="T80" s="83">
        <f>IFERROR((VLOOKUP(TableRBRanks31[[#This Row],[Player]],RB!B:O,4,FALSE)),"")</f>
        <v>38.513451199999992</v>
      </c>
      <c r="U80" s="83">
        <f>IFERROR((VLOOKUP(TableRBRanks31[[#This Row],[Player]],RB!B:O,5,FALSE)),"")</f>
        <v>154.43893931199995</v>
      </c>
      <c r="V80" s="83">
        <f>IFERROR((VLOOKUP(TableRBRanks31[[#This Row],[Player]],RB!B:O,6,FALSE)),"")</f>
        <v>1.1554035359999997</v>
      </c>
      <c r="W80" s="83">
        <f>IFERROR((VLOOKUP(TableRBRanks31[[#This Row],[Player]],RB!B:O,7,FALSE)),"")</f>
        <v>7.2587041800000023</v>
      </c>
      <c r="X80" s="83">
        <f>IFERROR((VLOOKUP(TableRBRanks31[[#This Row],[Player]],RB!B:O,8,FALSE)),"")</f>
        <v>5.2190083054200018</v>
      </c>
      <c r="Y80" s="83">
        <f>IFERROR((VLOOKUP(TableRBRanks31[[#This Row],[Player]],RB!B:O,9,FALSE)),"")</f>
        <v>36.637438304048409</v>
      </c>
      <c r="Z80" s="83">
        <f>IFERROR((VLOOKUP(TableRBRanks31[[#This Row],[Player]],RB!B:O,10,FALSE)),"")</f>
        <v>0.15657024916260004</v>
      </c>
      <c r="AA80" s="57">
        <f>IFERROR((IFERROR(INDEX(TableRBCalcPts[Custom],MATCH(TableRBRanks31[[#This Row],[RK]],TableRBCalcPts[RK],0)),"")),"")</f>
        <v>29.588984625290436</v>
      </c>
      <c r="AB80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80">
        <v>79</v>
      </c>
      <c r="AE80" t="str">
        <f>IFERROR(INDEX(TableWRCalcPts[PLAYER],MATCH(TableWRRanks32[[#This Row],[RK]],TableWRCalcPts[RK],0)),"")</f>
        <v>Roman Wilson</v>
      </c>
      <c r="AF80" t="str">
        <f>IFERROR(INDEX(TableWRCalcPts[TM],MATCH(TableWRRanks32[[#This Row],[Player]],TableWRCalcPts[PLAYER],0)),"")</f>
        <v>PIT</v>
      </c>
      <c r="AG80">
        <f>IFERROR(INDEX(TableWRCalcPts[BYE],MATCH(TableWRRanks32[[#This Row],[Player]],TableWRCalcPts[PLAYER],0)),"")</f>
        <v>9</v>
      </c>
      <c r="AH80" s="83">
        <f>IFERROR((VLOOKUP(TableWRRanks32[[#This Row],[Player]],WR!B:O,4,FALSE)),"")</f>
        <v>0</v>
      </c>
      <c r="AI80" s="83">
        <f>IFERROR((VLOOKUP(TableWRRanks32[[#This Row],[Player]],WR!B:O,5,FALSE)),"")</f>
        <v>0</v>
      </c>
      <c r="AJ80" s="83">
        <f>IFERROR((VLOOKUP(TableWRRanks32[[#This Row],[Player]],WR!B:O,6,FALSE)),"")</f>
        <v>77.072100000000006</v>
      </c>
      <c r="AK80" s="83">
        <f>IFERROR((VLOOKUP(TableWRRanks32[[#This Row],[Player]],WR!B:O,7,FALSE)),"")</f>
        <v>47.013981000000001</v>
      </c>
      <c r="AL80" s="83">
        <f>IFERROR((VLOOKUP(TableWRRanks32[[#This Row],[Player]],WR!B:O,8,FALSE)),"")</f>
        <v>574.51084782000009</v>
      </c>
      <c r="AM80" s="83">
        <f>IFERROR((VLOOKUP(TableWRRanks32[[#This Row],[Player]],WR!B:O,9,FALSE)),"")</f>
        <v>3.337992651</v>
      </c>
      <c r="AN80" s="57">
        <f>IFERROR((IFERROR(INDEX(TableWRCalcPts[Custom],MATCH(TableWRRanks32[[#This Row],[RK]],TableWRCalcPts[RK],0)),"")),"")</f>
        <v>100.98603118800001</v>
      </c>
      <c r="AO80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80">
        <v>79</v>
      </c>
      <c r="AR80" t="str">
        <f>IFERROR(INDEX(TableTECalcPts[PLAYER],MATCH(TableTERanks33[[#This Row],[RK]],TableTECalcPts[RK],0)),"")</f>
        <v>Tip Reiman</v>
      </c>
      <c r="AS80" t="str">
        <f>IFERROR(INDEX(TableTECalcPts[TM],MATCH(TableTERanks33[[#This Row],[Player]],TableTECalcPts[PLAYER],0)),"")</f>
        <v>ARI</v>
      </c>
      <c r="AT80">
        <f>IFERROR(INDEX(TableTECalcPts[BYE],MATCH(TableTERanks33[[#This Row],[Player]],TableTECalcPts[PLAYER],0)),"")</f>
        <v>11</v>
      </c>
      <c r="AU80" s="83">
        <f>IFERROR((VLOOKUP(TableTERanks33[[#This Row],[Player]],TE!B:O,4,FALSE)),"")</f>
        <v>5.8969050000000003</v>
      </c>
      <c r="AV80" s="83">
        <f>IFERROR((VLOOKUP(TableTERanks33[[#This Row],[Player]],TE!B:O,5,FALSE)),"")</f>
        <v>3.9686170649999997</v>
      </c>
      <c r="AW80" s="83">
        <f>IFERROR((VLOOKUP(TableTERanks33[[#This Row],[Player]],TE!B:O,6,FALSE)),"")</f>
        <v>38.256669855700601</v>
      </c>
      <c r="AX80" s="83">
        <f>IFERROR((VLOOKUP(TableTERanks33[[#This Row],[Player]],TE!B:O,7,FALSE)),"")</f>
        <v>0.25796010922500001</v>
      </c>
      <c r="AY80" s="57">
        <f>IFERROR((IFERROR(INDEX(TableTECalcPts[Custom],MATCH(TableTERanks33[[#This Row],[RK]],TableTECalcPts[RK],0)),"")),"")</f>
        <v>7.3577361734200606</v>
      </c>
      <c r="AZ80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81" spans="16:52" x14ac:dyDescent="0.2">
      <c r="P81">
        <v>80</v>
      </c>
      <c r="Q81" t="str">
        <f>IFERROR(INDEX(TableRBCalcPts[PLAYER],MATCH(TableRBRanks31[[#This Row],[RK]],TableRBCalcPts[RK],0)),"")</f>
        <v>Isaac Guerendo</v>
      </c>
      <c r="R81" t="str">
        <f>IFERROR(INDEX(TableRBCalcPts[TM],MATCH(TableRBRanks31[[#This Row],[Player]],TableRBCalcPts[PLAYER],0)),"")</f>
        <v>SF</v>
      </c>
      <c r="S81">
        <f>IFERROR(INDEX(TableRBCalcPts[BYE],MATCH(TableRBRanks31[[#This Row],[Player]],TableRBCalcPts[PLAYER],0)),"")</f>
        <v>9</v>
      </c>
      <c r="T81" s="83">
        <f>IFERROR((VLOOKUP(TableRBRanks31[[#This Row],[Player]],RB!B:O,4,FALSE)),"")</f>
        <v>36.085806960000006</v>
      </c>
      <c r="U81" s="83">
        <f>IFERROR((VLOOKUP(TableRBRanks31[[#This Row],[Player]],RB!B:O,5,FALSE)),"")</f>
        <v>153.36467958000003</v>
      </c>
      <c r="V81" s="83">
        <f>IFERROR((VLOOKUP(TableRBRanks31[[#This Row],[Player]],RB!B:O,6,FALSE)),"")</f>
        <v>1.1935555688871728</v>
      </c>
      <c r="W81" s="83">
        <f>IFERROR((VLOOKUP(TableRBRanks31[[#This Row],[Player]],RB!B:O,7,FALSE)),"")</f>
        <v>5.3253395999999995</v>
      </c>
      <c r="X81" s="83">
        <f>IFERROR((VLOOKUP(TableRBRanks31[[#This Row],[Player]],RB!B:O,8,FALSE)),"")</f>
        <v>4.036607416799999</v>
      </c>
      <c r="Y81" s="83">
        <f>IFERROR((VLOOKUP(TableRBRanks31[[#This Row],[Player]],RB!B:O,9,FALSE)),"")</f>
        <v>32.980077632802477</v>
      </c>
      <c r="Z81" s="83">
        <f>IFERROR((VLOOKUP(TableRBRanks31[[#This Row],[Player]],RB!B:O,10,FALSE)),"")</f>
        <v>0.17052645516426712</v>
      </c>
      <c r="AA81" s="57">
        <f>IFERROR((IFERROR(INDEX(TableRBCalcPts[Custom],MATCH(TableRBRanks31[[#This Row],[RK]],TableRBCalcPts[RK],0)),"")),"")</f>
        <v>28.83727157398889</v>
      </c>
      <c r="AB81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81">
        <v>80</v>
      </c>
      <c r="AE81" t="str">
        <f>IFERROR(INDEX(TableWRCalcPts[PLAYER],MATCH(TableWRRanks32[[#This Row],[RK]],TableWRCalcPts[RK],0)),"")</f>
        <v>Van Jefferson</v>
      </c>
      <c r="AF81" t="str">
        <f>IFERROR(INDEX(TableWRCalcPts[TM],MATCH(TableWRRanks32[[#This Row],[Player]],TableWRCalcPts[PLAYER],0)),"")</f>
        <v>PIT</v>
      </c>
      <c r="AG81">
        <f>IFERROR(INDEX(TableWRCalcPts[BYE],MATCH(TableWRRanks32[[#This Row],[Player]],TableWRCalcPts[PLAYER],0)),"")</f>
        <v>9</v>
      </c>
      <c r="AH81" s="83">
        <f>IFERROR((VLOOKUP(TableWRRanks32[[#This Row],[Player]],WR!B:O,4,FALSE)),"")</f>
        <v>0</v>
      </c>
      <c r="AI81" s="83">
        <f>IFERROR((VLOOKUP(TableWRRanks32[[#This Row],[Player]],WR!B:O,5,FALSE)),"")</f>
        <v>0</v>
      </c>
      <c r="AJ81" s="83">
        <f>IFERROR((VLOOKUP(TableWRRanks32[[#This Row],[Player]],WR!B:O,6,FALSE)),"")</f>
        <v>80.925704999999994</v>
      </c>
      <c r="AK81" s="83">
        <f>IFERROR((VLOOKUP(TableWRRanks32[[#This Row],[Player]],WR!B:O,7,FALSE)),"")</f>
        <v>43.861732109999998</v>
      </c>
      <c r="AL81" s="83">
        <f>IFERROR((VLOOKUP(TableWRRanks32[[#This Row],[Player]],WR!B:O,8,FALSE)),"")</f>
        <v>593.0106181271999</v>
      </c>
      <c r="AM81" s="83">
        <f>IFERROR((VLOOKUP(TableWRRanks32[[#This Row],[Player]],WR!B:O,9,FALSE)),"")</f>
        <v>3.2457681761399999</v>
      </c>
      <c r="AN81" s="57">
        <f>IFERROR((IFERROR(INDEX(TableWRCalcPts[Custom],MATCH(TableWRRanks32[[#This Row],[RK]],TableWRCalcPts[RK],0)),"")),"")</f>
        <v>100.70653692455998</v>
      </c>
      <c r="AO81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81">
        <v>80</v>
      </c>
      <c r="AR81" t="str">
        <f>IFERROR(INDEX(TableTECalcPts[PLAYER],MATCH(TableTERanks33[[#This Row],[RK]],TableTECalcPts[RK],0)),"")</f>
        <v>Payne Durham</v>
      </c>
      <c r="AS81" t="str">
        <f>IFERROR(INDEX(TableTECalcPts[TM],MATCH(TableTERanks33[[#This Row],[Player]],TableTECalcPts[PLAYER],0)),"")</f>
        <v>TB</v>
      </c>
      <c r="AT81">
        <f>IFERROR(INDEX(TableTECalcPts[BYE],MATCH(TableTERanks33[[#This Row],[Player]],TableTECalcPts[PLAYER],0)),"")</f>
        <v>11</v>
      </c>
      <c r="AU81" s="83">
        <f>IFERROR((VLOOKUP(TableTERanks33[[#This Row],[Player]],TE!B:O,4,FALSE)),"")</f>
        <v>5.9305091999999995</v>
      </c>
      <c r="AV81" s="83">
        <f>IFERROR((VLOOKUP(TableTERanks33[[#This Row],[Player]],TE!B:O,5,FALSE)),"")</f>
        <v>3.6057495936000001</v>
      </c>
      <c r="AW81" s="83">
        <f>IFERROR((VLOOKUP(TableTERanks33[[#This Row],[Player]],TE!B:O,6,FALSE)),"")</f>
        <v>38.338544183838074</v>
      </c>
      <c r="AX81" s="83">
        <f>IFERROR((VLOOKUP(TableTERanks33[[#This Row],[Player]],TE!B:O,7,FALSE)),"")</f>
        <v>0.25240247155200002</v>
      </c>
      <c r="AY81" s="57">
        <f>IFERROR((IFERROR(INDEX(TableTECalcPts[Custom],MATCH(TableTERanks33[[#This Row],[RK]],TableTECalcPts[RK],0)),"")),"")</f>
        <v>7.1511440444958074</v>
      </c>
      <c r="AZ81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82" spans="16:52" x14ac:dyDescent="0.2">
      <c r="P82">
        <v>81</v>
      </c>
      <c r="Q82" t="str">
        <f>IFERROR(INDEX(TableRBCalcPts[PLAYER],MATCH(TableRBRanks31[[#This Row],[RK]],TableRBCalcPts[RK],0)),"")</f>
        <v>Kenny McIntosh</v>
      </c>
      <c r="R82" t="str">
        <f>IFERROR(INDEX(TableRBCalcPts[TM],MATCH(TableRBRanks31[[#This Row],[Player]],TableRBCalcPts[PLAYER],0)),"")</f>
        <v>SEA</v>
      </c>
      <c r="S82">
        <f>IFERROR(INDEX(TableRBCalcPts[BYE],MATCH(TableRBRanks31[[#This Row],[Player]],TableRBCalcPts[PLAYER],0)),"")</f>
        <v>10</v>
      </c>
      <c r="T82" s="83">
        <f>IFERROR((VLOOKUP(TableRBRanks31[[#This Row],[Player]],RB!B:O,4,FALSE)),"")</f>
        <v>21.105483840000002</v>
      </c>
      <c r="U82" s="83">
        <f>IFERROR((VLOOKUP(TableRBRanks31[[#This Row],[Player]],RB!B:O,5,FALSE)),"")</f>
        <v>88.148358063441336</v>
      </c>
      <c r="V82" s="83">
        <f>IFERROR((VLOOKUP(TableRBRanks31[[#This Row],[Player]],RB!B:O,6,FALSE)),"")</f>
        <v>0.62107045057355181</v>
      </c>
      <c r="W82" s="83">
        <f>IFERROR((VLOOKUP(TableRBRanks31[[#This Row],[Player]],RB!B:O,7,FALSE)),"")</f>
        <v>14.512060499999999</v>
      </c>
      <c r="X82" s="83">
        <f>IFERROR((VLOOKUP(TableRBRanks31[[#This Row],[Player]],RB!B:O,8,FALSE)),"")</f>
        <v>11.406479552999997</v>
      </c>
      <c r="Y82" s="83">
        <f>IFERROR((VLOOKUP(TableRBRanks31[[#This Row],[Player]],RB!B:O,9,FALSE)),"")</f>
        <v>81.936250497506833</v>
      </c>
      <c r="Z82" s="83">
        <f>IFERROR((VLOOKUP(TableRBRanks31[[#This Row],[Player]],RB!B:O,10,FALSE)),"")</f>
        <v>0.32451372086553132</v>
      </c>
      <c r="AA82" s="57">
        <f>IFERROR((IFERROR(INDEX(TableRBCalcPts[Custom],MATCH(TableRBRanks31[[#This Row],[RK]],TableRBCalcPts[RK],0)),"")),"")</f>
        <v>28.385205661229314</v>
      </c>
      <c r="AB82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82">
        <v>81</v>
      </c>
      <c r="AE82" t="str">
        <f>IFERROR(INDEX(TableWRCalcPts[PLAYER],MATCH(TableWRRanks32[[#This Row],[RK]],TableWRCalcPts[RK],0)),"")</f>
        <v>Andrei Iosivas</v>
      </c>
      <c r="AF82" t="str">
        <f>IFERROR(INDEX(TableWRCalcPts[TM],MATCH(TableWRRanks32[[#This Row],[Player]],TableWRCalcPts[PLAYER],0)),"")</f>
        <v>CIN</v>
      </c>
      <c r="AG82">
        <f>IFERROR(INDEX(TableWRCalcPts[BYE],MATCH(TableWRRanks32[[#This Row],[Player]],TableWRCalcPts[PLAYER],0)),"")</f>
        <v>12</v>
      </c>
      <c r="AH82" s="83">
        <f>IFERROR((VLOOKUP(TableWRRanks32[[#This Row],[Player]],WR!B:O,4,FALSE)),"")</f>
        <v>0</v>
      </c>
      <c r="AI82" s="83">
        <f>IFERROR((VLOOKUP(TableWRRanks32[[#This Row],[Player]],WR!B:O,5,FALSE)),"")</f>
        <v>0</v>
      </c>
      <c r="AJ82" s="83">
        <f>IFERROR((VLOOKUP(TableWRRanks32[[#This Row],[Player]],WR!B:O,6,FALSE)),"")</f>
        <v>77.322446880000001</v>
      </c>
      <c r="AK82" s="83">
        <f>IFERROR((VLOOKUP(TableWRRanks32[[#This Row],[Player]],WR!B:O,7,FALSE)),"")</f>
        <v>48.790463981279999</v>
      </c>
      <c r="AL82" s="83">
        <f>IFERROR((VLOOKUP(TableWRRanks32[[#This Row],[Player]],WR!B:O,8,FALSE)),"")</f>
        <v>534.255580595016</v>
      </c>
      <c r="AM82" s="83">
        <f>IFERROR((VLOOKUP(TableWRRanks32[[#This Row],[Player]],WR!B:O,9,FALSE)),"")</f>
        <v>3.8056561905398398</v>
      </c>
      <c r="AN82" s="57">
        <f>IFERROR((IFERROR(INDEX(TableWRCalcPts[Custom],MATCH(TableWRRanks32[[#This Row],[RK]],TableWRCalcPts[RK],0)),"")),"")</f>
        <v>100.65472719338064</v>
      </c>
      <c r="AO82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82">
        <v>81</v>
      </c>
      <c r="AR82" t="str">
        <f>IFERROR(INDEX(TableTECalcPts[PLAYER],MATCH(TableTERanks33[[#This Row],[RK]],TableTECalcPts[RK],0)),"")</f>
        <v>Albert Okwuegbunam</v>
      </c>
      <c r="AS82" t="str">
        <f>IFERROR(INDEX(TableTECalcPts[TM],MATCH(TableTERanks33[[#This Row],[Player]],TableTECalcPts[PLAYER],0)),"")</f>
        <v>PHI</v>
      </c>
      <c r="AT82">
        <f>IFERROR(INDEX(TableTECalcPts[BYE],MATCH(TableTERanks33[[#This Row],[Player]],TableTECalcPts[PLAYER],0)),"")</f>
        <v>5</v>
      </c>
      <c r="AU82" s="83">
        <f>IFERROR((VLOOKUP(TableTERanks33[[#This Row],[Player]],TE!B:O,4,FALSE)),"")</f>
        <v>5.5784736000000006</v>
      </c>
      <c r="AV82" s="83">
        <f>IFERROR((VLOOKUP(TableTERanks33[[#This Row],[Player]],TE!B:O,5,FALSE)),"")</f>
        <v>3.6650571552000004</v>
      </c>
      <c r="AW82" s="83">
        <f>IFERROR((VLOOKUP(TableTERanks33[[#This Row],[Player]],TE!B:O,6,FALSE)),"")</f>
        <v>37.206524341865247</v>
      </c>
      <c r="AX82" s="83">
        <f>IFERROR((VLOOKUP(TableTERanks33[[#This Row],[Player]],TE!B:O,7,FALSE)),"")</f>
        <v>0.25655400086400004</v>
      </c>
      <c r="AY82" s="57">
        <f>IFERROR((IFERROR(INDEX(TableTECalcPts[Custom],MATCH(TableTERanks33[[#This Row],[RK]],TableTECalcPts[RK],0)),"")),"")</f>
        <v>7.0925050169705255</v>
      </c>
      <c r="AZ82" s="125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>0</v>
      </c>
    </row>
    <row r="83" spans="16:52" x14ac:dyDescent="0.2">
      <c r="P83">
        <v>82</v>
      </c>
      <c r="Q83" t="str">
        <f>IFERROR(INDEX(TableRBCalcPts[PLAYER],MATCH(TableRBRanks31[[#This Row],[RK]],TableRBCalcPts[RK],0)),"")</f>
        <v>Jase McClellan</v>
      </c>
      <c r="R83" t="str">
        <f>IFERROR(INDEX(TableRBCalcPts[TM],MATCH(TableRBRanks31[[#This Row],[Player]],TableRBCalcPts[PLAYER],0)),"")</f>
        <v>ATL</v>
      </c>
      <c r="S83">
        <f>IFERROR(INDEX(TableRBCalcPts[BYE],MATCH(TableRBRanks31[[#This Row],[Player]],TableRBCalcPts[PLAYER],0)),"")</f>
        <v>12</v>
      </c>
      <c r="T83" s="83">
        <f>IFERROR((VLOOKUP(TableRBRanks31[[#This Row],[Player]],RB!B:O,4,FALSE)),"")</f>
        <v>23.668999200000002</v>
      </c>
      <c r="U83" s="83">
        <f>IFERROR((VLOOKUP(TableRBRanks31[[#This Row],[Player]],RB!B:O,5,FALSE)),"")</f>
        <v>99.40979664000001</v>
      </c>
      <c r="V83" s="83">
        <f>IFERROR((VLOOKUP(TableRBRanks31[[#This Row],[Player]],RB!B:O,6,FALSE)),"")</f>
        <v>0.75740797440000007</v>
      </c>
      <c r="W83" s="83">
        <f>IFERROR((VLOOKUP(TableRBRanks31[[#This Row],[Player]],RB!B:O,7,FALSE)),"")</f>
        <v>9.2021529599999994</v>
      </c>
      <c r="X83" s="83">
        <f>IFERROR((VLOOKUP(TableRBRanks31[[#This Row],[Player]],RB!B:O,8,FALSE)),"")</f>
        <v>7.6653934156800005</v>
      </c>
      <c r="Y83" s="83">
        <f>IFERROR((VLOOKUP(TableRBRanks31[[#This Row],[Player]],RB!B:O,9,FALSE)),"")</f>
        <v>58.141832834291641</v>
      </c>
      <c r="Z83" s="83">
        <f>IFERROR((VLOOKUP(TableRBRanks31[[#This Row],[Player]],RB!B:O,10,FALSE)),"")</f>
        <v>0.29701834920485048</v>
      </c>
      <c r="AA83" s="57">
        <f>IFERROR((IFERROR(INDEX(TableRBCalcPts[Custom],MATCH(TableRBRanks31[[#This Row],[RK]],TableRBCalcPts[RK],0)),"")),"")</f>
        <v>25.914417596898272</v>
      </c>
      <c r="AB83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83">
        <v>82</v>
      </c>
      <c r="AE83" t="str">
        <f>IFERROR(INDEX(TableWRCalcPts[PLAYER],MATCH(TableWRRanks32[[#This Row],[RK]],TableWRCalcPts[RK],0)),"")</f>
        <v>Jermaine Burton</v>
      </c>
      <c r="AF83" t="str">
        <f>IFERROR(INDEX(TableWRCalcPts[TM],MATCH(TableWRRanks32[[#This Row],[Player]],TableWRCalcPts[PLAYER],0)),"")</f>
        <v>CIN</v>
      </c>
      <c r="AG83">
        <f>IFERROR(INDEX(TableWRCalcPts[BYE],MATCH(TableWRRanks32[[#This Row],[Player]],TableWRCalcPts[PLAYER],0)),"")</f>
        <v>12</v>
      </c>
      <c r="AH83" s="83">
        <f>IFERROR((VLOOKUP(TableWRRanks32[[#This Row],[Player]],WR!B:O,4,FALSE)),"")</f>
        <v>0</v>
      </c>
      <c r="AI83" s="83">
        <f>IFERROR((VLOOKUP(TableWRRanks32[[#This Row],[Player]],WR!B:O,5,FALSE)),"")</f>
        <v>0</v>
      </c>
      <c r="AJ83" s="83">
        <f>IFERROR((VLOOKUP(TableWRRanks32[[#This Row],[Player]],WR!B:O,6,FALSE)),"")</f>
        <v>69.839629439999996</v>
      </c>
      <c r="AK83" s="83">
        <f>IFERROR((VLOOKUP(TableWRRanks32[[#This Row],[Player]],WR!B:O,7,FALSE)),"")</f>
        <v>45.465598765439999</v>
      </c>
      <c r="AL83" s="83">
        <f>IFERROR((VLOOKUP(TableWRRanks32[[#This Row],[Player]],WR!B:O,8,FALSE)),"")</f>
        <v>557.40824086429438</v>
      </c>
      <c r="AM83" s="83">
        <f>IFERROR((VLOOKUP(TableWRRanks32[[#This Row],[Player]],WR!B:O,9,FALSE)),"")</f>
        <v>3.6372479012352001</v>
      </c>
      <c r="AN83" s="57">
        <f>IFERROR((IFERROR(INDEX(TableWRCalcPts[Custom],MATCH(TableWRRanks32[[#This Row],[RK]],TableWRCalcPts[RK],0)),"")),"")</f>
        <v>100.29711087656065</v>
      </c>
      <c r="AO83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83">
        <v>82</v>
      </c>
      <c r="AR83" t="str">
        <f>IFERROR(INDEX(TableTECalcPts[PLAYER],MATCH(TableTERanks33[[#This Row],[RK]],TableTECalcPts[RK],0)),"")</f>
        <v/>
      </c>
      <c r="AS83" t="str">
        <f>IFERROR(INDEX(TableTECalcPts[TM],MATCH(TableTERanks33[[#This Row],[Player]],TableTECalcPts[PLAYER],0)),"")</f>
        <v/>
      </c>
      <c r="AT83" t="str">
        <f>IFERROR(INDEX(TableTECalcPts[BYE],MATCH(TableTERanks33[[#This Row],[Player]],TableTECalcPts[PLAYER],0)),"")</f>
        <v/>
      </c>
      <c r="AU83" s="83" t="str">
        <f>IFERROR((VLOOKUP(TableTERanks33[[#This Row],[Player]],TE!B:O,4,FALSE)),"")</f>
        <v/>
      </c>
      <c r="AV83" s="83" t="str">
        <f>IFERROR((VLOOKUP(TableTERanks33[[#This Row],[Player]],TE!B:O,5,FALSE)),"")</f>
        <v/>
      </c>
      <c r="AW83" s="83" t="str">
        <f>IFERROR((VLOOKUP(TableTERanks33[[#This Row],[Player]],TE!B:O,6,FALSE)),"")</f>
        <v/>
      </c>
      <c r="AX83" s="83" t="str">
        <f>IFERROR((VLOOKUP(TableTERanks33[[#This Row],[Player]],TE!B:O,7,FALSE)),"")</f>
        <v/>
      </c>
      <c r="AY83" s="57" t="str">
        <f>IFERROR((IFERROR(INDEX(TableTECalcPts[Custom],MATCH(TableTERanks33[[#This Row],[RK]],TableTECalcPts[RK],0)),"")),"")</f>
        <v/>
      </c>
      <c r="AZ83" s="125" t="str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/>
      </c>
    </row>
    <row r="84" spans="16:52" x14ac:dyDescent="0.2">
      <c r="P84">
        <v>83</v>
      </c>
      <c r="Q84" t="str">
        <f>IFERROR(INDEX(TableRBCalcPts[PLAYER],MATCH(TableRBRanks31[[#This Row],[RK]],TableRBCalcPts[RK],0)),"")</f>
        <v>D'Ernest Johnson</v>
      </c>
      <c r="R84" t="str">
        <f>IFERROR(INDEX(TableRBCalcPts[TM],MATCH(TableRBRanks31[[#This Row],[Player]],TableRBCalcPts[PLAYER],0)),"")</f>
        <v>JAX</v>
      </c>
      <c r="S84">
        <f>IFERROR(INDEX(TableRBCalcPts[BYE],MATCH(TableRBRanks31[[#This Row],[Player]],TableRBCalcPts[PLAYER],0)),"")</f>
        <v>12</v>
      </c>
      <c r="T84" s="83">
        <f>IFERROR((VLOOKUP(TableRBRanks31[[#This Row],[Player]],RB!B:O,4,FALSE)),"")</f>
        <v>31.44311772</v>
      </c>
      <c r="U84" s="83">
        <f>IFERROR((VLOOKUP(TableRBRanks31[[#This Row],[Player]],RB!B:O,5,FALSE)),"")</f>
        <v>130.04767663581285</v>
      </c>
      <c r="V84" s="83">
        <f>IFERROR((VLOOKUP(TableRBRanks31[[#This Row],[Player]],RB!B:O,6,FALSE)),"")</f>
        <v>1.0061797670400001</v>
      </c>
      <c r="W84" s="83">
        <f>IFERROR((VLOOKUP(TableRBRanks31[[#This Row],[Player]],RB!B:O,7,FALSE)),"")</f>
        <v>6.0219235999999992</v>
      </c>
      <c r="X84" s="83">
        <f>IFERROR((VLOOKUP(TableRBRanks31[[#This Row],[Player]],RB!B:O,8,FALSE)),"")</f>
        <v>4.6007496303999993</v>
      </c>
      <c r="Y84" s="83">
        <f>IFERROR((VLOOKUP(TableRBRanks31[[#This Row],[Player]],RB!B:O,9,FALSE)),"")</f>
        <v>32.751415648943748</v>
      </c>
      <c r="Z84" s="83">
        <f>IFERROR((VLOOKUP(TableRBRanks31[[#This Row],[Player]],RB!B:O,10,FALSE)),"")</f>
        <v>0.13751176359983391</v>
      </c>
      <c r="AA84" s="57">
        <f>IFERROR((IFERROR(INDEX(TableRBCalcPts[Custom],MATCH(TableRBRanks31[[#This Row],[RK]],TableRBCalcPts[RK],0)),"")),"")</f>
        <v>25.442433227514666</v>
      </c>
      <c r="AB84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84">
        <v>83</v>
      </c>
      <c r="AE84" t="str">
        <f>IFERROR(INDEX(TableWRCalcPts[PLAYER],MATCH(TableWRRanks32[[#This Row],[RK]],TableWRCalcPts[RK],0)),"")</f>
        <v>Darius Slayton</v>
      </c>
      <c r="AF84" t="str">
        <f>IFERROR(INDEX(TableWRCalcPts[TM],MATCH(TableWRRanks32[[#This Row],[Player]],TableWRCalcPts[PLAYER],0)),"")</f>
        <v>NYG</v>
      </c>
      <c r="AG84">
        <f>IFERROR(INDEX(TableWRCalcPts[BYE],MATCH(TableWRRanks32[[#This Row],[Player]],TableWRCalcPts[PLAYER],0)),"")</f>
        <v>11</v>
      </c>
      <c r="AH84" s="83">
        <f>IFERROR((VLOOKUP(TableWRRanks32[[#This Row],[Player]],WR!B:O,4,FALSE)),"")</f>
        <v>0</v>
      </c>
      <c r="AI84" s="83">
        <f>IFERROR((VLOOKUP(TableWRRanks32[[#This Row],[Player]],WR!B:O,5,FALSE)),"")</f>
        <v>0</v>
      </c>
      <c r="AJ84" s="83">
        <f>IFERROR((VLOOKUP(TableWRRanks32[[#This Row],[Player]],WR!B:O,6,FALSE)),"")</f>
        <v>76.504209599999996</v>
      </c>
      <c r="AK84" s="83">
        <f>IFERROR((VLOOKUP(TableWRRanks32[[#This Row],[Player]],WR!B:O,7,FALSE)),"")</f>
        <v>45.749517340799997</v>
      </c>
      <c r="AL84" s="83">
        <f>IFERROR((VLOOKUP(TableWRRanks32[[#This Row],[Player]],WR!B:O,8,FALSE)),"")</f>
        <v>590.16877369631993</v>
      </c>
      <c r="AM84" s="83">
        <f>IFERROR((VLOOKUP(TableWRRanks32[[#This Row],[Player]],WR!B:O,9,FALSE)),"")</f>
        <v>2.973718627152</v>
      </c>
      <c r="AN84" s="57">
        <f>IFERROR((IFERROR(INDEX(TableWRCalcPts[Custom],MATCH(TableWRRanks32[[#This Row],[RK]],TableWRCalcPts[RK],0)),"")),"")</f>
        <v>99.733947802944002</v>
      </c>
      <c r="AO84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84">
        <v>83</v>
      </c>
      <c r="AR84" t="str">
        <f>IFERROR(INDEX(TableTECalcPts[PLAYER],MATCH(TableTERanks33[[#This Row],[RK]],TableTECalcPts[RK],0)),"")</f>
        <v/>
      </c>
      <c r="AS84" t="str">
        <f>IFERROR(INDEX(TableTECalcPts[TM],MATCH(TableTERanks33[[#This Row],[Player]],TableTECalcPts[PLAYER],0)),"")</f>
        <v/>
      </c>
      <c r="AT84" t="str">
        <f>IFERROR(INDEX(TableTECalcPts[BYE],MATCH(TableTERanks33[[#This Row],[Player]],TableTECalcPts[PLAYER],0)),"")</f>
        <v/>
      </c>
      <c r="AU84" s="83" t="str">
        <f>IFERROR((VLOOKUP(TableTERanks33[[#This Row],[Player]],TE!B:O,4,FALSE)),"")</f>
        <v/>
      </c>
      <c r="AV84" s="83" t="str">
        <f>IFERROR((VLOOKUP(TableTERanks33[[#This Row],[Player]],TE!B:O,5,FALSE)),"")</f>
        <v/>
      </c>
      <c r="AW84" s="83" t="str">
        <f>IFERROR((VLOOKUP(TableTERanks33[[#This Row],[Player]],TE!B:O,6,FALSE)),"")</f>
        <v/>
      </c>
      <c r="AX84" s="83" t="str">
        <f>IFERROR((VLOOKUP(TableTERanks33[[#This Row],[Player]],TE!B:O,7,FALSE)),"")</f>
        <v/>
      </c>
      <c r="AY84" s="57" t="str">
        <f>IFERROR((IFERROR(INDEX(TableTECalcPts[Custom],MATCH(TableTERanks33[[#This Row],[RK]],TableTECalcPts[RK],0)),"")),"")</f>
        <v/>
      </c>
      <c r="AZ84" s="125" t="str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/>
      </c>
    </row>
    <row r="85" spans="16:52" x14ac:dyDescent="0.2">
      <c r="P85">
        <v>84</v>
      </c>
      <c r="Q85" t="str">
        <f>IFERROR(INDEX(TableRBCalcPts[PLAYER],MATCH(TableRBRanks31[[#This Row],[RK]],TableRBCalcPts[RK],0)),"")</f>
        <v>Kimani Vidal</v>
      </c>
      <c r="R85" t="str">
        <f>IFERROR(INDEX(TableRBCalcPts[TM],MATCH(TableRBRanks31[[#This Row],[Player]],TableRBCalcPts[PLAYER],0)),"")</f>
        <v>LAC</v>
      </c>
      <c r="S85">
        <f>IFERROR(INDEX(TableRBCalcPts[BYE],MATCH(TableRBRanks31[[#This Row],[Player]],TableRBCalcPts[PLAYER],0)),"")</f>
        <v>5</v>
      </c>
      <c r="T85" s="83">
        <f>IFERROR((VLOOKUP(TableRBRanks31[[#This Row],[Player]],RB!B:O,4,FALSE)),"")</f>
        <v>17.812471179999999</v>
      </c>
      <c r="U85" s="83">
        <f>IFERROR((VLOOKUP(TableRBRanks31[[#This Row],[Player]],RB!B:O,5,FALSE)),"")</f>
        <v>76.140238921537929</v>
      </c>
      <c r="V85" s="83">
        <f>IFERROR((VLOOKUP(TableRBRanks31[[#This Row],[Player]],RB!B:O,6,FALSE)),"")</f>
        <v>0.53437413540000001</v>
      </c>
      <c r="W85" s="83">
        <f>IFERROR((VLOOKUP(TableRBRanks31[[#This Row],[Player]],RB!B:O,7,FALSE)),"")</f>
        <v>11.725599060000004</v>
      </c>
      <c r="X85" s="83">
        <f>IFERROR((VLOOKUP(TableRBRanks31[[#This Row],[Player]],RB!B:O,8,FALSE)),"")</f>
        <v>8.5831385119200032</v>
      </c>
      <c r="Y85" s="83">
        <f>IFERROR((VLOOKUP(TableRBRanks31[[#This Row],[Player]],RB!B:O,9,FALSE)),"")</f>
        <v>61.191609459499986</v>
      </c>
      <c r="Z85" s="83">
        <f>IFERROR((VLOOKUP(TableRBRanks31[[#This Row],[Player]],RB!B:O,10,FALSE)),"")</f>
        <v>0.27332862039213984</v>
      </c>
      <c r="AA85" s="57">
        <f>IFERROR((IFERROR(INDEX(TableRBCalcPts[Custom],MATCH(TableRBRanks31[[#This Row],[RK]],TableRBCalcPts[RK],0)),"")),"")</f>
        <v>22.870970628816636</v>
      </c>
      <c r="AB85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85">
        <v>84</v>
      </c>
      <c r="AE85" t="str">
        <f>IFERROR(INDEX(TableWRCalcPts[PLAYER],MATCH(TableWRRanks32[[#This Row],[RK]],TableWRCalcPts[RK],0)),"")</f>
        <v>Dyami Brown</v>
      </c>
      <c r="AF85" t="str">
        <f>IFERROR(INDEX(TableWRCalcPts[TM],MATCH(TableWRRanks32[[#This Row],[Player]],TableWRCalcPts[PLAYER],0)),"")</f>
        <v>WSH</v>
      </c>
      <c r="AG85">
        <f>IFERROR(INDEX(TableWRCalcPts[BYE],MATCH(TableWRRanks32[[#This Row],[Player]],TableWRCalcPts[PLAYER],0)),"")</f>
        <v>14</v>
      </c>
      <c r="AH85" s="83">
        <f>IFERROR((VLOOKUP(TableWRRanks32[[#This Row],[Player]],WR!B:O,4,FALSE)),"")</f>
        <v>0</v>
      </c>
      <c r="AI85" s="83">
        <f>IFERROR((VLOOKUP(TableWRRanks32[[#This Row],[Player]],WR!B:O,5,FALSE)),"")</f>
        <v>0</v>
      </c>
      <c r="AJ85" s="83">
        <f>IFERROR((VLOOKUP(TableWRRanks32[[#This Row],[Player]],WR!B:O,6,FALSE)),"")</f>
        <v>75.921344800000014</v>
      </c>
      <c r="AK85" s="83">
        <f>IFERROR((VLOOKUP(TableWRRanks32[[#This Row],[Player]],WR!B:O,7,FALSE)),"")</f>
        <v>40.314234088799999</v>
      </c>
      <c r="AL85" s="83">
        <f>IFERROR((VLOOKUP(TableWRRanks32[[#This Row],[Player]],WR!B:O,8,FALSE)),"")</f>
        <v>566.01184660675199</v>
      </c>
      <c r="AM85" s="83">
        <f>IFERROR((VLOOKUP(TableWRRanks32[[#This Row],[Player]],WR!B:O,9,FALSE)),"")</f>
        <v>3.7492237702583999</v>
      </c>
      <c r="AN85" s="57">
        <f>IFERROR((IFERROR(INDEX(TableWRCalcPts[Custom],MATCH(TableWRRanks32[[#This Row],[RK]],TableWRCalcPts[RK],0)),"")),"")</f>
        <v>99.25364432662559</v>
      </c>
      <c r="AO85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85">
        <v>84</v>
      </c>
      <c r="AR85" t="str">
        <f>IFERROR(INDEX(TableTECalcPts[PLAYER],MATCH(TableTERanks33[[#This Row],[RK]],TableTECalcPts[RK],0)),"")</f>
        <v/>
      </c>
      <c r="AS85" t="str">
        <f>IFERROR(INDEX(TableTECalcPts[TM],MATCH(TableTERanks33[[#This Row],[Player]],TableTECalcPts[PLAYER],0)),"")</f>
        <v/>
      </c>
      <c r="AT85" t="str">
        <f>IFERROR(INDEX(TableTECalcPts[BYE],MATCH(TableTERanks33[[#This Row],[Player]],TableTECalcPts[PLAYER],0)),"")</f>
        <v/>
      </c>
      <c r="AU85" s="83" t="str">
        <f>IFERROR((VLOOKUP(TableTERanks33[[#This Row],[Player]],TE!B:O,4,FALSE)),"")</f>
        <v/>
      </c>
      <c r="AV85" s="83" t="str">
        <f>IFERROR((VLOOKUP(TableTERanks33[[#This Row],[Player]],TE!B:O,5,FALSE)),"")</f>
        <v/>
      </c>
      <c r="AW85" s="83" t="str">
        <f>IFERROR((VLOOKUP(TableTERanks33[[#This Row],[Player]],TE!B:O,6,FALSE)),"")</f>
        <v/>
      </c>
      <c r="AX85" s="83" t="str">
        <f>IFERROR((VLOOKUP(TableTERanks33[[#This Row],[Player]],TE!B:O,7,FALSE)),"")</f>
        <v/>
      </c>
      <c r="AY85" s="57" t="str">
        <f>IFERROR((IFERROR(INDEX(TableTECalcPts[Custom],MATCH(TableTERanks33[[#This Row],[RK]],TableTECalcPts[RK],0)),"")),"")</f>
        <v/>
      </c>
      <c r="AZ85" s="125" t="str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/>
      </c>
    </row>
    <row r="86" spans="16:52" x14ac:dyDescent="0.2">
      <c r="P86">
        <v>85</v>
      </c>
      <c r="Q86" t="str">
        <f>IFERROR(INDEX(TableRBCalcPts[PLAYER],MATCH(TableRBRanks31[[#This Row],[RK]],TableRBCalcPts[RK],0)),"")</f>
        <v>Miles Sanders</v>
      </c>
      <c r="R86" t="str">
        <f>IFERROR(INDEX(TableRBCalcPts[TM],MATCH(TableRBRanks31[[#This Row],[Player]],TableRBCalcPts[PLAYER],0)),"")</f>
        <v>CAR</v>
      </c>
      <c r="S86">
        <f>IFERROR(INDEX(TableRBCalcPts[BYE],MATCH(TableRBRanks31[[#This Row],[Player]],TableRBCalcPts[PLAYER],0)),"")</f>
        <v>11</v>
      </c>
      <c r="T86" s="83">
        <f>IFERROR((VLOOKUP(TableRBRanks31[[#This Row],[Player]],RB!B:O,4,FALSE)),"")</f>
        <v>28.984137000000008</v>
      </c>
      <c r="U86" s="83">
        <f>IFERROR((VLOOKUP(TableRBRanks31[[#This Row],[Player]],RB!B:O,5,FALSE)),"")</f>
        <v>118.74336172150061</v>
      </c>
      <c r="V86" s="83">
        <f>IFERROR((VLOOKUP(TableRBRanks31[[#This Row],[Player]],RB!B:O,6,FALSE)),"")</f>
        <v>0.60122870827012775</v>
      </c>
      <c r="W86" s="83">
        <f>IFERROR((VLOOKUP(TableRBRanks31[[#This Row],[Player]],RB!B:O,7,FALSE)),"")</f>
        <v>8.6875529999999976</v>
      </c>
      <c r="X86" s="83">
        <f>IFERROR((VLOOKUP(TableRBRanks31[[#This Row],[Player]],RB!B:O,8,FALSE)),"")</f>
        <v>5.8380356159999982</v>
      </c>
      <c r="Y86" s="83">
        <f>IFERROR((VLOOKUP(TableRBRanks31[[#This Row],[Player]],RB!B:O,9,FALSE)),"")</f>
        <v>35.673317986073414</v>
      </c>
      <c r="Z86" s="83">
        <f>IFERROR((VLOOKUP(TableRBRanks31[[#This Row],[Player]],RB!B:O,10,FALSE)),"")</f>
        <v>4.767883485033541E-2</v>
      </c>
      <c r="AA86" s="57">
        <f>IFERROR((IFERROR(INDEX(TableRBCalcPts[Custom],MATCH(TableRBRanks31[[#This Row],[RK]],TableRBCalcPts[RK],0)),"")),"")</f>
        <v>22.254131037480178</v>
      </c>
      <c r="AB86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86">
        <v>85</v>
      </c>
      <c r="AE86" t="str">
        <f>IFERROR(INDEX(TableWRCalcPts[PLAYER],MATCH(TableWRRanks32[[#This Row],[RK]],TableWRCalcPts[RK],0)),"")</f>
        <v>K.J. Osborn</v>
      </c>
      <c r="AF86" t="str">
        <f>IFERROR(INDEX(TableWRCalcPts[TM],MATCH(TableWRRanks32[[#This Row],[Player]],TableWRCalcPts[PLAYER],0)),"")</f>
        <v>NE</v>
      </c>
      <c r="AG86">
        <f>IFERROR(INDEX(TableWRCalcPts[BYE],MATCH(TableWRRanks32[[#This Row],[Player]],TableWRCalcPts[PLAYER],0)),"")</f>
        <v>14</v>
      </c>
      <c r="AH86" s="83">
        <f>IFERROR((VLOOKUP(TableWRRanks32[[#This Row],[Player]],WR!B:O,4,FALSE)),"")</f>
        <v>0</v>
      </c>
      <c r="AI86" s="83">
        <f>IFERROR((VLOOKUP(TableWRRanks32[[#This Row],[Player]],WR!B:O,5,FALSE)),"")</f>
        <v>0</v>
      </c>
      <c r="AJ86" s="83">
        <f>IFERROR((VLOOKUP(TableWRRanks32[[#This Row],[Player]],WR!B:O,6,FALSE)),"")</f>
        <v>78.229848480000001</v>
      </c>
      <c r="AK86" s="83">
        <f>IFERROR((VLOOKUP(TableWRRanks32[[#This Row],[Player]],WR!B:O,7,FALSE)),"")</f>
        <v>47.09436878495999</v>
      </c>
      <c r="AL86" s="83">
        <f>IFERROR((VLOOKUP(TableWRRanks32[[#This Row],[Player]],WR!B:O,8,FALSE)),"")</f>
        <v>534.8386895704175</v>
      </c>
      <c r="AM86" s="83">
        <f>IFERROR((VLOOKUP(TableWRRanks32[[#This Row],[Player]],WR!B:O,9,FALSE)),"")</f>
        <v>2.8256621270975995</v>
      </c>
      <c r="AN86" s="57">
        <f>IFERROR((IFERROR(INDEX(TableWRCalcPts[Custom],MATCH(TableWRRanks32[[#This Row],[RK]],TableWRCalcPts[RK],0)),"")),"")</f>
        <v>93.985026112107334</v>
      </c>
      <c r="AO86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86">
        <v>85</v>
      </c>
      <c r="AR86" t="str">
        <f>IFERROR(INDEX(TableTECalcPts[PLAYER],MATCH(TableTERanks33[[#This Row],[RK]],TableTECalcPts[RK],0)),"")</f>
        <v/>
      </c>
      <c r="AS86" t="str">
        <f>IFERROR(INDEX(TableTECalcPts[TM],MATCH(TableTERanks33[[#This Row],[Player]],TableTECalcPts[PLAYER],0)),"")</f>
        <v/>
      </c>
      <c r="AT86" t="str">
        <f>IFERROR(INDEX(TableTECalcPts[BYE],MATCH(TableTERanks33[[#This Row],[Player]],TableTECalcPts[PLAYER],0)),"")</f>
        <v/>
      </c>
      <c r="AU86" s="83" t="str">
        <f>IFERROR((VLOOKUP(TableTERanks33[[#This Row],[Player]],TE!B:O,4,FALSE)),"")</f>
        <v/>
      </c>
      <c r="AV86" s="83" t="str">
        <f>IFERROR((VLOOKUP(TableTERanks33[[#This Row],[Player]],TE!B:O,5,FALSE)),"")</f>
        <v/>
      </c>
      <c r="AW86" s="83" t="str">
        <f>IFERROR((VLOOKUP(TableTERanks33[[#This Row],[Player]],TE!B:O,6,FALSE)),"")</f>
        <v/>
      </c>
      <c r="AX86" s="83" t="str">
        <f>IFERROR((VLOOKUP(TableTERanks33[[#This Row],[Player]],TE!B:O,7,FALSE)),"")</f>
        <v/>
      </c>
      <c r="AY86" s="57" t="str">
        <f>IFERROR((IFERROR(INDEX(TableTECalcPts[Custom],MATCH(TableTERanks33[[#This Row],[RK]],TableTECalcPts[RK],0)),"")),"")</f>
        <v/>
      </c>
      <c r="AZ86" s="125" t="str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/>
      </c>
    </row>
    <row r="87" spans="16:52" x14ac:dyDescent="0.2">
      <c r="P87">
        <v>86</v>
      </c>
      <c r="Q87" t="str">
        <f>IFERROR(INDEX(TableRBCalcPts[PLAYER],MATCH(TableRBRanks31[[#This Row],[RK]],TableRBCalcPts[RK],0)),"")</f>
        <v>Tyler Goodson</v>
      </c>
      <c r="R87" t="str">
        <f>IFERROR(INDEX(TableRBCalcPts[TM],MATCH(TableRBRanks31[[#This Row],[Player]],TableRBCalcPts[PLAYER],0)),"")</f>
        <v>IND</v>
      </c>
      <c r="S87">
        <f>IFERROR(INDEX(TableRBCalcPts[BYE],MATCH(TableRBRanks31[[#This Row],[Player]],TableRBCalcPts[PLAYER],0)),"")</f>
        <v>14</v>
      </c>
      <c r="T87" s="83">
        <f>IFERROR((VLOOKUP(TableRBRanks31[[#This Row],[Player]],RB!B:O,4,FALSE)),"")</f>
        <v>17.061506000000001</v>
      </c>
      <c r="U87" s="83">
        <f>IFERROR((VLOOKUP(TableRBRanks31[[#This Row],[Player]],RB!B:O,5,FALSE)),"")</f>
        <v>71.645545261300398</v>
      </c>
      <c r="V87" s="83">
        <f>IFERROR((VLOOKUP(TableRBRanks31[[#This Row],[Player]],RB!B:O,6,FALSE)),"")</f>
        <v>0.51184518000000001</v>
      </c>
      <c r="W87" s="83">
        <f>IFERROR((VLOOKUP(TableRBRanks31[[#This Row],[Player]],RB!B:O,7,FALSE)),"")</f>
        <v>10.732568000000001</v>
      </c>
      <c r="X87" s="83">
        <f>IFERROR((VLOOKUP(TableRBRanks31[[#This Row],[Player]],RB!B:O,8,FALSE)),"")</f>
        <v>7.652320984000001</v>
      </c>
      <c r="Y87" s="83">
        <f>IFERROR((VLOOKUP(TableRBRanks31[[#This Row],[Player]],RB!B:O,9,FALSE)),"")</f>
        <v>57.460332163281961</v>
      </c>
      <c r="Z87" s="83">
        <f>IFERROR((VLOOKUP(TableRBRanks31[[#This Row],[Player]],RB!B:O,10,FALSE)),"")</f>
        <v>0.27068250890800621</v>
      </c>
      <c r="AA87" s="57">
        <f>IFERROR((IFERROR(INDEX(TableRBCalcPts[Custom],MATCH(TableRBRanks31[[#This Row],[RK]],TableRBCalcPts[RK],0)),"")),"")</f>
        <v>21.431914367906273</v>
      </c>
      <c r="AB87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87">
        <v>86</v>
      </c>
      <c r="AE87" t="str">
        <f>IFERROR(INDEX(TableWRCalcPts[PLAYER],MATCH(TableWRRanks32[[#This Row],[RK]],TableWRCalcPts[RK],0)),"")</f>
        <v>Ja'Lynn Polk</v>
      </c>
      <c r="AF87" t="str">
        <f>IFERROR(INDEX(TableWRCalcPts[TM],MATCH(TableWRRanks32[[#This Row],[Player]],TableWRCalcPts[PLAYER],0)),"")</f>
        <v>NE</v>
      </c>
      <c r="AG87">
        <f>IFERROR(INDEX(TableWRCalcPts[BYE],MATCH(TableWRRanks32[[#This Row],[Player]],TableWRCalcPts[PLAYER],0)),"")</f>
        <v>14</v>
      </c>
      <c r="AH87" s="83">
        <f>IFERROR((VLOOKUP(TableWRRanks32[[#This Row],[Player]],WR!B:O,4,FALSE)),"")</f>
        <v>0</v>
      </c>
      <c r="AI87" s="83">
        <f>IFERROR((VLOOKUP(TableWRRanks32[[#This Row],[Player]],WR!B:O,5,FALSE)),"")</f>
        <v>0</v>
      </c>
      <c r="AJ87" s="83">
        <f>IFERROR((VLOOKUP(TableWRRanks32[[#This Row],[Player]],WR!B:O,6,FALSE)),"")</f>
        <v>70.293487040000002</v>
      </c>
      <c r="AK87" s="83">
        <f>IFERROR((VLOOKUP(TableWRRanks32[[#This Row],[Player]],WR!B:O,7,FALSE)),"")</f>
        <v>42.035505249919993</v>
      </c>
      <c r="AL87" s="83">
        <f>IFERROR((VLOOKUP(TableWRRanks32[[#This Row],[Player]],WR!B:O,8,FALSE)),"")</f>
        <v>548.56334351145597</v>
      </c>
      <c r="AM87" s="83">
        <f>IFERROR((VLOOKUP(TableWRRanks32[[#This Row],[Player]],WR!B:O,9,FALSE)),"")</f>
        <v>2.7743433464947196</v>
      </c>
      <c r="AN87" s="57">
        <f>IFERROR((IFERROR(INDEX(TableWRCalcPts[Custom],MATCH(TableWRRanks32[[#This Row],[RK]],TableWRCalcPts[RK],0)),"")),"")</f>
        <v>92.520147055073906</v>
      </c>
      <c r="AO87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87">
        <v>86</v>
      </c>
      <c r="AR87" t="str">
        <f>IFERROR(INDEX(TableTECalcPts[PLAYER],MATCH(TableTERanks33[[#This Row],[RK]],TableTECalcPts[RK],0)),"")</f>
        <v/>
      </c>
      <c r="AS87" t="str">
        <f>IFERROR(INDEX(TableTECalcPts[TM],MATCH(TableTERanks33[[#This Row],[Player]],TableTECalcPts[PLAYER],0)),"")</f>
        <v/>
      </c>
      <c r="AT87" t="str">
        <f>IFERROR(INDEX(TableTECalcPts[BYE],MATCH(TableTERanks33[[#This Row],[Player]],TableTECalcPts[PLAYER],0)),"")</f>
        <v/>
      </c>
      <c r="AU87" s="83" t="str">
        <f>IFERROR((VLOOKUP(TableTERanks33[[#This Row],[Player]],TE!B:O,4,FALSE)),"")</f>
        <v/>
      </c>
      <c r="AV87" s="83" t="str">
        <f>IFERROR((VLOOKUP(TableTERanks33[[#This Row],[Player]],TE!B:O,5,FALSE)),"")</f>
        <v/>
      </c>
      <c r="AW87" s="83" t="str">
        <f>IFERROR((VLOOKUP(TableTERanks33[[#This Row],[Player]],TE!B:O,6,FALSE)),"")</f>
        <v/>
      </c>
      <c r="AX87" s="83" t="str">
        <f>IFERROR((VLOOKUP(TableTERanks33[[#This Row],[Player]],TE!B:O,7,FALSE)),"")</f>
        <v/>
      </c>
      <c r="AY87" s="57" t="str">
        <f>IFERROR((IFERROR(INDEX(TableTECalcPts[Custom],MATCH(TableTERanks33[[#This Row],[RK]],TableTECalcPts[RK],0)),"")),"")</f>
        <v/>
      </c>
      <c r="AZ87" s="125" t="str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/>
      </c>
    </row>
    <row r="88" spans="16:52" x14ac:dyDescent="0.2">
      <c r="P88">
        <v>87</v>
      </c>
      <c r="Q88" t="str">
        <f>IFERROR(INDEX(TableRBCalcPts[PLAYER],MATCH(TableRBRanks31[[#This Row],[RK]],TableRBCalcPts[RK],0)),"")</f>
        <v>Clyde Edwards-Helaire</v>
      </c>
      <c r="R88" t="str">
        <f>IFERROR(INDEX(TableRBCalcPts[TM],MATCH(TableRBRanks31[[#This Row],[Player]],TableRBCalcPts[PLAYER],0)),"")</f>
        <v>KC</v>
      </c>
      <c r="S88">
        <f>IFERROR(INDEX(TableRBCalcPts[BYE],MATCH(TableRBRanks31[[#This Row],[Player]],TableRBCalcPts[PLAYER],0)),"")</f>
        <v>6</v>
      </c>
      <c r="T88" s="83">
        <f>IFERROR((VLOOKUP(TableRBRanks31[[#This Row],[Player]],RB!B:O,4,FALSE)),"")</f>
        <v>19.750527999999999</v>
      </c>
      <c r="U88" s="83">
        <f>IFERROR((VLOOKUP(TableRBRanks31[[#This Row],[Player]],RB!B:O,5,FALSE)),"")</f>
        <v>80.661667049375268</v>
      </c>
      <c r="V88" s="83">
        <f>IFERROR((VLOOKUP(TableRBRanks31[[#This Row],[Player]],RB!B:O,6,FALSE)),"")</f>
        <v>0.61224123248061002</v>
      </c>
      <c r="W88" s="83">
        <f>IFERROR((VLOOKUP(TableRBRanks31[[#This Row],[Player]],RB!B:O,7,FALSE)),"")</f>
        <v>7.5640319999999992</v>
      </c>
      <c r="X88" s="83">
        <f>IFERROR((VLOOKUP(TableRBRanks31[[#This Row],[Player]],RB!B:O,8,FALSE)),"")</f>
        <v>5.3931548159999991</v>
      </c>
      <c r="Y88" s="83">
        <f>IFERROR((VLOOKUP(TableRBRanks31[[#This Row],[Player]],RB!B:O,9,FALSE)),"")</f>
        <v>39.639687897599991</v>
      </c>
      <c r="Z88" s="83">
        <f>IFERROR((VLOOKUP(TableRBRanks31[[#This Row],[Player]],RB!B:O,10,FALSE)),"")</f>
        <v>0.25887143116799999</v>
      </c>
      <c r="AA88" s="57">
        <f>IFERROR((IFERROR(INDEX(TableRBCalcPts[Custom],MATCH(TableRBRanks31[[#This Row],[RK]],TableRBCalcPts[RK],0)),"")),"")</f>
        <v>19.953388884589188</v>
      </c>
      <c r="AB88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88">
        <v>87</v>
      </c>
      <c r="AE88" t="str">
        <f>IFERROR(INDEX(TableWRCalcPts[PLAYER],MATCH(TableWRRanks32[[#This Row],[RK]],TableWRCalcPts[RK],0)),"")</f>
        <v>Nelson Agholor</v>
      </c>
      <c r="AF88" t="str">
        <f>IFERROR(INDEX(TableWRCalcPts[TM],MATCH(TableWRRanks32[[#This Row],[Player]],TableWRCalcPts[PLAYER],0)),"")</f>
        <v>BAL</v>
      </c>
      <c r="AG88">
        <f>IFERROR(INDEX(TableWRCalcPts[BYE],MATCH(TableWRRanks32[[#This Row],[Player]],TableWRCalcPts[PLAYER],0)),"")</f>
        <v>14</v>
      </c>
      <c r="AH88" s="83">
        <f>IFERROR((VLOOKUP(TableWRRanks32[[#This Row],[Player]],WR!B:O,4,FALSE)),"")</f>
        <v>0</v>
      </c>
      <c r="AI88" s="83">
        <f>IFERROR((VLOOKUP(TableWRRanks32[[#This Row],[Player]],WR!B:O,5,FALSE)),"")</f>
        <v>0</v>
      </c>
      <c r="AJ88" s="83">
        <f>IFERROR((VLOOKUP(TableWRRanks32[[#This Row],[Player]],WR!B:O,6,FALSE)),"")</f>
        <v>65.109922080000004</v>
      </c>
      <c r="AK88" s="83">
        <f>IFERROR((VLOOKUP(TableWRRanks32[[#This Row],[Player]],WR!B:O,7,FALSE)),"")</f>
        <v>40.30304176752</v>
      </c>
      <c r="AL88" s="83">
        <f>IFERROR((VLOOKUP(TableWRRanks32[[#This Row],[Player]],WR!B:O,8,FALSE)),"")</f>
        <v>486.05468371629121</v>
      </c>
      <c r="AM88" s="83">
        <f>IFERROR((VLOOKUP(TableWRRanks32[[#This Row],[Player]],WR!B:O,9,FALSE)),"")</f>
        <v>3.2645463831691202</v>
      </c>
      <c r="AN88" s="57">
        <f>IFERROR((IFERROR(INDEX(TableWRCalcPts[Custom],MATCH(TableWRRanks32[[#This Row],[RK]],TableWRCalcPts[RK],0)),"")),"")</f>
        <v>88.344267554403842</v>
      </c>
      <c r="AO88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88">
        <v>87</v>
      </c>
      <c r="AR88" t="str">
        <f>IFERROR(INDEX(TableTECalcPts[PLAYER],MATCH(TableTERanks33[[#This Row],[RK]],TableTECalcPts[RK],0)),"")</f>
        <v/>
      </c>
      <c r="AS88" t="str">
        <f>IFERROR(INDEX(TableTECalcPts[TM],MATCH(TableTERanks33[[#This Row],[Player]],TableTECalcPts[PLAYER],0)),"")</f>
        <v/>
      </c>
      <c r="AT88" t="str">
        <f>IFERROR(INDEX(TableTECalcPts[BYE],MATCH(TableTERanks33[[#This Row],[Player]],TableTECalcPts[PLAYER],0)),"")</f>
        <v/>
      </c>
      <c r="AU88" s="83" t="str">
        <f>IFERROR((VLOOKUP(TableTERanks33[[#This Row],[Player]],TE!B:O,4,FALSE)),"")</f>
        <v/>
      </c>
      <c r="AV88" s="83" t="str">
        <f>IFERROR((VLOOKUP(TableTERanks33[[#This Row],[Player]],TE!B:O,5,FALSE)),"")</f>
        <v/>
      </c>
      <c r="AW88" s="83" t="str">
        <f>IFERROR((VLOOKUP(TableTERanks33[[#This Row],[Player]],TE!B:O,6,FALSE)),"")</f>
        <v/>
      </c>
      <c r="AX88" s="83" t="str">
        <f>IFERROR((VLOOKUP(TableTERanks33[[#This Row],[Player]],TE!B:O,7,FALSE)),"")</f>
        <v/>
      </c>
      <c r="AY88" s="57" t="str">
        <f>IFERROR((IFERROR(INDEX(TableTECalcPts[Custom],MATCH(TableTERanks33[[#This Row],[RK]],TableTECalcPts[RK],0)),"")),"")</f>
        <v/>
      </c>
      <c r="AZ88" s="125" t="str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/>
      </c>
    </row>
    <row r="89" spans="16:52" x14ac:dyDescent="0.2">
      <c r="P89">
        <v>88</v>
      </c>
      <c r="Q89" t="str">
        <f>IFERROR(INDEX(TableRBCalcPts[PLAYER],MATCH(TableRBRanks31[[#This Row],[RK]],TableRBCalcPts[RK],0)),"")</f>
        <v>Craig Reynolds</v>
      </c>
      <c r="R89" t="str">
        <f>IFERROR(INDEX(TableRBCalcPts[TM],MATCH(TableRBRanks31[[#This Row],[Player]],TableRBCalcPts[PLAYER],0)),"")</f>
        <v>DET</v>
      </c>
      <c r="S89">
        <f>IFERROR(INDEX(TableRBCalcPts[BYE],MATCH(TableRBRanks31[[#This Row],[Player]],TableRBCalcPts[PLAYER],0)),"")</f>
        <v>5</v>
      </c>
      <c r="T89" s="83">
        <f>IFERROR((VLOOKUP(TableRBRanks31[[#This Row],[Player]],RB!B:O,4,FALSE)),"")</f>
        <v>22.355270000000004</v>
      </c>
      <c r="U89" s="83">
        <f>IFERROR((VLOOKUP(TableRBRanks31[[#This Row],[Player]],RB!B:O,5,FALSE)),"")</f>
        <v>91.301901101870072</v>
      </c>
      <c r="V89" s="83">
        <f>IFERROR((VLOOKUP(TableRBRanks31[[#This Row],[Player]],RB!B:O,6,FALSE)),"")</f>
        <v>0.77862843475032495</v>
      </c>
      <c r="W89" s="83">
        <f>IFERROR((VLOOKUP(TableRBRanks31[[#This Row],[Player]],RB!B:O,7,FALSE)),"")</f>
        <v>5.9267459999999996</v>
      </c>
      <c r="X89" s="83">
        <f>IFERROR((VLOOKUP(TableRBRanks31[[#This Row],[Player]],RB!B:O,8,FALSE)),"")</f>
        <v>4.1487221999999999</v>
      </c>
      <c r="Y89" s="83">
        <f>IFERROR((VLOOKUP(TableRBRanks31[[#This Row],[Player]],RB!B:O,9,FALSE)),"")</f>
        <v>31.22544280265268</v>
      </c>
      <c r="Z89" s="83">
        <f>IFERROR((VLOOKUP(TableRBRanks31[[#This Row],[Player]],RB!B:O,10,FALSE)),"")</f>
        <v>0.124461666</v>
      </c>
      <c r="AA89" s="57">
        <f>IFERROR((IFERROR(INDEX(TableRBCalcPts[Custom],MATCH(TableRBRanks31[[#This Row],[RK]],TableRBCalcPts[RK],0)),"")),"")</f>
        <v>19.745636094954225</v>
      </c>
      <c r="AB89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89">
        <v>88</v>
      </c>
      <c r="AE89" t="str">
        <f>IFERROR(INDEX(TableWRCalcPts[PLAYER],MATCH(TableWRRanks32[[#This Row],[RK]],TableWRCalcPts[RK],0)),"")</f>
        <v>Ray-Ray McCloud</v>
      </c>
      <c r="AF89" t="str">
        <f>IFERROR(INDEX(TableWRCalcPts[TM],MATCH(TableWRRanks32[[#This Row],[Player]],TableWRCalcPts[PLAYER],0)),"")</f>
        <v>ATL</v>
      </c>
      <c r="AG89">
        <f>IFERROR(INDEX(TableWRCalcPts[BYE],MATCH(TableWRRanks32[[#This Row],[Player]],TableWRCalcPts[PLAYER],0)),"")</f>
        <v>12</v>
      </c>
      <c r="AH89" s="83">
        <f>IFERROR((VLOOKUP(TableWRRanks32[[#This Row],[Player]],WR!B:O,4,FALSE)),"")</f>
        <v>0</v>
      </c>
      <c r="AI89" s="83">
        <f>IFERROR((VLOOKUP(TableWRRanks32[[#This Row],[Player]],WR!B:O,5,FALSE)),"")</f>
        <v>0</v>
      </c>
      <c r="AJ89" s="83">
        <f>IFERROR((VLOOKUP(TableWRRanks32[[#This Row],[Player]],WR!B:O,6,FALSE)),"")</f>
        <v>62.114532479999994</v>
      </c>
      <c r="AK89" s="83">
        <f>IFERROR((VLOOKUP(TableWRRanks32[[#This Row],[Player]],WR!B:O,7,FALSE)),"")</f>
        <v>44.039203528319995</v>
      </c>
      <c r="AL89" s="83">
        <f>IFERROR((VLOOKUP(TableWRRanks32[[#This Row],[Player]],WR!B:O,8,FALSE)),"")</f>
        <v>445.29635845007732</v>
      </c>
      <c r="AM89" s="83">
        <f>IFERROR((VLOOKUP(TableWRRanks32[[#This Row],[Player]],WR!B:O,9,FALSE)),"")</f>
        <v>2.9466040126420627</v>
      </c>
      <c r="AN89" s="57">
        <f>IFERROR((IFERROR(INDEX(TableWRCalcPts[Custom],MATCH(TableWRRanks32[[#This Row],[RK]],TableWRCalcPts[RK],0)),"")),"")</f>
        <v>84.228861685020107</v>
      </c>
      <c r="AO89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89">
        <v>88</v>
      </c>
      <c r="AR89" t="str">
        <f>IFERROR(INDEX(TableTECalcPts[PLAYER],MATCH(TableTERanks33[[#This Row],[RK]],TableTECalcPts[RK],0)),"")</f>
        <v/>
      </c>
      <c r="AS89" t="str">
        <f>IFERROR(INDEX(TableTECalcPts[TM],MATCH(TableTERanks33[[#This Row],[Player]],TableTECalcPts[PLAYER],0)),"")</f>
        <v/>
      </c>
      <c r="AT89" t="str">
        <f>IFERROR(INDEX(TableTECalcPts[BYE],MATCH(TableTERanks33[[#This Row],[Player]],TableTECalcPts[PLAYER],0)),"")</f>
        <v/>
      </c>
      <c r="AU89" s="83" t="str">
        <f>IFERROR((VLOOKUP(TableTERanks33[[#This Row],[Player]],TE!B:O,4,FALSE)),"")</f>
        <v/>
      </c>
      <c r="AV89" s="83" t="str">
        <f>IFERROR((VLOOKUP(TableTERanks33[[#This Row],[Player]],TE!B:O,5,FALSE)),"")</f>
        <v/>
      </c>
      <c r="AW89" s="83" t="str">
        <f>IFERROR((VLOOKUP(TableTERanks33[[#This Row],[Player]],TE!B:O,6,FALSE)),"")</f>
        <v/>
      </c>
      <c r="AX89" s="83" t="str">
        <f>IFERROR((VLOOKUP(TableTERanks33[[#This Row],[Player]],TE!B:O,7,FALSE)),"")</f>
        <v/>
      </c>
      <c r="AY89" s="57" t="str">
        <f>IFERROR((IFERROR(INDEX(TableTECalcPts[Custom],MATCH(TableTERanks33[[#This Row],[RK]],TableTECalcPts[RK],0)),"")),"")</f>
        <v/>
      </c>
      <c r="AZ89" s="125" t="str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/>
      </c>
    </row>
    <row r="90" spans="16:52" x14ac:dyDescent="0.2">
      <c r="P90">
        <v>89</v>
      </c>
      <c r="Q90" t="str">
        <f>IFERROR(INDEX(TableRBCalcPts[PLAYER],MATCH(TableRBRanks31[[#This Row],[RK]],TableRBCalcPts[RK],0)),"")</f>
        <v>JaMycal Hasty</v>
      </c>
      <c r="R90" t="str">
        <f>IFERROR(INDEX(TableRBCalcPts[TM],MATCH(TableRBRanks31[[#This Row],[Player]],TableRBCalcPts[PLAYER],0)),"")</f>
        <v>NE</v>
      </c>
      <c r="S90">
        <f>IFERROR(INDEX(TableRBCalcPts[BYE],MATCH(TableRBRanks31[[#This Row],[Player]],TableRBCalcPts[PLAYER],0)),"")</f>
        <v>14</v>
      </c>
      <c r="T90" s="83">
        <f>IFERROR((VLOOKUP(TableRBRanks31[[#This Row],[Player]],RB!B:O,4,FALSE)),"")</f>
        <v>24.776591280000002</v>
      </c>
      <c r="U90" s="83">
        <f>IFERROR((VLOOKUP(TableRBRanks31[[#This Row],[Player]],RB!B:O,5,FALSE)),"")</f>
        <v>102.29767373781746</v>
      </c>
      <c r="V90" s="83">
        <f>IFERROR((VLOOKUP(TableRBRanks31[[#This Row],[Player]],RB!B:O,6,FALSE)),"")</f>
        <v>0.64419137327999998</v>
      </c>
      <c r="W90" s="83">
        <f>IFERROR((VLOOKUP(TableRBRanks31[[#This Row],[Player]],RB!B:O,7,FALSE)),"")</f>
        <v>5.6688295999999996</v>
      </c>
      <c r="X90" s="83">
        <f>IFERROR((VLOOKUP(TableRBRanks31[[#This Row],[Player]],RB!B:O,8,FALSE)),"")</f>
        <v>3.8377976391999993</v>
      </c>
      <c r="Y90" s="83">
        <f>IFERROR((VLOOKUP(TableRBRanks31[[#This Row],[Player]],RB!B:O,9,FALSE)),"")</f>
        <v>30.333603042931895</v>
      </c>
      <c r="Z90" s="83">
        <f>IFERROR((VLOOKUP(TableRBRanks31[[#This Row],[Player]],RB!B:O,10,FALSE)),"")</f>
        <v>0.11513392917599997</v>
      </c>
      <c r="AA90" s="57">
        <f>IFERROR((IFERROR(INDEX(TableRBCalcPts[Custom],MATCH(TableRBRanks31[[#This Row],[RK]],TableRBCalcPts[RK],0)),"")),"")</f>
        <v>19.737978312410934</v>
      </c>
      <c r="AB90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90">
        <v>89</v>
      </c>
      <c r="AE90" t="str">
        <f>IFERROR(INDEX(TableWRCalcPts[PLAYER],MATCH(TableWRRanks32[[#This Row],[RK]],TableWRCalcPts[RK],0)),"")</f>
        <v>Tyler Boyd</v>
      </c>
      <c r="AF90" t="str">
        <f>IFERROR(INDEX(TableWRCalcPts[TM],MATCH(TableWRRanks32[[#This Row],[Player]],TableWRCalcPts[PLAYER],0)),"")</f>
        <v>TEN</v>
      </c>
      <c r="AG90">
        <f>IFERROR(INDEX(TableWRCalcPts[BYE],MATCH(TableWRRanks32[[#This Row],[Player]],TableWRCalcPts[PLAYER],0)),"")</f>
        <v>5</v>
      </c>
      <c r="AH90" s="83">
        <f>IFERROR((VLOOKUP(TableWRRanks32[[#This Row],[Player]],WR!B:O,4,FALSE)),"")</f>
        <v>0</v>
      </c>
      <c r="AI90" s="83">
        <f>IFERROR((VLOOKUP(TableWRRanks32[[#This Row],[Player]],WR!B:O,5,FALSE)),"")</f>
        <v>0</v>
      </c>
      <c r="AJ90" s="83">
        <f>IFERROR((VLOOKUP(TableWRRanks32[[#This Row],[Player]],WR!B:O,6,FALSE)),"")</f>
        <v>65.366610539999996</v>
      </c>
      <c r="AK90" s="83">
        <f>IFERROR((VLOOKUP(TableWRRanks32[[#This Row],[Player]],WR!B:O,7,FALSE)),"")</f>
        <v>40.8541315875</v>
      </c>
      <c r="AL90" s="83">
        <f>IFERROR((VLOOKUP(TableWRRanks32[[#This Row],[Player]],WR!B:O,8,FALSE)),"")</f>
        <v>466.55418272924999</v>
      </c>
      <c r="AM90" s="83">
        <f>IFERROR((VLOOKUP(TableWRRanks32[[#This Row],[Player]],WR!B:O,9,FALSE)),"")</f>
        <v>2.4122013247784739</v>
      </c>
      <c r="AN90" s="57">
        <f>IFERROR((IFERROR(INDEX(TableWRCalcPts[Custom],MATCH(TableWRRanks32[[#This Row],[RK]],TableWRCalcPts[RK],0)),"")),"")</f>
        <v>81.555692015345855</v>
      </c>
      <c r="AO90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90">
        <v>89</v>
      </c>
      <c r="AR90" t="str">
        <f>IFERROR(INDEX(TableTECalcPts[PLAYER],MATCH(TableTERanks33[[#This Row],[RK]],TableTECalcPts[RK],0)),"")</f>
        <v/>
      </c>
      <c r="AS90" t="str">
        <f>IFERROR(INDEX(TableTECalcPts[TM],MATCH(TableTERanks33[[#This Row],[Player]],TableTECalcPts[PLAYER],0)),"")</f>
        <v/>
      </c>
      <c r="AT90" t="str">
        <f>IFERROR(INDEX(TableTECalcPts[BYE],MATCH(TableTERanks33[[#This Row],[Player]],TableTECalcPts[PLAYER],0)),"")</f>
        <v/>
      </c>
      <c r="AU90" s="83" t="str">
        <f>IFERROR((VLOOKUP(TableTERanks33[[#This Row],[Player]],TE!B:O,4,FALSE)),"")</f>
        <v/>
      </c>
      <c r="AV90" s="83" t="str">
        <f>IFERROR((VLOOKUP(TableTERanks33[[#This Row],[Player]],TE!B:O,5,FALSE)),"")</f>
        <v/>
      </c>
      <c r="AW90" s="83" t="str">
        <f>IFERROR((VLOOKUP(TableTERanks33[[#This Row],[Player]],TE!B:O,6,FALSE)),"")</f>
        <v/>
      </c>
      <c r="AX90" s="83" t="str">
        <f>IFERROR((VLOOKUP(TableTERanks33[[#This Row],[Player]],TE!B:O,7,FALSE)),"")</f>
        <v/>
      </c>
      <c r="AY90" s="57" t="str">
        <f>IFERROR((IFERROR(INDEX(TableTECalcPts[Custom],MATCH(TableTERanks33[[#This Row],[RK]],TableTECalcPts[RK],0)),"")),"")</f>
        <v/>
      </c>
      <c r="AZ90" s="125" t="str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/>
      </c>
    </row>
    <row r="91" spans="16:52" x14ac:dyDescent="0.2">
      <c r="P91">
        <v>90</v>
      </c>
      <c r="Q91" t="str">
        <f>IFERROR(INDEX(TableRBCalcPts[PLAYER],MATCH(TableRBRanks31[[#This Row],[RK]],TableRBCalcPts[RK],0)),"")</f>
        <v>Pierre Strong</v>
      </c>
      <c r="R91" t="str">
        <f>IFERROR(INDEX(TableRBCalcPts[TM],MATCH(TableRBRanks31[[#This Row],[Player]],TableRBCalcPts[PLAYER],0)),"")</f>
        <v>CLE</v>
      </c>
      <c r="S91">
        <f>IFERROR(INDEX(TableRBCalcPts[BYE],MATCH(TableRBRanks31[[#This Row],[Player]],TableRBCalcPts[PLAYER],0)),"")</f>
        <v>10</v>
      </c>
      <c r="T91" s="83">
        <f>IFERROR((VLOOKUP(TableRBRanks31[[#This Row],[Player]],RB!B:O,4,FALSE)),"")</f>
        <v>12.1611875</v>
      </c>
      <c r="U91" s="83">
        <f>IFERROR((VLOOKUP(TableRBRanks31[[#This Row],[Player]],RB!B:O,5,FALSE)),"")</f>
        <v>50.833763749999996</v>
      </c>
      <c r="V91" s="83">
        <f>IFERROR((VLOOKUP(TableRBRanks31[[#This Row],[Player]],RB!B:O,6,FALSE)),"")</f>
        <v>0.42564156250000007</v>
      </c>
      <c r="W91" s="83">
        <f>IFERROR((VLOOKUP(TableRBRanks31[[#This Row],[Player]],RB!B:O,7,FALSE)),"")</f>
        <v>10.215397499999996</v>
      </c>
      <c r="X91" s="83">
        <f>IFERROR((VLOOKUP(TableRBRanks31[[#This Row],[Player]],RB!B:O,8,FALSE)),"")</f>
        <v>7.3550861999999997</v>
      </c>
      <c r="Y91" s="83">
        <f>IFERROR((VLOOKUP(TableRBRanks31[[#This Row],[Player]],RB!B:O,9,FALSE)),"")</f>
        <v>53.986332707999999</v>
      </c>
      <c r="Z91" s="83">
        <f>IFERROR((VLOOKUP(TableRBRanks31[[#This Row],[Player]],RB!B:O,10,FALSE)),"")</f>
        <v>0.27213818939999995</v>
      </c>
      <c r="AA91" s="57">
        <f>IFERROR((IFERROR(INDEX(TableRBCalcPts[Custom],MATCH(TableRBRanks31[[#This Row],[RK]],TableRBCalcPts[RK],0)),"")),"")</f>
        <v>18.346231257200003</v>
      </c>
      <c r="AB91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91">
        <v>90</v>
      </c>
      <c r="AE91" t="str">
        <f>IFERROR(INDEX(TableWRCalcPts[PLAYER],MATCH(TableWRRanks32[[#This Row],[RK]],TableWRCalcPts[RK],0)),"")</f>
        <v>Jalin Hyatt</v>
      </c>
      <c r="AF91" t="str">
        <f>IFERROR(INDEX(TableWRCalcPts[TM],MATCH(TableWRRanks32[[#This Row],[Player]],TableWRCalcPts[PLAYER],0)),"")</f>
        <v>NYG</v>
      </c>
      <c r="AG91">
        <f>IFERROR(INDEX(TableWRCalcPts[BYE],MATCH(TableWRRanks32[[#This Row],[Player]],TableWRCalcPts[PLAYER],0)),"")</f>
        <v>11</v>
      </c>
      <c r="AH91" s="83">
        <f>IFERROR((VLOOKUP(TableWRRanks32[[#This Row],[Player]],WR!B:O,4,FALSE)),"")</f>
        <v>0</v>
      </c>
      <c r="AI91" s="83">
        <f>IFERROR((VLOOKUP(TableWRRanks32[[#This Row],[Player]],WR!B:O,5,FALSE)),"")</f>
        <v>0</v>
      </c>
      <c r="AJ91" s="83">
        <f>IFERROR((VLOOKUP(TableWRRanks32[[#This Row],[Player]],WR!B:O,6,FALSE)),"")</f>
        <v>67.08830687999999</v>
      </c>
      <c r="AK91" s="83">
        <f>IFERROR((VLOOKUP(TableWRRanks32[[#This Row],[Player]],WR!B:O,7,FALSE)),"")</f>
        <v>37.636540159680003</v>
      </c>
      <c r="AL91" s="83">
        <f>IFERROR((VLOOKUP(TableWRRanks32[[#This Row],[Player]],WR!B:O,8,FALSE)),"")</f>
        <v>477.23132922474241</v>
      </c>
      <c r="AM91" s="83">
        <f>IFERROR((VLOOKUP(TableWRRanks32[[#This Row],[Player]],WR!B:O,9,FALSE)),"")</f>
        <v>2.0498016274716777</v>
      </c>
      <c r="AN91" s="57">
        <f>IFERROR((IFERROR(INDEX(TableWRCalcPts[Custom],MATCH(TableWRRanks32[[#This Row],[RK]],TableWRCalcPts[RK],0)),"")),"")</f>
        <v>78.840212767144308</v>
      </c>
      <c r="AO91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91">
        <v>90</v>
      </c>
      <c r="AR91" t="str">
        <f>IFERROR(INDEX(TableTECalcPts[PLAYER],MATCH(TableTERanks33[[#This Row],[RK]],TableTECalcPts[RK],0)),"")</f>
        <v/>
      </c>
      <c r="AS91" t="str">
        <f>IFERROR(INDEX(TableTECalcPts[TM],MATCH(TableTERanks33[[#This Row],[Player]],TableTECalcPts[PLAYER],0)),"")</f>
        <v/>
      </c>
      <c r="AT91" t="str">
        <f>IFERROR(INDEX(TableTECalcPts[BYE],MATCH(TableTERanks33[[#This Row],[Player]],TableTECalcPts[PLAYER],0)),"")</f>
        <v/>
      </c>
      <c r="AU91" s="83" t="str">
        <f>IFERROR((VLOOKUP(TableTERanks33[[#This Row],[Player]],TE!B:O,4,FALSE)),"")</f>
        <v/>
      </c>
      <c r="AV91" s="83" t="str">
        <f>IFERROR((VLOOKUP(TableTERanks33[[#This Row],[Player]],TE!B:O,5,FALSE)),"")</f>
        <v/>
      </c>
      <c r="AW91" s="83" t="str">
        <f>IFERROR((VLOOKUP(TableTERanks33[[#This Row],[Player]],TE!B:O,6,FALSE)),"")</f>
        <v/>
      </c>
      <c r="AX91" s="83" t="str">
        <f>IFERROR((VLOOKUP(TableTERanks33[[#This Row],[Player]],TE!B:O,7,FALSE)),"")</f>
        <v/>
      </c>
      <c r="AY91" s="57" t="str">
        <f>IFERROR((IFERROR(INDEX(TableTECalcPts[Custom],MATCH(TableTERanks33[[#This Row],[RK]],TableTECalcPts[RK],0)),"")),"")</f>
        <v/>
      </c>
      <c r="AZ91" s="125" t="str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/>
      </c>
    </row>
    <row r="92" spans="16:52" x14ac:dyDescent="0.2">
      <c r="P92">
        <v>91</v>
      </c>
      <c r="Q92" t="str">
        <f>IFERROR(INDEX(TableRBCalcPts[PLAYER],MATCH(TableRBRanks31[[#This Row],[RK]],TableRBCalcPts[RK],0)),"")</f>
        <v>Israel Abanikanda</v>
      </c>
      <c r="R92" t="str">
        <f>IFERROR(INDEX(TableRBCalcPts[TM],MATCH(TableRBRanks31[[#This Row],[Player]],TableRBCalcPts[PLAYER],0)),"")</f>
        <v>NYJ</v>
      </c>
      <c r="S92">
        <f>IFERROR(INDEX(TableRBCalcPts[BYE],MATCH(TableRBRanks31[[#This Row],[Player]],TableRBCalcPts[PLAYER],0)),"")</f>
        <v>12</v>
      </c>
      <c r="T92" s="83">
        <f>IFERROR((VLOOKUP(TableRBRanks31[[#This Row],[Player]],RB!B:O,4,FALSE)),"")</f>
        <v>5.3201769600000004</v>
      </c>
      <c r="U92" s="83">
        <f>IFERROR((VLOOKUP(TableRBRanks31[[#This Row],[Player]],RB!B:O,5,FALSE)),"")</f>
        <v>22.368904886622271</v>
      </c>
      <c r="V92" s="83">
        <f>IFERROR((VLOOKUP(TableRBRanks31[[#This Row],[Player]],RB!B:O,6,FALSE)),"")</f>
        <v>0.17102881786759588</v>
      </c>
      <c r="W92" s="83">
        <f>IFERROR((VLOOKUP(TableRBRanks31[[#This Row],[Player]],RB!B:O,7,FALSE)),"")</f>
        <v>11.850238399999997</v>
      </c>
      <c r="X92" s="83">
        <f>IFERROR((VLOOKUP(TableRBRanks31[[#This Row],[Player]],RB!B:O,8,FALSE)),"")</f>
        <v>9.5157414351999936</v>
      </c>
      <c r="Y92" s="83">
        <f>IFERROR((VLOOKUP(TableRBRanks31[[#This Row],[Player]],RB!B:O,9,FALSE)),"")</f>
        <v>69.138545913661048</v>
      </c>
      <c r="Z92" s="83">
        <f>IFERROR((VLOOKUP(TableRBRanks31[[#This Row],[Player]],RB!B:O,10,FALSE)),"")</f>
        <v>0.41330692324283663</v>
      </c>
      <c r="AA92" s="57">
        <f>IFERROR((IFERROR(INDEX(TableRBCalcPts[Custom],MATCH(TableRBRanks31[[#This Row],[RK]],TableRBCalcPts[RK],0)),"")),"")</f>
        <v>17.414630244290926</v>
      </c>
      <c r="AB92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92">
        <v>91</v>
      </c>
      <c r="AE92" t="str">
        <f>IFERROR(INDEX(TableWRCalcPts[PLAYER],MATCH(TableWRRanks32[[#This Row],[RK]],TableWRCalcPts[RK],0)),"")</f>
        <v>Troy Franklin</v>
      </c>
      <c r="AF92" t="str">
        <f>IFERROR(INDEX(TableWRCalcPts[TM],MATCH(TableWRRanks32[[#This Row],[Player]],TableWRCalcPts[PLAYER],0)),"")</f>
        <v>DEN</v>
      </c>
      <c r="AG92">
        <f>IFERROR(INDEX(TableWRCalcPts[BYE],MATCH(TableWRRanks32[[#This Row],[Player]],TableWRCalcPts[PLAYER],0)),"")</f>
        <v>14</v>
      </c>
      <c r="AH92" s="83">
        <f>IFERROR((VLOOKUP(TableWRRanks32[[#This Row],[Player]],WR!B:O,4,FALSE)),"")</f>
        <v>0</v>
      </c>
      <c r="AI92" s="83">
        <f>IFERROR((VLOOKUP(TableWRRanks32[[#This Row],[Player]],WR!B:O,5,FALSE)),"")</f>
        <v>0</v>
      </c>
      <c r="AJ92" s="83">
        <f>IFERROR((VLOOKUP(TableWRRanks32[[#This Row],[Player]],WR!B:O,6,FALSE)),"")</f>
        <v>59.094536783919587</v>
      </c>
      <c r="AK92" s="83">
        <f>IFERROR((VLOOKUP(TableWRRanks32[[#This Row],[Player]],WR!B:O,7,FALSE)),"")</f>
        <v>34.688493092160797</v>
      </c>
      <c r="AL92" s="83">
        <f>IFERROR((VLOOKUP(TableWRRanks32[[#This Row],[Player]],WR!B:O,8,FALSE)),"")</f>
        <v>459.27564854020898</v>
      </c>
      <c r="AM92" s="83">
        <f>IFERROR((VLOOKUP(TableWRRanks32[[#This Row],[Player]],WR!B:O,9,FALSE)),"")</f>
        <v>2.4281945164512559</v>
      </c>
      <c r="AN92" s="57">
        <f>IFERROR((IFERROR(INDEX(TableWRCalcPts[Custom],MATCH(TableWRRanks32[[#This Row],[RK]],TableWRCalcPts[RK],0)),"")),"")</f>
        <v>77.840978498808838</v>
      </c>
      <c r="AO92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92">
        <v>91</v>
      </c>
      <c r="AR92" t="str">
        <f>IFERROR(INDEX(TableTECalcPts[PLAYER],MATCH(TableTERanks33[[#This Row],[RK]],TableTECalcPts[RK],0)),"")</f>
        <v/>
      </c>
      <c r="AS92" t="str">
        <f>IFERROR(INDEX(TableTECalcPts[TM],MATCH(TableTERanks33[[#This Row],[Player]],TableTECalcPts[PLAYER],0)),"")</f>
        <v/>
      </c>
      <c r="AT92" t="str">
        <f>IFERROR(INDEX(TableTECalcPts[BYE],MATCH(TableTERanks33[[#This Row],[Player]],TableTECalcPts[PLAYER],0)),"")</f>
        <v/>
      </c>
      <c r="AU92" s="83" t="str">
        <f>IFERROR((VLOOKUP(TableTERanks33[[#This Row],[Player]],TE!B:O,4,FALSE)),"")</f>
        <v/>
      </c>
      <c r="AV92" s="83" t="str">
        <f>IFERROR((VLOOKUP(TableTERanks33[[#This Row],[Player]],TE!B:O,5,FALSE)),"")</f>
        <v/>
      </c>
      <c r="AW92" s="83" t="str">
        <f>IFERROR((VLOOKUP(TableTERanks33[[#This Row],[Player]],TE!B:O,6,FALSE)),"")</f>
        <v/>
      </c>
      <c r="AX92" s="83" t="str">
        <f>IFERROR((VLOOKUP(TableTERanks33[[#This Row],[Player]],TE!B:O,7,FALSE)),"")</f>
        <v/>
      </c>
      <c r="AY92" s="57" t="str">
        <f>IFERROR((IFERROR(INDEX(TableTECalcPts[Custom],MATCH(TableTERanks33[[#This Row],[RK]],TableTECalcPts[RK],0)),"")),"")</f>
        <v/>
      </c>
      <c r="AZ92" s="125" t="str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/>
      </c>
    </row>
    <row r="93" spans="16:52" x14ac:dyDescent="0.2">
      <c r="P93">
        <v>92</v>
      </c>
      <c r="Q93" t="str">
        <f>IFERROR(INDEX(TableRBCalcPts[PLAYER],MATCH(TableRBRanks31[[#This Row],[RK]],TableRBCalcPts[RK],0)),"")</f>
        <v>Keillan Robinson</v>
      </c>
      <c r="R93" t="str">
        <f>IFERROR(INDEX(TableRBCalcPts[TM],MATCH(TableRBRanks31[[#This Row],[Player]],TableRBCalcPts[PLAYER],0)),"")</f>
        <v>JAX</v>
      </c>
      <c r="S93">
        <f>IFERROR(INDEX(TableRBCalcPts[BYE],MATCH(TableRBRanks31[[#This Row],[Player]],TableRBCalcPts[PLAYER],0)),"")</f>
        <v>12</v>
      </c>
      <c r="T93" s="83">
        <f>IFERROR((VLOOKUP(TableRBRanks31[[#This Row],[Player]],RB!B:O,4,FALSE)),"")</f>
        <v>8.6145528000000002</v>
      </c>
      <c r="U93" s="83">
        <f>IFERROR((VLOOKUP(TableRBRanks31[[#This Row],[Player]],RB!B:O,5,FALSE)),"")</f>
        <v>34.716647784000003</v>
      </c>
      <c r="V93" s="83">
        <f>IFERROR((VLOOKUP(TableRBRanks31[[#This Row],[Player]],RB!B:O,6,FALSE)),"")</f>
        <v>0.26705113680000003</v>
      </c>
      <c r="W93" s="83">
        <f>IFERROR((VLOOKUP(TableRBRanks31[[#This Row],[Player]],RB!B:O,7,FALSE)),"")</f>
        <v>11.441654839999998</v>
      </c>
      <c r="X93" s="83">
        <f>IFERROR((VLOOKUP(TableRBRanks31[[#This Row],[Player]],RB!B:O,8,FALSE)),"")</f>
        <v>8.4668245815999992</v>
      </c>
      <c r="Y93" s="83">
        <f>IFERROR((VLOOKUP(TableRBRanks31[[#This Row],[Player]],RB!B:O,9,FALSE)),"")</f>
        <v>59.860449791911996</v>
      </c>
      <c r="Z93" s="83">
        <f>IFERROR((VLOOKUP(TableRBRanks31[[#This Row],[Player]],RB!B:O,10,FALSE)),"")</f>
        <v>0.25400473744799995</v>
      </c>
      <c r="AA93" s="57">
        <f>IFERROR((IFERROR(INDEX(TableRBCalcPts[Custom],MATCH(TableRBRanks31[[#This Row],[RK]],TableRBCalcPts[RK],0)),"")),"")</f>
        <v>16.817457293879201</v>
      </c>
      <c r="AB93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93">
        <v>92</v>
      </c>
      <c r="AE93" t="str">
        <f>IFERROR(INDEX(TableWRCalcPts[PLAYER],MATCH(TableWRRanks32[[#This Row],[RK]],TableWRCalcPts[RK],0)),"")</f>
        <v>Kalif Raymond</v>
      </c>
      <c r="AF93" t="str">
        <f>IFERROR(INDEX(TableWRCalcPts[TM],MATCH(TableWRRanks32[[#This Row],[Player]],TableWRCalcPts[PLAYER],0)),"")</f>
        <v>DET</v>
      </c>
      <c r="AG93">
        <f>IFERROR(INDEX(TableWRCalcPts[BYE],MATCH(TableWRRanks32[[#This Row],[Player]],TableWRCalcPts[PLAYER],0)),"")</f>
        <v>5</v>
      </c>
      <c r="AH93" s="83">
        <f>IFERROR((VLOOKUP(TableWRRanks32[[#This Row],[Player]],WR!B:O,4,FALSE)),"")</f>
        <v>0</v>
      </c>
      <c r="AI93" s="83">
        <f>IFERROR((VLOOKUP(TableWRRanks32[[#This Row],[Player]],WR!B:O,5,FALSE)),"")</f>
        <v>0</v>
      </c>
      <c r="AJ93" s="83">
        <f>IFERROR((VLOOKUP(TableWRRanks32[[#This Row],[Player]],WR!B:O,6,FALSE)),"")</f>
        <v>50.377341000000001</v>
      </c>
      <c r="AK93" s="83">
        <f>IFERROR((VLOOKUP(TableWRRanks32[[#This Row],[Player]],WR!B:O,7,FALSE)),"")</f>
        <v>35.465648063999993</v>
      </c>
      <c r="AL93" s="83">
        <f>IFERROR((VLOOKUP(TableWRRanks32[[#This Row],[Player]],WR!B:O,8,FALSE)),"")</f>
        <v>425.48505462750603</v>
      </c>
      <c r="AM93" s="83">
        <f>IFERROR((VLOOKUP(TableWRRanks32[[#This Row],[Player]],WR!B:O,9,FALSE)),"")</f>
        <v>2.5889923086719993</v>
      </c>
      <c r="AN93" s="57">
        <f>IFERROR((IFERROR(INDEX(TableWRCalcPts[Custom],MATCH(TableWRRanks32[[#This Row],[RK]],TableWRCalcPts[RK],0)),"")),"")</f>
        <v>75.815283346782593</v>
      </c>
      <c r="AO93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93">
        <v>92</v>
      </c>
      <c r="AR93" t="str">
        <f>IFERROR(INDEX(TableTECalcPts[PLAYER],MATCH(TableTERanks33[[#This Row],[RK]],TableTECalcPts[RK],0)),"")</f>
        <v/>
      </c>
      <c r="AS93" t="str">
        <f>IFERROR(INDEX(TableTECalcPts[TM],MATCH(TableTERanks33[[#This Row],[Player]],TableTECalcPts[PLAYER],0)),"")</f>
        <v/>
      </c>
      <c r="AT93" t="str">
        <f>IFERROR(INDEX(TableTECalcPts[BYE],MATCH(TableTERanks33[[#This Row],[Player]],TableTECalcPts[PLAYER],0)),"")</f>
        <v/>
      </c>
      <c r="AU93" s="83" t="str">
        <f>IFERROR((VLOOKUP(TableTERanks33[[#This Row],[Player]],TE!B:O,4,FALSE)),"")</f>
        <v/>
      </c>
      <c r="AV93" s="83" t="str">
        <f>IFERROR((VLOOKUP(TableTERanks33[[#This Row],[Player]],TE!B:O,5,FALSE)),"")</f>
        <v/>
      </c>
      <c r="AW93" s="83" t="str">
        <f>IFERROR((VLOOKUP(TableTERanks33[[#This Row],[Player]],TE!B:O,6,FALSE)),"")</f>
        <v/>
      </c>
      <c r="AX93" s="83" t="str">
        <f>IFERROR((VLOOKUP(TableTERanks33[[#This Row],[Player]],TE!B:O,7,FALSE)),"")</f>
        <v/>
      </c>
      <c r="AY93" s="57" t="str">
        <f>IFERROR((IFERROR(INDEX(TableTECalcPts[Custom],MATCH(TableTERanks33[[#This Row],[RK]],TableTECalcPts[RK],0)),"")),"")</f>
        <v/>
      </c>
      <c r="AZ93" s="125" t="str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/>
      </c>
    </row>
    <row r="94" spans="16:52" x14ac:dyDescent="0.2">
      <c r="P94">
        <v>93</v>
      </c>
      <c r="Q94" t="str">
        <f>IFERROR(INDEX(TableRBCalcPts[PLAYER],MATCH(TableRBRanks31[[#This Row],[RK]],TableRBCalcPts[RK],0)),"")</f>
        <v>Hassan Haskins</v>
      </c>
      <c r="R94" t="str">
        <f>IFERROR(INDEX(TableRBCalcPts[TM],MATCH(TableRBRanks31[[#This Row],[Player]],TableRBCalcPts[PLAYER],0)),"")</f>
        <v>TEN</v>
      </c>
      <c r="S94">
        <f>IFERROR(INDEX(TableRBCalcPts[BYE],MATCH(TableRBRanks31[[#This Row],[Player]],TableRBCalcPts[PLAYER],0)),"")</f>
        <v>5</v>
      </c>
      <c r="T94" s="83">
        <f>IFERROR((VLOOKUP(TableRBRanks31[[#This Row],[Player]],RB!B:O,4,FALSE)),"")</f>
        <v>12.722232600000002</v>
      </c>
      <c r="U94" s="83">
        <f>IFERROR((VLOOKUP(TableRBRanks31[[#This Row],[Player]],RB!B:O,5,FALSE)),"")</f>
        <v>51.173623511287431</v>
      </c>
      <c r="V94" s="83">
        <f>IFERROR((VLOOKUP(TableRBRanks31[[#This Row],[Player]],RB!B:O,6,FALSE)),"")</f>
        <v>0.41533032922111501</v>
      </c>
      <c r="W94" s="83">
        <f>IFERROR((VLOOKUP(TableRBRanks31[[#This Row],[Player]],RB!B:O,7,FALSE)),"")</f>
        <v>8.6769836999999992</v>
      </c>
      <c r="X94" s="83">
        <f>IFERROR((VLOOKUP(TableRBRanks31[[#This Row],[Player]],RB!B:O,8,FALSE)),"")</f>
        <v>5.8569639974999994</v>
      </c>
      <c r="Y94" s="83">
        <f>IFERROR((VLOOKUP(TableRBRanks31[[#This Row],[Player]],RB!B:O,9,FALSE)),"")</f>
        <v>43.243540584677085</v>
      </c>
      <c r="Z94" s="83">
        <f>IFERROR((VLOOKUP(TableRBRanks31[[#This Row],[Player]],RB!B:O,10,FALSE)),"")</f>
        <v>0.1314787301101748</v>
      </c>
      <c r="AA94" s="57">
        <f>IFERROR((IFERROR(INDEX(TableRBCalcPts[Custom],MATCH(TableRBRanks31[[#This Row],[RK]],TableRBCalcPts[RK],0)),"")),"")</f>
        <v>15.651052764334191</v>
      </c>
      <c r="AB94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94">
        <v>93</v>
      </c>
      <c r="AE94" t="str">
        <f>IFERROR(INDEX(TableWRCalcPts[PLAYER],MATCH(TableWRRanks32[[#This Row],[RK]],TableWRCalcPts[RK],0)),"")</f>
        <v>DJ Chark</v>
      </c>
      <c r="AF94" t="str">
        <f>IFERROR(INDEX(TableWRCalcPts[TM],MATCH(TableWRRanks32[[#This Row],[Player]],TableWRCalcPts[PLAYER],0)),"")</f>
        <v>LAC</v>
      </c>
      <c r="AG94">
        <f>IFERROR(INDEX(TableWRCalcPts[BYE],MATCH(TableWRRanks32[[#This Row],[Player]],TableWRCalcPts[PLAYER],0)),"")</f>
        <v>5</v>
      </c>
      <c r="AH94" s="83">
        <f>IFERROR((VLOOKUP(TableWRRanks32[[#This Row],[Player]],WR!B:O,4,FALSE)),"")</f>
        <v>0</v>
      </c>
      <c r="AI94" s="83">
        <f>IFERROR((VLOOKUP(TableWRRanks32[[#This Row],[Player]],WR!B:O,5,FALSE)),"")</f>
        <v>0</v>
      </c>
      <c r="AJ94" s="83">
        <f>IFERROR((VLOOKUP(TableWRRanks32[[#This Row],[Player]],WR!B:O,6,FALSE)),"")</f>
        <v>54.719462280000023</v>
      </c>
      <c r="AK94" s="83">
        <f>IFERROR((VLOOKUP(TableWRRanks32[[#This Row],[Player]],WR!B:O,7,FALSE)),"")</f>
        <v>32.61279951888001</v>
      </c>
      <c r="AL94" s="83">
        <f>IFERROR((VLOOKUP(TableWRRanks32[[#This Row],[Player]],WR!B:O,8,FALSE)),"")</f>
        <v>427.87992968770573</v>
      </c>
      <c r="AM94" s="83">
        <f>IFERROR((VLOOKUP(TableWRRanks32[[#This Row],[Player]],WR!B:O,9,FALSE)),"")</f>
        <v>2.6090239615104007</v>
      </c>
      <c r="AN94" s="57">
        <f>IFERROR((IFERROR(INDEX(TableWRCalcPts[Custom],MATCH(TableWRRanks32[[#This Row],[RK]],TableWRCalcPts[RK],0)),"")),"")</f>
        <v>74.74853649727298</v>
      </c>
      <c r="AO94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94">
        <v>93</v>
      </c>
      <c r="AR94" t="str">
        <f>IFERROR(INDEX(TableTECalcPts[PLAYER],MATCH(TableTERanks33[[#This Row],[RK]],TableTECalcPts[RK],0)),"")</f>
        <v/>
      </c>
      <c r="AS94" t="str">
        <f>IFERROR(INDEX(TableTECalcPts[TM],MATCH(TableTERanks33[[#This Row],[Player]],TableTECalcPts[PLAYER],0)),"")</f>
        <v/>
      </c>
      <c r="AT94" t="str">
        <f>IFERROR(INDEX(TableTECalcPts[BYE],MATCH(TableTERanks33[[#This Row],[Player]],TableTECalcPts[PLAYER],0)),"")</f>
        <v/>
      </c>
      <c r="AU94" s="83" t="str">
        <f>IFERROR((VLOOKUP(TableTERanks33[[#This Row],[Player]],TE!B:O,4,FALSE)),"")</f>
        <v/>
      </c>
      <c r="AV94" s="83" t="str">
        <f>IFERROR((VLOOKUP(TableTERanks33[[#This Row],[Player]],TE!B:O,5,FALSE)),"")</f>
        <v/>
      </c>
      <c r="AW94" s="83" t="str">
        <f>IFERROR((VLOOKUP(TableTERanks33[[#This Row],[Player]],TE!B:O,6,FALSE)),"")</f>
        <v/>
      </c>
      <c r="AX94" s="83" t="str">
        <f>IFERROR((VLOOKUP(TableTERanks33[[#This Row],[Player]],TE!B:O,7,FALSE)),"")</f>
        <v/>
      </c>
      <c r="AY94" s="57" t="str">
        <f>IFERROR((IFERROR(INDEX(TableTECalcPts[Custom],MATCH(TableTERanks33[[#This Row],[RK]],TableTECalcPts[RK],0)),"")),"")</f>
        <v/>
      </c>
      <c r="AZ94" s="125" t="str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/>
      </c>
    </row>
    <row r="95" spans="16:52" x14ac:dyDescent="0.2">
      <c r="P95">
        <v>94</v>
      </c>
      <c r="Q95" t="str">
        <f>IFERROR(INDEX(TableRBCalcPts[PLAYER],MATCH(TableRBRanks31[[#This Row],[RK]],TableRBCalcPts[RK],0)),"")</f>
        <v>Emanuel Wilson</v>
      </c>
      <c r="R95" t="str">
        <f>IFERROR(INDEX(TableRBCalcPts[TM],MATCH(TableRBRanks31[[#This Row],[Player]],TableRBCalcPts[PLAYER],0)),"")</f>
        <v>GB</v>
      </c>
      <c r="S95">
        <f>IFERROR(INDEX(TableRBCalcPts[BYE],MATCH(TableRBRanks31[[#This Row],[Player]],TableRBCalcPts[PLAYER],0)),"")</f>
        <v>10</v>
      </c>
      <c r="T95" s="83">
        <f>IFERROR((VLOOKUP(TableRBRanks31[[#This Row],[Player]],RB!B:O,4,FALSE)),"")</f>
        <v>13.8885208</v>
      </c>
      <c r="U95" s="83">
        <f>IFERROR((VLOOKUP(TableRBRanks31[[#This Row],[Player]],RB!B:O,5,FALSE)),"")</f>
        <v>56.109624031999999</v>
      </c>
      <c r="V95" s="83">
        <f>IFERROR((VLOOKUP(TableRBRanks31[[#This Row],[Player]],RB!B:O,6,FALSE)),"")</f>
        <v>0.43054414480000003</v>
      </c>
      <c r="W95" s="83">
        <f>IFERROR((VLOOKUP(TableRBRanks31[[#This Row],[Player]],RB!B:O,7,FALSE)),"")</f>
        <v>5.702032</v>
      </c>
      <c r="X95" s="83">
        <f>IFERROR((VLOOKUP(TableRBRanks31[[#This Row],[Player]],RB!B:O,8,FALSE)),"")</f>
        <v>4.4589890240000001</v>
      </c>
      <c r="Y95" s="83">
        <f>IFERROR((VLOOKUP(TableRBRanks31[[#This Row],[Player]],RB!B:O,9,FALSE)),"")</f>
        <v>31.525052399680003</v>
      </c>
      <c r="Z95" s="83">
        <f>IFERROR((VLOOKUP(TableRBRanks31[[#This Row],[Player]],RB!B:O,10,FALSE)),"")</f>
        <v>0.13376967072000001</v>
      </c>
      <c r="AA95" s="57">
        <f>IFERROR((IFERROR(INDEX(TableRBCalcPts[Custom],MATCH(TableRBRanks31[[#This Row],[RK]],TableRBCalcPts[RK],0)),"")),"")</f>
        <v>14.378845048288003</v>
      </c>
      <c r="AB95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95">
        <v>94</v>
      </c>
      <c r="AE95" t="str">
        <f>IFERROR(INDEX(TableWRCalcPts[PLAYER],MATCH(TableWRRanks32[[#This Row],[RK]],TableWRCalcPts[RK],0)),"")</f>
        <v>Luke McCaffrey</v>
      </c>
      <c r="AF95" t="str">
        <f>IFERROR(INDEX(TableWRCalcPts[TM],MATCH(TableWRRanks32[[#This Row],[Player]],TableWRCalcPts[PLAYER],0)),"")</f>
        <v>WSH</v>
      </c>
      <c r="AG95">
        <f>IFERROR(INDEX(TableWRCalcPts[BYE],MATCH(TableWRRanks32[[#This Row],[Player]],TableWRCalcPts[PLAYER],0)),"")</f>
        <v>14</v>
      </c>
      <c r="AH95" s="83">
        <f>IFERROR((VLOOKUP(TableWRRanks32[[#This Row],[Player]],WR!B:O,4,FALSE)),"")</f>
        <v>29.908659199999995</v>
      </c>
      <c r="AI95" s="83">
        <f>IFERROR((VLOOKUP(TableWRRanks32[[#This Row],[Player]],WR!B:O,5,FALSE)),"")</f>
        <v>4.4541704374999998E-2</v>
      </c>
      <c r="AJ95" s="83">
        <f>IFERROR((VLOOKUP(TableWRRanks32[[#This Row],[Player]],WR!B:O,6,FALSE)),"")</f>
        <v>55.52456560000001</v>
      </c>
      <c r="AK95" s="83">
        <f>IFERROR((VLOOKUP(TableWRRanks32[[#This Row],[Player]],WR!B:O,7,FALSE)),"")</f>
        <v>34.258656975200012</v>
      </c>
      <c r="AL95" s="83">
        <f>IFERROR((VLOOKUP(TableWRRanks32[[#This Row],[Player]],WR!B:O,8,FALSE)),"")</f>
        <v>390.54868951728014</v>
      </c>
      <c r="AM95" s="83">
        <f>IFERROR((VLOOKUP(TableWRRanks32[[#This Row],[Player]],WR!B:O,9,FALSE)),"")</f>
        <v>2.0555194185120005</v>
      </c>
      <c r="AN95" s="57">
        <f>IFERROR((IFERROR(INDEX(TableWRCalcPts[Custom],MATCH(TableWRRanks32[[#This Row],[RK]],TableWRCalcPts[RK],0)),"")),"")</f>
        <v>71.775430096650027</v>
      </c>
      <c r="AO95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95">
        <v>94</v>
      </c>
      <c r="AR95" t="str">
        <f>IFERROR(INDEX(TableTECalcPts[PLAYER],MATCH(TableTERanks33[[#This Row],[RK]],TableTECalcPts[RK],0)),"")</f>
        <v/>
      </c>
      <c r="AS95" t="str">
        <f>IFERROR(INDEX(TableTECalcPts[TM],MATCH(TableTERanks33[[#This Row],[Player]],TableTECalcPts[PLAYER],0)),"")</f>
        <v/>
      </c>
      <c r="AT95" t="str">
        <f>IFERROR(INDEX(TableTECalcPts[BYE],MATCH(TableTERanks33[[#This Row],[Player]],TableTECalcPts[PLAYER],0)),"")</f>
        <v/>
      </c>
      <c r="AU95" s="83" t="str">
        <f>IFERROR((VLOOKUP(TableTERanks33[[#This Row],[Player]],TE!B:O,4,FALSE)),"")</f>
        <v/>
      </c>
      <c r="AV95" s="83" t="str">
        <f>IFERROR((VLOOKUP(TableTERanks33[[#This Row],[Player]],TE!B:O,5,FALSE)),"")</f>
        <v/>
      </c>
      <c r="AW95" s="83" t="str">
        <f>IFERROR((VLOOKUP(TableTERanks33[[#This Row],[Player]],TE!B:O,6,FALSE)),"")</f>
        <v/>
      </c>
      <c r="AX95" s="83" t="str">
        <f>IFERROR((VLOOKUP(TableTERanks33[[#This Row],[Player]],TE!B:O,7,FALSE)),"")</f>
        <v/>
      </c>
      <c r="AY95" s="57" t="str">
        <f>IFERROR((IFERROR(INDEX(TableTECalcPts[Custom],MATCH(TableTERanks33[[#This Row],[RK]],TableTECalcPts[RK],0)),"")),"")</f>
        <v/>
      </c>
      <c r="AZ95" s="125" t="str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/>
      </c>
    </row>
    <row r="96" spans="16:52" x14ac:dyDescent="0.2">
      <c r="P96">
        <v>95</v>
      </c>
      <c r="Q96" t="str">
        <f>IFERROR(INDEX(TableRBCalcPts[PLAYER],MATCH(TableRBRanks31[[#This Row],[RK]],TableRBCalcPts[RK],0)),"")</f>
        <v>Ronnie Rivers</v>
      </c>
      <c r="R96" t="str">
        <f>IFERROR(INDEX(TableRBCalcPts[TM],MATCH(TableRBRanks31[[#This Row],[Player]],TableRBCalcPts[PLAYER],0)),"")</f>
        <v>LAR</v>
      </c>
      <c r="S96">
        <f>IFERROR(INDEX(TableRBCalcPts[BYE],MATCH(TableRBRanks31[[#This Row],[Player]],TableRBCalcPts[PLAYER],0)),"")</f>
        <v>6</v>
      </c>
      <c r="T96" s="83">
        <f>IFERROR((VLOOKUP(TableRBRanks31[[#This Row],[Player]],RB!B:O,4,FALSE)),"")</f>
        <v>12.6392364</v>
      </c>
      <c r="U96" s="83">
        <f>IFERROR((VLOOKUP(TableRBRanks31[[#This Row],[Player]],RB!B:O,5,FALSE)),"")</f>
        <v>52.068719752558565</v>
      </c>
      <c r="V96" s="83">
        <f>IFERROR((VLOOKUP(TableRBRanks31[[#This Row],[Player]],RB!B:O,6,FALSE)),"")</f>
        <v>0.48029098319999997</v>
      </c>
      <c r="W96" s="83">
        <f>IFERROR((VLOOKUP(TableRBRanks31[[#This Row],[Player]],RB!B:O,7,FALSE)),"")</f>
        <v>6.0377211999999991</v>
      </c>
      <c r="X96" s="83">
        <f>IFERROR((VLOOKUP(TableRBRanks31[[#This Row],[Player]],RB!B:O,8,FALSE)),"")</f>
        <v>4.2626311671999995</v>
      </c>
      <c r="Y96" s="83">
        <f>IFERROR((VLOOKUP(TableRBRanks31[[#This Row],[Player]],RB!B:O,9,FALSE)),"")</f>
        <v>28.390117552926728</v>
      </c>
      <c r="Z96" s="83">
        <f>IFERROR((VLOOKUP(TableRBRanks31[[#This Row],[Player]],RB!B:O,10,FALSE)),"")</f>
        <v>0.15920449553378238</v>
      </c>
      <c r="AA96" s="57">
        <f>IFERROR((IFERROR(INDEX(TableRBCalcPts[Custom],MATCH(TableRBRanks31[[#This Row],[RK]],TableRBCalcPts[RK],0)),"")),"")</f>
        <v>14.014172186551225</v>
      </c>
      <c r="AB96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96">
        <v>95</v>
      </c>
      <c r="AE96" t="str">
        <f>IFERROR(INDEX(TableWRCalcPts[PLAYER],MATCH(TableWRRanks32[[#This Row],[RK]],TableWRCalcPts[RK],0)),"")</f>
        <v>Kendrick Bourne</v>
      </c>
      <c r="AF96" t="str">
        <f>IFERROR(INDEX(TableWRCalcPts[TM],MATCH(TableWRRanks32[[#This Row],[Player]],TableWRCalcPts[PLAYER],0)),"")</f>
        <v>NE</v>
      </c>
      <c r="AG96">
        <f>IFERROR(INDEX(TableWRCalcPts[BYE],MATCH(TableWRRanks32[[#This Row],[Player]],TableWRCalcPts[PLAYER],0)),"")</f>
        <v>14</v>
      </c>
      <c r="AH96" s="83">
        <f>IFERROR((VLOOKUP(TableWRRanks32[[#This Row],[Player]],WR!B:O,4,FALSE)),"")</f>
        <v>0</v>
      </c>
      <c r="AI96" s="83">
        <f>IFERROR((VLOOKUP(TableWRRanks32[[#This Row],[Player]],WR!B:O,5,FALSE)),"")</f>
        <v>0</v>
      </c>
      <c r="AJ96" s="83">
        <f>IFERROR((VLOOKUP(TableWRRanks32[[#This Row],[Player]],WR!B:O,6,FALSE)),"")</f>
        <v>57.255178960000002</v>
      </c>
      <c r="AK96" s="83">
        <f>IFERROR((VLOOKUP(TableWRRanks32[[#This Row],[Player]],WR!B:O,7,FALSE)),"")</f>
        <v>33.2080037968</v>
      </c>
      <c r="AL96" s="83">
        <f>IFERROR((VLOOKUP(TableWRRanks32[[#This Row],[Player]],WR!B:O,8,FALSE)),"")</f>
        <v>409.454686814544</v>
      </c>
      <c r="AM96" s="83">
        <f>IFERROR((VLOOKUP(TableWRRanks32[[#This Row],[Player]],WR!B:O,9,FALSE)),"")</f>
        <v>2.1917282505888003</v>
      </c>
      <c r="AN96" s="57">
        <f>IFERROR((IFERROR(INDEX(TableWRCalcPts[Custom],MATCH(TableWRRanks32[[#This Row],[RK]],TableWRCalcPts[RK],0)),"")),"")</f>
        <v>70.699840083387201</v>
      </c>
      <c r="AO96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96">
        <v>95</v>
      </c>
      <c r="AR96" t="str">
        <f>IFERROR(INDEX(TableTECalcPts[PLAYER],MATCH(TableTERanks33[[#This Row],[RK]],TableTECalcPts[RK],0)),"")</f>
        <v/>
      </c>
      <c r="AS96" t="str">
        <f>IFERROR(INDEX(TableTECalcPts[TM],MATCH(TableTERanks33[[#This Row],[Player]],TableTECalcPts[PLAYER],0)),"")</f>
        <v/>
      </c>
      <c r="AT96" t="str">
        <f>IFERROR(INDEX(TableTECalcPts[BYE],MATCH(TableTERanks33[[#This Row],[Player]],TableTECalcPts[PLAYER],0)),"")</f>
        <v/>
      </c>
      <c r="AU96" s="83" t="str">
        <f>IFERROR((VLOOKUP(TableTERanks33[[#This Row],[Player]],TE!B:O,4,FALSE)),"")</f>
        <v/>
      </c>
      <c r="AV96" s="83" t="str">
        <f>IFERROR((VLOOKUP(TableTERanks33[[#This Row],[Player]],TE!B:O,5,FALSE)),"")</f>
        <v/>
      </c>
      <c r="AW96" s="83" t="str">
        <f>IFERROR((VLOOKUP(TableTERanks33[[#This Row],[Player]],TE!B:O,6,FALSE)),"")</f>
        <v/>
      </c>
      <c r="AX96" s="83" t="str">
        <f>IFERROR((VLOOKUP(TableTERanks33[[#This Row],[Player]],TE!B:O,7,FALSE)),"")</f>
        <v/>
      </c>
      <c r="AY96" s="57" t="str">
        <f>IFERROR((IFERROR(INDEX(TableTECalcPts[Custom],MATCH(TableTERanks33[[#This Row],[RK]],TableTECalcPts[RK],0)),"")),"")</f>
        <v/>
      </c>
      <c r="AZ96" s="125" t="str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/>
      </c>
    </row>
    <row r="97" spans="16:52" x14ac:dyDescent="0.2">
      <c r="P97">
        <v>96</v>
      </c>
      <c r="Q97" t="str">
        <f>IFERROR(INDEX(TableRBCalcPts[PLAYER],MATCH(TableRBRanks31[[#This Row],[RK]],TableRBCalcPts[RK],0)),"")</f>
        <v>Trayveon Williams</v>
      </c>
      <c r="R97" t="str">
        <f>IFERROR(INDEX(TableRBCalcPts[TM],MATCH(TableRBRanks31[[#This Row],[Player]],TableRBCalcPts[PLAYER],0)),"")</f>
        <v>CIN</v>
      </c>
      <c r="S97">
        <f>IFERROR(INDEX(TableRBCalcPts[BYE],MATCH(TableRBRanks31[[#This Row],[Player]],TableRBCalcPts[PLAYER],0)),"")</f>
        <v>12</v>
      </c>
      <c r="T97" s="83">
        <f>IFERROR((VLOOKUP(TableRBRanks31[[#This Row],[Player]],RB!B:O,4,FALSE)),"")</f>
        <v>13.384843920000002</v>
      </c>
      <c r="U97" s="83">
        <f>IFERROR((VLOOKUP(TableRBRanks31[[#This Row],[Player]],RB!B:O,5,FALSE)),"")</f>
        <v>57.117666607577085</v>
      </c>
      <c r="V97" s="83">
        <f>IFERROR((VLOOKUP(TableRBRanks31[[#This Row],[Player]],RB!B:O,6,FALSE)),"")</f>
        <v>0.40154531760000001</v>
      </c>
      <c r="W97" s="83">
        <f>IFERROR((VLOOKUP(TableRBRanks31[[#This Row],[Player]],RB!B:O,7,FALSE)),"")</f>
        <v>6.2356811999999993</v>
      </c>
      <c r="X97" s="83">
        <f>IFERROR((VLOOKUP(TableRBRanks31[[#This Row],[Player]],RB!B:O,8,FALSE)),"")</f>
        <v>4.3649768399999989</v>
      </c>
      <c r="Y97" s="83">
        <f>IFERROR((VLOOKUP(TableRBRanks31[[#This Row],[Player]],RB!B:O,9,FALSE)),"")</f>
        <v>27.714019948893263</v>
      </c>
      <c r="Z97" s="83">
        <f>IFERROR((VLOOKUP(TableRBRanks31[[#This Row],[Player]],RB!B:O,10,FALSE)),"")</f>
        <v>0.11839988502176813</v>
      </c>
      <c r="AA97" s="57">
        <f>IFERROR((IFERROR(INDEX(TableRBCalcPts[Custom],MATCH(TableRBRanks31[[#This Row],[RK]],TableRBCalcPts[RK],0)),"")),"")</f>
        <v>13.785328291377642</v>
      </c>
      <c r="AB97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97">
        <v>96</v>
      </c>
      <c r="AE97" t="str">
        <f>IFERROR(INDEX(TableWRCalcPts[PLAYER],MATCH(TableWRRanks32[[#This Row],[RK]],TableWRCalcPts[RK],0)),"")</f>
        <v>Brenden Rice</v>
      </c>
      <c r="AF97" t="str">
        <f>IFERROR(INDEX(TableWRCalcPts[TM],MATCH(TableWRRanks32[[#This Row],[Player]],TableWRCalcPts[PLAYER],0)),"")</f>
        <v>LAC</v>
      </c>
      <c r="AG97">
        <f>IFERROR(INDEX(TableWRCalcPts[BYE],MATCH(TableWRRanks32[[#This Row],[Player]],TableWRCalcPts[PLAYER],0)),"")</f>
        <v>5</v>
      </c>
      <c r="AH97" s="83">
        <f>IFERROR((VLOOKUP(TableWRRanks32[[#This Row],[Player]],WR!B:O,4,FALSE)),"")</f>
        <v>0</v>
      </c>
      <c r="AI97" s="83">
        <f>IFERROR((VLOOKUP(TableWRRanks32[[#This Row],[Player]],WR!B:O,5,FALSE)),"")</f>
        <v>0</v>
      </c>
      <c r="AJ97" s="83">
        <f>IFERROR((VLOOKUP(TableWRRanks32[[#This Row],[Player]],WR!B:O,6,FALSE)),"")</f>
        <v>53.60273856000002</v>
      </c>
      <c r="AK97" s="83">
        <f>IFERROR((VLOOKUP(TableWRRanks32[[#This Row],[Player]],WR!B:O,7,FALSE)),"")</f>
        <v>30.982382887680011</v>
      </c>
      <c r="AL97" s="83">
        <f>IFERROR((VLOOKUP(TableWRRanks32[[#This Row],[Player]],WR!B:O,8,FALSE)),"")</f>
        <v>368.38053253451534</v>
      </c>
      <c r="AM97" s="83">
        <f>IFERROR((VLOOKUP(TableWRRanks32[[#This Row],[Player]],WR!B:O,9,FALSE)),"")</f>
        <v>2.2307315679129607</v>
      </c>
      <c r="AN97" s="57">
        <f>IFERROR((IFERROR(INDEX(TableWRCalcPts[Custom],MATCH(TableWRRanks32[[#This Row],[RK]],TableWRCalcPts[RK],0)),"")),"")</f>
        <v>65.713634104769312</v>
      </c>
      <c r="AO97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97">
        <v>96</v>
      </c>
      <c r="AR97" t="str">
        <f>IFERROR(INDEX(TableTECalcPts[PLAYER],MATCH(TableTERanks33[[#This Row],[RK]],TableTECalcPts[RK],0)),"")</f>
        <v/>
      </c>
      <c r="AS97" t="str">
        <f>IFERROR(INDEX(TableTECalcPts[TM],MATCH(TableTERanks33[[#This Row],[Player]],TableTECalcPts[PLAYER],0)),"")</f>
        <v/>
      </c>
      <c r="AT97" t="str">
        <f>IFERROR(INDEX(TableTECalcPts[BYE],MATCH(TableTERanks33[[#This Row],[Player]],TableTECalcPts[PLAYER],0)),"")</f>
        <v/>
      </c>
      <c r="AU97" s="83" t="str">
        <f>IFERROR((VLOOKUP(TableTERanks33[[#This Row],[Player]],TE!B:O,4,FALSE)),"")</f>
        <v/>
      </c>
      <c r="AV97" s="83" t="str">
        <f>IFERROR((VLOOKUP(TableTERanks33[[#This Row],[Player]],TE!B:O,5,FALSE)),"")</f>
        <v/>
      </c>
      <c r="AW97" s="83" t="str">
        <f>IFERROR((VLOOKUP(TableTERanks33[[#This Row],[Player]],TE!B:O,6,FALSE)),"")</f>
        <v/>
      </c>
      <c r="AX97" s="83" t="str">
        <f>IFERROR((VLOOKUP(TableTERanks33[[#This Row],[Player]],TE!B:O,7,FALSE)),"")</f>
        <v/>
      </c>
      <c r="AY97" s="57" t="str">
        <f>IFERROR((IFERROR(INDEX(TableTECalcPts[Custom],MATCH(TableTERanks33[[#This Row],[RK]],TableTECalcPts[RK],0)),"")),"")</f>
        <v/>
      </c>
      <c r="AZ97" s="125" t="str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/>
      </c>
    </row>
    <row r="98" spans="16:52" x14ac:dyDescent="0.2">
      <c r="P98">
        <v>97</v>
      </c>
      <c r="Q98" t="str">
        <f>IFERROR(INDEX(TableRBCalcPts[PLAYER],MATCH(TableRBRanks31[[#This Row],[RK]],TableRBCalcPts[RK],0)),"")</f>
        <v>Ty Johnson</v>
      </c>
      <c r="R98" t="str">
        <f>IFERROR(INDEX(TableRBCalcPts[TM],MATCH(TableRBRanks31[[#This Row],[Player]],TableRBCalcPts[PLAYER],0)),"")</f>
        <v>BUF</v>
      </c>
      <c r="S98">
        <f>IFERROR(INDEX(TableRBCalcPts[BYE],MATCH(TableRBRanks31[[#This Row],[Player]],TableRBCalcPts[PLAYER],0)),"")</f>
        <v>12</v>
      </c>
      <c r="T98" s="83">
        <f>IFERROR((VLOOKUP(TableRBRanks31[[#This Row],[Player]],RB!B:O,4,FALSE)),"")</f>
        <v>11.177488000000002</v>
      </c>
      <c r="U98" s="83">
        <f>IFERROR((VLOOKUP(TableRBRanks31[[#This Row],[Player]],RB!B:O,5,FALSE)),"")</f>
        <v>47.608422314384725</v>
      </c>
      <c r="V98" s="83">
        <f>IFERROR((VLOOKUP(TableRBRanks31[[#This Row],[Player]],RB!B:O,6,FALSE)),"")</f>
        <v>0.33532464000000006</v>
      </c>
      <c r="W98" s="83">
        <f>IFERROR((VLOOKUP(TableRBRanks31[[#This Row],[Player]],RB!B:O,7,FALSE)),"")</f>
        <v>6.0738047999999996</v>
      </c>
      <c r="X98" s="83">
        <f>IFERROR((VLOOKUP(TableRBRanks31[[#This Row],[Player]],RB!B:O,8,FALSE)),"")</f>
        <v>4.2516633599999984</v>
      </c>
      <c r="Y98" s="83">
        <f>IFERROR((VLOOKUP(TableRBRanks31[[#This Row],[Player]],RB!B:O,9,FALSE)),"")</f>
        <v>39.165183795385452</v>
      </c>
      <c r="Z98" s="83">
        <f>IFERROR((VLOOKUP(TableRBRanks31[[#This Row],[Player]],RB!B:O,10,FALSE)),"")</f>
        <v>0.15731154431999994</v>
      </c>
      <c r="AA98" s="57">
        <f>IFERROR((IFERROR(INDEX(TableRBCalcPts[Custom],MATCH(TableRBRanks31[[#This Row],[RK]],TableRBCalcPts[RK],0)),"")),"")</f>
        <v>13.759009396897017</v>
      </c>
      <c r="AB98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98">
        <v>97</v>
      </c>
      <c r="AE98" t="str">
        <f>IFERROR(INDEX(TableWRCalcPts[PLAYER],MATCH(TableWRRanks32[[#This Row],[RK]],TableWRCalcPts[RK],0)),"")</f>
        <v>Jalen Nailor</v>
      </c>
      <c r="AF98" t="str">
        <f>IFERROR(INDEX(TableWRCalcPts[TM],MATCH(TableWRRanks32[[#This Row],[Player]],TableWRCalcPts[PLAYER],0)),"")</f>
        <v>MIN</v>
      </c>
      <c r="AG98">
        <f>IFERROR(INDEX(TableWRCalcPts[BYE],MATCH(TableWRRanks32[[#This Row],[Player]],TableWRCalcPts[PLAYER],0)),"")</f>
        <v>6</v>
      </c>
      <c r="AH98" s="83">
        <f>IFERROR((VLOOKUP(TableWRRanks32[[#This Row],[Player]],WR!B:O,4,FALSE)),"")</f>
        <v>0</v>
      </c>
      <c r="AI98" s="83">
        <f>IFERROR((VLOOKUP(TableWRRanks32[[#This Row],[Player]],WR!B:O,5,FALSE)),"")</f>
        <v>0</v>
      </c>
      <c r="AJ98" s="83">
        <f>IFERROR((VLOOKUP(TableWRRanks32[[#This Row],[Player]],WR!B:O,6,FALSE)),"")</f>
        <v>53.50094399999999</v>
      </c>
      <c r="AK98" s="83">
        <f>IFERROR((VLOOKUP(TableWRRanks32[[#This Row],[Player]],WR!B:O,7,FALSE)),"")</f>
        <v>31.084048463999991</v>
      </c>
      <c r="AL98" s="83">
        <f>IFERROR((VLOOKUP(TableWRRanks32[[#This Row],[Player]],WR!B:O,8,FALSE)),"")</f>
        <v>385.44220095359992</v>
      </c>
      <c r="AM98" s="83">
        <f>IFERROR((VLOOKUP(TableWRRanks32[[#This Row],[Player]],WR!B:O,9,FALSE)),"")</f>
        <v>1.7717907624479996</v>
      </c>
      <c r="AN98" s="57">
        <f>IFERROR((IFERROR(INDEX(TableWRCalcPts[Custom],MATCH(TableWRRanks32[[#This Row],[RK]],TableWRCalcPts[RK],0)),"")),"")</f>
        <v>64.716988902047987</v>
      </c>
      <c r="AO98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98">
        <v>97</v>
      </c>
      <c r="AR98" t="str">
        <f>IFERROR(INDEX(TableTECalcPts[PLAYER],MATCH(TableTERanks33[[#This Row],[RK]],TableTECalcPts[RK],0)),"")</f>
        <v/>
      </c>
      <c r="AS98" t="str">
        <f>IFERROR(INDEX(TableTECalcPts[TM],MATCH(TableTERanks33[[#This Row],[Player]],TableTECalcPts[PLAYER],0)),"")</f>
        <v/>
      </c>
      <c r="AT98" t="str">
        <f>IFERROR(INDEX(TableTECalcPts[BYE],MATCH(TableTERanks33[[#This Row],[Player]],TableTECalcPts[PLAYER],0)),"")</f>
        <v/>
      </c>
      <c r="AU98" s="83" t="str">
        <f>IFERROR((VLOOKUP(TableTERanks33[[#This Row],[Player]],TE!B:O,4,FALSE)),"")</f>
        <v/>
      </c>
      <c r="AV98" s="83" t="str">
        <f>IFERROR((VLOOKUP(TableTERanks33[[#This Row],[Player]],TE!B:O,5,FALSE)),"")</f>
        <v/>
      </c>
      <c r="AW98" s="83" t="str">
        <f>IFERROR((VLOOKUP(TableTERanks33[[#This Row],[Player]],TE!B:O,6,FALSE)),"")</f>
        <v/>
      </c>
      <c r="AX98" s="83" t="str">
        <f>IFERROR((VLOOKUP(TableTERanks33[[#This Row],[Player]],TE!B:O,7,FALSE)),"")</f>
        <v/>
      </c>
      <c r="AY98" s="57" t="str">
        <f>IFERROR((IFERROR(INDEX(TableTECalcPts[Custom],MATCH(TableTERanks33[[#This Row],[RK]],TableTECalcPts[RK],0)),"")),"")</f>
        <v/>
      </c>
      <c r="AZ98" s="125" t="str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/>
      </c>
    </row>
    <row r="99" spans="16:52" x14ac:dyDescent="0.2">
      <c r="P99">
        <v>98</v>
      </c>
      <c r="Q99" t="str">
        <f>IFERROR(INDEX(TableRBCalcPts[PLAYER],MATCH(TableRBRanks31[[#This Row],[RK]],TableRBCalcPts[RK],0)),"")</f>
        <v>Deuce Vaughn</v>
      </c>
      <c r="R99" t="str">
        <f>IFERROR(INDEX(TableRBCalcPts[TM],MATCH(TableRBRanks31[[#This Row],[Player]],TableRBCalcPts[PLAYER],0)),"")</f>
        <v>DAL</v>
      </c>
      <c r="S99">
        <f>IFERROR(INDEX(TableRBCalcPts[BYE],MATCH(TableRBRanks31[[#This Row],[Player]],TableRBCalcPts[PLAYER],0)),"")</f>
        <v>7</v>
      </c>
      <c r="T99" s="83">
        <f>IFERROR((VLOOKUP(TableRBRanks31[[#This Row],[Player]],RB!B:O,4,FALSE)),"")</f>
        <v>9.9978463200000007</v>
      </c>
      <c r="U99" s="83">
        <f>IFERROR((VLOOKUP(TableRBRanks31[[#This Row],[Player]],RB!B:O,5,FALSE)),"")</f>
        <v>40.091363743199999</v>
      </c>
      <c r="V99" s="83">
        <f>IFERROR((VLOOKUP(TableRBRanks31[[#This Row],[Player]],RB!B:O,6,FALSE)),"")</f>
        <v>0.26994185064000004</v>
      </c>
      <c r="W99" s="83">
        <f>IFERROR((VLOOKUP(TableRBRanks31[[#This Row],[Player]],RB!B:O,7,FALSE)),"")</f>
        <v>6.0983243999999974</v>
      </c>
      <c r="X99" s="83">
        <f>IFERROR((VLOOKUP(TableRBRanks31[[#This Row],[Player]],RB!B:O,8,FALSE)),"")</f>
        <v>5.0250193055999972</v>
      </c>
      <c r="Y99" s="83">
        <f>IFERROR((VLOOKUP(TableRBRanks31[[#This Row],[Player]],RB!B:O,9,FALSE)),"")</f>
        <v>38.455220301033812</v>
      </c>
      <c r="Z99" s="83">
        <f>IFERROR((VLOOKUP(TableRBRanks31[[#This Row],[Player]],RB!B:O,10,FALSE)),"")</f>
        <v>0.19095073361279988</v>
      </c>
      <c r="AA99" s="57">
        <f>IFERROR((IFERROR(INDEX(TableRBCalcPts[Custom],MATCH(TableRBRanks31[[#This Row],[RK]],TableRBCalcPts[RK],0)),"")),"")</f>
        <v>13.132523562740179</v>
      </c>
      <c r="AB99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99">
        <v>98</v>
      </c>
      <c r="AE99" t="str">
        <f>IFERROR(INDEX(TableWRCalcPts[PLAYER],MATCH(TableWRRanks32[[#This Row],[RK]],TableWRCalcPts[RK],0)),"")</f>
        <v>Ricky Pearsall</v>
      </c>
      <c r="AF99" t="str">
        <f>IFERROR(INDEX(TableWRCalcPts[TM],MATCH(TableWRRanks32[[#This Row],[Player]],TableWRCalcPts[PLAYER],0)),"")</f>
        <v>SF</v>
      </c>
      <c r="AG99">
        <f>IFERROR(INDEX(TableWRCalcPts[BYE],MATCH(TableWRRanks32[[#This Row],[Player]],TableWRCalcPts[PLAYER],0)),"")</f>
        <v>9</v>
      </c>
      <c r="AH99" s="83">
        <f>IFERROR((VLOOKUP(TableWRRanks32[[#This Row],[Player]],WR!B:O,4,FALSE)),"")</f>
        <v>0</v>
      </c>
      <c r="AI99" s="83">
        <f>IFERROR((VLOOKUP(TableWRRanks32[[#This Row],[Player]],WR!B:O,5,FALSE)),"")</f>
        <v>0</v>
      </c>
      <c r="AJ99" s="83">
        <f>IFERROR((VLOOKUP(TableWRRanks32[[#This Row],[Player]],WR!B:O,6,FALSE)),"")</f>
        <v>42.602716799999996</v>
      </c>
      <c r="AK99" s="83">
        <f>IFERROR((VLOOKUP(TableWRRanks32[[#This Row],[Player]],WR!B:O,7,FALSE)),"")</f>
        <v>27.521355052799997</v>
      </c>
      <c r="AL99" s="83">
        <f>IFERROR((VLOOKUP(TableWRRanks32[[#This Row],[Player]],WR!B:O,8,FALSE)),"")</f>
        <v>363.88666336255017</v>
      </c>
      <c r="AM99" s="83">
        <f>IFERROR((VLOOKUP(TableWRRanks32[[#This Row],[Player]],WR!B:O,9,FALSE)),"")</f>
        <v>2.3943578895935995</v>
      </c>
      <c r="AN99" s="57">
        <f>IFERROR((IFERROR(INDEX(TableWRCalcPts[Custom],MATCH(TableWRRanks32[[#This Row],[RK]],TableWRCalcPts[RK],0)),"")),"")</f>
        <v>64.515491200216616</v>
      </c>
      <c r="AO99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99">
        <v>98</v>
      </c>
      <c r="AR99" t="str">
        <f>IFERROR(INDEX(TableTECalcPts[PLAYER],MATCH(TableTERanks33[[#This Row],[RK]],TableTECalcPts[RK],0)),"")</f>
        <v/>
      </c>
      <c r="AS99" t="str">
        <f>IFERROR(INDEX(TableTECalcPts[TM],MATCH(TableTERanks33[[#This Row],[Player]],TableTECalcPts[PLAYER],0)),"")</f>
        <v/>
      </c>
      <c r="AT99" t="str">
        <f>IFERROR(INDEX(TableTECalcPts[BYE],MATCH(TableTERanks33[[#This Row],[Player]],TableTECalcPts[PLAYER],0)),"")</f>
        <v/>
      </c>
      <c r="AU99" s="83" t="str">
        <f>IFERROR((VLOOKUP(TableTERanks33[[#This Row],[Player]],TE!B:O,4,FALSE)),"")</f>
        <v/>
      </c>
      <c r="AV99" s="83" t="str">
        <f>IFERROR((VLOOKUP(TableTERanks33[[#This Row],[Player]],TE!B:O,5,FALSE)),"")</f>
        <v/>
      </c>
      <c r="AW99" s="83" t="str">
        <f>IFERROR((VLOOKUP(TableTERanks33[[#This Row],[Player]],TE!B:O,6,FALSE)),"")</f>
        <v/>
      </c>
      <c r="AX99" s="83" t="str">
        <f>IFERROR((VLOOKUP(TableTERanks33[[#This Row],[Player]],TE!B:O,7,FALSE)),"")</f>
        <v/>
      </c>
      <c r="AY99" s="57" t="str">
        <f>IFERROR((IFERROR(INDEX(TableTECalcPts[Custom],MATCH(TableTERanks33[[#This Row],[RK]],TableTECalcPts[RK],0)),"")),"")</f>
        <v/>
      </c>
      <c r="AZ99" s="125" t="str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/>
      </c>
    </row>
    <row r="100" spans="16:52" x14ac:dyDescent="0.2">
      <c r="P100">
        <v>99</v>
      </c>
      <c r="Q100" t="str">
        <f>IFERROR(INDEX(TableRBCalcPts[PLAYER],MATCH(TableRBRanks31[[#This Row],[RK]],TableRBCalcPts[RK],0)),"")</f>
        <v>Raheem Blackshear</v>
      </c>
      <c r="R100" t="str">
        <f>IFERROR(INDEX(TableRBCalcPts[TM],MATCH(TableRBRanks31[[#This Row],[Player]],TableRBCalcPts[PLAYER],0)),"")</f>
        <v>CAR</v>
      </c>
      <c r="S100">
        <f>IFERROR(INDEX(TableRBCalcPts[BYE],MATCH(TableRBRanks31[[#This Row],[Player]],TableRBCalcPts[PLAYER],0)),"")</f>
        <v>11</v>
      </c>
      <c r="T100" s="83">
        <f>IFERROR((VLOOKUP(TableRBRanks31[[#This Row],[Player]],RB!B:O,4,FALSE)),"")</f>
        <v>13.377294000000001</v>
      </c>
      <c r="U100" s="83">
        <f>IFERROR((VLOOKUP(TableRBRanks31[[#This Row],[Player]],RB!B:O,5,FALSE)),"")</f>
        <v>53.397753170723668</v>
      </c>
      <c r="V100" s="83">
        <f>IFERROR((VLOOKUP(TableRBRanks31[[#This Row],[Player]],RB!B:O,6,FALSE)),"")</f>
        <v>0.33299916821033004</v>
      </c>
      <c r="W100" s="83">
        <f>IFERROR((VLOOKUP(TableRBRanks31[[#This Row],[Player]],RB!B:O,7,FALSE)),"")</f>
        <v>5.791701999999999</v>
      </c>
      <c r="X100" s="83">
        <f>IFERROR((VLOOKUP(TableRBRanks31[[#This Row],[Player]],RB!B:O,8,FALSE)),"")</f>
        <v>4.1005250159999989</v>
      </c>
      <c r="Y100" s="83">
        <f>IFERROR((VLOOKUP(TableRBRanks31[[#This Row],[Player]],RB!B:O,9,FALSE)),"")</f>
        <v>31.238003412631166</v>
      </c>
      <c r="Z100" s="83">
        <f>IFERROR((VLOOKUP(TableRBRanks31[[#This Row],[Player]],RB!B:O,10,FALSE)),"")</f>
        <v>8.2414581607268181E-2</v>
      </c>
      <c r="AA100" s="57">
        <f>IFERROR((IFERROR(INDEX(TableRBCalcPts[Custom],MATCH(TableRBRanks31[[#This Row],[RK]],TableRBCalcPts[RK],0)),"")),"")</f>
        <v>13.006320665241072</v>
      </c>
      <c r="AB100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100">
        <v>99</v>
      </c>
      <c r="AE100" t="str">
        <f>IFERROR(INDEX(TableWRCalcPts[PLAYER],MATCH(TableWRRanks32[[#This Row],[RK]],TableWRCalcPts[RK],0)),"")</f>
        <v>Cedrick Wilson</v>
      </c>
      <c r="AF100" t="str">
        <f>IFERROR(INDEX(TableWRCalcPts[TM],MATCH(TableWRRanks32[[#This Row],[Player]],TableWRCalcPts[PLAYER],0)),"")</f>
        <v>NO</v>
      </c>
      <c r="AG100">
        <f>IFERROR(INDEX(TableWRCalcPts[BYE],MATCH(TableWRRanks32[[#This Row],[Player]],TableWRCalcPts[PLAYER],0)),"")</f>
        <v>12</v>
      </c>
      <c r="AH100" s="83">
        <f>IFERROR((VLOOKUP(TableWRRanks32[[#This Row],[Player]],WR!B:O,4,FALSE)),"")</f>
        <v>0</v>
      </c>
      <c r="AI100" s="83">
        <f>IFERROR((VLOOKUP(TableWRRanks32[[#This Row],[Player]],WR!B:O,5,FALSE)),"")</f>
        <v>0</v>
      </c>
      <c r="AJ100" s="83">
        <f>IFERROR((VLOOKUP(TableWRRanks32[[#This Row],[Player]],WR!B:O,6,FALSE)),"")</f>
        <v>50.06996517599999</v>
      </c>
      <c r="AK100" s="83">
        <f>IFERROR((VLOOKUP(TableWRRanks32[[#This Row],[Player]],WR!B:O,7,FALSE)),"")</f>
        <v>30.041979105599989</v>
      </c>
      <c r="AL100" s="83">
        <f>IFERROR((VLOOKUP(TableWRRanks32[[#This Row],[Player]],WR!B:O,8,FALSE)),"")</f>
        <v>335.26848681849589</v>
      </c>
      <c r="AM100" s="83">
        <f>IFERROR((VLOOKUP(TableWRRanks32[[#This Row],[Player]],WR!B:O,9,FALSE)),"")</f>
        <v>2.4312429088079526</v>
      </c>
      <c r="AN100" s="57">
        <f>IFERROR((IFERROR(INDEX(TableWRCalcPts[Custom],MATCH(TableWRRanks32[[#This Row],[RK]],TableWRCalcPts[RK],0)),"")),"")</f>
        <v>63.135295687497305</v>
      </c>
      <c r="AO100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100">
        <v>99</v>
      </c>
      <c r="AR100" t="str">
        <f>IFERROR(INDEX(TableTECalcPts[PLAYER],MATCH(TableTERanks33[[#This Row],[RK]],TableTECalcPts[RK],0)),"")</f>
        <v/>
      </c>
      <c r="AS100" t="str">
        <f>IFERROR(INDEX(TableTECalcPts[TM],MATCH(TableTERanks33[[#This Row],[Player]],TableTECalcPts[PLAYER],0)),"")</f>
        <v/>
      </c>
      <c r="AT100" t="str">
        <f>IFERROR(INDEX(TableTECalcPts[BYE],MATCH(TableTERanks33[[#This Row],[Player]],TableTECalcPts[PLAYER],0)),"")</f>
        <v/>
      </c>
      <c r="AU100" s="83" t="str">
        <f>IFERROR((VLOOKUP(TableTERanks33[[#This Row],[Player]],TE!B:O,4,FALSE)),"")</f>
        <v/>
      </c>
      <c r="AV100" s="83" t="str">
        <f>IFERROR((VLOOKUP(TableTERanks33[[#This Row],[Player]],TE!B:O,5,FALSE)),"")</f>
        <v/>
      </c>
      <c r="AW100" s="83" t="str">
        <f>IFERROR((VLOOKUP(TableTERanks33[[#This Row],[Player]],TE!B:O,6,FALSE)),"")</f>
        <v/>
      </c>
      <c r="AX100" s="83" t="str">
        <f>IFERROR((VLOOKUP(TableTERanks33[[#This Row],[Player]],TE!B:O,7,FALSE)),"")</f>
        <v/>
      </c>
      <c r="AY100" s="57" t="str">
        <f>IFERROR((IFERROR(INDEX(TableTECalcPts[Custom],MATCH(TableTERanks33[[#This Row],[RK]],TableTECalcPts[RK],0)),"")),"")</f>
        <v/>
      </c>
      <c r="AZ100" s="125" t="str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/>
      </c>
    </row>
    <row r="101" spans="16:52" x14ac:dyDescent="0.2">
      <c r="P101">
        <v>100</v>
      </c>
      <c r="Q101" t="str">
        <f>IFERROR(INDEX(TableRBCalcPts[PLAYER],MATCH(TableRBRanks31[[#This Row],[RK]],TableRBCalcPts[RK],0)),"")</f>
        <v>Jeremy McNichols</v>
      </c>
      <c r="R101" t="str">
        <f>IFERROR(INDEX(TableRBCalcPts[TM],MATCH(TableRBRanks31[[#This Row],[Player]],TableRBCalcPts[PLAYER],0)),"")</f>
        <v>WSH</v>
      </c>
      <c r="S101">
        <f>IFERROR(INDEX(TableRBCalcPts[BYE],MATCH(TableRBRanks31[[#This Row],[Player]],TableRBCalcPts[PLAYER],0)),"")</f>
        <v>14</v>
      </c>
      <c r="T101" s="83">
        <f>IFERROR((VLOOKUP(TableRBRanks31[[#This Row],[Player]],RB!B:O,4,FALSE)),"")</f>
        <v>12.617715599999999</v>
      </c>
      <c r="U101" s="83">
        <f>IFERROR((VLOOKUP(TableRBRanks31[[#This Row],[Player]],RB!B:O,5,FALSE)),"")</f>
        <v>51.732633959999987</v>
      </c>
      <c r="V101" s="83">
        <f>IFERROR((VLOOKUP(TableRBRanks31[[#This Row],[Player]],RB!B:O,6,FALSE)),"")</f>
        <v>0.35329603679999999</v>
      </c>
      <c r="W101" s="83">
        <f>IFERROR((VLOOKUP(TableRBRanks31[[#This Row],[Player]],RB!B:O,7,FALSE)),"")</f>
        <v>5.6657720000000005</v>
      </c>
      <c r="X101" s="83">
        <f>IFERROR((VLOOKUP(TableRBRanks31[[#This Row],[Player]],RB!B:O,8,FALSE)),"")</f>
        <v>4.0963531560000002</v>
      </c>
      <c r="Y101" s="83">
        <f>IFERROR((VLOOKUP(TableRBRanks31[[#This Row],[Player]],RB!B:O,9,FALSE)),"")</f>
        <v>28.934527040205502</v>
      </c>
      <c r="Z101" s="83">
        <f>IFERROR((VLOOKUP(TableRBRanks31[[#This Row],[Player]],RB!B:O,10,FALSE)),"")</f>
        <v>0.11146953929390682</v>
      </c>
      <c r="AA101" s="57">
        <f>IFERROR((IFERROR(INDEX(TableRBCalcPts[Custom],MATCH(TableRBRanks31[[#This Row],[RK]],TableRBCalcPts[RK],0)),"")),"")</f>
        <v>12.903486134583991</v>
      </c>
      <c r="AB101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101">
        <v>100</v>
      </c>
      <c r="AE101" t="str">
        <f>IFERROR(INDEX(TableWRCalcPts[PLAYER],MATCH(TableWRRanks32[[#This Row],[RK]],TableWRCalcPts[RK],0)),"")</f>
        <v>Tyquan Thornton</v>
      </c>
      <c r="AF101" t="str">
        <f>IFERROR(INDEX(TableWRCalcPts[TM],MATCH(TableWRRanks32[[#This Row],[Player]],TableWRCalcPts[PLAYER],0)),"")</f>
        <v>NE</v>
      </c>
      <c r="AG101">
        <f>IFERROR(INDEX(TableWRCalcPts[BYE],MATCH(TableWRRanks32[[#This Row],[Player]],TableWRCalcPts[PLAYER],0)),"")</f>
        <v>14</v>
      </c>
      <c r="AH101" s="83">
        <f>IFERROR((VLOOKUP(TableWRRanks32[[#This Row],[Player]],WR!B:O,4,FALSE)),"")</f>
        <v>0</v>
      </c>
      <c r="AI101" s="83">
        <f>IFERROR((VLOOKUP(TableWRRanks32[[#This Row],[Player]],WR!B:O,5,FALSE)),"")</f>
        <v>0</v>
      </c>
      <c r="AJ101" s="83">
        <f>IFERROR((VLOOKUP(TableWRRanks32[[#This Row],[Player]],WR!B:O,6,FALSE)),"")</f>
        <v>46.484402719999999</v>
      </c>
      <c r="AK101" s="83">
        <f>IFERROR((VLOOKUP(TableWRRanks32[[#This Row],[Player]],WR!B:O,7,FALSE)),"")</f>
        <v>28.820329686399997</v>
      </c>
      <c r="AL101" s="83">
        <f>IFERROR((VLOOKUP(TableWRRanks32[[#This Row],[Player]],WR!B:O,8,FALSE)),"")</f>
        <v>383.02218153225596</v>
      </c>
      <c r="AM101" s="83">
        <f>IFERROR((VLOOKUP(TableWRRanks32[[#This Row],[Player]],WR!B:O,9,FALSE)),"")</f>
        <v>1.7292197811839998</v>
      </c>
      <c r="AN101" s="57">
        <f>IFERROR((IFERROR(INDEX(TableWRCalcPts[Custom],MATCH(TableWRRanks32[[#This Row],[RK]],TableWRCalcPts[RK],0)),"")),"")</f>
        <v>63.087701683529595</v>
      </c>
      <c r="AO101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  <c r="AQ101">
        <v>100</v>
      </c>
      <c r="AR101" t="str">
        <f>IFERROR(INDEX(TableTECalcPts[PLAYER],MATCH(TableTERanks33[[#This Row],[RK]],TableTECalcPts[RK],0)),"")</f>
        <v/>
      </c>
      <c r="AS101" t="str">
        <f>IFERROR(INDEX(TableTECalcPts[TM],MATCH(TableTERanks33[[#This Row],[Player]],TableTECalcPts[PLAYER],0)),"")</f>
        <v/>
      </c>
      <c r="AT101" t="str">
        <f>IFERROR(INDEX(TableTECalcPts[BYE],MATCH(TableTERanks33[[#This Row],[Player]],TableTECalcPts[PLAYER],0)),"")</f>
        <v/>
      </c>
      <c r="AU101" s="83" t="str">
        <f>IFERROR((VLOOKUP(TableTERanks33[[#This Row],[Player]],TE!B:O,4,FALSE)),"")</f>
        <v/>
      </c>
      <c r="AV101" s="83" t="str">
        <f>IFERROR((VLOOKUP(TableTERanks33[[#This Row],[Player]],TE!B:O,5,FALSE)),"")</f>
        <v/>
      </c>
      <c r="AW101" s="83" t="str">
        <f>IFERROR((VLOOKUP(TableTERanks33[[#This Row],[Player]],TE!B:O,6,FALSE)),"")</f>
        <v/>
      </c>
      <c r="AX101" s="83" t="str">
        <f>IFERROR((VLOOKUP(TableTERanks33[[#This Row],[Player]],TE!B:O,7,FALSE)),"")</f>
        <v/>
      </c>
      <c r="AY101" s="57" t="str">
        <f>IFERROR((IFERROR(INDEX(TableTECalcPts[Custom],MATCH(TableTERanks33[[#This Row],[RK]],TableTECalcPts[RK],0)),"")),"")</f>
        <v/>
      </c>
      <c r="AZ101" s="125" t="str">
        <f>IFERROR((IF(((VLOOKUP(TableTERanks33[[#This Row],[Player]],'OVR &amp; VORP Ranks'!$W:$AA,5,FALSE))/('OVR &amp; VORP Ranks'!$BM$6))*(Settings!$E$10*TEAMS)&lt;0,0,((VLOOKUP(TableTERanks33[[#This Row],[Player]],'OVR &amp; VORP Ranks'!$W:$AA,5,FALSE))/('OVR &amp; VORP Ranks'!$BM$6))*(Settings!$E$10*TEAMS))),"")</f>
        <v/>
      </c>
    </row>
    <row r="102" spans="16:52" x14ac:dyDescent="0.2">
      <c r="P102">
        <v>101</v>
      </c>
      <c r="Q102" t="str">
        <f>IFERROR(INDEX(TableRBCalcPts[PLAYER],MATCH(TableRBRanks31[[#This Row],[RK]],TableRBCalcPts[RK],0)),"")</f>
        <v>DeeJay Dallas</v>
      </c>
      <c r="R102" t="str">
        <f>IFERROR(INDEX(TableRBCalcPts[TM],MATCH(TableRBRanks31[[#This Row],[Player]],TableRBCalcPts[PLAYER],0)),"")</f>
        <v>ARI</v>
      </c>
      <c r="S102">
        <f>IFERROR(INDEX(TableRBCalcPts[BYE],MATCH(TableRBRanks31[[#This Row],[Player]],TableRBCalcPts[PLAYER],0)),"")</f>
        <v>11</v>
      </c>
      <c r="T102" s="83">
        <f>IFERROR((VLOOKUP(TableRBRanks31[[#This Row],[Player]],RB!B:O,4,FALSE)),"")</f>
        <v>9.5341995000000015</v>
      </c>
      <c r="U102" s="83">
        <f>IFERROR((VLOOKUP(TableRBRanks31[[#This Row],[Player]],RB!B:O,5,FALSE)),"")</f>
        <v>39.259643773836316</v>
      </c>
      <c r="V102" s="83">
        <f>IFERROR((VLOOKUP(TableRBRanks31[[#This Row],[Player]],RB!B:O,6,FALSE)),"")</f>
        <v>0.28602598500000004</v>
      </c>
      <c r="W102" s="83">
        <f>IFERROR((VLOOKUP(TableRBRanks31[[#This Row],[Player]],RB!B:O,7,FALSE)),"")</f>
        <v>5.8969050000000003</v>
      </c>
      <c r="X102" s="83">
        <f>IFERROR((VLOOKUP(TableRBRanks31[[#This Row],[Player]],RB!B:O,8,FALSE)),"")</f>
        <v>4.4226787500000002</v>
      </c>
      <c r="Y102" s="83">
        <f>IFERROR((VLOOKUP(TableRBRanks31[[#This Row],[Player]],RB!B:O,9,FALSE)),"")</f>
        <v>29.094790592495798</v>
      </c>
      <c r="Z102" s="83">
        <f>IFERROR((VLOOKUP(TableRBRanks31[[#This Row],[Player]],RB!B:O,10,FALSE)),"")</f>
        <v>0.17690715000000001</v>
      </c>
      <c r="AA102" s="57">
        <f>IFERROR((IFERROR(INDEX(TableRBCalcPts[Custom],MATCH(TableRBRanks31[[#This Row],[RK]],TableRBCalcPts[RK],0)),"")),"")</f>
        <v>11.824381621633211</v>
      </c>
      <c r="AB102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102">
        <v>101</v>
      </c>
      <c r="AE102" t="str">
        <f>IFERROR(INDEX(TableWRCalcPts[PLAYER],MATCH(TableWRRanks32[[#This Row],[RK]],TableWRCalcPts[RK],0)),"")</f>
        <v>Jauan Jennings</v>
      </c>
      <c r="AF102" t="str">
        <f>IFERROR(INDEX(TableWRCalcPts[TM],MATCH(TableWRRanks32[[#This Row],[Player]],TableWRCalcPts[PLAYER],0)),"")</f>
        <v>SF</v>
      </c>
      <c r="AG102">
        <f>IFERROR(INDEX(TableWRCalcPts[BYE],MATCH(TableWRRanks32[[#This Row],[Player]],TableWRCalcPts[PLAYER],0)),"")</f>
        <v>9</v>
      </c>
      <c r="AH102" s="83">
        <f>IFERROR((VLOOKUP(TableWRRanks32[[#This Row],[Player]],WR!B:O,4,FALSE)),"")</f>
        <v>0</v>
      </c>
      <c r="AI102" s="83">
        <f>IFERROR((VLOOKUP(TableWRRanks32[[#This Row],[Player]],WR!B:O,5,FALSE)),"")</f>
        <v>0</v>
      </c>
      <c r="AJ102" s="83">
        <f>IFERROR((VLOOKUP(TableWRRanks32[[#This Row],[Player]],WR!B:O,6,FALSE)),"")</f>
        <v>43.135250759999998</v>
      </c>
      <c r="AK102" s="83">
        <f>IFERROR((VLOOKUP(TableWRRanks32[[#This Row],[Player]],WR!B:O,7,FALSE)),"")</f>
        <v>26.786990721959995</v>
      </c>
      <c r="AL102" s="83">
        <f>IFERROR((VLOOKUP(TableWRRanks32[[#This Row],[Player]],WR!B:O,8,FALSE)),"")</f>
        <v>345.01644049884476</v>
      </c>
      <c r="AM102" s="83">
        <f>IFERROR((VLOOKUP(TableWRRanks32[[#This Row],[Player]],WR!B:O,9,FALSE)),"")</f>
        <v>2.133590747005389</v>
      </c>
      <c r="AN102" s="57">
        <f>IFERROR((IFERROR(INDEX(TableWRCalcPts[Custom],MATCH(TableWRRanks32[[#This Row],[RK]],TableWRCalcPts[RK],0)),"")),"")</f>
        <v>60.696683892896807</v>
      </c>
      <c r="AO102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03" spans="16:52" x14ac:dyDescent="0.2">
      <c r="P103">
        <v>102</v>
      </c>
      <c r="Q103" t="str">
        <f>IFERROR(INDEX(TableRBCalcPts[PLAYER],MATCH(TableRBRanks31[[#This Row],[RK]],TableRBCalcPts[RK],0)),"")</f>
        <v>Jeff Wilson</v>
      </c>
      <c r="R103" t="str">
        <f>IFERROR(INDEX(TableRBCalcPts[TM],MATCH(TableRBRanks31[[#This Row],[Player]],TableRBCalcPts[PLAYER],0)),"")</f>
        <v>MIA</v>
      </c>
      <c r="S103">
        <f>IFERROR(INDEX(TableRBCalcPts[BYE],MATCH(TableRBRanks31[[#This Row],[Player]],TableRBCalcPts[PLAYER],0)),"")</f>
        <v>6</v>
      </c>
      <c r="T103" s="83">
        <f>IFERROR((VLOOKUP(TableRBRanks31[[#This Row],[Player]],RB!B:O,4,FALSE)),"")</f>
        <v>7.1588686400000014</v>
      </c>
      <c r="U103" s="83">
        <f>IFERROR((VLOOKUP(TableRBRanks31[[#This Row],[Player]],RB!B:O,5,FALSE)),"")</f>
        <v>34.628368944029127</v>
      </c>
      <c r="V103" s="83">
        <f>IFERROR((VLOOKUP(TableRBRanks31[[#This Row],[Player]],RB!B:O,6,FALSE)),"")</f>
        <v>0.28635474560000007</v>
      </c>
      <c r="W103" s="83">
        <f>IFERROR((VLOOKUP(TableRBRanks31[[#This Row],[Player]],RB!B:O,7,FALSE)),"")</f>
        <v>5.8633007999999984</v>
      </c>
      <c r="X103" s="83">
        <f>IFERROR((VLOOKUP(TableRBRanks31[[#This Row],[Player]],RB!B:O,8,FALSE)),"")</f>
        <v>4.1043105599999983</v>
      </c>
      <c r="Y103" s="83">
        <f>IFERROR((VLOOKUP(TableRBRanks31[[#This Row],[Player]],RB!B:O,9,FALSE)),"")</f>
        <v>28.69220135611388</v>
      </c>
      <c r="Z103" s="83">
        <f>IFERROR((VLOOKUP(TableRBRanks31[[#This Row],[Player]],RB!B:O,10,FALSE)),"")</f>
        <v>0.19382375883416578</v>
      </c>
      <c r="AA103" s="57">
        <f>IFERROR((IFERROR(INDEX(TableRBCalcPts[Custom],MATCH(TableRBRanks31[[#This Row],[RK]],TableRBCalcPts[RK],0)),"")),"")</f>
        <v>11.265283336619294</v>
      </c>
      <c r="AB103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103">
        <v>102</v>
      </c>
      <c r="AE103" t="str">
        <f>IFERROR(INDEX(TableWRCalcPts[PLAYER],MATCH(TableWRRanks32[[#This Row],[RK]],TableWRCalcPts[RK],0)),"")</f>
        <v>Jonathan Mingo</v>
      </c>
      <c r="AF103" t="str">
        <f>IFERROR(INDEX(TableWRCalcPts[TM],MATCH(TableWRRanks32[[#This Row],[Player]],TableWRCalcPts[PLAYER],0)),"")</f>
        <v>CAR</v>
      </c>
      <c r="AG103">
        <f>IFERROR(INDEX(TableWRCalcPts[BYE],MATCH(TableWRRanks32[[#This Row],[Player]],TableWRCalcPts[PLAYER],0)),"")</f>
        <v>11</v>
      </c>
      <c r="AH103" s="83">
        <f>IFERROR((VLOOKUP(TableWRRanks32[[#This Row],[Player]],WR!B:O,4,FALSE)),"")</f>
        <v>0</v>
      </c>
      <c r="AI103" s="83">
        <f>IFERROR((VLOOKUP(TableWRRanks32[[#This Row],[Player]],WR!B:O,5,FALSE)),"")</f>
        <v>0</v>
      </c>
      <c r="AJ103" s="83">
        <f>IFERROR((VLOOKUP(TableWRRanks32[[#This Row],[Player]],WR!B:O,6,FALSE)),"")</f>
        <v>50.966977599999993</v>
      </c>
      <c r="AK103" s="83">
        <f>IFERROR((VLOOKUP(TableWRRanks32[[#This Row],[Player]],WR!B:O,7,FALSE)),"")</f>
        <v>29.153111187199993</v>
      </c>
      <c r="AL103" s="83">
        <f>IFERROR((VLOOKUP(TableWRRanks32[[#This Row],[Player]],WR!B:O,8,FALSE)),"")</f>
        <v>349.01199817959252</v>
      </c>
      <c r="AM103" s="83">
        <f>IFERROR((VLOOKUP(TableWRRanks32[[#This Row],[Player]],WR!B:O,9,FALSE)),"")</f>
        <v>1.5451148929215996</v>
      </c>
      <c r="AN103" s="57">
        <f>IFERROR((IFERROR(INDEX(TableWRCalcPts[Custom],MATCH(TableWRRanks32[[#This Row],[RK]],TableWRCalcPts[RK],0)),"")),"")</f>
        <v>58.748444769088849</v>
      </c>
      <c r="AO103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04" spans="16:52" x14ac:dyDescent="0.2">
      <c r="P104">
        <v>103</v>
      </c>
      <c r="Q104" t="str">
        <f>IFERROR(INDEX(TableRBCalcPts[PLAYER],MATCH(TableRBRanks31[[#This Row],[RK]],TableRBCalcPts[RK],0)),"")</f>
        <v>Emari Demercado</v>
      </c>
      <c r="R104" t="str">
        <f>IFERROR(INDEX(TableRBCalcPts[TM],MATCH(TableRBRanks31[[#This Row],[Player]],TableRBCalcPts[PLAYER],0)),"")</f>
        <v>ARI</v>
      </c>
      <c r="S104">
        <f>IFERROR(INDEX(TableRBCalcPts[BYE],MATCH(TableRBRanks31[[#This Row],[Player]],TableRBCalcPts[PLAYER],0)),"")</f>
        <v>11</v>
      </c>
      <c r="T104" s="83">
        <f>IFERROR((VLOOKUP(TableRBRanks31[[#This Row],[Player]],RB!B:O,4,FALSE)),"")</f>
        <v>6.8101425000000004</v>
      </c>
      <c r="U104" s="83">
        <f>IFERROR((VLOOKUP(TableRBRanks31[[#This Row],[Player]],RB!B:O,5,FALSE)),"")</f>
        <v>27.989685675000004</v>
      </c>
      <c r="V104" s="83">
        <f>IFERROR((VLOOKUP(TableRBRanks31[[#This Row],[Player]],RB!B:O,6,FALSE)),"")</f>
        <v>0.20430427500000001</v>
      </c>
      <c r="W104" s="83">
        <f>IFERROR((VLOOKUP(TableRBRanks31[[#This Row],[Player]],RB!B:O,7,FALSE)),"")</f>
        <v>5.8969050000000003</v>
      </c>
      <c r="X104" s="83">
        <f>IFERROR((VLOOKUP(TableRBRanks31[[#This Row],[Player]],RB!B:O,8,FALSE)),"")</f>
        <v>4.5406168500000001</v>
      </c>
      <c r="Y104" s="83">
        <f>IFERROR((VLOOKUP(TableRBRanks31[[#This Row],[Player]],RB!B:O,9,FALSE)),"")</f>
        <v>30.694569906000002</v>
      </c>
      <c r="Z104" s="83">
        <f>IFERROR((VLOOKUP(TableRBRanks31[[#This Row],[Player]],RB!B:O,10,FALSE)),"")</f>
        <v>0.18162467400000001</v>
      </c>
      <c r="AA104" s="57">
        <f>IFERROR((IFERROR(INDEX(TableRBCalcPts[Custom],MATCH(TableRBRanks31[[#This Row],[RK]],TableRBCalcPts[RK],0)),"")),"")</f>
        <v>10.454307677100001</v>
      </c>
      <c r="AB104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104">
        <v>103</v>
      </c>
      <c r="AE104" t="str">
        <f>IFERROR(INDEX(TableWRCalcPts[PLAYER],MATCH(TableWRRanks32[[#This Row],[RK]],TableWRCalcPts[RK],0)),"")</f>
        <v>Calvin Austin</v>
      </c>
      <c r="AF104" t="str">
        <f>IFERROR(INDEX(TableWRCalcPts[TM],MATCH(TableWRRanks32[[#This Row],[Player]],TableWRCalcPts[PLAYER],0)),"")</f>
        <v>PIT</v>
      </c>
      <c r="AG104">
        <f>IFERROR(INDEX(TableWRCalcPts[BYE],MATCH(TableWRRanks32[[#This Row],[Player]],TableWRCalcPts[PLAYER],0)),"")</f>
        <v>9</v>
      </c>
      <c r="AH104" s="83">
        <f>IFERROR((VLOOKUP(TableWRRanks32[[#This Row],[Player]],WR!B:O,4,FALSE)),"")</f>
        <v>0</v>
      </c>
      <c r="AI104" s="83">
        <f>IFERROR((VLOOKUP(TableWRRanks32[[#This Row],[Player]],WR!B:O,5,FALSE)),"")</f>
        <v>0</v>
      </c>
      <c r="AJ104" s="83">
        <f>IFERROR((VLOOKUP(TableWRRanks32[[#This Row],[Player]],WR!B:O,6,FALSE)),"")</f>
        <v>48.445319999999995</v>
      </c>
      <c r="AK104" s="83">
        <f>IFERROR((VLOOKUP(TableWRRanks32[[#This Row],[Player]],WR!B:O,7,FALSE)),"")</f>
        <v>29.309418599999997</v>
      </c>
      <c r="AL104" s="83">
        <f>IFERROR((VLOOKUP(TableWRRanks32[[#This Row],[Player]],WR!B:O,8,FALSE)),"")</f>
        <v>328.26548831999997</v>
      </c>
      <c r="AM104" s="83">
        <f>IFERROR((VLOOKUP(TableWRRanks32[[#This Row],[Player]],WR!B:O,9,FALSE)),"")</f>
        <v>1.8158737725561622</v>
      </c>
      <c r="AN104" s="57">
        <f>IFERROR((IFERROR(INDEX(TableWRCalcPts[Custom],MATCH(TableWRRanks32[[#This Row],[RK]],TableWRCalcPts[RK],0)),"")),"")</f>
        <v>58.376500767336978</v>
      </c>
      <c r="AO104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05" spans="16:52" x14ac:dyDescent="0.2">
      <c r="P105">
        <v>104</v>
      </c>
      <c r="Q105" t="str">
        <f>IFERROR(INDEX(TableRBCalcPts[PLAYER],MATCH(TableRBRanks31[[#This Row],[RK]],TableRBCalcPts[RK],0)),"")</f>
        <v>Carson Steele</v>
      </c>
      <c r="R105" t="str">
        <f>IFERROR(INDEX(TableRBCalcPts[TM],MATCH(TableRBRanks31[[#This Row],[Player]],TableRBCalcPts[PLAYER],0)),"")</f>
        <v>KC</v>
      </c>
      <c r="S105">
        <f>IFERROR(INDEX(TableRBCalcPts[BYE],MATCH(TableRBRanks31[[#This Row],[Player]],TableRBCalcPts[PLAYER],0)),"")</f>
        <v>6</v>
      </c>
      <c r="T105" s="83">
        <f>IFERROR((VLOOKUP(TableRBRanks31[[#This Row],[Player]],RB!B:O,4,FALSE)),"")</f>
        <v>5.4629120000000002</v>
      </c>
      <c r="U105" s="83">
        <f>IFERROR((VLOOKUP(TableRBRanks31[[#This Row],[Player]],RB!B:O,5,FALSE)),"")</f>
        <v>22.83497216</v>
      </c>
      <c r="V105" s="83">
        <f>IFERROR((VLOOKUP(TableRBRanks31[[#This Row],[Player]],RB!B:O,6,FALSE)),"")</f>
        <v>0.15932459105706268</v>
      </c>
      <c r="W105" s="83">
        <f>IFERROR((VLOOKUP(TableRBRanks31[[#This Row],[Player]],RB!B:O,7,FALSE)),"")</f>
        <v>6.3033599999999987</v>
      </c>
      <c r="X105" s="83">
        <f>IFERROR((VLOOKUP(TableRBRanks31[[#This Row],[Player]],RB!B:O,8,FALSE)),"")</f>
        <v>4.4123519999999985</v>
      </c>
      <c r="Y105" s="83">
        <f>IFERROR((VLOOKUP(TableRBRanks31[[#This Row],[Player]],RB!B:O,9,FALSE)),"")</f>
        <v>30.77728973892112</v>
      </c>
      <c r="Z105" s="83">
        <f>IFERROR((VLOOKUP(TableRBRanks31[[#This Row],[Player]],RB!B:O,10,FALSE)),"")</f>
        <v>0.24267935999999993</v>
      </c>
      <c r="AA105" s="57">
        <f>IFERROR((IFERROR(INDEX(TableRBCalcPts[Custom],MATCH(TableRBRanks31[[#This Row],[RK]],TableRBCalcPts[RK],0)),"")),"")</f>
        <v>9.9794258962344884</v>
      </c>
      <c r="AB105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105">
        <v>104</v>
      </c>
      <c r="AE105" t="str">
        <f>IFERROR(INDEX(TableWRCalcPts[PLAYER],MATCH(TableWRRanks32[[#This Row],[RK]],TableWRCalcPts[RK],0)),"")</f>
        <v>Malik Washington</v>
      </c>
      <c r="AF105" t="str">
        <f>IFERROR(INDEX(TableWRCalcPts[TM],MATCH(TableWRRanks32[[#This Row],[Player]],TableWRCalcPts[PLAYER],0)),"")</f>
        <v>MIA</v>
      </c>
      <c r="AG105">
        <f>IFERROR(INDEX(TableWRCalcPts[BYE],MATCH(TableWRRanks32[[#This Row],[Player]],TableWRCalcPts[PLAYER],0)),"")</f>
        <v>6</v>
      </c>
      <c r="AH105" s="83">
        <f>IFERROR((VLOOKUP(TableWRRanks32[[#This Row],[Player]],WR!B:O,4,FALSE)),"")</f>
        <v>0</v>
      </c>
      <c r="AI105" s="83">
        <f>IFERROR((VLOOKUP(TableWRRanks32[[#This Row],[Player]],WR!B:O,5,FALSE)),"")</f>
        <v>0</v>
      </c>
      <c r="AJ105" s="83">
        <f>IFERROR((VLOOKUP(TableWRRanks32[[#This Row],[Player]],WR!B:O,6,FALSE)),"")</f>
        <v>41.04310559999999</v>
      </c>
      <c r="AK105" s="83">
        <f>IFERROR((VLOOKUP(TableWRRanks32[[#This Row],[Player]],WR!B:O,7,FALSE)),"")</f>
        <v>27.006363484799994</v>
      </c>
      <c r="AL105" s="83">
        <f>IFERROR((VLOOKUP(TableWRRanks32[[#This Row],[Player]],WR!B:O,8,FALSE)),"")</f>
        <v>318.94515275548792</v>
      </c>
      <c r="AM105" s="83">
        <f>IFERROR((VLOOKUP(TableWRRanks32[[#This Row],[Player]],WR!B:O,9,FALSE)),"")</f>
        <v>1.8904454439359997</v>
      </c>
      <c r="AN105" s="57">
        <f>IFERROR((IFERROR(INDEX(TableWRCalcPts[Custom],MATCH(TableWRRanks32[[#This Row],[RK]],TableWRCalcPts[RK],0)),"")),"")</f>
        <v>56.740369681564793</v>
      </c>
      <c r="AO105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06" spans="16:52" x14ac:dyDescent="0.2">
      <c r="P106">
        <v>105</v>
      </c>
      <c r="Q106" t="str">
        <f>IFERROR(INDEX(TableRBCalcPts[PLAYER],MATCH(TableRBRanks31[[#This Row],[RK]],TableRBCalcPts[RK],0)),"")</f>
        <v>D'Onta Foreman</v>
      </c>
      <c r="R106" t="str">
        <f>IFERROR(INDEX(TableRBCalcPts[TM],MATCH(TableRBRanks31[[#This Row],[Player]],TableRBCalcPts[PLAYER],0)),"")</f>
        <v>CLE</v>
      </c>
      <c r="S106">
        <f>IFERROR(INDEX(TableRBCalcPts[BYE],MATCH(TableRBRanks31[[#This Row],[Player]],TableRBCalcPts[PLAYER],0)),"")</f>
        <v>10</v>
      </c>
      <c r="T106" s="83">
        <f>IFERROR((VLOOKUP(TableRBRanks31[[#This Row],[Player]],RB!B:O,4,FALSE)),"")</f>
        <v>4.8644749999999997</v>
      </c>
      <c r="U106" s="83">
        <f>IFERROR((VLOOKUP(TableRBRanks31[[#This Row],[Player]],RB!B:O,5,FALSE)),"")</f>
        <v>19.99299225</v>
      </c>
      <c r="V106" s="83">
        <f>IFERROR((VLOOKUP(TableRBRanks31[[#This Row],[Player]],RB!B:O,6,FALSE)),"")</f>
        <v>0.17998557499999998</v>
      </c>
      <c r="W106" s="83">
        <f>IFERROR((VLOOKUP(TableRBRanks31[[#This Row],[Player]],RB!B:O,7,FALSE)),"")</f>
        <v>5.3765249999999991</v>
      </c>
      <c r="X106" s="83">
        <f>IFERROR((VLOOKUP(TableRBRanks31[[#This Row],[Player]],RB!B:O,8,FALSE)),"")</f>
        <v>3.9840050249999992</v>
      </c>
      <c r="Y106" s="83">
        <f>IFERROR((VLOOKUP(TableRBRanks31[[#This Row],[Player]],RB!B:O,9,FALSE)),"")</f>
        <v>29.840197637249997</v>
      </c>
      <c r="Z106" s="83">
        <f>IFERROR((VLOOKUP(TableRBRanks31[[#This Row],[Player]],RB!B:O,10,FALSE)),"")</f>
        <v>0.15936020099999998</v>
      </c>
      <c r="AA106" s="57">
        <f>IFERROR((IFERROR(INDEX(TableRBCalcPts[Custom],MATCH(TableRBRanks31[[#This Row],[RK]],TableRBCalcPts[RK],0)),"")),"")</f>
        <v>9.0113961572249988</v>
      </c>
      <c r="AB106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106">
        <v>105</v>
      </c>
      <c r="AE106" t="str">
        <f>IFERROR(INDEX(TableWRCalcPts[PLAYER],MATCH(TableWRRanks32[[#This Row],[RK]],TableWRCalcPts[RK],0)),"")</f>
        <v>Jordan Whittington</v>
      </c>
      <c r="AF106" t="str">
        <f>IFERROR(INDEX(TableWRCalcPts[TM],MATCH(TableWRRanks32[[#This Row],[Player]],TableWRCalcPts[PLAYER],0)),"")</f>
        <v>LAR</v>
      </c>
      <c r="AG106">
        <f>IFERROR(INDEX(TableWRCalcPts[BYE],MATCH(TableWRRanks32[[#This Row],[Player]],TableWRCalcPts[PLAYER],0)),"")</f>
        <v>6</v>
      </c>
      <c r="AH106" s="83">
        <f>IFERROR((VLOOKUP(TableWRRanks32[[#This Row],[Player]],WR!B:O,4,FALSE)),"")</f>
        <v>0</v>
      </c>
      <c r="AI106" s="83">
        <f>IFERROR((VLOOKUP(TableWRRanks32[[#This Row],[Player]],WR!B:O,5,FALSE)),"")</f>
        <v>0</v>
      </c>
      <c r="AJ106" s="83">
        <f>IFERROR((VLOOKUP(TableWRRanks32[[#This Row],[Player]],WR!B:O,6,FALSE)),"")</f>
        <v>43.471592639999997</v>
      </c>
      <c r="AK106" s="83">
        <f>IFERROR((VLOOKUP(TableWRRanks32[[#This Row],[Player]],WR!B:O,7,FALSE)),"")</f>
        <v>25.909069213440002</v>
      </c>
      <c r="AL106" s="83">
        <f>IFERROR((VLOOKUP(TableWRRanks32[[#This Row],[Player]],WR!B:O,8,FALSE)),"")</f>
        <v>317.56180833921519</v>
      </c>
      <c r="AM106" s="83">
        <f>IFERROR((VLOOKUP(TableWRRanks32[[#This Row],[Player]],WR!B:O,9,FALSE)),"")</f>
        <v>1.860404098703017</v>
      </c>
      <c r="AN106" s="57">
        <f>IFERROR((IFERROR(INDEX(TableWRCalcPts[Custom],MATCH(TableWRRanks32[[#This Row],[RK]],TableWRCalcPts[RK],0)),"")),"")</f>
        <v>55.873140032859624</v>
      </c>
      <c r="AO106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07" spans="16:52" x14ac:dyDescent="0.2">
      <c r="P107">
        <v>106</v>
      </c>
      <c r="Q107" t="str">
        <f>IFERROR(INDEX(TableRBCalcPts[PLAYER],MATCH(TableRBRanks31[[#This Row],[RK]],TableRBCalcPts[RK],0)),"")</f>
        <v>Jordan Mims</v>
      </c>
      <c r="R107" t="str">
        <f>IFERROR(INDEX(TableRBCalcPts[TM],MATCH(TableRBRanks31[[#This Row],[Player]],TableRBCalcPts[PLAYER],0)),"")</f>
        <v>NO</v>
      </c>
      <c r="S107">
        <f>IFERROR(INDEX(TableRBCalcPts[BYE],MATCH(TableRBRanks31[[#This Row],[Player]],TableRBCalcPts[PLAYER],0)),"")</f>
        <v>12</v>
      </c>
      <c r="T107" s="83">
        <f>IFERROR((VLOOKUP(TableRBRanks31[[#This Row],[Player]],RB!B:O,4,FALSE)),"")</f>
        <v>5.2773705600000005</v>
      </c>
      <c r="U107" s="83">
        <f>IFERROR((VLOOKUP(TableRBRanks31[[#This Row],[Player]],RB!B:O,5,FALSE)),"")</f>
        <v>21.162255945600002</v>
      </c>
      <c r="V107" s="83">
        <f>IFERROR((VLOOKUP(TableRBRanks31[[#This Row],[Player]],RB!B:O,6,FALSE)),"")</f>
        <v>0.14776637568000001</v>
      </c>
      <c r="W107" s="83">
        <f>IFERROR((VLOOKUP(TableRBRanks31[[#This Row],[Player]],RB!B:O,7,FALSE)),"")</f>
        <v>6.1196624103999993</v>
      </c>
      <c r="X107" s="83">
        <f>IFERROR((VLOOKUP(TableRBRanks31[[#This Row],[Player]],RB!B:O,8,FALSE)),"")</f>
        <v>4.5652681581583998</v>
      </c>
      <c r="Y107" s="83">
        <f>IFERROR((VLOOKUP(TableRBRanks31[[#This Row],[Player]],RB!B:O,9,FALSE)),"")</f>
        <v>28.259009899000496</v>
      </c>
      <c r="Z107" s="83">
        <f>IFERROR((VLOOKUP(TableRBRanks31[[#This Row],[Player]],RB!B:O,10,FALSE)),"")</f>
        <v>0.13695804474475198</v>
      </c>
      <c r="AA107" s="57">
        <f>IFERROR((IFERROR(INDEX(TableRBCalcPts[Custom],MATCH(TableRBRanks31[[#This Row],[RK]],TableRBCalcPts[RK],0)),"")),"")</f>
        <v>8.9331071860877618</v>
      </c>
      <c r="AB107" s="125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>0</v>
      </c>
      <c r="AD107">
        <v>106</v>
      </c>
      <c r="AE107" t="str">
        <f>IFERROR(INDEX(TableWRCalcPts[PLAYER],MATCH(TableWRRanks32[[#This Row],[RK]],TableWRCalcPts[RK],0)),"")</f>
        <v>Quentin Johnston</v>
      </c>
      <c r="AF107" t="str">
        <f>IFERROR(INDEX(TableWRCalcPts[TM],MATCH(TableWRRanks32[[#This Row],[Player]],TableWRCalcPts[PLAYER],0)),"")</f>
        <v>LAC</v>
      </c>
      <c r="AG107">
        <f>IFERROR(INDEX(TableWRCalcPts[BYE],MATCH(TableWRRanks32[[#This Row],[Player]],TableWRCalcPts[PLAYER],0)),"")</f>
        <v>5</v>
      </c>
      <c r="AH107" s="83">
        <f>IFERROR((VLOOKUP(TableWRRanks32[[#This Row],[Player]],WR!B:O,4,FALSE)),"")</f>
        <v>0</v>
      </c>
      <c r="AI107" s="83">
        <f>IFERROR((VLOOKUP(TableWRRanks32[[#This Row],[Player]],WR!B:O,5,FALSE)),"")</f>
        <v>0</v>
      </c>
      <c r="AJ107" s="83">
        <f>IFERROR((VLOOKUP(TableWRRanks32[[#This Row],[Player]],WR!B:O,6,FALSE)),"")</f>
        <v>41.318777640000015</v>
      </c>
      <c r="AK107" s="83">
        <f>IFERROR((VLOOKUP(TableWRRanks32[[#This Row],[Player]],WR!B:O,7,FALSE)),"")</f>
        <v>24.708629028720004</v>
      </c>
      <c r="AL107" s="83">
        <f>IFERROR((VLOOKUP(TableWRRanks32[[#This Row],[Player]],WR!B:O,8,FALSE)),"")</f>
        <v>321.45926366364728</v>
      </c>
      <c r="AM107" s="83">
        <f>IFERROR((VLOOKUP(TableWRRanks32[[#This Row],[Player]],WR!B:O,9,FALSE)),"")</f>
        <v>1.7790212900678402</v>
      </c>
      <c r="AN107" s="57">
        <f>IFERROR((IFERROR(INDEX(TableWRCalcPts[Custom],MATCH(TableWRRanks32[[#This Row],[RK]],TableWRCalcPts[RK],0)),"")),"")</f>
        <v>55.174368621131777</v>
      </c>
      <c r="AO107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08" spans="16:52" x14ac:dyDescent="0.2">
      <c r="P108">
        <v>107</v>
      </c>
      <c r="Q108" t="str">
        <f>IFERROR(INDEX(TableRBCalcPts[PLAYER],MATCH(TableRBRanks31[[#This Row],[RK]],TableRBCalcPts[RK],0)),"")</f>
        <v/>
      </c>
      <c r="R108" t="str">
        <f>IFERROR(INDEX(TableRBCalcPts[TM],MATCH(TableRBRanks31[[#This Row],[Player]],TableRBCalcPts[PLAYER],0)),"")</f>
        <v/>
      </c>
      <c r="S108" t="str">
        <f>IFERROR(INDEX(TableRBCalcPts[BYE],MATCH(TableRBRanks31[[#This Row],[Player]],TableRBCalcPts[PLAYER],0)),"")</f>
        <v/>
      </c>
      <c r="T108" s="83" t="str">
        <f>IFERROR((VLOOKUP(TableRBRanks31[[#This Row],[Player]],RB!B:O,4,FALSE)),"")</f>
        <v/>
      </c>
      <c r="U108" s="83" t="str">
        <f>IFERROR((VLOOKUP(TableRBRanks31[[#This Row],[Player]],RB!B:O,5,FALSE)),"")</f>
        <v/>
      </c>
      <c r="V108" s="83" t="str">
        <f>IFERROR((VLOOKUP(TableRBRanks31[[#This Row],[Player]],RB!B:O,6,FALSE)),"")</f>
        <v/>
      </c>
      <c r="W108" s="83" t="str">
        <f>IFERROR((VLOOKUP(TableRBRanks31[[#This Row],[Player]],RB!B:O,7,FALSE)),"")</f>
        <v/>
      </c>
      <c r="X108" s="83" t="str">
        <f>IFERROR((VLOOKUP(TableRBRanks31[[#This Row],[Player]],RB!B:O,8,FALSE)),"")</f>
        <v/>
      </c>
      <c r="Y108" s="83" t="str">
        <f>IFERROR((VLOOKUP(TableRBRanks31[[#This Row],[Player]],RB!B:O,9,FALSE)),"")</f>
        <v/>
      </c>
      <c r="Z108" s="83" t="str">
        <f>IFERROR((VLOOKUP(TableRBRanks31[[#This Row],[Player]],RB!B:O,10,FALSE)),"")</f>
        <v/>
      </c>
      <c r="AA108" s="57" t="str">
        <f>IFERROR((IFERROR(INDEX(TableRBCalcPts[Custom],MATCH(TableRBRanks31[[#This Row],[RK]],TableRBCalcPts[RK],0)),"")),"")</f>
        <v/>
      </c>
      <c r="AB108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08">
        <v>107</v>
      </c>
      <c r="AE108" t="str">
        <f>IFERROR(INDEX(TableWRCalcPts[PLAYER],MATCH(TableWRRanks32[[#This Row],[RK]],TableWRCalcPts[RK],0)),"")</f>
        <v>Olamide Zaccheaus</v>
      </c>
      <c r="AF108" t="str">
        <f>IFERROR(INDEX(TableWRCalcPts[TM],MATCH(TableWRRanks32[[#This Row],[Player]],TableWRCalcPts[PLAYER],0)),"")</f>
        <v>WSH</v>
      </c>
      <c r="AG108">
        <f>IFERROR(INDEX(TableWRCalcPts[BYE],MATCH(TableWRRanks32[[#This Row],[Player]],TableWRCalcPts[PLAYER],0)),"")</f>
        <v>14</v>
      </c>
      <c r="AH108" s="83">
        <f>IFERROR((VLOOKUP(TableWRRanks32[[#This Row],[Player]],WR!B:O,4,FALSE)),"")</f>
        <v>0</v>
      </c>
      <c r="AI108" s="83">
        <f>IFERROR((VLOOKUP(TableWRRanks32[[#This Row],[Player]],WR!B:O,5,FALSE)),"")</f>
        <v>0</v>
      </c>
      <c r="AJ108" s="83">
        <f>IFERROR((VLOOKUP(TableWRRanks32[[#This Row],[Player]],WR!B:O,6,FALSE)),"")</f>
        <v>41.926712800000011</v>
      </c>
      <c r="AK108" s="83">
        <f>IFERROR((VLOOKUP(TableWRRanks32[[#This Row],[Player]],WR!B:O,7,FALSE)),"")</f>
        <v>24.904467403200005</v>
      </c>
      <c r="AL108" s="83">
        <f>IFERROR((VLOOKUP(TableWRRanks32[[#This Row],[Player]],WR!B:O,8,FALSE)),"")</f>
        <v>261.99499708166405</v>
      </c>
      <c r="AM108" s="83">
        <f>IFERROR((VLOOKUP(TableWRRanks32[[#This Row],[Player]],WR!B:O,9,FALSE)),"")</f>
        <v>1.8429305878368003</v>
      </c>
      <c r="AN108" s="57">
        <f>IFERROR((IFERROR(INDEX(TableWRCalcPts[Custom],MATCH(TableWRRanks32[[#This Row],[RK]],TableWRCalcPts[RK],0)),"")),"")</f>
        <v>49.709316936787211</v>
      </c>
      <c r="AO108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09" spans="16:52" x14ac:dyDescent="0.2">
      <c r="P109">
        <v>108</v>
      </c>
      <c r="Q109" t="str">
        <f>IFERROR(INDEX(TableRBCalcPts[PLAYER],MATCH(TableRBRanks31[[#This Row],[RK]],TableRBCalcPts[RK],0)),"")</f>
        <v/>
      </c>
      <c r="R109" t="str">
        <f>IFERROR(INDEX(TableRBCalcPts[TM],MATCH(TableRBRanks31[[#This Row],[Player]],TableRBCalcPts[PLAYER],0)),"")</f>
        <v/>
      </c>
      <c r="S109" t="str">
        <f>IFERROR(INDEX(TableRBCalcPts[BYE],MATCH(TableRBRanks31[[#This Row],[Player]],TableRBCalcPts[PLAYER],0)),"")</f>
        <v/>
      </c>
      <c r="T109" s="83" t="str">
        <f>IFERROR((VLOOKUP(TableRBRanks31[[#This Row],[Player]],RB!B:O,4,FALSE)),"")</f>
        <v/>
      </c>
      <c r="U109" s="83" t="str">
        <f>IFERROR((VLOOKUP(TableRBRanks31[[#This Row],[Player]],RB!B:O,5,FALSE)),"")</f>
        <v/>
      </c>
      <c r="V109" s="83" t="str">
        <f>IFERROR((VLOOKUP(TableRBRanks31[[#This Row],[Player]],RB!B:O,6,FALSE)),"")</f>
        <v/>
      </c>
      <c r="W109" s="83" t="str">
        <f>IFERROR((VLOOKUP(TableRBRanks31[[#This Row],[Player]],RB!B:O,7,FALSE)),"")</f>
        <v/>
      </c>
      <c r="X109" s="83" t="str">
        <f>IFERROR((VLOOKUP(TableRBRanks31[[#This Row],[Player]],RB!B:O,8,FALSE)),"")</f>
        <v/>
      </c>
      <c r="Y109" s="83" t="str">
        <f>IFERROR((VLOOKUP(TableRBRanks31[[#This Row],[Player]],RB!B:O,9,FALSE)),"")</f>
        <v/>
      </c>
      <c r="Z109" s="83" t="str">
        <f>IFERROR((VLOOKUP(TableRBRanks31[[#This Row],[Player]],RB!B:O,10,FALSE)),"")</f>
        <v/>
      </c>
      <c r="AA109" s="57" t="str">
        <f>IFERROR((IFERROR(INDEX(TableRBCalcPts[Custom],MATCH(TableRBRanks31[[#This Row],[RK]],TableRBCalcPts[RK],0)),"")),"")</f>
        <v/>
      </c>
      <c r="AB109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09">
        <v>108</v>
      </c>
      <c r="AE109" t="str">
        <f>IFERROR(INDEX(TableWRCalcPts[PLAYER],MATCH(TableWRRanks32[[#This Row],[RK]],TableWRCalcPts[RK],0)),"")</f>
        <v>Jahan Dotson</v>
      </c>
      <c r="AF109" t="str">
        <f>IFERROR(INDEX(TableWRCalcPts[TM],MATCH(TableWRRanks32[[#This Row],[Player]],TableWRCalcPts[PLAYER],0)),"")</f>
        <v>PHI</v>
      </c>
      <c r="AG109">
        <f>IFERROR(INDEX(TableWRCalcPts[BYE],MATCH(TableWRRanks32[[#This Row],[Player]],TableWRCalcPts[PLAYER],0)),"")</f>
        <v>5</v>
      </c>
      <c r="AH109" s="83">
        <f>IFERROR((VLOOKUP(TableWRRanks32[[#This Row],[Player]],WR!B:O,4,FALSE)),"")</f>
        <v>0</v>
      </c>
      <c r="AI109" s="83">
        <f>IFERROR((VLOOKUP(TableWRRanks32[[#This Row],[Player]],WR!B:O,5,FALSE)),"")</f>
        <v>0</v>
      </c>
      <c r="AJ109" s="83">
        <f>IFERROR((VLOOKUP(TableWRRanks32[[#This Row],[Player]],WR!B:O,6,FALSE)),"")</f>
        <v>39.607162559999999</v>
      </c>
      <c r="AK109" s="83">
        <f>IFERROR((VLOOKUP(TableWRRanks32[[#This Row],[Player]],WR!B:O,7,FALSE)),"")</f>
        <v>23.249404422719998</v>
      </c>
      <c r="AL109" s="83">
        <f>IFERROR((VLOOKUP(TableWRRanks32[[#This Row],[Player]],WR!B:O,8,FALSE)),"")</f>
        <v>271.55304365736959</v>
      </c>
      <c r="AM109" s="83">
        <f>IFERROR((VLOOKUP(TableWRRanks32[[#This Row],[Player]],WR!B:O,9,FALSE)),"")</f>
        <v>1.6507077140131197</v>
      </c>
      <c r="AN109" s="57">
        <f>IFERROR((IFERROR(INDEX(TableWRCalcPts[Custom],MATCH(TableWRRanks32[[#This Row],[RK]],TableWRCalcPts[RK],0)),"")),"")</f>
        <v>48.684252861175672</v>
      </c>
      <c r="AO109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10" spans="16:52" x14ac:dyDescent="0.2">
      <c r="P110">
        <v>109</v>
      </c>
      <c r="Q110" t="str">
        <f>IFERROR(INDEX(TableRBCalcPts[PLAYER],MATCH(TableRBRanks31[[#This Row],[RK]],TableRBCalcPts[RK],0)),"")</f>
        <v/>
      </c>
      <c r="R110" t="str">
        <f>IFERROR(INDEX(TableRBCalcPts[TM],MATCH(TableRBRanks31[[#This Row],[Player]],TableRBCalcPts[PLAYER],0)),"")</f>
        <v/>
      </c>
      <c r="S110" t="str">
        <f>IFERROR(INDEX(TableRBCalcPts[BYE],MATCH(TableRBRanks31[[#This Row],[Player]],TableRBCalcPts[PLAYER],0)),"")</f>
        <v/>
      </c>
      <c r="T110" s="83" t="str">
        <f>IFERROR((VLOOKUP(TableRBRanks31[[#This Row],[Player]],RB!B:O,4,FALSE)),"")</f>
        <v/>
      </c>
      <c r="U110" s="83" t="str">
        <f>IFERROR((VLOOKUP(TableRBRanks31[[#This Row],[Player]],RB!B:O,5,FALSE)),"")</f>
        <v/>
      </c>
      <c r="V110" s="83" t="str">
        <f>IFERROR((VLOOKUP(TableRBRanks31[[#This Row],[Player]],RB!B:O,6,FALSE)),"")</f>
        <v/>
      </c>
      <c r="W110" s="83" t="str">
        <f>IFERROR((VLOOKUP(TableRBRanks31[[#This Row],[Player]],RB!B:O,7,FALSE)),"")</f>
        <v/>
      </c>
      <c r="X110" s="83" t="str">
        <f>IFERROR((VLOOKUP(TableRBRanks31[[#This Row],[Player]],RB!B:O,8,FALSE)),"")</f>
        <v/>
      </c>
      <c r="Y110" s="83" t="str">
        <f>IFERROR((VLOOKUP(TableRBRanks31[[#This Row],[Player]],RB!B:O,9,FALSE)),"")</f>
        <v/>
      </c>
      <c r="Z110" s="83" t="str">
        <f>IFERROR((VLOOKUP(TableRBRanks31[[#This Row],[Player]],RB!B:O,10,FALSE)),"")</f>
        <v/>
      </c>
      <c r="AA110" s="57" t="str">
        <f>IFERROR((IFERROR(INDEX(TableRBCalcPts[Custom],MATCH(TableRBRanks31[[#This Row],[RK]],TableRBCalcPts[RK],0)),"")),"")</f>
        <v/>
      </c>
      <c r="AB110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10">
        <v>109</v>
      </c>
      <c r="AE110" t="str">
        <f>IFERROR(INDEX(TableWRCalcPts[PLAYER],MATCH(TableWRRanks32[[#This Row],[RK]],TableWRCalcPts[RK],0)),"")</f>
        <v>Trey Palmer</v>
      </c>
      <c r="AF110" t="str">
        <f>IFERROR(INDEX(TableWRCalcPts[TM],MATCH(TableWRRanks32[[#This Row],[Player]],TableWRCalcPts[PLAYER],0)),"")</f>
        <v>TB</v>
      </c>
      <c r="AG110">
        <f>IFERROR(INDEX(TableWRCalcPts[BYE],MATCH(TableWRRanks32[[#This Row],[Player]],TableWRCalcPts[PLAYER],0)),"")</f>
        <v>11</v>
      </c>
      <c r="AH110" s="83">
        <f>IFERROR((VLOOKUP(TableWRRanks32[[#This Row],[Player]],WR!B:O,4,FALSE)),"")</f>
        <v>24.730223364</v>
      </c>
      <c r="AI110" s="83">
        <f>IFERROR((VLOOKUP(TableWRRanks32[[#This Row],[Player]],WR!B:O,5,FALSE)),"")</f>
        <v>3.2946763054159951E-2</v>
      </c>
      <c r="AJ110" s="83">
        <f>IFERROR((VLOOKUP(TableWRRanks32[[#This Row],[Player]],WR!B:O,6,FALSE)),"")</f>
        <v>36.769157040000003</v>
      </c>
      <c r="AK110" s="83">
        <f>IFERROR((VLOOKUP(TableWRRanks32[[#This Row],[Player]],WR!B:O,7,FALSE)),"")</f>
        <v>21.65703349656</v>
      </c>
      <c r="AL110" s="83">
        <f>IFERROR((VLOOKUP(TableWRRanks32[[#This Row],[Player]],WR!B:O,8,FALSE)),"")</f>
        <v>256.85241726920157</v>
      </c>
      <c r="AM110" s="83">
        <f>IFERROR((VLOOKUP(TableWRRanks32[[#This Row],[Player]],WR!B:O,9,FALSE)),"")</f>
        <v>1.5350635864914943</v>
      </c>
      <c r="AN110" s="57">
        <f>IFERROR((IFERROR(INDEX(TableWRCalcPts[Custom],MATCH(TableWRRanks32[[#This Row],[RK]],TableWRCalcPts[RK],0)),"")),"")</f>
        <v>48.394842908874082</v>
      </c>
      <c r="AO110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11" spans="16:52" x14ac:dyDescent="0.2">
      <c r="P111">
        <v>110</v>
      </c>
      <c r="Q111" t="str">
        <f>IFERROR(INDEX(TableRBCalcPts[PLAYER],MATCH(TableRBRanks31[[#This Row],[RK]],TableRBCalcPts[RK],0)),"")</f>
        <v/>
      </c>
      <c r="R111" t="str">
        <f>IFERROR(INDEX(TableRBCalcPts[TM],MATCH(TableRBRanks31[[#This Row],[Player]],TableRBCalcPts[PLAYER],0)),"")</f>
        <v/>
      </c>
      <c r="S111" t="str">
        <f>IFERROR(INDEX(TableRBCalcPts[BYE],MATCH(TableRBRanks31[[#This Row],[Player]],TableRBCalcPts[PLAYER],0)),"")</f>
        <v/>
      </c>
      <c r="T111" s="83" t="str">
        <f>IFERROR((VLOOKUP(TableRBRanks31[[#This Row],[Player]],RB!B:O,4,FALSE)),"")</f>
        <v/>
      </c>
      <c r="U111" s="83" t="str">
        <f>IFERROR((VLOOKUP(TableRBRanks31[[#This Row],[Player]],RB!B:O,5,FALSE)),"")</f>
        <v/>
      </c>
      <c r="V111" s="83" t="str">
        <f>IFERROR((VLOOKUP(TableRBRanks31[[#This Row],[Player]],RB!B:O,6,FALSE)),"")</f>
        <v/>
      </c>
      <c r="W111" s="83" t="str">
        <f>IFERROR((VLOOKUP(TableRBRanks31[[#This Row],[Player]],RB!B:O,7,FALSE)),"")</f>
        <v/>
      </c>
      <c r="X111" s="83" t="str">
        <f>IFERROR((VLOOKUP(TableRBRanks31[[#This Row],[Player]],RB!B:O,8,FALSE)),"")</f>
        <v/>
      </c>
      <c r="Y111" s="83" t="str">
        <f>IFERROR((VLOOKUP(TableRBRanks31[[#This Row],[Player]],RB!B:O,9,FALSE)),"")</f>
        <v/>
      </c>
      <c r="Z111" s="83" t="str">
        <f>IFERROR((VLOOKUP(TableRBRanks31[[#This Row],[Player]],RB!B:O,10,FALSE)),"")</f>
        <v/>
      </c>
      <c r="AA111" s="57" t="str">
        <f>IFERROR((IFERROR(INDEX(TableRBCalcPts[Custom],MATCH(TableRBRanks31[[#This Row],[RK]],TableRBCalcPts[RK],0)),"")),"")</f>
        <v/>
      </c>
      <c r="AB111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11">
        <v>110</v>
      </c>
      <c r="AE111" t="str">
        <f>IFERROR(INDEX(TableWRCalcPts[PLAYER],MATCH(TableWRRanks32[[#This Row],[RK]],TableWRCalcPts[RK],0)),"")</f>
        <v>Tre Tucker</v>
      </c>
      <c r="AF111" t="str">
        <f>IFERROR(INDEX(TableWRCalcPts[TM],MATCH(TableWRRanks32[[#This Row],[Player]],TableWRCalcPts[PLAYER],0)),"")</f>
        <v>LV</v>
      </c>
      <c r="AG111">
        <f>IFERROR(INDEX(TableWRCalcPts[BYE],MATCH(TableWRRanks32[[#This Row],[Player]],TableWRCalcPts[PLAYER],0)),"")</f>
        <v>10</v>
      </c>
      <c r="AH111" s="83">
        <f>IFERROR((VLOOKUP(TableWRRanks32[[#This Row],[Player]],WR!B:O,4,FALSE)),"")</f>
        <v>0</v>
      </c>
      <c r="AI111" s="83">
        <f>IFERROR((VLOOKUP(TableWRRanks32[[#This Row],[Player]],WR!B:O,5,FALSE)),"")</f>
        <v>0</v>
      </c>
      <c r="AJ111" s="83">
        <f>IFERROR((VLOOKUP(TableWRRanks32[[#This Row],[Player]],WR!B:O,6,FALSE)),"")</f>
        <v>37.869650000000007</v>
      </c>
      <c r="AK111" s="83">
        <f>IFERROR((VLOOKUP(TableWRRanks32[[#This Row],[Player]],WR!B:O,7,FALSE)),"")</f>
        <v>21.472091549999998</v>
      </c>
      <c r="AL111" s="83">
        <f>IFERROR((VLOOKUP(TableWRRanks32[[#This Row],[Player]],WR!B:O,8,FALSE)),"")</f>
        <v>278.18624155793555</v>
      </c>
      <c r="AM111" s="83">
        <f>IFERROR((VLOOKUP(TableWRRanks32[[#This Row],[Player]],WR!B:O,9,FALSE)),"")</f>
        <v>1.3333823505397018</v>
      </c>
      <c r="AN111" s="57">
        <f>IFERROR((IFERROR(INDEX(TableWRCalcPts[Custom],MATCH(TableWRRanks32[[#This Row],[RK]],TableWRCalcPts[RK],0)),"")),"")</f>
        <v>46.554964034031769</v>
      </c>
      <c r="AO111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12" spans="16:52" x14ac:dyDescent="0.2">
      <c r="P112">
        <v>111</v>
      </c>
      <c r="Q112" t="str">
        <f>IFERROR(INDEX(TableRBCalcPts[PLAYER],MATCH(TableRBRanks31[[#This Row],[RK]],TableRBCalcPts[RK],0)),"")</f>
        <v/>
      </c>
      <c r="R112" t="str">
        <f>IFERROR(INDEX(TableRBCalcPts[TM],MATCH(TableRBRanks31[[#This Row],[Player]],TableRBCalcPts[PLAYER],0)),"")</f>
        <v/>
      </c>
      <c r="S112" t="str">
        <f>IFERROR(INDEX(TableRBCalcPts[BYE],MATCH(TableRBRanks31[[#This Row],[Player]],TableRBCalcPts[PLAYER],0)),"")</f>
        <v/>
      </c>
      <c r="T112" s="83" t="str">
        <f>IFERROR((VLOOKUP(TableRBRanks31[[#This Row],[Player]],RB!B:O,4,FALSE)),"")</f>
        <v/>
      </c>
      <c r="U112" s="83" t="str">
        <f>IFERROR((VLOOKUP(TableRBRanks31[[#This Row],[Player]],RB!B:O,5,FALSE)),"")</f>
        <v/>
      </c>
      <c r="V112" s="83" t="str">
        <f>IFERROR((VLOOKUP(TableRBRanks31[[#This Row],[Player]],RB!B:O,6,FALSE)),"")</f>
        <v/>
      </c>
      <c r="W112" s="83" t="str">
        <f>IFERROR((VLOOKUP(TableRBRanks31[[#This Row],[Player]],RB!B:O,7,FALSE)),"")</f>
        <v/>
      </c>
      <c r="X112" s="83" t="str">
        <f>IFERROR((VLOOKUP(TableRBRanks31[[#This Row],[Player]],RB!B:O,8,FALSE)),"")</f>
        <v/>
      </c>
      <c r="Y112" s="83" t="str">
        <f>IFERROR((VLOOKUP(TableRBRanks31[[#This Row],[Player]],RB!B:O,9,FALSE)),"")</f>
        <v/>
      </c>
      <c r="Z112" s="83" t="str">
        <f>IFERROR((VLOOKUP(TableRBRanks31[[#This Row],[Player]],RB!B:O,10,FALSE)),"")</f>
        <v/>
      </c>
      <c r="AA112" s="57" t="str">
        <f>IFERROR((IFERROR(INDEX(TableRBCalcPts[Custom],MATCH(TableRBRanks31[[#This Row],[RK]],TableRBCalcPts[RK],0)),"")),"")</f>
        <v/>
      </c>
      <c r="AB112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12">
        <v>111</v>
      </c>
      <c r="AE112" t="str">
        <f>IFERROR(INDEX(TableWRCalcPts[PLAYER],MATCH(TableWRRanks32[[#This Row],[RK]],TableWRCalcPts[RK],0)),"")</f>
        <v>A.T. Perry</v>
      </c>
      <c r="AF112" t="str">
        <f>IFERROR(INDEX(TableWRCalcPts[TM],MATCH(TableWRRanks32[[#This Row],[Player]],TableWRCalcPts[PLAYER],0)),"")</f>
        <v>NO</v>
      </c>
      <c r="AG112">
        <f>IFERROR(INDEX(TableWRCalcPts[BYE],MATCH(TableWRRanks32[[#This Row],[Player]],TableWRCalcPts[PLAYER],0)),"")</f>
        <v>12</v>
      </c>
      <c r="AH112" s="83">
        <f>IFERROR((VLOOKUP(TableWRRanks32[[#This Row],[Player]],WR!B:O,4,FALSE)),"")</f>
        <v>0</v>
      </c>
      <c r="AI112" s="83">
        <f>IFERROR((VLOOKUP(TableWRRanks32[[#This Row],[Player]],WR!B:O,5,FALSE)),"")</f>
        <v>0</v>
      </c>
      <c r="AJ112" s="83">
        <f>IFERROR((VLOOKUP(TableWRRanks32[[#This Row],[Player]],WR!B:O,6,FALSE)),"")</f>
        <v>32.267310891199998</v>
      </c>
      <c r="AK112" s="83">
        <f>IFERROR((VLOOKUP(TableWRRanks32[[#This Row],[Player]],WR!B:O,7,FALSE)),"")</f>
        <v>19.231317291155197</v>
      </c>
      <c r="AL112" s="83">
        <f>IFERROR((VLOOKUP(TableWRRanks32[[#This Row],[Player]],WR!B:O,8,FALSE)),"")</f>
        <v>256.73808583692187</v>
      </c>
      <c r="AM112" s="83">
        <f>IFERROR((VLOOKUP(TableWRRanks32[[#This Row],[Player]],WR!B:O,9,FALSE)),"")</f>
        <v>1.7500498734951229</v>
      </c>
      <c r="AN112" s="57">
        <f>IFERROR((IFERROR(INDEX(TableWRCalcPts[Custom],MATCH(TableWRRanks32[[#This Row],[RK]],TableWRCalcPts[RK],0)),"")),"")</f>
        <v>45.789766470240522</v>
      </c>
      <c r="AO112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13" spans="16:41" x14ac:dyDescent="0.2">
      <c r="P113">
        <v>112</v>
      </c>
      <c r="Q113" t="str">
        <f>IFERROR(INDEX(TableRBCalcPts[PLAYER],MATCH(TableRBRanks31[[#This Row],[RK]],TableRBCalcPts[RK],0)),"")</f>
        <v/>
      </c>
      <c r="R113" t="str">
        <f>IFERROR(INDEX(TableRBCalcPts[TM],MATCH(TableRBRanks31[[#This Row],[Player]],TableRBCalcPts[PLAYER],0)),"")</f>
        <v/>
      </c>
      <c r="S113" t="str">
        <f>IFERROR(INDEX(TableRBCalcPts[BYE],MATCH(TableRBRanks31[[#This Row],[Player]],TableRBCalcPts[PLAYER],0)),"")</f>
        <v/>
      </c>
      <c r="T113" s="83" t="str">
        <f>IFERROR((VLOOKUP(TableRBRanks31[[#This Row],[Player]],RB!B:O,4,FALSE)),"")</f>
        <v/>
      </c>
      <c r="U113" s="83" t="str">
        <f>IFERROR((VLOOKUP(TableRBRanks31[[#This Row],[Player]],RB!B:O,5,FALSE)),"")</f>
        <v/>
      </c>
      <c r="V113" s="83" t="str">
        <f>IFERROR((VLOOKUP(TableRBRanks31[[#This Row],[Player]],RB!B:O,6,FALSE)),"")</f>
        <v/>
      </c>
      <c r="W113" s="83" t="str">
        <f>IFERROR((VLOOKUP(TableRBRanks31[[#This Row],[Player]],RB!B:O,7,FALSE)),"")</f>
        <v/>
      </c>
      <c r="X113" s="83" t="str">
        <f>IFERROR((VLOOKUP(TableRBRanks31[[#This Row],[Player]],RB!B:O,8,FALSE)),"")</f>
        <v/>
      </c>
      <c r="Y113" s="83" t="str">
        <f>IFERROR((VLOOKUP(TableRBRanks31[[#This Row],[Player]],RB!B:O,9,FALSE)),"")</f>
        <v/>
      </c>
      <c r="Z113" s="83" t="str">
        <f>IFERROR((VLOOKUP(TableRBRanks31[[#This Row],[Player]],RB!B:O,10,FALSE)),"")</f>
        <v/>
      </c>
      <c r="AA113" s="57" t="str">
        <f>IFERROR((IFERROR(INDEX(TableRBCalcPts[Custom],MATCH(TableRBRanks31[[#This Row],[RK]],TableRBCalcPts[RK],0)),"")),"")</f>
        <v/>
      </c>
      <c r="AB113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13">
        <v>112</v>
      </c>
      <c r="AE113" t="str">
        <f>IFERROR(INDEX(TableWRCalcPts[PLAYER],MATCH(TableWRRanks32[[#This Row],[RK]],TableWRCalcPts[RK],0)),"")</f>
        <v>Odell Beckham</v>
      </c>
      <c r="AF113" t="str">
        <f>IFERROR(INDEX(TableWRCalcPts[TM],MATCH(TableWRRanks32[[#This Row],[Player]],TableWRCalcPts[PLAYER],0)),"")</f>
        <v>MIA</v>
      </c>
      <c r="AG113">
        <f>IFERROR(INDEX(TableWRCalcPts[BYE],MATCH(TableWRRanks32[[#This Row],[Player]],TableWRCalcPts[PLAYER],0)),"")</f>
        <v>6</v>
      </c>
      <c r="AH113" s="83">
        <f>IFERROR((VLOOKUP(TableWRRanks32[[#This Row],[Player]],WR!B:O,4,FALSE)),"")</f>
        <v>0</v>
      </c>
      <c r="AI113" s="83">
        <f>IFERROR((VLOOKUP(TableWRRanks32[[#This Row],[Player]],WR!B:O,5,FALSE)),"")</f>
        <v>0</v>
      </c>
      <c r="AJ113" s="83">
        <f>IFERROR((VLOOKUP(TableWRRanks32[[#This Row],[Player]],WR!B:O,6,FALSE)),"")</f>
        <v>30.489164159999987</v>
      </c>
      <c r="AK113" s="83">
        <f>IFERROR((VLOOKUP(TableWRRanks32[[#This Row],[Player]],WR!B:O,7,FALSE)),"")</f>
        <v>17.744693541119993</v>
      </c>
      <c r="AL113" s="83">
        <f>IFERROR((VLOOKUP(TableWRRanks32[[#This Row],[Player]],WR!B:O,8,FALSE)),"")</f>
        <v>246.86457649408405</v>
      </c>
      <c r="AM113" s="83">
        <f>IFERROR((VLOOKUP(TableWRRanks32[[#This Row],[Player]],WR!B:O,9,FALSE)),"")</f>
        <v>1.5976782473451419</v>
      </c>
      <c r="AN113" s="57">
        <f>IFERROR((IFERROR(INDEX(TableWRCalcPts[Custom],MATCH(TableWRRanks32[[#This Row],[RK]],TableWRCalcPts[RK],0)),"")),"")</f>
        <v>43.144873904039258</v>
      </c>
      <c r="AO113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14" spans="16:41" x14ac:dyDescent="0.2">
      <c r="P114">
        <v>113</v>
      </c>
      <c r="Q114" t="str">
        <f>IFERROR(INDEX(TableRBCalcPts[PLAYER],MATCH(TableRBRanks31[[#This Row],[RK]],TableRBCalcPts[RK],0)),"")</f>
        <v/>
      </c>
      <c r="R114" t="str">
        <f>IFERROR(INDEX(TableRBCalcPts[TM],MATCH(TableRBRanks31[[#This Row],[Player]],TableRBCalcPts[PLAYER],0)),"")</f>
        <v/>
      </c>
      <c r="S114" t="str">
        <f>IFERROR(INDEX(TableRBCalcPts[BYE],MATCH(TableRBRanks31[[#This Row],[Player]],TableRBCalcPts[PLAYER],0)),"")</f>
        <v/>
      </c>
      <c r="T114" s="83" t="str">
        <f>IFERROR((VLOOKUP(TableRBRanks31[[#This Row],[Player]],RB!B:O,4,FALSE)),"")</f>
        <v/>
      </c>
      <c r="U114" s="83" t="str">
        <f>IFERROR((VLOOKUP(TableRBRanks31[[#This Row],[Player]],RB!B:O,5,FALSE)),"")</f>
        <v/>
      </c>
      <c r="V114" s="83" t="str">
        <f>IFERROR((VLOOKUP(TableRBRanks31[[#This Row],[Player]],RB!B:O,6,FALSE)),"")</f>
        <v/>
      </c>
      <c r="W114" s="83" t="str">
        <f>IFERROR((VLOOKUP(TableRBRanks31[[#This Row],[Player]],RB!B:O,7,FALSE)),"")</f>
        <v/>
      </c>
      <c r="X114" s="83" t="str">
        <f>IFERROR((VLOOKUP(TableRBRanks31[[#This Row],[Player]],RB!B:O,8,FALSE)),"")</f>
        <v/>
      </c>
      <c r="Y114" s="83" t="str">
        <f>IFERROR((VLOOKUP(TableRBRanks31[[#This Row],[Player]],RB!B:O,9,FALSE)),"")</f>
        <v/>
      </c>
      <c r="Z114" s="83" t="str">
        <f>IFERROR((VLOOKUP(TableRBRanks31[[#This Row],[Player]],RB!B:O,10,FALSE)),"")</f>
        <v/>
      </c>
      <c r="AA114" s="57" t="str">
        <f>IFERROR((IFERROR(INDEX(TableRBCalcPts[Custom],MATCH(TableRBRanks31[[#This Row],[RK]],TableRBCalcPts[RK],0)),"")),"")</f>
        <v/>
      </c>
      <c r="AB114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14">
        <v>113</v>
      </c>
      <c r="AE114" t="str">
        <f>IFERROR(INDEX(TableWRCalcPts[PLAYER],MATCH(TableWRRanks32[[#This Row],[RK]],TableWRCalcPts[RK],0)),"")</f>
        <v>Cedric Tillman</v>
      </c>
      <c r="AF114" t="str">
        <f>IFERROR(INDEX(TableWRCalcPts[TM],MATCH(TableWRRanks32[[#This Row],[Player]],TableWRCalcPts[PLAYER],0)),"")</f>
        <v>CLE</v>
      </c>
      <c r="AG114">
        <f>IFERROR(INDEX(TableWRCalcPts[BYE],MATCH(TableWRRanks32[[#This Row],[Player]],TableWRCalcPts[PLAYER],0)),"")</f>
        <v>10</v>
      </c>
      <c r="AH114" s="83">
        <f>IFERROR((VLOOKUP(TableWRRanks32[[#This Row],[Player]],WR!B:O,4,FALSE)),"")</f>
        <v>0</v>
      </c>
      <c r="AI114" s="83">
        <f>IFERROR((VLOOKUP(TableWRRanks32[[#This Row],[Player]],WR!B:O,5,FALSE)),"")</f>
        <v>0</v>
      </c>
      <c r="AJ114" s="83">
        <f>IFERROR((VLOOKUP(TableWRRanks32[[#This Row],[Player]],WR!B:O,6,FALSE)),"")</f>
        <v>34.947412499999999</v>
      </c>
      <c r="AK114" s="83">
        <f>IFERROR((VLOOKUP(TableWRRanks32[[#This Row],[Player]],WR!B:O,7,FALSE)),"")</f>
        <v>19.570551000000002</v>
      </c>
      <c r="AL114" s="83">
        <f>IFERROR((VLOOKUP(TableWRRanks32[[#This Row],[Player]],WR!B:O,8,FALSE)),"")</f>
        <v>240.11280816840582</v>
      </c>
      <c r="AM114" s="83">
        <f>IFERROR((VLOOKUP(TableWRRanks32[[#This Row],[Player]],WR!B:O,9,FALSE)),"")</f>
        <v>1.5007543833046004</v>
      </c>
      <c r="AN114" s="57">
        <f>IFERROR((IFERROR(INDEX(TableWRCalcPts[Custom],MATCH(TableWRRanks32[[#This Row],[RK]],TableWRCalcPts[RK],0)),"")),"")</f>
        <v>42.801082616668182</v>
      </c>
      <c r="AO114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15" spans="16:41" x14ac:dyDescent="0.2">
      <c r="P115">
        <v>114</v>
      </c>
      <c r="Q115" t="str">
        <f>IFERROR(INDEX(TableRBCalcPts[PLAYER],MATCH(TableRBRanks31[[#This Row],[RK]],TableRBCalcPts[RK],0)),"")</f>
        <v/>
      </c>
      <c r="R115" t="str">
        <f>IFERROR(INDEX(TableRBCalcPts[TM],MATCH(TableRBRanks31[[#This Row],[Player]],TableRBCalcPts[PLAYER],0)),"")</f>
        <v/>
      </c>
      <c r="S115" t="str">
        <f>IFERROR(INDEX(TableRBCalcPts[BYE],MATCH(TableRBRanks31[[#This Row],[Player]],TableRBCalcPts[PLAYER],0)),"")</f>
        <v/>
      </c>
      <c r="T115" s="83" t="str">
        <f>IFERROR((VLOOKUP(TableRBRanks31[[#This Row],[Player]],RB!B:O,4,FALSE)),"")</f>
        <v/>
      </c>
      <c r="U115" s="83" t="str">
        <f>IFERROR((VLOOKUP(TableRBRanks31[[#This Row],[Player]],RB!B:O,5,FALSE)),"")</f>
        <v/>
      </c>
      <c r="V115" s="83" t="str">
        <f>IFERROR((VLOOKUP(TableRBRanks31[[#This Row],[Player]],RB!B:O,6,FALSE)),"")</f>
        <v/>
      </c>
      <c r="W115" s="83" t="str">
        <f>IFERROR((VLOOKUP(TableRBRanks31[[#This Row],[Player]],RB!B:O,7,FALSE)),"")</f>
        <v/>
      </c>
      <c r="X115" s="83" t="str">
        <f>IFERROR((VLOOKUP(TableRBRanks31[[#This Row],[Player]],RB!B:O,8,FALSE)),"")</f>
        <v/>
      </c>
      <c r="Y115" s="83" t="str">
        <f>IFERROR((VLOOKUP(TableRBRanks31[[#This Row],[Player]],RB!B:O,9,FALSE)),"")</f>
        <v/>
      </c>
      <c r="Z115" s="83" t="str">
        <f>IFERROR((VLOOKUP(TableRBRanks31[[#This Row],[Player]],RB!B:O,10,FALSE)),"")</f>
        <v/>
      </c>
      <c r="AA115" s="57" t="str">
        <f>IFERROR((IFERROR(INDEX(TableRBCalcPts[Custom],MATCH(TableRBRanks31[[#This Row],[RK]],TableRBCalcPts[RK],0)),"")),"")</f>
        <v/>
      </c>
      <c r="AB115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15">
        <v>114</v>
      </c>
      <c r="AE115" t="str">
        <f>IFERROR(INDEX(TableWRCalcPts[PLAYER],MATCH(TableWRRanks32[[#This Row],[RK]],TableWRCalcPts[RK],0)),"")</f>
        <v>Allen Lazard</v>
      </c>
      <c r="AF115" t="str">
        <f>IFERROR(INDEX(TableWRCalcPts[TM],MATCH(TableWRRanks32[[#This Row],[Player]],TableWRCalcPts[PLAYER],0)),"")</f>
        <v>NYJ</v>
      </c>
      <c r="AG115">
        <f>IFERROR(INDEX(TableWRCalcPts[BYE],MATCH(TableWRRanks32[[#This Row],[Player]],TableWRCalcPts[PLAYER],0)),"")</f>
        <v>12</v>
      </c>
      <c r="AH115" s="83">
        <f>IFERROR((VLOOKUP(TableWRRanks32[[#This Row],[Player]],WR!B:O,4,FALSE)),"")</f>
        <v>0</v>
      </c>
      <c r="AI115" s="83">
        <f>IFERROR((VLOOKUP(TableWRRanks32[[#This Row],[Player]],WR!B:O,5,FALSE)),"")</f>
        <v>0</v>
      </c>
      <c r="AJ115" s="83">
        <f>IFERROR((VLOOKUP(TableWRRanks32[[#This Row],[Player]],WR!B:O,6,FALSE)),"")</f>
        <v>30.218107919999987</v>
      </c>
      <c r="AK115" s="83">
        <f>IFERROR((VLOOKUP(TableWRRanks32[[#This Row],[Player]],WR!B:O,7,FALSE)),"")</f>
        <v>18.191300967839997</v>
      </c>
      <c r="AL115" s="83">
        <f>IFERROR((VLOOKUP(TableWRRanks32[[#This Row],[Player]],WR!B:O,8,FALSE)),"")</f>
        <v>235.77203635810108</v>
      </c>
      <c r="AM115" s="83">
        <f>IFERROR((VLOOKUP(TableWRRanks32[[#This Row],[Player]],WR!B:O,9,FALSE)),"")</f>
        <v>1.6312505989738435</v>
      </c>
      <c r="AN115" s="57">
        <f>IFERROR((IFERROR(INDEX(TableWRCalcPts[Custom],MATCH(TableWRRanks32[[#This Row],[RK]],TableWRCalcPts[RK],0)),"")),"")</f>
        <v>42.460357713573167</v>
      </c>
      <c r="AO115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16" spans="16:41" x14ac:dyDescent="0.2">
      <c r="P116">
        <v>115</v>
      </c>
      <c r="Q116" t="str">
        <f>IFERROR(INDEX(TableRBCalcPts[PLAYER],MATCH(TableRBRanks31[[#This Row],[RK]],TableRBCalcPts[RK],0)),"")</f>
        <v/>
      </c>
      <c r="R116" t="str">
        <f>IFERROR(INDEX(TableRBCalcPts[TM],MATCH(TableRBRanks31[[#This Row],[Player]],TableRBCalcPts[PLAYER],0)),"")</f>
        <v/>
      </c>
      <c r="S116" t="str">
        <f>IFERROR(INDEX(TableRBCalcPts[BYE],MATCH(TableRBRanks31[[#This Row],[Player]],TableRBCalcPts[PLAYER],0)),"")</f>
        <v/>
      </c>
      <c r="T116" s="83" t="str">
        <f>IFERROR((VLOOKUP(TableRBRanks31[[#This Row],[Player]],RB!B:O,4,FALSE)),"")</f>
        <v/>
      </c>
      <c r="U116" s="83" t="str">
        <f>IFERROR((VLOOKUP(TableRBRanks31[[#This Row],[Player]],RB!B:O,5,FALSE)),"")</f>
        <v/>
      </c>
      <c r="V116" s="83" t="str">
        <f>IFERROR((VLOOKUP(TableRBRanks31[[#This Row],[Player]],RB!B:O,6,FALSE)),"")</f>
        <v/>
      </c>
      <c r="W116" s="83" t="str">
        <f>IFERROR((VLOOKUP(TableRBRanks31[[#This Row],[Player]],RB!B:O,7,FALSE)),"")</f>
        <v/>
      </c>
      <c r="X116" s="83" t="str">
        <f>IFERROR((VLOOKUP(TableRBRanks31[[#This Row],[Player]],RB!B:O,8,FALSE)),"")</f>
        <v/>
      </c>
      <c r="Y116" s="83" t="str">
        <f>IFERROR((VLOOKUP(TableRBRanks31[[#This Row],[Player]],RB!B:O,9,FALSE)),"")</f>
        <v/>
      </c>
      <c r="Z116" s="83" t="str">
        <f>IFERROR((VLOOKUP(TableRBRanks31[[#This Row],[Player]],RB!B:O,10,FALSE)),"")</f>
        <v/>
      </c>
      <c r="AA116" s="57" t="str">
        <f>IFERROR((IFERROR(INDEX(TableRBCalcPts[Custom],MATCH(TableRBRanks31[[#This Row],[RK]],TableRBCalcPts[RK],0)),"")),"")</f>
        <v/>
      </c>
      <c r="AB116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16">
        <v>115</v>
      </c>
      <c r="AE116" t="str">
        <f>IFERROR(INDEX(TableWRCalcPts[PLAYER],MATCH(TableWRRanks32[[#This Row],[RK]],TableWRCalcPts[RK],0)),"")</f>
        <v>Mack Hollins</v>
      </c>
      <c r="AF116" t="str">
        <f>IFERROR(INDEX(TableWRCalcPts[TM],MATCH(TableWRRanks32[[#This Row],[Player]],TableWRCalcPts[PLAYER],0)),"")</f>
        <v>BUF</v>
      </c>
      <c r="AG116">
        <f>IFERROR(INDEX(TableWRCalcPts[BYE],MATCH(TableWRRanks32[[#This Row],[Player]],TableWRCalcPts[PLAYER],0)),"")</f>
        <v>12</v>
      </c>
      <c r="AH116" s="83">
        <f>IFERROR((VLOOKUP(TableWRRanks32[[#This Row],[Player]],WR!B:O,4,FALSE)),"")</f>
        <v>22.444395903999997</v>
      </c>
      <c r="AI116" s="83">
        <f>IFERROR((VLOOKUP(TableWRRanks32[[#This Row],[Player]],WR!B:O,5,FALSE)),"")</f>
        <v>0</v>
      </c>
      <c r="AJ116" s="83">
        <f>IFERROR((VLOOKUP(TableWRRanks32[[#This Row],[Player]],WR!B:O,6,FALSE)),"")</f>
        <v>27.332121599999997</v>
      </c>
      <c r="AK116" s="83">
        <f>IFERROR((VLOOKUP(TableWRRanks32[[#This Row],[Player]],WR!B:O,7,FALSE)),"")</f>
        <v>16.344608716799996</v>
      </c>
      <c r="AL116" s="83">
        <f>IFERROR((VLOOKUP(TableWRRanks32[[#This Row],[Player]],WR!B:O,8,FALSE)),"")</f>
        <v>204.30760895999995</v>
      </c>
      <c r="AM116" s="83">
        <f>IFERROR((VLOOKUP(TableWRRanks32[[#This Row],[Player]],WR!B:O,9,FALSE)),"")</f>
        <v>1.3500494709172779</v>
      </c>
      <c r="AN116" s="57">
        <f>IFERROR((IFERROR(INDEX(TableWRCalcPts[Custom],MATCH(TableWRRanks32[[#This Row],[RK]],TableWRCalcPts[RK],0)),"")),"")</f>
        <v>38.947801670303662</v>
      </c>
      <c r="AO116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17" spans="16:41" x14ac:dyDescent="0.2">
      <c r="P117">
        <v>116</v>
      </c>
      <c r="Q117" t="str">
        <f>IFERROR(INDEX(TableRBCalcPts[PLAYER],MATCH(TableRBRanks31[[#This Row],[RK]],TableRBCalcPts[RK],0)),"")</f>
        <v/>
      </c>
      <c r="R117" t="str">
        <f>IFERROR(INDEX(TableRBCalcPts[TM],MATCH(TableRBRanks31[[#This Row],[Player]],TableRBCalcPts[PLAYER],0)),"")</f>
        <v/>
      </c>
      <c r="S117" t="str">
        <f>IFERROR(INDEX(TableRBCalcPts[BYE],MATCH(TableRBRanks31[[#This Row],[Player]],TableRBCalcPts[PLAYER],0)),"")</f>
        <v/>
      </c>
      <c r="T117" s="83" t="str">
        <f>IFERROR((VLOOKUP(TableRBRanks31[[#This Row],[Player]],RB!B:O,4,FALSE)),"")</f>
        <v/>
      </c>
      <c r="U117" s="83" t="str">
        <f>IFERROR((VLOOKUP(TableRBRanks31[[#This Row],[Player]],RB!B:O,5,FALSE)),"")</f>
        <v/>
      </c>
      <c r="V117" s="83" t="str">
        <f>IFERROR((VLOOKUP(TableRBRanks31[[#This Row],[Player]],RB!B:O,6,FALSE)),"")</f>
        <v/>
      </c>
      <c r="W117" s="83" t="str">
        <f>IFERROR((VLOOKUP(TableRBRanks31[[#This Row],[Player]],RB!B:O,7,FALSE)),"")</f>
        <v/>
      </c>
      <c r="X117" s="83" t="str">
        <f>IFERROR((VLOOKUP(TableRBRanks31[[#This Row],[Player]],RB!B:O,8,FALSE)),"")</f>
        <v/>
      </c>
      <c r="Y117" s="83" t="str">
        <f>IFERROR((VLOOKUP(TableRBRanks31[[#This Row],[Player]],RB!B:O,9,FALSE)),"")</f>
        <v/>
      </c>
      <c r="Z117" s="83" t="str">
        <f>IFERROR((VLOOKUP(TableRBRanks31[[#This Row],[Player]],RB!B:O,10,FALSE)),"")</f>
        <v/>
      </c>
      <c r="AA117" s="57" t="str">
        <f>IFERROR((IFERROR(INDEX(TableRBCalcPts[Custom],MATCH(TableRBRanks31[[#This Row],[RK]],TableRBCalcPts[RK],0)),"")),"")</f>
        <v/>
      </c>
      <c r="AB117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17">
        <v>116</v>
      </c>
      <c r="AE117" t="str">
        <f>IFERROR(INDEX(TableWRCalcPts[PLAYER],MATCH(TableWRRanks32[[#This Row],[RK]],TableWRCalcPts[RK],0)),"")</f>
        <v>Noah Brown</v>
      </c>
      <c r="AF117" t="str">
        <f>IFERROR(INDEX(TableWRCalcPts[TM],MATCH(TableWRRanks32[[#This Row],[Player]],TableWRCalcPts[PLAYER],0)),"")</f>
        <v>WSH</v>
      </c>
      <c r="AG117">
        <f>IFERROR(INDEX(TableWRCalcPts[BYE],MATCH(TableWRRanks32[[#This Row],[Player]],TableWRCalcPts[PLAYER],0)),"")</f>
        <v>14</v>
      </c>
      <c r="AH117" s="83">
        <f>IFERROR((VLOOKUP(TableWRRanks32[[#This Row],[Player]],WR!B:O,4,FALSE)),"")</f>
        <v>0</v>
      </c>
      <c r="AI117" s="83">
        <f>IFERROR((VLOOKUP(TableWRRanks32[[#This Row],[Player]],WR!B:O,5,FALSE)),"")</f>
        <v>0</v>
      </c>
      <c r="AJ117" s="83">
        <f>IFERROR((VLOOKUP(TableWRRanks32[[#This Row],[Player]],WR!B:O,6,FALSE)),"")</f>
        <v>28.328860000000006</v>
      </c>
      <c r="AK117" s="83">
        <f>IFERROR((VLOOKUP(TableWRRanks32[[#This Row],[Player]],WR!B:O,7,FALSE)),"")</f>
        <v>16.572383100000003</v>
      </c>
      <c r="AL117" s="83">
        <f>IFERROR((VLOOKUP(TableWRRanks32[[#This Row],[Player]],WR!B:O,8,FALSE)),"")</f>
        <v>224.39006717400002</v>
      </c>
      <c r="AM117" s="83">
        <f>IFERROR((VLOOKUP(TableWRRanks32[[#This Row],[Player]],WR!B:O,9,FALSE)),"")</f>
        <v>1.3257906480000003</v>
      </c>
      <c r="AN117" s="57">
        <f>IFERROR((IFERROR(INDEX(TableWRCalcPts[Custom],MATCH(TableWRRanks32[[#This Row],[RK]],TableWRCalcPts[RK],0)),"")),"")</f>
        <v>38.679942155400006</v>
      </c>
      <c r="AO117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18" spans="16:41" x14ac:dyDescent="0.2">
      <c r="P118">
        <v>117</v>
      </c>
      <c r="Q118" t="str">
        <f>IFERROR(INDEX(TableRBCalcPts[PLAYER],MATCH(TableRBRanks31[[#This Row],[RK]],TableRBCalcPts[RK],0)),"")</f>
        <v/>
      </c>
      <c r="R118" t="str">
        <f>IFERROR(INDEX(TableRBCalcPts[TM],MATCH(TableRBRanks31[[#This Row],[Player]],TableRBCalcPts[PLAYER],0)),"")</f>
        <v/>
      </c>
      <c r="S118" t="str">
        <f>IFERROR(INDEX(TableRBCalcPts[BYE],MATCH(TableRBRanks31[[#This Row],[Player]],TableRBCalcPts[PLAYER],0)),"")</f>
        <v/>
      </c>
      <c r="T118" s="83" t="str">
        <f>IFERROR((VLOOKUP(TableRBRanks31[[#This Row],[Player]],RB!B:O,4,FALSE)),"")</f>
        <v/>
      </c>
      <c r="U118" s="83" t="str">
        <f>IFERROR((VLOOKUP(TableRBRanks31[[#This Row],[Player]],RB!B:O,5,FALSE)),"")</f>
        <v/>
      </c>
      <c r="V118" s="83" t="str">
        <f>IFERROR((VLOOKUP(TableRBRanks31[[#This Row],[Player]],RB!B:O,6,FALSE)),"")</f>
        <v/>
      </c>
      <c r="W118" s="83" t="str">
        <f>IFERROR((VLOOKUP(TableRBRanks31[[#This Row],[Player]],RB!B:O,7,FALSE)),"")</f>
        <v/>
      </c>
      <c r="X118" s="83" t="str">
        <f>IFERROR((VLOOKUP(TableRBRanks31[[#This Row],[Player]],RB!B:O,8,FALSE)),"")</f>
        <v/>
      </c>
      <c r="Y118" s="83" t="str">
        <f>IFERROR((VLOOKUP(TableRBRanks31[[#This Row],[Player]],RB!B:O,9,FALSE)),"")</f>
        <v/>
      </c>
      <c r="Z118" s="83" t="str">
        <f>IFERROR((VLOOKUP(TableRBRanks31[[#This Row],[Player]],RB!B:O,10,FALSE)),"")</f>
        <v/>
      </c>
      <c r="AA118" s="57" t="str">
        <f>IFERROR((IFERROR(INDEX(TableRBCalcPts[Custom],MATCH(TableRBRanks31[[#This Row],[RK]],TableRBCalcPts[RK],0)),"")),"")</f>
        <v/>
      </c>
      <c r="AB118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18">
        <v>117</v>
      </c>
      <c r="AE118" t="str">
        <f>IFERROR(INDEX(TableWRCalcPts[PLAYER],MATCH(TableWRRanks32[[#This Row],[RK]],TableWRCalcPts[RK],0)),"")</f>
        <v>Zay Jones</v>
      </c>
      <c r="AF118" t="str">
        <f>IFERROR(INDEX(TableWRCalcPts[TM],MATCH(TableWRRanks32[[#This Row],[Player]],TableWRCalcPts[PLAYER],0)),"")</f>
        <v>ARI</v>
      </c>
      <c r="AG118">
        <f>IFERROR(INDEX(TableWRCalcPts[BYE],MATCH(TableWRRanks32[[#This Row],[Player]],TableWRCalcPts[PLAYER],0)),"")</f>
        <v>11</v>
      </c>
      <c r="AH118" s="83">
        <f>IFERROR((VLOOKUP(TableWRRanks32[[#This Row],[Player]],WR!B:O,4,FALSE)),"")</f>
        <v>0</v>
      </c>
      <c r="AI118" s="83">
        <f>IFERROR((VLOOKUP(TableWRRanks32[[#This Row],[Player]],WR!B:O,5,FALSE)),"")</f>
        <v>0</v>
      </c>
      <c r="AJ118" s="83">
        <f>IFERROR((VLOOKUP(TableWRRanks32[[#This Row],[Player]],WR!B:O,6,FALSE)),"")</f>
        <v>30.663906000000001</v>
      </c>
      <c r="AK118" s="83">
        <f>IFERROR((VLOOKUP(TableWRRanks32[[#This Row],[Player]],WR!B:O,7,FALSE)),"")</f>
        <v>17.723737667999995</v>
      </c>
      <c r="AL118" s="83">
        <f>IFERROR((VLOOKUP(TableWRRanks32[[#This Row],[Player]],WR!B:O,8,FALSE)),"")</f>
        <v>185.05164488064284</v>
      </c>
      <c r="AM118" s="83">
        <f>IFERROR((VLOOKUP(TableWRRanks32[[#This Row],[Player]],WR!B:O,9,FALSE)),"")</f>
        <v>1.1874904237559998</v>
      </c>
      <c r="AN118" s="57">
        <f>IFERROR((IFERROR(INDEX(TableWRCalcPts[Custom],MATCH(TableWRRanks32[[#This Row],[RK]],TableWRCalcPts[RK],0)),"")),"")</f>
        <v>34.491975864600278</v>
      </c>
      <c r="AO118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19" spans="16:41" x14ac:dyDescent="0.2">
      <c r="P119">
        <v>118</v>
      </c>
      <c r="Q119" t="str">
        <f>IFERROR(INDEX(TableRBCalcPts[PLAYER],MATCH(TableRBRanks31[[#This Row],[RK]],TableRBCalcPts[RK],0)),"")</f>
        <v/>
      </c>
      <c r="R119" t="str">
        <f>IFERROR(INDEX(TableRBCalcPts[TM],MATCH(TableRBRanks31[[#This Row],[Player]],TableRBCalcPts[PLAYER],0)),"")</f>
        <v/>
      </c>
      <c r="S119" t="str">
        <f>IFERROR(INDEX(TableRBCalcPts[BYE],MATCH(TableRBRanks31[[#This Row],[Player]],TableRBCalcPts[PLAYER],0)),"")</f>
        <v/>
      </c>
      <c r="T119" s="83" t="str">
        <f>IFERROR((VLOOKUP(TableRBRanks31[[#This Row],[Player]],RB!B:O,4,FALSE)),"")</f>
        <v/>
      </c>
      <c r="U119" s="83" t="str">
        <f>IFERROR((VLOOKUP(TableRBRanks31[[#This Row],[Player]],RB!B:O,5,FALSE)),"")</f>
        <v/>
      </c>
      <c r="V119" s="83" t="str">
        <f>IFERROR((VLOOKUP(TableRBRanks31[[#This Row],[Player]],RB!B:O,6,FALSE)),"")</f>
        <v/>
      </c>
      <c r="W119" s="83" t="str">
        <f>IFERROR((VLOOKUP(TableRBRanks31[[#This Row],[Player]],RB!B:O,7,FALSE)),"")</f>
        <v/>
      </c>
      <c r="X119" s="83" t="str">
        <f>IFERROR((VLOOKUP(TableRBRanks31[[#This Row],[Player]],RB!B:O,8,FALSE)),"")</f>
        <v/>
      </c>
      <c r="Y119" s="83" t="str">
        <f>IFERROR((VLOOKUP(TableRBRanks31[[#This Row],[Player]],RB!B:O,9,FALSE)),"")</f>
        <v/>
      </c>
      <c r="Z119" s="83" t="str">
        <f>IFERROR((VLOOKUP(TableRBRanks31[[#This Row],[Player]],RB!B:O,10,FALSE)),"")</f>
        <v/>
      </c>
      <c r="AA119" s="57" t="str">
        <f>IFERROR((IFERROR(INDEX(TableRBCalcPts[Custom],MATCH(TableRBRanks31[[#This Row],[RK]],TableRBCalcPts[RK],0)),"")),"")</f>
        <v/>
      </c>
      <c r="AB119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19">
        <v>118</v>
      </c>
      <c r="AE119" t="str">
        <f>IFERROR(INDEX(TableWRCalcPts[PLAYER],MATCH(TableWRRanks32[[#This Row],[RK]],TableWRCalcPts[RK],0)),"")</f>
        <v>Jake Bobo</v>
      </c>
      <c r="AF119" t="str">
        <f>IFERROR(INDEX(TableWRCalcPts[TM],MATCH(TableWRRanks32[[#This Row],[Player]],TableWRCalcPts[PLAYER],0)),"")</f>
        <v>SEA</v>
      </c>
      <c r="AG119">
        <f>IFERROR(INDEX(TableWRCalcPts[BYE],MATCH(TableWRRanks32[[#This Row],[Player]],TableWRCalcPts[PLAYER],0)),"")</f>
        <v>10</v>
      </c>
      <c r="AH119" s="83">
        <f>IFERROR((VLOOKUP(TableWRRanks32[[#This Row],[Player]],WR!B:O,4,FALSE)),"")</f>
        <v>0</v>
      </c>
      <c r="AI119" s="83">
        <f>IFERROR((VLOOKUP(TableWRRanks32[[#This Row],[Player]],WR!B:O,5,FALSE)),"")</f>
        <v>0</v>
      </c>
      <c r="AJ119" s="83">
        <f>IFERROR((VLOOKUP(TableWRRanks32[[#This Row],[Player]],WR!B:O,6,FALSE)),"")</f>
        <v>26.121708899999998</v>
      </c>
      <c r="AK119" s="83">
        <f>IFERROR((VLOOKUP(TableWRRanks32[[#This Row],[Player]],WR!B:O,7,FALSE)),"")</f>
        <v>17.188084456199999</v>
      </c>
      <c r="AL119" s="83">
        <f>IFERROR((VLOOKUP(TableWRRanks32[[#This Row],[Player]],WR!B:O,8,FALSE)),"")</f>
        <v>187.34551148138038</v>
      </c>
      <c r="AM119" s="83">
        <f>IFERROR((VLOOKUP(TableWRRanks32[[#This Row],[Player]],WR!B:O,9,FALSE)),"")</f>
        <v>1.1687897430215999</v>
      </c>
      <c r="AN119" s="57">
        <f>IFERROR((IFERROR(INDEX(TableWRCalcPts[Custom],MATCH(TableWRRanks32[[#This Row],[RK]],TableWRCalcPts[RK],0)),"")),"")</f>
        <v>34.341331834367637</v>
      </c>
      <c r="AO119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20" spans="16:41" x14ac:dyDescent="0.2">
      <c r="P120">
        <v>119</v>
      </c>
      <c r="Q120" t="str">
        <f>IFERROR(INDEX(TableRBCalcPts[PLAYER],MATCH(TableRBRanks31[[#This Row],[RK]],TableRBCalcPts[RK],0)),"")</f>
        <v/>
      </c>
      <c r="R120" t="str">
        <f>IFERROR(INDEX(TableRBCalcPts[TM],MATCH(TableRBRanks31[[#This Row],[Player]],TableRBCalcPts[PLAYER],0)),"")</f>
        <v/>
      </c>
      <c r="S120" t="str">
        <f>IFERROR(INDEX(TableRBCalcPts[BYE],MATCH(TableRBRanks31[[#This Row],[Player]],TableRBCalcPts[PLAYER],0)),"")</f>
        <v/>
      </c>
      <c r="T120" s="83" t="str">
        <f>IFERROR((VLOOKUP(TableRBRanks31[[#This Row],[Player]],RB!B:O,4,FALSE)),"")</f>
        <v/>
      </c>
      <c r="U120" s="83" t="str">
        <f>IFERROR((VLOOKUP(TableRBRanks31[[#This Row],[Player]],RB!B:O,5,FALSE)),"")</f>
        <v/>
      </c>
      <c r="V120" s="83" t="str">
        <f>IFERROR((VLOOKUP(TableRBRanks31[[#This Row],[Player]],RB!B:O,6,FALSE)),"")</f>
        <v/>
      </c>
      <c r="W120" s="83" t="str">
        <f>IFERROR((VLOOKUP(TableRBRanks31[[#This Row],[Player]],RB!B:O,7,FALSE)),"")</f>
        <v/>
      </c>
      <c r="X120" s="83" t="str">
        <f>IFERROR((VLOOKUP(TableRBRanks31[[#This Row],[Player]],RB!B:O,8,FALSE)),"")</f>
        <v/>
      </c>
      <c r="Y120" s="83" t="str">
        <f>IFERROR((VLOOKUP(TableRBRanks31[[#This Row],[Player]],RB!B:O,9,FALSE)),"")</f>
        <v/>
      </c>
      <c r="Z120" s="83" t="str">
        <f>IFERROR((VLOOKUP(TableRBRanks31[[#This Row],[Player]],RB!B:O,10,FALSE)),"")</f>
        <v/>
      </c>
      <c r="AA120" s="57" t="str">
        <f>IFERROR((IFERROR(INDEX(TableRBCalcPts[Custom],MATCH(TableRBRanks31[[#This Row],[RK]],TableRBCalcPts[RK],0)),"")),"")</f>
        <v/>
      </c>
      <c r="AB120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20">
        <v>119</v>
      </c>
      <c r="AE120" t="str">
        <f>IFERROR(INDEX(TableWRCalcPts[PLAYER],MATCH(TableWRRanks32[[#This Row],[RK]],TableWRCalcPts[RK],0)),"")</f>
        <v>Deonte Harty</v>
      </c>
      <c r="AF120" t="str">
        <f>IFERROR(INDEX(TableWRCalcPts[TM],MATCH(TableWRRanks32[[#This Row],[Player]],TableWRCalcPts[PLAYER],0)),"")</f>
        <v>BAL</v>
      </c>
      <c r="AG120">
        <f>IFERROR(INDEX(TableWRCalcPts[BYE],MATCH(TableWRRanks32[[#This Row],[Player]],TableWRCalcPts[PLAYER],0)),"")</f>
        <v>14</v>
      </c>
      <c r="AH120" s="83">
        <f>IFERROR((VLOOKUP(TableWRRanks32[[#This Row],[Player]],WR!B:O,4,FALSE)),"")</f>
        <v>0</v>
      </c>
      <c r="AI120" s="83">
        <f>IFERROR((VLOOKUP(TableWRRanks32[[#This Row],[Player]],WR!B:O,5,FALSE)),"")</f>
        <v>0</v>
      </c>
      <c r="AJ120" s="83">
        <f>IFERROR((VLOOKUP(TableWRRanks32[[#This Row],[Player]],WR!B:O,6,FALSE)),"")</f>
        <v>26.996796960000001</v>
      </c>
      <c r="AK120" s="83">
        <f>IFERROR((VLOOKUP(TableWRRanks32[[#This Row],[Player]],WR!B:O,7,FALSE)),"")</f>
        <v>16.252071769920001</v>
      </c>
      <c r="AL120" s="83">
        <f>IFERROR((VLOOKUP(TableWRRanks32[[#This Row],[Player]],WR!B:O,8,FALSE)),"")</f>
        <v>181.77188829902357</v>
      </c>
      <c r="AM120" s="83">
        <f>IFERROR((VLOOKUP(TableWRRanks32[[#This Row],[Player]],WR!B:O,9,FALSE)),"")</f>
        <v>1.2351574545139201</v>
      </c>
      <c r="AN120" s="57">
        <f>IFERROR((IFERROR(INDEX(TableWRCalcPts[Custom],MATCH(TableWRRanks32[[#This Row],[RK]],TableWRCalcPts[RK],0)),"")),"")</f>
        <v>33.714169441945884</v>
      </c>
      <c r="AO120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21" spans="16:41" x14ac:dyDescent="0.2">
      <c r="P121">
        <v>120</v>
      </c>
      <c r="Q121" t="str">
        <f>IFERROR(INDEX(TableRBCalcPts[PLAYER],MATCH(TableRBRanks31[[#This Row],[RK]],TableRBCalcPts[RK],0)),"")</f>
        <v/>
      </c>
      <c r="R121" t="str">
        <f>IFERROR(INDEX(TableRBCalcPts[TM],MATCH(TableRBRanks31[[#This Row],[Player]],TableRBCalcPts[PLAYER],0)),"")</f>
        <v/>
      </c>
      <c r="S121" t="str">
        <f>IFERROR(INDEX(TableRBCalcPts[BYE],MATCH(TableRBRanks31[[#This Row],[Player]],TableRBCalcPts[PLAYER],0)),"")</f>
        <v/>
      </c>
      <c r="T121" s="83" t="str">
        <f>IFERROR((VLOOKUP(TableRBRanks31[[#This Row],[Player]],RB!B:O,4,FALSE)),"")</f>
        <v/>
      </c>
      <c r="U121" s="83" t="str">
        <f>IFERROR((VLOOKUP(TableRBRanks31[[#This Row],[Player]],RB!B:O,5,FALSE)),"")</f>
        <v/>
      </c>
      <c r="V121" s="83" t="str">
        <f>IFERROR((VLOOKUP(TableRBRanks31[[#This Row],[Player]],RB!B:O,6,FALSE)),"")</f>
        <v/>
      </c>
      <c r="W121" s="83" t="str">
        <f>IFERROR((VLOOKUP(TableRBRanks31[[#This Row],[Player]],RB!B:O,7,FALSE)),"")</f>
        <v/>
      </c>
      <c r="X121" s="83" t="str">
        <f>IFERROR((VLOOKUP(TableRBRanks31[[#This Row],[Player]],RB!B:O,8,FALSE)),"")</f>
        <v/>
      </c>
      <c r="Y121" s="83" t="str">
        <f>IFERROR((VLOOKUP(TableRBRanks31[[#This Row],[Player]],RB!B:O,9,FALSE)),"")</f>
        <v/>
      </c>
      <c r="Z121" s="83" t="str">
        <f>IFERROR((VLOOKUP(TableRBRanks31[[#This Row],[Player]],RB!B:O,10,FALSE)),"")</f>
        <v/>
      </c>
      <c r="AA121" s="57" t="str">
        <f>IFERROR((IFERROR(INDEX(TableRBCalcPts[Custom],MATCH(TableRBRanks31[[#This Row],[RK]],TableRBCalcPts[RK],0)),"")),"")</f>
        <v/>
      </c>
      <c r="AB121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21">
        <v>120</v>
      </c>
      <c r="AE121" t="str">
        <f>IFERROR(INDEX(TableWRCalcPts[PLAYER],MATCH(TableWRRanks32[[#This Row],[RK]],TableWRCalcPts[RK],0)),"")</f>
        <v>JuJu Smith-Schuster</v>
      </c>
      <c r="AF121" t="str">
        <f>IFERROR(INDEX(TableWRCalcPts[TM],MATCH(TableWRRanks32[[#This Row],[Player]],TableWRCalcPts[PLAYER],0)),"")</f>
        <v>KC</v>
      </c>
      <c r="AG121">
        <f>IFERROR(INDEX(TableWRCalcPts[BYE],MATCH(TableWRRanks32[[#This Row],[Player]],TableWRCalcPts[PLAYER],0)),"")</f>
        <v>6</v>
      </c>
      <c r="AH121" s="83">
        <f>IFERROR((VLOOKUP(TableWRRanks32[[#This Row],[Player]],WR!B:O,4,FALSE)),"")</f>
        <v>0</v>
      </c>
      <c r="AI121" s="83">
        <f>IFERROR((VLOOKUP(TableWRRanks32[[#This Row],[Player]],WR!B:O,5,FALSE)),"")</f>
        <v>0</v>
      </c>
      <c r="AJ121" s="83">
        <f>IFERROR((VLOOKUP(TableWRRanks32[[#This Row],[Player]],WR!B:O,6,FALSE)),"")</f>
        <v>25.843775999999998</v>
      </c>
      <c r="AK121" s="83">
        <f>IFERROR((VLOOKUP(TableWRRanks32[[#This Row],[Player]],WR!B:O,7,FALSE)),"")</f>
        <v>16.100672447999997</v>
      </c>
      <c r="AL121" s="83">
        <f>IFERROR((VLOOKUP(TableWRRanks32[[#This Row],[Player]],WR!B:O,8,FALSE)),"")</f>
        <v>166.15893966335997</v>
      </c>
      <c r="AM121" s="83">
        <f>IFERROR((VLOOKUP(TableWRRanks32[[#This Row],[Player]],WR!B:O,9,FALSE)),"")</f>
        <v>1.3202551407359999</v>
      </c>
      <c r="AN121" s="57">
        <f>IFERROR((IFERROR(INDEX(TableWRCalcPts[Custom],MATCH(TableWRRanks32[[#This Row],[RK]],TableWRCalcPts[RK],0)),"")),"")</f>
        <v>32.587761034751999</v>
      </c>
      <c r="AO121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22" spans="16:41" x14ac:dyDescent="0.2">
      <c r="P122">
        <v>121</v>
      </c>
      <c r="Q122" t="str">
        <f>IFERROR(INDEX(TableRBCalcPts[PLAYER],MATCH(TableRBRanks31[[#This Row],[RK]],TableRBCalcPts[RK],0)),"")</f>
        <v/>
      </c>
      <c r="R122" t="str">
        <f>IFERROR(INDEX(TableRBCalcPts[TM],MATCH(TableRBRanks31[[#This Row],[Player]],TableRBCalcPts[PLAYER],0)),"")</f>
        <v/>
      </c>
      <c r="S122" t="str">
        <f>IFERROR(INDEX(TableRBCalcPts[BYE],MATCH(TableRBRanks31[[#This Row],[Player]],TableRBCalcPts[PLAYER],0)),"")</f>
        <v/>
      </c>
      <c r="T122" s="83" t="str">
        <f>IFERROR((VLOOKUP(TableRBRanks31[[#This Row],[Player]],RB!B:O,4,FALSE)),"")</f>
        <v/>
      </c>
      <c r="U122" s="83" t="str">
        <f>IFERROR((VLOOKUP(TableRBRanks31[[#This Row],[Player]],RB!B:O,5,FALSE)),"")</f>
        <v/>
      </c>
      <c r="V122" s="83" t="str">
        <f>IFERROR((VLOOKUP(TableRBRanks31[[#This Row],[Player]],RB!B:O,6,FALSE)),"")</f>
        <v/>
      </c>
      <c r="W122" s="83" t="str">
        <f>IFERROR((VLOOKUP(TableRBRanks31[[#This Row],[Player]],RB!B:O,7,FALSE)),"")</f>
        <v/>
      </c>
      <c r="X122" s="83" t="str">
        <f>IFERROR((VLOOKUP(TableRBRanks31[[#This Row],[Player]],RB!B:O,8,FALSE)),"")</f>
        <v/>
      </c>
      <c r="Y122" s="83" t="str">
        <f>IFERROR((VLOOKUP(TableRBRanks31[[#This Row],[Player]],RB!B:O,9,FALSE)),"")</f>
        <v/>
      </c>
      <c r="Z122" s="83" t="str">
        <f>IFERROR((VLOOKUP(TableRBRanks31[[#This Row],[Player]],RB!B:O,10,FALSE)),"")</f>
        <v/>
      </c>
      <c r="AA122" s="57" t="str">
        <f>IFERROR((IFERROR(INDEX(TableRBCalcPts[Custom],MATCH(TableRBRanks31[[#This Row],[RK]],TableRBCalcPts[RK],0)),"")),"")</f>
        <v/>
      </c>
      <c r="AB122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22">
        <v>121</v>
      </c>
      <c r="AE122" t="str">
        <f>IFERROR(INDEX(TableWRCalcPts[PLAYER],MATCH(TableWRRanks32[[#This Row],[RK]],TableWRCalcPts[RK],0)),"")</f>
        <v>John Metchie</v>
      </c>
      <c r="AF122" t="str">
        <f>IFERROR(INDEX(TableWRCalcPts[TM],MATCH(TableWRRanks32[[#This Row],[Player]],TableWRCalcPts[PLAYER],0)),"")</f>
        <v>HOU</v>
      </c>
      <c r="AG122">
        <f>IFERROR(INDEX(TableWRCalcPts[BYE],MATCH(TableWRRanks32[[#This Row],[Player]],TableWRCalcPts[PLAYER],0)),"")</f>
        <v>14</v>
      </c>
      <c r="AH122" s="83">
        <f>IFERROR((VLOOKUP(TableWRRanks32[[#This Row],[Player]],WR!B:O,4,FALSE)),"")</f>
        <v>0</v>
      </c>
      <c r="AI122" s="83">
        <f>IFERROR((VLOOKUP(TableWRRanks32[[#This Row],[Player]],WR!B:O,5,FALSE)),"")</f>
        <v>0</v>
      </c>
      <c r="AJ122" s="83">
        <f>IFERROR((VLOOKUP(TableWRRanks32[[#This Row],[Player]],WR!B:O,6,FALSE)),"")</f>
        <v>23.767743999999997</v>
      </c>
      <c r="AK122" s="83">
        <f>IFERROR((VLOOKUP(TableWRRanks32[[#This Row],[Player]],WR!B:O,7,FALSE)),"")</f>
        <v>14.569627072000001</v>
      </c>
      <c r="AL122" s="83">
        <f>IFERROR((VLOOKUP(TableWRRanks32[[#This Row],[Player]],WR!B:O,8,FALSE)),"")</f>
        <v>171.92159944960002</v>
      </c>
      <c r="AM122" s="83">
        <f>IFERROR((VLOOKUP(TableWRRanks32[[#This Row],[Player]],WR!B:O,9,FALSE)),"")</f>
        <v>1.107291657472</v>
      </c>
      <c r="AN122" s="57">
        <f>IFERROR((IFERROR(INDEX(TableWRCalcPts[Custom],MATCH(TableWRRanks32[[#This Row],[RK]],TableWRCalcPts[RK],0)),"")),"")</f>
        <v>31.120723425792004</v>
      </c>
      <c r="AO122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23" spans="16:41" x14ac:dyDescent="0.2">
      <c r="P123">
        <v>122</v>
      </c>
      <c r="Q123" t="str">
        <f>IFERROR(INDEX(TableRBCalcPts[PLAYER],MATCH(TableRBRanks31[[#This Row],[RK]],TableRBCalcPts[RK],0)),"")</f>
        <v/>
      </c>
      <c r="R123" t="str">
        <f>IFERROR(INDEX(TableRBCalcPts[TM],MATCH(TableRBRanks31[[#This Row],[Player]],TableRBCalcPts[PLAYER],0)),"")</f>
        <v/>
      </c>
      <c r="S123" t="str">
        <f>IFERROR(INDEX(TableRBCalcPts[BYE],MATCH(TableRBRanks31[[#This Row],[Player]],TableRBCalcPts[PLAYER],0)),"")</f>
        <v/>
      </c>
      <c r="T123" s="83" t="str">
        <f>IFERROR((VLOOKUP(TableRBRanks31[[#This Row],[Player]],RB!B:O,4,FALSE)),"")</f>
        <v/>
      </c>
      <c r="U123" s="83" t="str">
        <f>IFERROR((VLOOKUP(TableRBRanks31[[#This Row],[Player]],RB!B:O,5,FALSE)),"")</f>
        <v/>
      </c>
      <c r="V123" s="83" t="str">
        <f>IFERROR((VLOOKUP(TableRBRanks31[[#This Row],[Player]],RB!B:O,6,FALSE)),"")</f>
        <v/>
      </c>
      <c r="W123" s="83" t="str">
        <f>IFERROR((VLOOKUP(TableRBRanks31[[#This Row],[Player]],RB!B:O,7,FALSE)),"")</f>
        <v/>
      </c>
      <c r="X123" s="83" t="str">
        <f>IFERROR((VLOOKUP(TableRBRanks31[[#This Row],[Player]],RB!B:O,8,FALSE)),"")</f>
        <v/>
      </c>
      <c r="Y123" s="83" t="str">
        <f>IFERROR((VLOOKUP(TableRBRanks31[[#This Row],[Player]],RB!B:O,9,FALSE)),"")</f>
        <v/>
      </c>
      <c r="Z123" s="83" t="str">
        <f>IFERROR((VLOOKUP(TableRBRanks31[[#This Row],[Player]],RB!B:O,10,FALSE)),"")</f>
        <v/>
      </c>
      <c r="AA123" s="57" t="str">
        <f>IFERROR((IFERROR(INDEX(TableRBCalcPts[Custom],MATCH(TableRBRanks31[[#This Row],[RK]],TableRBCalcPts[RK],0)),"")),"")</f>
        <v/>
      </c>
      <c r="AB123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23">
        <v>122</v>
      </c>
      <c r="AE123" t="str">
        <f>IFERROR(INDEX(TableWRCalcPts[PLAYER],MATCH(TableWRRanks32[[#This Row],[RK]],TableWRCalcPts[RK],0)),"")</f>
        <v>Devaughn Vele</v>
      </c>
      <c r="AF123" t="str">
        <f>IFERROR(INDEX(TableWRCalcPts[TM],MATCH(TableWRRanks32[[#This Row],[Player]],TableWRCalcPts[PLAYER],0)),"")</f>
        <v>DEN</v>
      </c>
      <c r="AG123">
        <f>IFERROR(INDEX(TableWRCalcPts[BYE],MATCH(TableWRRanks32[[#This Row],[Player]],TableWRCalcPts[PLAYER],0)),"")</f>
        <v>14</v>
      </c>
      <c r="AH123" s="83">
        <f>IFERROR((VLOOKUP(TableWRRanks32[[#This Row],[Player]],WR!B:O,4,FALSE)),"")</f>
        <v>0</v>
      </c>
      <c r="AI123" s="83">
        <f>IFERROR((VLOOKUP(TableWRRanks32[[#This Row],[Player]],WR!B:O,5,FALSE)),"")</f>
        <v>0</v>
      </c>
      <c r="AJ123" s="83">
        <f>IFERROR((VLOOKUP(TableWRRanks32[[#This Row],[Player]],WR!B:O,6,FALSE)),"")</f>
        <v>23.523068040201004</v>
      </c>
      <c r="AK123" s="83">
        <f>IFERROR((VLOOKUP(TableWRRanks32[[#This Row],[Player]],WR!B:O,7,FALSE)),"")</f>
        <v>13.549287191155777</v>
      </c>
      <c r="AL123" s="83">
        <f>IFERROR((VLOOKUP(TableWRRanks32[[#This Row],[Player]],WR!B:O,8,FALSE)),"")</f>
        <v>173.97284753444018</v>
      </c>
      <c r="AM123" s="83">
        <f>IFERROR((VLOOKUP(TableWRRanks32[[#This Row],[Player]],WR!B:O,9,FALSE)),"")</f>
        <v>0.97554867776321585</v>
      </c>
      <c r="AN123" s="57">
        <f>IFERROR((IFERROR(INDEX(TableWRCalcPts[Custom],MATCH(TableWRRanks32[[#This Row],[RK]],TableWRCalcPts[RK],0)),"")),"")</f>
        <v>30.025220415601204</v>
      </c>
      <c r="AO123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24" spans="16:41" x14ac:dyDescent="0.2">
      <c r="P124">
        <v>123</v>
      </c>
      <c r="Q124" t="str">
        <f>IFERROR(INDEX(TableRBCalcPts[PLAYER],MATCH(TableRBRanks31[[#This Row],[RK]],TableRBCalcPts[RK],0)),"")</f>
        <v/>
      </c>
      <c r="R124" t="str">
        <f>IFERROR(INDEX(TableRBCalcPts[TM],MATCH(TableRBRanks31[[#This Row],[Player]],TableRBCalcPts[PLAYER],0)),"")</f>
        <v/>
      </c>
      <c r="S124" t="str">
        <f>IFERROR(INDEX(TableRBCalcPts[BYE],MATCH(TableRBRanks31[[#This Row],[Player]],TableRBCalcPts[PLAYER],0)),"")</f>
        <v/>
      </c>
      <c r="T124" s="83" t="str">
        <f>IFERROR((VLOOKUP(TableRBRanks31[[#This Row],[Player]],RB!B:O,4,FALSE)),"")</f>
        <v/>
      </c>
      <c r="U124" s="83" t="str">
        <f>IFERROR((VLOOKUP(TableRBRanks31[[#This Row],[Player]],RB!B:O,5,FALSE)),"")</f>
        <v/>
      </c>
      <c r="V124" s="83" t="str">
        <f>IFERROR((VLOOKUP(TableRBRanks31[[#This Row],[Player]],RB!B:O,6,FALSE)),"")</f>
        <v/>
      </c>
      <c r="W124" s="83" t="str">
        <f>IFERROR((VLOOKUP(TableRBRanks31[[#This Row],[Player]],RB!B:O,7,FALSE)),"")</f>
        <v/>
      </c>
      <c r="X124" s="83" t="str">
        <f>IFERROR((VLOOKUP(TableRBRanks31[[#This Row],[Player]],RB!B:O,8,FALSE)),"")</f>
        <v/>
      </c>
      <c r="Y124" s="83" t="str">
        <f>IFERROR((VLOOKUP(TableRBRanks31[[#This Row],[Player]],RB!B:O,9,FALSE)),"")</f>
        <v/>
      </c>
      <c r="Z124" s="83" t="str">
        <f>IFERROR((VLOOKUP(TableRBRanks31[[#This Row],[Player]],RB!B:O,10,FALSE)),"")</f>
        <v/>
      </c>
      <c r="AA124" s="57" t="str">
        <f>IFERROR((IFERROR(INDEX(TableRBCalcPts[Custom],MATCH(TableRBRanks31[[#This Row],[RK]],TableRBCalcPts[RK],0)),"")),"")</f>
        <v/>
      </c>
      <c r="AB124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24">
        <v>123</v>
      </c>
      <c r="AE124" t="str">
        <f>IFERROR(INDEX(TableWRCalcPts[PLAYER],MATCH(TableWRRanks32[[#This Row],[RK]],TableWRCalcPts[RK],0)),"")</f>
        <v>Robert Woods</v>
      </c>
      <c r="AF124" t="str">
        <f>IFERROR(INDEX(TableWRCalcPts[TM],MATCH(TableWRRanks32[[#This Row],[Player]],TableWRCalcPts[PLAYER],0)),"")</f>
        <v>HOU</v>
      </c>
      <c r="AG124">
        <f>IFERROR(INDEX(TableWRCalcPts[BYE],MATCH(TableWRRanks32[[#This Row],[Player]],TableWRCalcPts[PLAYER],0)),"")</f>
        <v>14</v>
      </c>
      <c r="AH124" s="83">
        <f>IFERROR((VLOOKUP(TableWRRanks32[[#This Row],[Player]],WR!B:O,4,FALSE)),"")</f>
        <v>0</v>
      </c>
      <c r="AI124" s="83">
        <f>IFERROR((VLOOKUP(TableWRRanks32[[#This Row],[Player]],WR!B:O,5,FALSE)),"")</f>
        <v>0</v>
      </c>
      <c r="AJ124" s="83">
        <f>IFERROR((VLOOKUP(TableWRRanks32[[#This Row],[Player]],WR!B:O,6,FALSE)),"")</f>
        <v>23.767743999999997</v>
      </c>
      <c r="AK124" s="83">
        <f>IFERROR((VLOOKUP(TableWRRanks32[[#This Row],[Player]],WR!B:O,7,FALSE)),"")</f>
        <v>14.640930303999996</v>
      </c>
      <c r="AL124" s="83">
        <f>IFERROR((VLOOKUP(TableWRRanks32[[#This Row],[Player]],WR!B:O,8,FALSE)),"")</f>
        <v>162.5096094716055</v>
      </c>
      <c r="AM124" s="83">
        <f>IFERROR((VLOOKUP(TableWRRanks32[[#This Row],[Player]],WR!B:O,9,FALSE)),"")</f>
        <v>0.97500091100811492</v>
      </c>
      <c r="AN124" s="57">
        <f>IFERROR((IFERROR(INDEX(TableWRCalcPts[Custom],MATCH(TableWRRanks32[[#This Row],[RK]],TableWRCalcPts[RK],0)),"")),"")</f>
        <v>29.421431565209236</v>
      </c>
      <c r="AO124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25" spans="16:41" x14ac:dyDescent="0.2">
      <c r="P125">
        <v>124</v>
      </c>
      <c r="Q125" t="str">
        <f>IFERROR(INDEX(TableRBCalcPts[PLAYER],MATCH(TableRBRanks31[[#This Row],[RK]],TableRBCalcPts[RK],0)),"")</f>
        <v/>
      </c>
      <c r="R125" t="str">
        <f>IFERROR(INDEX(TableRBCalcPts[TM],MATCH(TableRBRanks31[[#This Row],[Player]],TableRBCalcPts[PLAYER],0)),"")</f>
        <v/>
      </c>
      <c r="S125" t="str">
        <f>IFERROR(INDEX(TableRBCalcPts[BYE],MATCH(TableRBRanks31[[#This Row],[Player]],TableRBCalcPts[PLAYER],0)),"")</f>
        <v/>
      </c>
      <c r="T125" s="83" t="str">
        <f>IFERROR((VLOOKUP(TableRBRanks31[[#This Row],[Player]],RB!B:O,4,FALSE)),"")</f>
        <v/>
      </c>
      <c r="U125" s="83" t="str">
        <f>IFERROR((VLOOKUP(TableRBRanks31[[#This Row],[Player]],RB!B:O,5,FALSE)),"")</f>
        <v/>
      </c>
      <c r="V125" s="83" t="str">
        <f>IFERROR((VLOOKUP(TableRBRanks31[[#This Row],[Player]],RB!B:O,6,FALSE)),"")</f>
        <v/>
      </c>
      <c r="W125" s="83" t="str">
        <f>IFERROR((VLOOKUP(TableRBRanks31[[#This Row],[Player]],RB!B:O,7,FALSE)),"")</f>
        <v/>
      </c>
      <c r="X125" s="83" t="str">
        <f>IFERROR((VLOOKUP(TableRBRanks31[[#This Row],[Player]],RB!B:O,8,FALSE)),"")</f>
        <v/>
      </c>
      <c r="Y125" s="83" t="str">
        <f>IFERROR((VLOOKUP(TableRBRanks31[[#This Row],[Player]],RB!B:O,9,FALSE)),"")</f>
        <v/>
      </c>
      <c r="Z125" s="83" t="str">
        <f>IFERROR((VLOOKUP(TableRBRanks31[[#This Row],[Player]],RB!B:O,10,FALSE)),"")</f>
        <v/>
      </c>
      <c r="AA125" s="57" t="str">
        <f>IFERROR((IFERROR(INDEX(TableRBCalcPts[Custom],MATCH(TableRBRanks31[[#This Row],[RK]],TableRBCalcPts[RK],0)),"")),"")</f>
        <v/>
      </c>
      <c r="AB125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25">
        <v>124</v>
      </c>
      <c r="AE125" t="str">
        <f>IFERROR(INDEX(TableWRCalcPts[PLAYER],MATCH(TableWRRanks32[[#This Row],[RK]],TableWRCalcPts[RK],0)),"")</f>
        <v>Tim Patrick</v>
      </c>
      <c r="AF125" t="str">
        <f>IFERROR(INDEX(TableWRCalcPts[TM],MATCH(TableWRRanks32[[#This Row],[Player]],TableWRCalcPts[PLAYER],0)),"")</f>
        <v>DET</v>
      </c>
      <c r="AG125">
        <f>IFERROR(INDEX(TableWRCalcPts[BYE],MATCH(TableWRRanks32[[#This Row],[Player]],TableWRCalcPts[PLAYER],0)),"")</f>
        <v>5</v>
      </c>
      <c r="AH125" s="83">
        <f>IFERROR((VLOOKUP(TableWRRanks32[[#This Row],[Player]],WR!B:O,4,FALSE)),"")</f>
        <v>0</v>
      </c>
      <c r="AI125" s="83">
        <f>IFERROR((VLOOKUP(TableWRRanks32[[#This Row],[Player]],WR!B:O,5,FALSE)),"")</f>
        <v>0</v>
      </c>
      <c r="AJ125" s="83">
        <f>IFERROR((VLOOKUP(TableWRRanks32[[#This Row],[Player]],WR!B:O,6,FALSE)),"")</f>
        <v>23.706983999999999</v>
      </c>
      <c r="AK125" s="83">
        <f>IFERROR((VLOOKUP(TableWRRanks32[[#This Row],[Player]],WR!B:O,7,FALSE)),"")</f>
        <v>13.323325008000003</v>
      </c>
      <c r="AL125" s="83">
        <f>IFERROR((VLOOKUP(TableWRRanks32[[#This Row],[Player]],WR!B:O,8,FALSE)),"")</f>
        <v>170.93825985264004</v>
      </c>
      <c r="AM125" s="83">
        <f>IFERROR((VLOOKUP(TableWRRanks32[[#This Row],[Player]],WR!B:O,9,FALSE)),"")</f>
        <v>0.94219304434245776</v>
      </c>
      <c r="AN125" s="57">
        <f>IFERROR((IFERROR(INDEX(TableWRCalcPts[Custom],MATCH(TableWRRanks32[[#This Row],[RK]],TableWRCalcPts[RK],0)),"")),"")</f>
        <v>29.408646755318752</v>
      </c>
      <c r="AO125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26" spans="16:41" x14ac:dyDescent="0.2">
      <c r="P126">
        <v>125</v>
      </c>
      <c r="Q126" t="str">
        <f>IFERROR(INDEX(TableRBCalcPts[PLAYER],MATCH(TableRBRanks31[[#This Row],[RK]],TableRBCalcPts[RK],0)),"")</f>
        <v/>
      </c>
      <c r="R126" t="str">
        <f>IFERROR(INDEX(TableRBCalcPts[TM],MATCH(TableRBRanks31[[#This Row],[Player]],TableRBCalcPts[PLAYER],0)),"")</f>
        <v/>
      </c>
      <c r="S126" t="str">
        <f>IFERROR(INDEX(TableRBCalcPts[BYE],MATCH(TableRBRanks31[[#This Row],[Player]],TableRBCalcPts[PLAYER],0)),"")</f>
        <v/>
      </c>
      <c r="T126" s="83" t="str">
        <f>IFERROR((VLOOKUP(TableRBRanks31[[#This Row],[Player]],RB!B:O,4,FALSE)),"")</f>
        <v/>
      </c>
      <c r="U126" s="83" t="str">
        <f>IFERROR((VLOOKUP(TableRBRanks31[[#This Row],[Player]],RB!B:O,5,FALSE)),"")</f>
        <v/>
      </c>
      <c r="V126" s="83" t="str">
        <f>IFERROR((VLOOKUP(TableRBRanks31[[#This Row],[Player]],RB!B:O,6,FALSE)),"")</f>
        <v/>
      </c>
      <c r="W126" s="83" t="str">
        <f>IFERROR((VLOOKUP(TableRBRanks31[[#This Row],[Player]],RB!B:O,7,FALSE)),"")</f>
        <v/>
      </c>
      <c r="X126" s="83" t="str">
        <f>IFERROR((VLOOKUP(TableRBRanks31[[#This Row],[Player]],RB!B:O,8,FALSE)),"")</f>
        <v/>
      </c>
      <c r="Y126" s="83" t="str">
        <f>IFERROR((VLOOKUP(TableRBRanks31[[#This Row],[Player]],RB!B:O,9,FALSE)),"")</f>
        <v/>
      </c>
      <c r="Z126" s="83" t="str">
        <f>IFERROR((VLOOKUP(TableRBRanks31[[#This Row],[Player]],RB!B:O,10,FALSE)),"")</f>
        <v/>
      </c>
      <c r="AA126" s="57" t="str">
        <f>IFERROR((IFERROR(INDEX(TableRBCalcPts[Custom],MATCH(TableRBRanks31[[#This Row],[RK]],TableRBCalcPts[RK],0)),"")),"")</f>
        <v/>
      </c>
      <c r="AB126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26">
        <v>125</v>
      </c>
      <c r="AE126" t="str">
        <f>IFERROR(INDEX(TableWRCalcPts[PLAYER],MATCH(TableWRRanks32[[#This Row],[RK]],TableWRCalcPts[RK],0)),"")</f>
        <v>Treylon Burks</v>
      </c>
      <c r="AF126" t="str">
        <f>IFERROR(INDEX(TableWRCalcPts[TM],MATCH(TableWRRanks32[[#This Row],[Player]],TableWRCalcPts[PLAYER],0)),"")</f>
        <v>TEN</v>
      </c>
      <c r="AG126">
        <f>IFERROR(INDEX(TableWRCalcPts[BYE],MATCH(TableWRRanks32[[#This Row],[Player]],TableWRCalcPts[PLAYER],0)),"")</f>
        <v>5</v>
      </c>
      <c r="AH126" s="83">
        <f>IFERROR((VLOOKUP(TableWRRanks32[[#This Row],[Player]],WR!B:O,4,FALSE)),"")</f>
        <v>0</v>
      </c>
      <c r="AI126" s="83">
        <f>IFERROR((VLOOKUP(TableWRRanks32[[#This Row],[Player]],WR!B:O,5,FALSE)),"")</f>
        <v>0</v>
      </c>
      <c r="AJ126" s="83">
        <f>IFERROR((VLOOKUP(TableWRRanks32[[#This Row],[Player]],WR!B:O,6,FALSE)),"")</f>
        <v>21.981692039999995</v>
      </c>
      <c r="AK126" s="83">
        <f>IFERROR((VLOOKUP(TableWRRanks32[[#This Row],[Player]],WR!B:O,7,FALSE)),"")</f>
        <v>12.859289843399996</v>
      </c>
      <c r="AL126" s="83">
        <f>IFERROR((VLOOKUP(TableWRRanks32[[#This Row],[Player]],WR!B:O,8,FALSE)),"")</f>
        <v>175.50014692074271</v>
      </c>
      <c r="AM126" s="83">
        <f>IFERROR((VLOOKUP(TableWRRanks32[[#This Row],[Player]],WR!B:O,9,FALSE)),"")</f>
        <v>0.793082619589497</v>
      </c>
      <c r="AN126" s="57">
        <f>IFERROR((IFERROR(INDEX(TableWRCalcPts[Custom],MATCH(TableWRRanks32[[#This Row],[RK]],TableWRCalcPts[RK],0)),"")),"")</f>
        <v>28.738155331311248</v>
      </c>
      <c r="AO126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27" spans="16:41" x14ac:dyDescent="0.2">
      <c r="P127">
        <v>126</v>
      </c>
      <c r="Q127" t="str">
        <f>IFERROR(INDEX(TableRBCalcPts[PLAYER],MATCH(TableRBRanks31[[#This Row],[RK]],TableRBCalcPts[RK],0)),"")</f>
        <v/>
      </c>
      <c r="R127" t="str">
        <f>IFERROR(INDEX(TableRBCalcPts[TM],MATCH(TableRBRanks31[[#This Row],[Player]],TableRBCalcPts[PLAYER],0)),"")</f>
        <v/>
      </c>
      <c r="S127" t="str">
        <f>IFERROR(INDEX(TableRBCalcPts[BYE],MATCH(TableRBRanks31[[#This Row],[Player]],TableRBCalcPts[PLAYER],0)),"")</f>
        <v/>
      </c>
      <c r="T127" s="83" t="str">
        <f>IFERROR((VLOOKUP(TableRBRanks31[[#This Row],[Player]],RB!B:O,4,FALSE)),"")</f>
        <v/>
      </c>
      <c r="U127" s="83" t="str">
        <f>IFERROR((VLOOKUP(TableRBRanks31[[#This Row],[Player]],RB!B:O,5,FALSE)),"")</f>
        <v/>
      </c>
      <c r="V127" s="83" t="str">
        <f>IFERROR((VLOOKUP(TableRBRanks31[[#This Row],[Player]],RB!B:O,6,FALSE)),"")</f>
        <v/>
      </c>
      <c r="W127" s="83" t="str">
        <f>IFERROR((VLOOKUP(TableRBRanks31[[#This Row],[Player]],RB!B:O,7,FALSE)),"")</f>
        <v/>
      </c>
      <c r="X127" s="83" t="str">
        <f>IFERROR((VLOOKUP(TableRBRanks31[[#This Row],[Player]],RB!B:O,8,FALSE)),"")</f>
        <v/>
      </c>
      <c r="Y127" s="83" t="str">
        <f>IFERROR((VLOOKUP(TableRBRanks31[[#This Row],[Player]],RB!B:O,9,FALSE)),"")</f>
        <v/>
      </c>
      <c r="Z127" s="83" t="str">
        <f>IFERROR((VLOOKUP(TableRBRanks31[[#This Row],[Player]],RB!B:O,10,FALSE)),"")</f>
        <v/>
      </c>
      <c r="AA127" s="57" t="str">
        <f>IFERROR((IFERROR(INDEX(TableRBCalcPts[Custom],MATCH(TableRBRanks31[[#This Row],[RK]],TableRBCalcPts[RK],0)),"")),"")</f>
        <v/>
      </c>
      <c r="AB127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27">
        <v>126</v>
      </c>
      <c r="AE127" t="str">
        <f>IFERROR(INDEX(TableWRCalcPts[PLAYER],MATCH(TableWRRanks32[[#This Row],[RK]],TableWRCalcPts[RK],0)),"")</f>
        <v>KhaDarel Hodge</v>
      </c>
      <c r="AF127" t="str">
        <f>IFERROR(INDEX(TableWRCalcPts[TM],MATCH(TableWRRanks32[[#This Row],[Player]],TableWRCalcPts[PLAYER],0)),"")</f>
        <v>ATL</v>
      </c>
      <c r="AG127">
        <f>IFERROR(INDEX(TableWRCalcPts[BYE],MATCH(TableWRRanks32[[#This Row],[Player]],TableWRCalcPts[PLAYER],0)),"")</f>
        <v>12</v>
      </c>
      <c r="AH127" s="83">
        <f>IFERROR((VLOOKUP(TableWRRanks32[[#This Row],[Player]],WR!B:O,4,FALSE)),"")</f>
        <v>0</v>
      </c>
      <c r="AI127" s="83">
        <f>IFERROR((VLOOKUP(TableWRRanks32[[#This Row],[Player]],WR!B:O,5,FALSE)),"")</f>
        <v>0</v>
      </c>
      <c r="AJ127" s="83">
        <f>IFERROR((VLOOKUP(TableWRRanks32[[#This Row],[Player]],WR!B:O,6,FALSE)),"")</f>
        <v>21.855113279999994</v>
      </c>
      <c r="AK127" s="83">
        <f>IFERROR((VLOOKUP(TableWRRanks32[[#This Row],[Player]],WR!B:O,7,FALSE)),"")</f>
        <v>13.419039553919996</v>
      </c>
      <c r="AL127" s="83">
        <f>IFERROR((VLOOKUP(TableWRRanks32[[#This Row],[Player]],WR!B:O,8,FALSE)),"")</f>
        <v>162.90714018458877</v>
      </c>
      <c r="AM127" s="83">
        <f>IFERROR((VLOOKUP(TableWRRanks32[[#This Row],[Player]],WR!B:O,9,FALSE)),"")</f>
        <v>0.95316022224302988</v>
      </c>
      <c r="AN127" s="57">
        <f>IFERROR((IFERROR(INDEX(TableWRCalcPts[Custom],MATCH(TableWRRanks32[[#This Row],[RK]],TableWRCalcPts[RK],0)),"")),"")</f>
        <v>28.719195128877054</v>
      </c>
      <c r="AO127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28" spans="16:41" x14ac:dyDescent="0.2">
      <c r="P128">
        <v>127</v>
      </c>
      <c r="Q128" t="str">
        <f>IFERROR(INDEX(TableRBCalcPts[PLAYER],MATCH(TableRBRanks31[[#This Row],[RK]],TableRBCalcPts[RK],0)),"")</f>
        <v/>
      </c>
      <c r="R128" t="str">
        <f>IFERROR(INDEX(TableRBCalcPts[TM],MATCH(TableRBRanks31[[#This Row],[Player]],TableRBCalcPts[PLAYER],0)),"")</f>
        <v/>
      </c>
      <c r="S128" t="str">
        <f>IFERROR(INDEX(TableRBCalcPts[BYE],MATCH(TableRBRanks31[[#This Row],[Player]],TableRBCalcPts[PLAYER],0)),"")</f>
        <v/>
      </c>
      <c r="T128" s="83" t="str">
        <f>IFERROR((VLOOKUP(TableRBRanks31[[#This Row],[Player]],RB!B:O,4,FALSE)),"")</f>
        <v/>
      </c>
      <c r="U128" s="83" t="str">
        <f>IFERROR((VLOOKUP(TableRBRanks31[[#This Row],[Player]],RB!B:O,5,FALSE)),"")</f>
        <v/>
      </c>
      <c r="V128" s="83" t="str">
        <f>IFERROR((VLOOKUP(TableRBRanks31[[#This Row],[Player]],RB!B:O,6,FALSE)),"")</f>
        <v/>
      </c>
      <c r="W128" s="83" t="str">
        <f>IFERROR((VLOOKUP(TableRBRanks31[[#This Row],[Player]],RB!B:O,7,FALSE)),"")</f>
        <v/>
      </c>
      <c r="X128" s="83" t="str">
        <f>IFERROR((VLOOKUP(TableRBRanks31[[#This Row],[Player]],RB!B:O,8,FALSE)),"")</f>
        <v/>
      </c>
      <c r="Y128" s="83" t="str">
        <f>IFERROR((VLOOKUP(TableRBRanks31[[#This Row],[Player]],RB!B:O,9,FALSE)),"")</f>
        <v/>
      </c>
      <c r="Z128" s="83" t="str">
        <f>IFERROR((VLOOKUP(TableRBRanks31[[#This Row],[Player]],RB!B:O,10,FALSE)),"")</f>
        <v/>
      </c>
      <c r="AA128" s="57" t="str">
        <f>IFERROR((IFERROR(INDEX(TableRBCalcPts[Custom],MATCH(TableRBRanks31[[#This Row],[RK]],TableRBCalcPts[RK],0)),"")),"")</f>
        <v/>
      </c>
      <c r="AB128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28">
        <v>127</v>
      </c>
      <c r="AE128" t="str">
        <f>IFERROR(INDEX(TableWRCalcPts[PLAYER],MATCH(TableWRRanks32[[#This Row],[RK]],TableWRCalcPts[RK],0)),"")</f>
        <v>Anthony Gould</v>
      </c>
      <c r="AF128" t="str">
        <f>IFERROR(INDEX(TableWRCalcPts[TM],MATCH(TableWRRanks32[[#This Row],[Player]],TableWRCalcPts[PLAYER],0)),"")</f>
        <v>IND</v>
      </c>
      <c r="AG128">
        <f>IFERROR(INDEX(TableWRCalcPts[BYE],MATCH(TableWRRanks32[[#This Row],[Player]],TableWRCalcPts[PLAYER],0)),"")</f>
        <v>14</v>
      </c>
      <c r="AH128" s="83">
        <f>IFERROR((VLOOKUP(TableWRRanks32[[#This Row],[Player]],WR!B:O,4,FALSE)),"")</f>
        <v>0</v>
      </c>
      <c r="AI128" s="83">
        <f>IFERROR((VLOOKUP(TableWRRanks32[[#This Row],[Player]],WR!B:O,5,FALSE)),"")</f>
        <v>0</v>
      </c>
      <c r="AJ128" s="83">
        <f>IFERROR((VLOOKUP(TableWRRanks32[[#This Row],[Player]],WR!B:O,6,FALSE)),"")</f>
        <v>23.075021199999998</v>
      </c>
      <c r="AK128" s="83">
        <f>IFERROR((VLOOKUP(TableWRRanks32[[#This Row],[Player]],WR!B:O,7,FALSE)),"")</f>
        <v>13.568112465599999</v>
      </c>
      <c r="AL128" s="83">
        <f>IFERROR((VLOOKUP(TableWRRanks32[[#This Row],[Player]],WR!B:O,8,FALSE)),"")</f>
        <v>161.05349496667196</v>
      </c>
      <c r="AM128" s="83">
        <f>IFERROR((VLOOKUP(TableWRRanks32[[#This Row],[Player]],WR!B:O,9,FALSE)),"")</f>
        <v>0.86835919779839998</v>
      </c>
      <c r="AN128" s="57">
        <f>IFERROR((IFERROR(INDEX(TableWRCalcPts[Custom],MATCH(TableWRRanks32[[#This Row],[RK]],TableWRCalcPts[RK],0)),"")),"")</f>
        <v>28.099560916257602</v>
      </c>
      <c r="AO128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29" spans="16:41" x14ac:dyDescent="0.2">
      <c r="P129">
        <v>128</v>
      </c>
      <c r="Q129" t="str">
        <f>IFERROR(INDEX(TableRBCalcPts[PLAYER],MATCH(TableRBRanks31[[#This Row],[RK]],TableRBCalcPts[RK],0)),"")</f>
        <v/>
      </c>
      <c r="R129" t="str">
        <f>IFERROR(INDEX(TableRBCalcPts[TM],MATCH(TableRBRanks31[[#This Row],[Player]],TableRBCalcPts[PLAYER],0)),"")</f>
        <v/>
      </c>
      <c r="S129" t="str">
        <f>IFERROR(INDEX(TableRBCalcPts[BYE],MATCH(TableRBRanks31[[#This Row],[Player]],TableRBCalcPts[PLAYER],0)),"")</f>
        <v/>
      </c>
      <c r="T129" s="83" t="str">
        <f>IFERROR((VLOOKUP(TableRBRanks31[[#This Row],[Player]],RB!B:O,4,FALSE)),"")</f>
        <v/>
      </c>
      <c r="U129" s="83" t="str">
        <f>IFERROR((VLOOKUP(TableRBRanks31[[#This Row],[Player]],RB!B:O,5,FALSE)),"")</f>
        <v/>
      </c>
      <c r="V129" s="83" t="str">
        <f>IFERROR((VLOOKUP(TableRBRanks31[[#This Row],[Player]],RB!B:O,6,FALSE)),"")</f>
        <v/>
      </c>
      <c r="W129" s="83" t="str">
        <f>IFERROR((VLOOKUP(TableRBRanks31[[#This Row],[Player]],RB!B:O,7,FALSE)),"")</f>
        <v/>
      </c>
      <c r="X129" s="83" t="str">
        <f>IFERROR((VLOOKUP(TableRBRanks31[[#This Row],[Player]],RB!B:O,8,FALSE)),"")</f>
        <v/>
      </c>
      <c r="Y129" s="83" t="str">
        <f>IFERROR((VLOOKUP(TableRBRanks31[[#This Row],[Player]],RB!B:O,9,FALSE)),"")</f>
        <v/>
      </c>
      <c r="Z129" s="83" t="str">
        <f>IFERROR((VLOOKUP(TableRBRanks31[[#This Row],[Player]],RB!B:O,10,FALSE)),"")</f>
        <v/>
      </c>
      <c r="AA129" s="57" t="str">
        <f>IFERROR((IFERROR(INDEX(TableRBCalcPts[Custom],MATCH(TableRBRanks31[[#This Row],[RK]],TableRBCalcPts[RK],0)),"")),"")</f>
        <v/>
      </c>
      <c r="AB129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29">
        <v>128</v>
      </c>
      <c r="AE129" t="str">
        <f>IFERROR(INDEX(TableWRCalcPts[PLAYER],MATCH(TableWRRanks32[[#This Row],[RK]],TableWRCalcPts[RK],0)),"")</f>
        <v>Xavier Gipson</v>
      </c>
      <c r="AF129" t="str">
        <f>IFERROR(INDEX(TableWRCalcPts[TM],MATCH(TableWRRanks32[[#This Row],[Player]],TableWRCalcPts[PLAYER],0)),"")</f>
        <v>NYJ</v>
      </c>
      <c r="AG129">
        <f>IFERROR(INDEX(TableWRCalcPts[BYE],MATCH(TableWRRanks32[[#This Row],[Player]],TableWRCalcPts[PLAYER],0)),"")</f>
        <v>12</v>
      </c>
      <c r="AH129" s="83">
        <f>IFERROR((VLOOKUP(TableWRRanks32[[#This Row],[Player]],WR!B:O,4,FALSE)),"")</f>
        <v>0</v>
      </c>
      <c r="AI129" s="83">
        <f>IFERROR((VLOOKUP(TableWRRanks32[[#This Row],[Player]],WR!B:O,5,FALSE)),"")</f>
        <v>0</v>
      </c>
      <c r="AJ129" s="83">
        <f>IFERROR((VLOOKUP(TableWRRanks32[[#This Row],[Player]],WR!B:O,6,FALSE)),"")</f>
        <v>20.737917199999995</v>
      </c>
      <c r="AK129" s="83">
        <f>IFERROR((VLOOKUP(TableWRRanks32[[#This Row],[Player]],WR!B:O,7,FALSE)),"")</f>
        <v>12.608653657599998</v>
      </c>
      <c r="AL129" s="83">
        <f>IFERROR((VLOOKUP(TableWRRanks32[[#This Row],[Player]],WR!B:O,8,FALSE)),"")</f>
        <v>146.10709949103651</v>
      </c>
      <c r="AM129" s="83">
        <f>IFERROR((VLOOKUP(TableWRRanks32[[#This Row],[Player]],WR!B:O,9,FALSE)),"")</f>
        <v>1.1189931551875791</v>
      </c>
      <c r="AN129" s="57">
        <f>IFERROR((IFERROR(INDEX(TableWRCalcPts[Custom],MATCH(TableWRRanks32[[#This Row],[RK]],TableWRCalcPts[RK],0)),"")),"")</f>
        <v>27.628995709029127</v>
      </c>
      <c r="AO129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30" spans="16:41" x14ac:dyDescent="0.2">
      <c r="P130">
        <v>129</v>
      </c>
      <c r="Q130" t="str">
        <f>IFERROR(INDEX(TableRBCalcPts[PLAYER],MATCH(TableRBRanks31[[#This Row],[RK]],TableRBCalcPts[RK],0)),"")</f>
        <v/>
      </c>
      <c r="R130" t="str">
        <f>IFERROR(INDEX(TableRBCalcPts[TM],MATCH(TableRBRanks31[[#This Row],[Player]],TableRBCalcPts[PLAYER],0)),"")</f>
        <v/>
      </c>
      <c r="S130" t="str">
        <f>IFERROR(INDEX(TableRBCalcPts[BYE],MATCH(TableRBRanks31[[#This Row],[Player]],TableRBCalcPts[PLAYER],0)),"")</f>
        <v/>
      </c>
      <c r="T130" s="83" t="str">
        <f>IFERROR((VLOOKUP(TableRBRanks31[[#This Row],[Player]],RB!B:O,4,FALSE)),"")</f>
        <v/>
      </c>
      <c r="U130" s="83" t="str">
        <f>IFERROR((VLOOKUP(TableRBRanks31[[#This Row],[Player]],RB!B:O,5,FALSE)),"")</f>
        <v/>
      </c>
      <c r="V130" s="83" t="str">
        <f>IFERROR((VLOOKUP(TableRBRanks31[[#This Row],[Player]],RB!B:O,6,FALSE)),"")</f>
        <v/>
      </c>
      <c r="W130" s="83" t="str">
        <f>IFERROR((VLOOKUP(TableRBRanks31[[#This Row],[Player]],RB!B:O,7,FALSE)),"")</f>
        <v/>
      </c>
      <c r="X130" s="83" t="str">
        <f>IFERROR((VLOOKUP(TableRBRanks31[[#This Row],[Player]],RB!B:O,8,FALSE)),"")</f>
        <v/>
      </c>
      <c r="Y130" s="83" t="str">
        <f>IFERROR((VLOOKUP(TableRBRanks31[[#This Row],[Player]],RB!B:O,9,FALSE)),"")</f>
        <v/>
      </c>
      <c r="Z130" s="83" t="str">
        <f>IFERROR((VLOOKUP(TableRBRanks31[[#This Row],[Player]],RB!B:O,10,FALSE)),"")</f>
        <v/>
      </c>
      <c r="AA130" s="57" t="str">
        <f>IFERROR((IFERROR(INDEX(TableRBCalcPts[Custom],MATCH(TableRBRanks31[[#This Row],[RK]],TableRBCalcPts[RK],0)),"")),"")</f>
        <v/>
      </c>
      <c r="AB130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30">
        <v>129</v>
      </c>
      <c r="AE130" t="str">
        <f>IFERROR(INDEX(TableWRCalcPts[PLAYER],MATCH(TableWRRanks32[[#This Row],[RK]],TableWRCalcPts[RK],0)),"")</f>
        <v>Johnny Wilson</v>
      </c>
      <c r="AF130" t="str">
        <f>IFERROR(INDEX(TableWRCalcPts[TM],MATCH(TableWRRanks32[[#This Row],[Player]],TableWRCalcPts[PLAYER],0)),"")</f>
        <v>PHI</v>
      </c>
      <c r="AG130">
        <f>IFERROR(INDEX(TableWRCalcPts[BYE],MATCH(TableWRRanks32[[#This Row],[Player]],TableWRCalcPts[PLAYER],0)),"")</f>
        <v>5</v>
      </c>
      <c r="AH130" s="83">
        <f>IFERROR((VLOOKUP(TableWRRanks32[[#This Row],[Player]],WR!B:O,4,FALSE)),"")</f>
        <v>0</v>
      </c>
      <c r="AI130" s="83">
        <f>IFERROR((VLOOKUP(TableWRRanks32[[#This Row],[Player]],WR!B:O,5,FALSE)),"")</f>
        <v>0</v>
      </c>
      <c r="AJ130" s="83">
        <f>IFERROR((VLOOKUP(TableWRRanks32[[#This Row],[Player]],WR!B:O,6,FALSE)),"")</f>
        <v>21.756047040000002</v>
      </c>
      <c r="AK130" s="83">
        <f>IFERROR((VLOOKUP(TableWRRanks32[[#This Row],[Player]],WR!B:O,7,FALSE)),"")</f>
        <v>12.64026333024</v>
      </c>
      <c r="AL130" s="83">
        <f>IFERROR((VLOOKUP(TableWRRanks32[[#This Row],[Player]],WR!B:O,8,FALSE)),"")</f>
        <v>152.947186295904</v>
      </c>
      <c r="AM130" s="83">
        <f>IFERROR((VLOOKUP(TableWRRanks32[[#This Row],[Player]],WR!B:O,9,FALSE)),"")</f>
        <v>0.69209291395764783</v>
      </c>
      <c r="AN130" s="57">
        <f>IFERROR((IFERROR(INDEX(TableWRCalcPts[Custom],MATCH(TableWRRanks32[[#This Row],[RK]],TableWRCalcPts[RK],0)),"")),"")</f>
        <v>25.767407778456288</v>
      </c>
      <c r="AO130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31" spans="16:41" x14ac:dyDescent="0.2">
      <c r="P131">
        <v>130</v>
      </c>
      <c r="Q131" t="str">
        <f>IFERROR(INDEX(TableRBCalcPts[PLAYER],MATCH(TableRBRanks31[[#This Row],[RK]],TableRBCalcPts[RK],0)),"")</f>
        <v/>
      </c>
      <c r="R131" t="str">
        <f>IFERROR(INDEX(TableRBCalcPts[TM],MATCH(TableRBRanks31[[#This Row],[Player]],TableRBCalcPts[PLAYER],0)),"")</f>
        <v/>
      </c>
      <c r="S131" t="str">
        <f>IFERROR(INDEX(TableRBCalcPts[BYE],MATCH(TableRBRanks31[[#This Row],[Player]],TableRBCalcPts[PLAYER],0)),"")</f>
        <v/>
      </c>
      <c r="T131" s="83" t="str">
        <f>IFERROR((VLOOKUP(TableRBRanks31[[#This Row],[Player]],RB!B:O,4,FALSE)),"")</f>
        <v/>
      </c>
      <c r="U131" s="83" t="str">
        <f>IFERROR((VLOOKUP(TableRBRanks31[[#This Row],[Player]],RB!B:O,5,FALSE)),"")</f>
        <v/>
      </c>
      <c r="V131" s="83" t="str">
        <f>IFERROR((VLOOKUP(TableRBRanks31[[#This Row],[Player]],RB!B:O,6,FALSE)),"")</f>
        <v/>
      </c>
      <c r="W131" s="83" t="str">
        <f>IFERROR((VLOOKUP(TableRBRanks31[[#This Row],[Player]],RB!B:O,7,FALSE)),"")</f>
        <v/>
      </c>
      <c r="X131" s="83" t="str">
        <f>IFERROR((VLOOKUP(TableRBRanks31[[#This Row],[Player]],RB!B:O,8,FALSE)),"")</f>
        <v/>
      </c>
      <c r="Y131" s="83" t="str">
        <f>IFERROR((VLOOKUP(TableRBRanks31[[#This Row],[Player]],RB!B:O,9,FALSE)),"")</f>
        <v/>
      </c>
      <c r="Z131" s="83" t="str">
        <f>IFERROR((VLOOKUP(TableRBRanks31[[#This Row],[Player]],RB!B:O,10,FALSE)),"")</f>
        <v/>
      </c>
      <c r="AA131" s="57" t="str">
        <f>IFERROR((IFERROR(INDEX(TableRBCalcPts[Custom],MATCH(TableRBRanks31[[#This Row],[RK]],TableRBCalcPts[RK],0)),"")),"")</f>
        <v/>
      </c>
      <c r="AB131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31">
        <v>130</v>
      </c>
      <c r="AE131" t="str">
        <f>IFERROR(INDEX(TableWRCalcPts[PLAYER],MATCH(TableWRRanks32[[#This Row],[RK]],TableWRCalcPts[RK],0)),"")</f>
        <v>Alec Pierce</v>
      </c>
      <c r="AF131" t="str">
        <f>IFERROR(INDEX(TableWRCalcPts[TM],MATCH(TableWRRanks32[[#This Row],[Player]],TableWRCalcPts[PLAYER],0)),"")</f>
        <v>IND</v>
      </c>
      <c r="AG131">
        <f>IFERROR(INDEX(TableWRCalcPts[BYE],MATCH(TableWRRanks32[[#This Row],[Player]],TableWRCalcPts[PLAYER],0)),"")</f>
        <v>14</v>
      </c>
      <c r="AH131" s="83">
        <f>IFERROR((VLOOKUP(TableWRRanks32[[#This Row],[Player]],WR!B:O,4,FALSE)),"")</f>
        <v>0</v>
      </c>
      <c r="AI131" s="83">
        <f>IFERROR((VLOOKUP(TableWRRanks32[[#This Row],[Player]],WR!B:O,5,FALSE)),"")</f>
        <v>0</v>
      </c>
      <c r="AJ131" s="83">
        <f>IFERROR((VLOOKUP(TableWRRanks32[[#This Row],[Player]],WR!B:O,6,FALSE)),"")</f>
        <v>19.8552508</v>
      </c>
      <c r="AK131" s="83">
        <f>IFERROR((VLOOKUP(TableWRRanks32[[#This Row],[Player]],WR!B:O,7,FALSE)),"")</f>
        <v>10.225454162000002</v>
      </c>
      <c r="AL131" s="83">
        <f>IFERROR((VLOOKUP(TableWRRanks32[[#This Row],[Player]],WR!B:O,8,FALSE)),"")</f>
        <v>152.74291920424301</v>
      </c>
      <c r="AM131" s="83">
        <f>IFERROR((VLOOKUP(TableWRRanks32[[#This Row],[Player]],WR!B:O,9,FALSE)),"")</f>
        <v>0.77713451631200015</v>
      </c>
      <c r="AN131" s="57">
        <f>IFERROR((IFERROR(INDEX(TableWRCalcPts[Custom],MATCH(TableWRRanks32[[#This Row],[RK]],TableWRCalcPts[RK],0)),"")),"")</f>
        <v>25.049826099296304</v>
      </c>
      <c r="AO131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32" spans="16:41" x14ac:dyDescent="0.2">
      <c r="P132">
        <v>131</v>
      </c>
      <c r="Q132" t="str">
        <f>IFERROR(INDEX(TableRBCalcPts[PLAYER],MATCH(TableRBRanks31[[#This Row],[RK]],TableRBCalcPts[RK],0)),"")</f>
        <v/>
      </c>
      <c r="R132" t="str">
        <f>IFERROR(INDEX(TableRBCalcPts[TM],MATCH(TableRBRanks31[[#This Row],[Player]],TableRBCalcPts[PLAYER],0)),"")</f>
        <v/>
      </c>
      <c r="S132" t="str">
        <f>IFERROR(INDEX(TableRBCalcPts[BYE],MATCH(TableRBRanks31[[#This Row],[Player]],TableRBCalcPts[PLAYER],0)),"")</f>
        <v/>
      </c>
      <c r="T132" s="83" t="str">
        <f>IFERROR((VLOOKUP(TableRBRanks31[[#This Row],[Player]],RB!B:O,4,FALSE)),"")</f>
        <v/>
      </c>
      <c r="U132" s="83" t="str">
        <f>IFERROR((VLOOKUP(TableRBRanks31[[#This Row],[Player]],RB!B:O,5,FALSE)),"")</f>
        <v/>
      </c>
      <c r="V132" s="83" t="str">
        <f>IFERROR((VLOOKUP(TableRBRanks31[[#This Row],[Player]],RB!B:O,6,FALSE)),"")</f>
        <v/>
      </c>
      <c r="W132" s="83" t="str">
        <f>IFERROR((VLOOKUP(TableRBRanks31[[#This Row],[Player]],RB!B:O,7,FALSE)),"")</f>
        <v/>
      </c>
      <c r="X132" s="83" t="str">
        <f>IFERROR((VLOOKUP(TableRBRanks31[[#This Row],[Player]],RB!B:O,8,FALSE)),"")</f>
        <v/>
      </c>
      <c r="Y132" s="83" t="str">
        <f>IFERROR((VLOOKUP(TableRBRanks31[[#This Row],[Player]],RB!B:O,9,FALSE)),"")</f>
        <v/>
      </c>
      <c r="Z132" s="83" t="str">
        <f>IFERROR((VLOOKUP(TableRBRanks31[[#This Row],[Player]],RB!B:O,10,FALSE)),"")</f>
        <v/>
      </c>
      <c r="AA132" s="57" t="str">
        <f>IFERROR((IFERROR(INDEX(TableRBCalcPts[Custom],MATCH(TableRBRanks31[[#This Row],[RK]],TableRBCalcPts[RK],0)),"")),"")</f>
        <v/>
      </c>
      <c r="AB132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32">
        <v>131</v>
      </c>
      <c r="AE132" t="str">
        <f>IFERROR(INDEX(TableWRCalcPts[PLAYER],MATCH(TableWRRanks32[[#This Row],[RK]],TableWRCalcPts[RK],0)),"")</f>
        <v>Justin Watson</v>
      </c>
      <c r="AF132" t="str">
        <f>IFERROR(INDEX(TableWRCalcPts[TM],MATCH(TableWRRanks32[[#This Row],[Player]],TableWRCalcPts[PLAYER],0)),"")</f>
        <v>KC</v>
      </c>
      <c r="AG132">
        <f>IFERROR(INDEX(TableWRCalcPts[BYE],MATCH(TableWRRanks32[[#This Row],[Player]],TableWRCalcPts[PLAYER],0)),"")</f>
        <v>6</v>
      </c>
      <c r="AH132" s="83">
        <f>IFERROR((VLOOKUP(TableWRRanks32[[#This Row],[Player]],WR!B:O,4,FALSE)),"")</f>
        <v>0</v>
      </c>
      <c r="AI132" s="83">
        <f>IFERROR((VLOOKUP(TableWRRanks32[[#This Row],[Player]],WR!B:O,5,FALSE)),"")</f>
        <v>0</v>
      </c>
      <c r="AJ132" s="83">
        <f>IFERROR((VLOOKUP(TableWRRanks32[[#This Row],[Player]],WR!B:O,6,FALSE)),"")</f>
        <v>20.801087999999996</v>
      </c>
      <c r="AK132" s="83">
        <f>IFERROR((VLOOKUP(TableWRRanks32[[#This Row],[Player]],WR!B:O,7,FALSE)),"")</f>
        <v>10.525350527999995</v>
      </c>
      <c r="AL132" s="83">
        <f>IFERROR((VLOOKUP(TableWRRanks32[[#This Row],[Player]],WR!B:O,8,FALSE)),"")</f>
        <v>145.67085130751994</v>
      </c>
      <c r="AM132" s="83">
        <f>IFERROR((VLOOKUP(TableWRRanks32[[#This Row],[Player]],WR!B:O,9,FALSE)),"")</f>
        <v>0.85255339276799968</v>
      </c>
      <c r="AN132" s="57">
        <f>IFERROR((IFERROR(INDEX(TableWRCalcPts[Custom],MATCH(TableWRRanks32[[#This Row],[RK]],TableWRCalcPts[RK],0)),"")),"")</f>
        <v>24.945080751359992</v>
      </c>
      <c r="AO132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33" spans="16:41" x14ac:dyDescent="0.2">
      <c r="P133">
        <v>132</v>
      </c>
      <c r="Q133" t="str">
        <f>IFERROR(INDEX(TableRBCalcPts[PLAYER],MATCH(TableRBRanks31[[#This Row],[RK]],TableRBCalcPts[RK],0)),"")</f>
        <v/>
      </c>
      <c r="R133" t="str">
        <f>IFERROR(INDEX(TableRBCalcPts[TM],MATCH(TableRBRanks31[[#This Row],[Player]],TableRBCalcPts[PLAYER],0)),"")</f>
        <v/>
      </c>
      <c r="S133" t="str">
        <f>IFERROR(INDEX(TableRBCalcPts[BYE],MATCH(TableRBRanks31[[#This Row],[Player]],TableRBCalcPts[PLAYER],0)),"")</f>
        <v/>
      </c>
      <c r="T133" s="83" t="str">
        <f>IFERROR((VLOOKUP(TableRBRanks31[[#This Row],[Player]],RB!B:O,4,FALSE)),"")</f>
        <v/>
      </c>
      <c r="U133" s="83" t="str">
        <f>IFERROR((VLOOKUP(TableRBRanks31[[#This Row],[Player]],RB!B:O,5,FALSE)),"")</f>
        <v/>
      </c>
      <c r="V133" s="83" t="str">
        <f>IFERROR((VLOOKUP(TableRBRanks31[[#This Row],[Player]],RB!B:O,6,FALSE)),"")</f>
        <v/>
      </c>
      <c r="W133" s="83" t="str">
        <f>IFERROR((VLOOKUP(TableRBRanks31[[#This Row],[Player]],RB!B:O,7,FALSE)),"")</f>
        <v/>
      </c>
      <c r="X133" s="83" t="str">
        <f>IFERROR((VLOOKUP(TableRBRanks31[[#This Row],[Player]],RB!B:O,8,FALSE)),"")</f>
        <v/>
      </c>
      <c r="Y133" s="83" t="str">
        <f>IFERROR((VLOOKUP(TableRBRanks31[[#This Row],[Player]],RB!B:O,9,FALSE)),"")</f>
        <v/>
      </c>
      <c r="Z133" s="83" t="str">
        <f>IFERROR((VLOOKUP(TableRBRanks31[[#This Row],[Player]],RB!B:O,10,FALSE)),"")</f>
        <v/>
      </c>
      <c r="AA133" s="57" t="str">
        <f>IFERROR((IFERROR(INDEX(TableRBCalcPts[Custom],MATCH(TableRBRanks31[[#This Row],[RK]],TableRBCalcPts[RK],0)),"")),"")</f>
        <v/>
      </c>
      <c r="AB133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33">
        <v>132</v>
      </c>
      <c r="AE133" t="str">
        <f>IFERROR(INDEX(TableWRCalcPts[PLAYER],MATCH(TableWRRanks32[[#This Row],[RK]],TableWRCalcPts[RK],0)),"")</f>
        <v>Brandon Powell</v>
      </c>
      <c r="AF133" t="str">
        <f>IFERROR(INDEX(TableWRCalcPts[TM],MATCH(TableWRRanks32[[#This Row],[Player]],TableWRCalcPts[PLAYER],0)),"")</f>
        <v>MIN</v>
      </c>
      <c r="AG133">
        <f>IFERROR(INDEX(TableWRCalcPts[BYE],MATCH(TableWRRanks32[[#This Row],[Player]],TableWRCalcPts[PLAYER],0)),"")</f>
        <v>6</v>
      </c>
      <c r="AH133" s="83">
        <f>IFERROR((VLOOKUP(TableWRRanks32[[#This Row],[Player]],WR!B:O,4,FALSE)),"")</f>
        <v>0</v>
      </c>
      <c r="AI133" s="83">
        <f>IFERROR((VLOOKUP(TableWRRanks32[[#This Row],[Player]],WR!B:O,5,FALSE)),"")</f>
        <v>0</v>
      </c>
      <c r="AJ133" s="83">
        <f>IFERROR((VLOOKUP(TableWRRanks32[[#This Row],[Player]],WR!B:O,6,FALSE)),"")</f>
        <v>22.395743999999997</v>
      </c>
      <c r="AK133" s="83">
        <f>IFERROR((VLOOKUP(TableWRRanks32[[#This Row],[Player]],WR!B:O,7,FALSE)),"")</f>
        <v>13.437446400000001</v>
      </c>
      <c r="AL133" s="83">
        <f>IFERROR((VLOOKUP(TableWRRanks32[[#This Row],[Player]],WR!B:O,8,FALSE)),"")</f>
        <v>135.07808280601225</v>
      </c>
      <c r="AM133" s="83">
        <f>IFERROR((VLOOKUP(TableWRRanks32[[#This Row],[Player]],WR!B:O,9,FALSE)),"")</f>
        <v>0.69675994149402209</v>
      </c>
      <c r="AN133" s="57">
        <f>IFERROR((IFERROR(INDEX(TableWRCalcPts[Custom],MATCH(TableWRRanks32[[#This Row],[RK]],TableWRCalcPts[RK],0)),"")),"")</f>
        <v>24.407091129565359</v>
      </c>
      <c r="AO133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34" spans="16:41" x14ac:dyDescent="0.2">
      <c r="P134">
        <v>133</v>
      </c>
      <c r="Q134" t="str">
        <f>IFERROR(INDEX(TableRBCalcPts[PLAYER],MATCH(TableRBRanks31[[#This Row],[RK]],TableRBCalcPts[RK],0)),"")</f>
        <v/>
      </c>
      <c r="R134" t="str">
        <f>IFERROR(INDEX(TableRBCalcPts[TM],MATCH(TableRBRanks31[[#This Row],[Player]],TableRBCalcPts[PLAYER],0)),"")</f>
        <v/>
      </c>
      <c r="S134" t="str">
        <f>IFERROR(INDEX(TableRBCalcPts[BYE],MATCH(TableRBRanks31[[#This Row],[Player]],TableRBCalcPts[PLAYER],0)),"")</f>
        <v/>
      </c>
      <c r="T134" s="83" t="str">
        <f>IFERROR((VLOOKUP(TableRBRanks31[[#This Row],[Player]],RB!B:O,4,FALSE)),"")</f>
        <v/>
      </c>
      <c r="U134" s="83" t="str">
        <f>IFERROR((VLOOKUP(TableRBRanks31[[#This Row],[Player]],RB!B:O,5,FALSE)),"")</f>
        <v/>
      </c>
      <c r="V134" s="83" t="str">
        <f>IFERROR((VLOOKUP(TableRBRanks31[[#This Row],[Player]],RB!B:O,6,FALSE)),"")</f>
        <v/>
      </c>
      <c r="W134" s="83" t="str">
        <f>IFERROR((VLOOKUP(TableRBRanks31[[#This Row],[Player]],RB!B:O,7,FALSE)),"")</f>
        <v/>
      </c>
      <c r="X134" s="83" t="str">
        <f>IFERROR((VLOOKUP(TableRBRanks31[[#This Row],[Player]],RB!B:O,8,FALSE)),"")</f>
        <v/>
      </c>
      <c r="Y134" s="83" t="str">
        <f>IFERROR((VLOOKUP(TableRBRanks31[[#This Row],[Player]],RB!B:O,9,FALSE)),"")</f>
        <v/>
      </c>
      <c r="Z134" s="83" t="str">
        <f>IFERROR((VLOOKUP(TableRBRanks31[[#This Row],[Player]],RB!B:O,10,FALSE)),"")</f>
        <v/>
      </c>
      <c r="AA134" s="57" t="str">
        <f>IFERROR((IFERROR(INDEX(TableRBCalcPts[Custom],MATCH(TableRBRanks31[[#This Row],[RK]],TableRBCalcPts[RK],0)),"")),"")</f>
        <v/>
      </c>
      <c r="AB134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34">
        <v>133</v>
      </c>
      <c r="AE134" t="str">
        <f>IFERROR(INDEX(TableWRCalcPts[PLAYER],MATCH(TableWRRanks32[[#This Row],[RK]],TableWRCalcPts[RK],0)),"")</f>
        <v>David Moore</v>
      </c>
      <c r="AF134" t="str">
        <f>IFERROR(INDEX(TableWRCalcPts[TM],MATCH(TableWRRanks32[[#This Row],[Player]],TableWRCalcPts[PLAYER],0)),"")</f>
        <v>CAR</v>
      </c>
      <c r="AG134">
        <f>IFERROR(INDEX(TableWRCalcPts[BYE],MATCH(TableWRRanks32[[#This Row],[Player]],TableWRCalcPts[PLAYER],0)),"")</f>
        <v>11</v>
      </c>
      <c r="AH134" s="83">
        <f>IFERROR((VLOOKUP(TableWRRanks32[[#This Row],[Player]],WR!B:O,4,FALSE)),"")</f>
        <v>0</v>
      </c>
      <c r="AI134" s="83">
        <f>IFERROR((VLOOKUP(TableWRRanks32[[#This Row],[Player]],WR!B:O,5,FALSE)),"")</f>
        <v>0</v>
      </c>
      <c r="AJ134" s="83">
        <f>IFERROR((VLOOKUP(TableWRRanks32[[#This Row],[Player]],WR!B:O,6,FALSE)),"")</f>
        <v>19.691786799999999</v>
      </c>
      <c r="AK134" s="83">
        <f>IFERROR((VLOOKUP(TableWRRanks32[[#This Row],[Player]],WR!B:O,7,FALSE)),"")</f>
        <v>11.421236343999997</v>
      </c>
      <c r="AL134" s="83">
        <f>IFERROR((VLOOKUP(TableWRRanks32[[#This Row],[Player]],WR!B:O,8,FALSE)),"")</f>
        <v>135.67960425255126</v>
      </c>
      <c r="AM134" s="83">
        <f>IFERROR((VLOOKUP(TableWRRanks32[[#This Row],[Player]],WR!B:O,9,FALSE)),"")</f>
        <v>0.59330343990555268</v>
      </c>
      <c r="AN134" s="57">
        <f>IFERROR((IFERROR(INDEX(TableWRCalcPts[Custom],MATCH(TableWRRanks32[[#This Row],[RK]],TableWRCalcPts[RK],0)),"")),"")</f>
        <v>22.838399236688442</v>
      </c>
      <c r="AO134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35" spans="16:41" x14ac:dyDescent="0.2">
      <c r="P135">
        <v>134</v>
      </c>
      <c r="Q135" t="str">
        <f>IFERROR(INDEX(TableRBCalcPts[PLAYER],MATCH(TableRBRanks31[[#This Row],[RK]],TableRBCalcPts[RK],0)),"")</f>
        <v/>
      </c>
      <c r="R135" t="str">
        <f>IFERROR(INDEX(TableRBCalcPts[TM],MATCH(TableRBRanks31[[#This Row],[Player]],TableRBCalcPts[PLAYER],0)),"")</f>
        <v/>
      </c>
      <c r="S135" t="str">
        <f>IFERROR(INDEX(TableRBCalcPts[BYE],MATCH(TableRBRanks31[[#This Row],[Player]],TableRBCalcPts[PLAYER],0)),"")</f>
        <v/>
      </c>
      <c r="T135" s="83" t="str">
        <f>IFERROR((VLOOKUP(TableRBRanks31[[#This Row],[Player]],RB!B:O,4,FALSE)),"")</f>
        <v/>
      </c>
      <c r="U135" s="83" t="str">
        <f>IFERROR((VLOOKUP(TableRBRanks31[[#This Row],[Player]],RB!B:O,5,FALSE)),"")</f>
        <v/>
      </c>
      <c r="V135" s="83" t="str">
        <f>IFERROR((VLOOKUP(TableRBRanks31[[#This Row],[Player]],RB!B:O,6,FALSE)),"")</f>
        <v/>
      </c>
      <c r="W135" s="83" t="str">
        <f>IFERROR((VLOOKUP(TableRBRanks31[[#This Row],[Player]],RB!B:O,7,FALSE)),"")</f>
        <v/>
      </c>
      <c r="X135" s="83" t="str">
        <f>IFERROR((VLOOKUP(TableRBRanks31[[#This Row],[Player]],RB!B:O,8,FALSE)),"")</f>
        <v/>
      </c>
      <c r="Y135" s="83" t="str">
        <f>IFERROR((VLOOKUP(TableRBRanks31[[#This Row],[Player]],RB!B:O,9,FALSE)),"")</f>
        <v/>
      </c>
      <c r="Z135" s="83" t="str">
        <f>IFERROR((VLOOKUP(TableRBRanks31[[#This Row],[Player]],RB!B:O,10,FALSE)),"")</f>
        <v/>
      </c>
      <c r="AA135" s="57" t="str">
        <f>IFERROR((IFERROR(INDEX(TableRBCalcPts[Custom],MATCH(TableRBRanks31[[#This Row],[RK]],TableRBCalcPts[RK],0)),"")),"")</f>
        <v/>
      </c>
      <c r="AB135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35">
        <v>134</v>
      </c>
      <c r="AE135" t="str">
        <f>IFERROR(INDEX(TableWRCalcPts[PLAYER],MATCH(TableWRRanks32[[#This Row],[RK]],TableWRCalcPts[RK],0)),"")</f>
        <v>Casey Washington</v>
      </c>
      <c r="AF135" t="str">
        <f>IFERROR(INDEX(TableWRCalcPts[TM],MATCH(TableWRRanks32[[#This Row],[Player]],TableWRCalcPts[PLAYER],0)),"")</f>
        <v>ATL</v>
      </c>
      <c r="AG135">
        <f>IFERROR(INDEX(TableWRCalcPts[BYE],MATCH(TableWRRanks32[[#This Row],[Player]],TableWRCalcPts[PLAYER],0)),"")</f>
        <v>12</v>
      </c>
      <c r="AH135" s="83">
        <f>IFERROR((VLOOKUP(TableWRRanks32[[#This Row],[Player]],WR!B:O,4,FALSE)),"")</f>
        <v>0</v>
      </c>
      <c r="AI135" s="83">
        <f>IFERROR((VLOOKUP(TableWRRanks32[[#This Row],[Player]],WR!B:O,5,FALSE)),"")</f>
        <v>0</v>
      </c>
      <c r="AJ135" s="83">
        <f>IFERROR((VLOOKUP(TableWRRanks32[[#This Row],[Player]],WR!B:O,6,FALSE)),"")</f>
        <v>17.82917136</v>
      </c>
      <c r="AK135" s="83">
        <f>IFERROR((VLOOKUP(TableWRRanks32[[#This Row],[Player]],WR!B:O,7,FALSE)),"")</f>
        <v>11.642448898080001</v>
      </c>
      <c r="AL135" s="83">
        <f>IFERROR((VLOOKUP(TableWRRanks32[[#This Row],[Player]],WR!B:O,8,FALSE)),"")</f>
        <v>112.93175431137601</v>
      </c>
      <c r="AM135" s="83">
        <f>IFERROR((VLOOKUP(TableWRRanks32[[#This Row],[Player]],WR!B:O,9,FALSE)),"")</f>
        <v>0.90811101405024008</v>
      </c>
      <c r="AN135" s="57">
        <f>IFERROR((IFERROR(INDEX(TableWRCalcPts[Custom],MATCH(TableWRRanks32[[#This Row],[RK]],TableWRCalcPts[RK],0)),"")),"")</f>
        <v>22.563065964479041</v>
      </c>
      <c r="AO135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36" spans="16:41" x14ac:dyDescent="0.2">
      <c r="P136">
        <v>135</v>
      </c>
      <c r="Q136" t="str">
        <f>IFERROR(INDEX(TableRBCalcPts[PLAYER],MATCH(TableRBRanks31[[#This Row],[RK]],TableRBCalcPts[RK],0)),"")</f>
        <v/>
      </c>
      <c r="R136" t="str">
        <f>IFERROR(INDEX(TableRBCalcPts[TM],MATCH(TableRBRanks31[[#This Row],[Player]],TableRBCalcPts[PLAYER],0)),"")</f>
        <v/>
      </c>
      <c r="S136" t="str">
        <f>IFERROR(INDEX(TableRBCalcPts[BYE],MATCH(TableRBRanks31[[#This Row],[Player]],TableRBCalcPts[PLAYER],0)),"")</f>
        <v/>
      </c>
      <c r="T136" s="83" t="str">
        <f>IFERROR((VLOOKUP(TableRBRanks31[[#This Row],[Player]],RB!B:O,4,FALSE)),"")</f>
        <v/>
      </c>
      <c r="U136" s="83" t="str">
        <f>IFERROR((VLOOKUP(TableRBRanks31[[#This Row],[Player]],RB!B:O,5,FALSE)),"")</f>
        <v/>
      </c>
      <c r="V136" s="83" t="str">
        <f>IFERROR((VLOOKUP(TableRBRanks31[[#This Row],[Player]],RB!B:O,6,FALSE)),"")</f>
        <v/>
      </c>
      <c r="W136" s="83" t="str">
        <f>IFERROR((VLOOKUP(TableRBRanks31[[#This Row],[Player]],RB!B:O,7,FALSE)),"")</f>
        <v/>
      </c>
      <c r="X136" s="83" t="str">
        <f>IFERROR((VLOOKUP(TableRBRanks31[[#This Row],[Player]],RB!B:O,8,FALSE)),"")</f>
        <v/>
      </c>
      <c r="Y136" s="83" t="str">
        <f>IFERROR((VLOOKUP(TableRBRanks31[[#This Row],[Player]],RB!B:O,9,FALSE)),"")</f>
        <v/>
      </c>
      <c r="Z136" s="83" t="str">
        <f>IFERROR((VLOOKUP(TableRBRanks31[[#This Row],[Player]],RB!B:O,10,FALSE)),"")</f>
        <v/>
      </c>
      <c r="AA136" s="57" t="str">
        <f>IFERROR((IFERROR(INDEX(TableRBCalcPts[Custom],MATCH(TableRBRanks31[[#This Row],[RK]],TableRBCalcPts[RK],0)),"")),"")</f>
        <v/>
      </c>
      <c r="AB136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36">
        <v>135</v>
      </c>
      <c r="AE136" t="str">
        <f>IFERROR(INDEX(TableWRCalcPts[PLAYER],MATCH(TableWRRanks32[[#This Row],[RK]],TableWRCalcPts[RK],0)),"")</f>
        <v>DJ Turner</v>
      </c>
      <c r="AF136" t="str">
        <f>IFERROR(INDEX(TableWRCalcPts[TM],MATCH(TableWRRanks32[[#This Row],[Player]],TableWRCalcPts[PLAYER],0)),"")</f>
        <v>LV</v>
      </c>
      <c r="AG136">
        <f>IFERROR(INDEX(TableWRCalcPts[BYE],MATCH(TableWRRanks32[[#This Row],[Player]],TableWRCalcPts[PLAYER],0)),"")</f>
        <v>10</v>
      </c>
      <c r="AH136" s="83">
        <f>IFERROR((VLOOKUP(TableWRRanks32[[#This Row],[Player]],WR!B:O,4,FALSE)),"")</f>
        <v>0</v>
      </c>
      <c r="AI136" s="83">
        <f>IFERROR((VLOOKUP(TableWRRanks32[[#This Row],[Player]],WR!B:O,5,FALSE)),"")</f>
        <v>0</v>
      </c>
      <c r="AJ136" s="83">
        <f>IFERROR((VLOOKUP(TableWRRanks32[[#This Row],[Player]],WR!B:O,6,FALSE)),"")</f>
        <v>17.478300000000001</v>
      </c>
      <c r="AK136" s="83">
        <f>IFERROR((VLOOKUP(TableWRRanks32[[#This Row],[Player]],WR!B:O,7,FALSE)),"")</f>
        <v>10.312196999999999</v>
      </c>
      <c r="AL136" s="83">
        <f>IFERROR((VLOOKUP(TableWRRanks32[[#This Row],[Player]],WR!B:O,8,FALSE)),"")</f>
        <v>134.26480493999998</v>
      </c>
      <c r="AM136" s="83">
        <f>IFERROR((VLOOKUP(TableWRRanks32[[#This Row],[Player]],WR!B:O,9,FALSE)),"")</f>
        <v>0.61873181999999993</v>
      </c>
      <c r="AN136" s="57">
        <f>IFERROR((IFERROR(INDEX(TableWRCalcPts[Custom],MATCH(TableWRRanks32[[#This Row],[RK]],TableWRCalcPts[RK],0)),"")),"")</f>
        <v>22.294969913999999</v>
      </c>
      <c r="AO136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37" spans="16:41" x14ac:dyDescent="0.2">
      <c r="P137">
        <v>136</v>
      </c>
      <c r="Q137" t="str">
        <f>IFERROR(INDEX(TableRBCalcPts[PLAYER],MATCH(TableRBRanks31[[#This Row],[RK]],TableRBCalcPts[RK],0)),"")</f>
        <v/>
      </c>
      <c r="R137" t="str">
        <f>IFERROR(INDEX(TableRBCalcPts[TM],MATCH(TableRBRanks31[[#This Row],[Player]],TableRBCalcPts[PLAYER],0)),"")</f>
        <v/>
      </c>
      <c r="S137" t="str">
        <f>IFERROR(INDEX(TableRBCalcPts[BYE],MATCH(TableRBRanks31[[#This Row],[Player]],TableRBCalcPts[PLAYER],0)),"")</f>
        <v/>
      </c>
      <c r="T137" s="83" t="str">
        <f>IFERROR((VLOOKUP(TableRBRanks31[[#This Row],[Player]],RB!B:O,4,FALSE)),"")</f>
        <v/>
      </c>
      <c r="U137" s="83" t="str">
        <f>IFERROR((VLOOKUP(TableRBRanks31[[#This Row],[Player]],RB!B:O,5,FALSE)),"")</f>
        <v/>
      </c>
      <c r="V137" s="83" t="str">
        <f>IFERROR((VLOOKUP(TableRBRanks31[[#This Row],[Player]],RB!B:O,6,FALSE)),"")</f>
        <v/>
      </c>
      <c r="W137" s="83" t="str">
        <f>IFERROR((VLOOKUP(TableRBRanks31[[#This Row],[Player]],RB!B:O,7,FALSE)),"")</f>
        <v/>
      </c>
      <c r="X137" s="83" t="str">
        <f>IFERROR((VLOOKUP(TableRBRanks31[[#This Row],[Player]],RB!B:O,8,FALSE)),"")</f>
        <v/>
      </c>
      <c r="Y137" s="83" t="str">
        <f>IFERROR((VLOOKUP(TableRBRanks31[[#This Row],[Player]],RB!B:O,9,FALSE)),"")</f>
        <v/>
      </c>
      <c r="Z137" s="83" t="str">
        <f>IFERROR((VLOOKUP(TableRBRanks31[[#This Row],[Player]],RB!B:O,10,FALSE)),"")</f>
        <v/>
      </c>
      <c r="AA137" s="57" t="str">
        <f>IFERROR((IFERROR(INDEX(TableRBCalcPts[Custom],MATCH(TableRBRanks31[[#This Row],[RK]],TableRBCalcPts[RK],0)),"")),"")</f>
        <v/>
      </c>
      <c r="AB137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37">
        <v>136</v>
      </c>
      <c r="AE137" t="str">
        <f>IFERROR(INDEX(TableWRCalcPts[PLAYER],MATCH(TableWRRanks32[[#This Row],[RK]],TableWRCalcPts[RK],0)),"")</f>
        <v>Parker Washington</v>
      </c>
      <c r="AF137" t="str">
        <f>IFERROR(INDEX(TableWRCalcPts[TM],MATCH(TableWRRanks32[[#This Row],[Player]],TableWRCalcPts[PLAYER],0)),"")</f>
        <v>JAX</v>
      </c>
      <c r="AG137">
        <f>IFERROR(INDEX(TableWRCalcPts[BYE],MATCH(TableWRRanks32[[#This Row],[Player]],TableWRCalcPts[PLAYER],0)),"")</f>
        <v>12</v>
      </c>
      <c r="AH137" s="83">
        <f>IFERROR((VLOOKUP(TableWRRanks32[[#This Row],[Player]],WR!B:O,4,FALSE)),"")</f>
        <v>0</v>
      </c>
      <c r="AI137" s="83">
        <f>IFERROR((VLOOKUP(TableWRRanks32[[#This Row],[Player]],WR!B:O,5,FALSE)),"")</f>
        <v>0</v>
      </c>
      <c r="AJ137" s="83">
        <f>IFERROR((VLOOKUP(TableWRRanks32[[#This Row],[Player]],WR!B:O,6,FALSE)),"")</f>
        <v>16.861386079999999</v>
      </c>
      <c r="AK137" s="83">
        <f>IFERROR((VLOOKUP(TableWRRanks32[[#This Row],[Player]],WR!B:O,7,FALSE)),"")</f>
        <v>11.550049464800002</v>
      </c>
      <c r="AL137" s="83">
        <f>IFERROR((VLOOKUP(TableWRRanks32[[#This Row],[Player]],WR!B:O,8,FALSE)),"")</f>
        <v>116.53999909983203</v>
      </c>
      <c r="AM137" s="83">
        <f>IFERROR((VLOOKUP(TableWRRanks32[[#This Row],[Player]],WR!B:O,9,FALSE)),"")</f>
        <v>0.77385331414160019</v>
      </c>
      <c r="AN137" s="57">
        <f>IFERROR((IFERROR(INDEX(TableWRCalcPts[Custom],MATCH(TableWRRanks32[[#This Row],[RK]],TableWRCalcPts[RK],0)),"")),"")</f>
        <v>22.072144527232805</v>
      </c>
      <c r="AO137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38" spans="16:41" x14ac:dyDescent="0.2">
      <c r="P138">
        <v>137</v>
      </c>
      <c r="Q138" t="str">
        <f>IFERROR(INDEX(TableRBCalcPts[PLAYER],MATCH(TableRBRanks31[[#This Row],[RK]],TableRBCalcPts[RK],0)),"")</f>
        <v/>
      </c>
      <c r="R138" t="str">
        <f>IFERROR(INDEX(TableRBCalcPts[TM],MATCH(TableRBRanks31[[#This Row],[Player]],TableRBCalcPts[PLAYER],0)),"")</f>
        <v/>
      </c>
      <c r="S138" t="str">
        <f>IFERROR(INDEX(TableRBCalcPts[BYE],MATCH(TableRBRanks31[[#This Row],[Player]],TableRBCalcPts[PLAYER],0)),"")</f>
        <v/>
      </c>
      <c r="T138" s="83" t="str">
        <f>IFERROR((VLOOKUP(TableRBRanks31[[#This Row],[Player]],RB!B:O,4,FALSE)),"")</f>
        <v/>
      </c>
      <c r="U138" s="83" t="str">
        <f>IFERROR((VLOOKUP(TableRBRanks31[[#This Row],[Player]],RB!B:O,5,FALSE)),"")</f>
        <v/>
      </c>
      <c r="V138" s="83" t="str">
        <f>IFERROR((VLOOKUP(TableRBRanks31[[#This Row],[Player]],RB!B:O,6,FALSE)),"")</f>
        <v/>
      </c>
      <c r="W138" s="83" t="str">
        <f>IFERROR((VLOOKUP(TableRBRanks31[[#This Row],[Player]],RB!B:O,7,FALSE)),"")</f>
        <v/>
      </c>
      <c r="X138" s="83" t="str">
        <f>IFERROR((VLOOKUP(TableRBRanks31[[#This Row],[Player]],RB!B:O,8,FALSE)),"")</f>
        <v/>
      </c>
      <c r="Y138" s="83" t="str">
        <f>IFERROR((VLOOKUP(TableRBRanks31[[#This Row],[Player]],RB!B:O,9,FALSE)),"")</f>
        <v/>
      </c>
      <c r="Z138" s="83" t="str">
        <f>IFERROR((VLOOKUP(TableRBRanks31[[#This Row],[Player]],RB!B:O,10,FALSE)),"")</f>
        <v/>
      </c>
      <c r="AA138" s="57" t="str">
        <f>IFERROR((IFERROR(INDEX(TableRBCalcPts[Custom],MATCH(TableRBRanks31[[#This Row],[RK]],TableRBCalcPts[RK],0)),"")),"")</f>
        <v/>
      </c>
      <c r="AB138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38">
        <v>137</v>
      </c>
      <c r="AE138" t="str">
        <f>IFERROR(INDEX(TableWRCalcPts[PLAYER],MATCH(TableWRRanks32[[#This Row],[RK]],TableWRCalcPts[RK],0)),"")</f>
        <v>KaVontae Turpin</v>
      </c>
      <c r="AF138" t="str">
        <f>IFERROR(INDEX(TableWRCalcPts[TM],MATCH(TableWRRanks32[[#This Row],[Player]],TableWRCalcPts[PLAYER],0)),"")</f>
        <v>DAL</v>
      </c>
      <c r="AG138">
        <f>IFERROR(INDEX(TableWRCalcPts[BYE],MATCH(TableWRRanks32[[#This Row],[Player]],TableWRCalcPts[PLAYER],0)),"")</f>
        <v>7</v>
      </c>
      <c r="AH138" s="83">
        <f>IFERROR((VLOOKUP(TableWRRanks32[[#This Row],[Player]],WR!B:O,4,FALSE)),"")</f>
        <v>0</v>
      </c>
      <c r="AI138" s="83">
        <f>IFERROR((VLOOKUP(TableWRRanks32[[#This Row],[Player]],WR!B:O,5,FALSE)),"")</f>
        <v>0</v>
      </c>
      <c r="AJ138" s="83">
        <f>IFERROR((VLOOKUP(TableWRRanks32[[#This Row],[Player]],WR!B:O,6,FALSE)),"")</f>
        <v>16.465475879999993</v>
      </c>
      <c r="AK138" s="83">
        <f>IFERROR((VLOOKUP(TableWRRanks32[[#This Row],[Player]],WR!B:O,7,FALSE)),"")</f>
        <v>10.323853376759995</v>
      </c>
      <c r="AL138" s="83">
        <f>IFERROR((VLOOKUP(TableWRRanks32[[#This Row],[Player]],WR!B:O,8,FALSE)),"")</f>
        <v>117.79516702883154</v>
      </c>
      <c r="AM138" s="83">
        <f>IFERROR((VLOOKUP(TableWRRanks32[[#This Row],[Player]],WR!B:O,9,FALSE)),"")</f>
        <v>0.8362321235175596</v>
      </c>
      <c r="AN138" s="57">
        <f>IFERROR((IFERROR(INDEX(TableWRCalcPts[Custom],MATCH(TableWRRanks32[[#This Row],[RK]],TableWRCalcPts[RK],0)),"")),"")</f>
        <v>21.958836132368511</v>
      </c>
      <c r="AO138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39" spans="16:41" x14ac:dyDescent="0.2">
      <c r="P139">
        <v>138</v>
      </c>
      <c r="Q139" t="str">
        <f>IFERROR(INDEX(TableRBCalcPts[PLAYER],MATCH(TableRBRanks31[[#This Row],[RK]],TableRBCalcPts[RK],0)),"")</f>
        <v/>
      </c>
      <c r="R139" t="str">
        <f>IFERROR(INDEX(TableRBCalcPts[TM],MATCH(TableRBRanks31[[#This Row],[Player]],TableRBCalcPts[PLAYER],0)),"")</f>
        <v/>
      </c>
      <c r="S139" t="str">
        <f>IFERROR(INDEX(TableRBCalcPts[BYE],MATCH(TableRBRanks31[[#This Row],[Player]],TableRBCalcPts[PLAYER],0)),"")</f>
        <v/>
      </c>
      <c r="T139" s="83" t="str">
        <f>IFERROR((VLOOKUP(TableRBRanks31[[#This Row],[Player]],RB!B:O,4,FALSE)),"")</f>
        <v/>
      </c>
      <c r="U139" s="83" t="str">
        <f>IFERROR((VLOOKUP(TableRBRanks31[[#This Row],[Player]],RB!B:O,5,FALSE)),"")</f>
        <v/>
      </c>
      <c r="V139" s="83" t="str">
        <f>IFERROR((VLOOKUP(TableRBRanks31[[#This Row],[Player]],RB!B:O,6,FALSE)),"")</f>
        <v/>
      </c>
      <c r="W139" s="83" t="str">
        <f>IFERROR((VLOOKUP(TableRBRanks31[[#This Row],[Player]],RB!B:O,7,FALSE)),"")</f>
        <v/>
      </c>
      <c r="X139" s="83" t="str">
        <f>IFERROR((VLOOKUP(TableRBRanks31[[#This Row],[Player]],RB!B:O,8,FALSE)),"")</f>
        <v/>
      </c>
      <c r="Y139" s="83" t="str">
        <f>IFERROR((VLOOKUP(TableRBRanks31[[#This Row],[Player]],RB!B:O,9,FALSE)),"")</f>
        <v/>
      </c>
      <c r="Z139" s="83" t="str">
        <f>IFERROR((VLOOKUP(TableRBRanks31[[#This Row],[Player]],RB!B:O,10,FALSE)),"")</f>
        <v/>
      </c>
      <c r="AA139" s="57" t="str">
        <f>IFERROR((IFERROR(INDEX(TableRBCalcPts[Custom],MATCH(TableRBRanks31[[#This Row],[RK]],TableRBCalcPts[RK],0)),"")),"")</f>
        <v/>
      </c>
      <c r="AB139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39">
        <v>138</v>
      </c>
      <c r="AE139" t="str">
        <f>IFERROR(INDEX(TableWRCalcPts[PLAYER],MATCH(TableWRRanks32[[#This Row],[RK]],TableWRCalcPts[RK],0)),"")</f>
        <v>Tyler Scott</v>
      </c>
      <c r="AF139" t="str">
        <f>IFERROR(INDEX(TableWRCalcPts[TM],MATCH(TableWRRanks32[[#This Row],[Player]],TableWRCalcPts[PLAYER],0)),"")</f>
        <v>CHI</v>
      </c>
      <c r="AG139">
        <f>IFERROR(INDEX(TableWRCalcPts[BYE],MATCH(TableWRRanks32[[#This Row],[Player]],TableWRCalcPts[PLAYER],0)),"")</f>
        <v>7</v>
      </c>
      <c r="AH139" s="83">
        <f>IFERROR((VLOOKUP(TableWRRanks32[[#This Row],[Player]],WR!B:O,4,FALSE)),"")</f>
        <v>0</v>
      </c>
      <c r="AI139" s="83">
        <f>IFERROR((VLOOKUP(TableWRRanks32[[#This Row],[Player]],WR!B:O,5,FALSE)),"")</f>
        <v>0</v>
      </c>
      <c r="AJ139" s="83">
        <f>IFERROR((VLOOKUP(TableWRRanks32[[#This Row],[Player]],WR!B:O,6,FALSE)),"")</f>
        <v>17.004254399999997</v>
      </c>
      <c r="AK139" s="83">
        <f>IFERROR((VLOOKUP(TableWRRanks32[[#This Row],[Player]],WR!B:O,7,FALSE)),"")</f>
        <v>10.032510095999998</v>
      </c>
      <c r="AL139" s="83">
        <f>IFERROR((VLOOKUP(TableWRRanks32[[#This Row],[Player]],WR!B:O,8,FALSE)),"")</f>
        <v>122.42530065239373</v>
      </c>
      <c r="AM139" s="83">
        <f>IFERROR((VLOOKUP(TableWRRanks32[[#This Row],[Player]],WR!B:O,9,FALSE)),"")</f>
        <v>0.69178606093618344</v>
      </c>
      <c r="AN139" s="57">
        <f>IFERROR((IFERROR(INDEX(TableWRCalcPts[Custom],MATCH(TableWRRanks32[[#This Row],[RK]],TableWRCalcPts[RK],0)),"")),"")</f>
        <v>21.409501478856473</v>
      </c>
      <c r="AO139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40" spans="16:41" x14ac:dyDescent="0.2">
      <c r="P140">
        <v>139</v>
      </c>
      <c r="Q140" t="str">
        <f>IFERROR(INDEX(TableRBCalcPts[PLAYER],MATCH(TableRBRanks31[[#This Row],[RK]],TableRBCalcPts[RK],0)),"")</f>
        <v/>
      </c>
      <c r="R140" t="str">
        <f>IFERROR(INDEX(TableRBCalcPts[TM],MATCH(TableRBRanks31[[#This Row],[Player]],TableRBCalcPts[PLAYER],0)),"")</f>
        <v/>
      </c>
      <c r="S140" t="str">
        <f>IFERROR(INDEX(TableRBCalcPts[BYE],MATCH(TableRBRanks31[[#This Row],[Player]],TableRBCalcPts[PLAYER],0)),"")</f>
        <v/>
      </c>
      <c r="T140" s="83" t="str">
        <f>IFERROR((VLOOKUP(TableRBRanks31[[#This Row],[Player]],RB!B:O,4,FALSE)),"")</f>
        <v/>
      </c>
      <c r="U140" s="83" t="str">
        <f>IFERROR((VLOOKUP(TableRBRanks31[[#This Row],[Player]],RB!B:O,5,FALSE)),"")</f>
        <v/>
      </c>
      <c r="V140" s="83" t="str">
        <f>IFERROR((VLOOKUP(TableRBRanks31[[#This Row],[Player]],RB!B:O,6,FALSE)),"")</f>
        <v/>
      </c>
      <c r="W140" s="83" t="str">
        <f>IFERROR((VLOOKUP(TableRBRanks31[[#This Row],[Player]],RB!B:O,7,FALSE)),"")</f>
        <v/>
      </c>
      <c r="X140" s="83" t="str">
        <f>IFERROR((VLOOKUP(TableRBRanks31[[#This Row],[Player]],RB!B:O,8,FALSE)),"")</f>
        <v/>
      </c>
      <c r="Y140" s="83" t="str">
        <f>IFERROR((VLOOKUP(TableRBRanks31[[#This Row],[Player]],RB!B:O,9,FALSE)),"")</f>
        <v/>
      </c>
      <c r="Z140" s="83" t="str">
        <f>IFERROR((VLOOKUP(TableRBRanks31[[#This Row],[Player]],RB!B:O,10,FALSE)),"")</f>
        <v/>
      </c>
      <c r="AA140" s="57" t="str">
        <f>IFERROR((IFERROR(INDEX(TableRBCalcPts[Custom],MATCH(TableRBRanks31[[#This Row],[RK]],TableRBCalcPts[RK],0)),"")),"")</f>
        <v/>
      </c>
      <c r="AB140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40">
        <v>139</v>
      </c>
      <c r="AE140" t="str">
        <f>IFERROR(INDEX(TableWRCalcPts[PLAYER],MATCH(TableWRRanks32[[#This Row],[RK]],TableWRCalcPts[RK],0)),"")</f>
        <v>Tutu Atwell</v>
      </c>
      <c r="AF140" t="str">
        <f>IFERROR(INDEX(TableWRCalcPts[TM],MATCH(TableWRRanks32[[#This Row],[Player]],TableWRCalcPts[PLAYER],0)),"")</f>
        <v>LAR</v>
      </c>
      <c r="AG140">
        <f>IFERROR(INDEX(TableWRCalcPts[BYE],MATCH(TableWRRanks32[[#This Row],[Player]],TableWRCalcPts[PLAYER],0)),"")</f>
        <v>6</v>
      </c>
      <c r="AH140" s="83">
        <f>IFERROR((VLOOKUP(TableWRRanks32[[#This Row],[Player]],WR!B:O,4,FALSE)),"")</f>
        <v>19.717208783999997</v>
      </c>
      <c r="AI140" s="83">
        <f>IFERROR((VLOOKUP(TableWRRanks32[[#This Row],[Player]],WR!B:O,5,FALSE)),"")</f>
        <v>3.5318520929079077E-2</v>
      </c>
      <c r="AJ140" s="83">
        <f>IFERROR((VLOOKUP(TableWRRanks32[[#This Row],[Player]],WR!B:O,6,FALSE)),"")</f>
        <v>16.301847239999997</v>
      </c>
      <c r="AK140" s="83">
        <f>IFERROR((VLOOKUP(TableWRRanks32[[#This Row],[Player]],WR!B:O,7,FALSE)),"")</f>
        <v>9.3083547740399961</v>
      </c>
      <c r="AL140" s="83">
        <f>IFERROR((VLOOKUP(TableWRRanks32[[#This Row],[Player]],WR!B:O,8,FALSE)),"")</f>
        <v>101.55415058477637</v>
      </c>
      <c r="AM140" s="83">
        <f>IFERROR((VLOOKUP(TableWRRanks32[[#This Row],[Player]],WR!B:O,9,FALSE)),"")</f>
        <v>0.67153944474632432</v>
      </c>
      <c r="AN140" s="57">
        <f>IFERROR((IFERROR(INDEX(TableWRCalcPts[Custom],MATCH(TableWRRanks32[[#This Row],[RK]],TableWRCalcPts[RK],0)),"")),"")</f>
        <v>21.022461117950055</v>
      </c>
      <c r="AO140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41" spans="16:41" x14ac:dyDescent="0.2">
      <c r="P141">
        <v>140</v>
      </c>
      <c r="Q141" t="str">
        <f>IFERROR(INDEX(TableRBCalcPts[PLAYER],MATCH(TableRBRanks31[[#This Row],[RK]],TableRBCalcPts[RK],0)),"")</f>
        <v/>
      </c>
      <c r="R141" t="str">
        <f>IFERROR(INDEX(TableRBCalcPts[TM],MATCH(TableRBRanks31[[#This Row],[Player]],TableRBCalcPts[PLAYER],0)),"")</f>
        <v/>
      </c>
      <c r="S141" t="str">
        <f>IFERROR(INDEX(TableRBCalcPts[BYE],MATCH(TableRBRanks31[[#This Row],[Player]],TableRBCalcPts[PLAYER],0)),"")</f>
        <v/>
      </c>
      <c r="T141" s="83" t="str">
        <f>IFERROR((VLOOKUP(TableRBRanks31[[#This Row],[Player]],RB!B:O,4,FALSE)),"")</f>
        <v/>
      </c>
      <c r="U141" s="83" t="str">
        <f>IFERROR((VLOOKUP(TableRBRanks31[[#This Row],[Player]],RB!B:O,5,FALSE)),"")</f>
        <v/>
      </c>
      <c r="V141" s="83" t="str">
        <f>IFERROR((VLOOKUP(TableRBRanks31[[#This Row],[Player]],RB!B:O,6,FALSE)),"")</f>
        <v/>
      </c>
      <c r="W141" s="83" t="str">
        <f>IFERROR((VLOOKUP(TableRBRanks31[[#This Row],[Player]],RB!B:O,7,FALSE)),"")</f>
        <v/>
      </c>
      <c r="X141" s="83" t="str">
        <f>IFERROR((VLOOKUP(TableRBRanks31[[#This Row],[Player]],RB!B:O,8,FALSE)),"")</f>
        <v/>
      </c>
      <c r="Y141" s="83" t="str">
        <f>IFERROR((VLOOKUP(TableRBRanks31[[#This Row],[Player]],RB!B:O,9,FALSE)),"")</f>
        <v/>
      </c>
      <c r="Z141" s="83" t="str">
        <f>IFERROR((VLOOKUP(TableRBRanks31[[#This Row],[Player]],RB!B:O,10,FALSE)),"")</f>
        <v/>
      </c>
      <c r="AA141" s="57" t="str">
        <f>IFERROR((IFERROR(INDEX(TableRBCalcPts[Custom],MATCH(TableRBRanks31[[#This Row],[RK]],TableRBCalcPts[RK],0)),"")),"")</f>
        <v/>
      </c>
      <c r="AB141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41">
        <v>140</v>
      </c>
      <c r="AE141" t="str">
        <f>IFERROR(INDEX(TableWRCalcPts[PLAYER],MATCH(TableWRRanks32[[#This Row],[RK]],TableWRCalcPts[RK],0)),"")</f>
        <v>Skyy Moore</v>
      </c>
      <c r="AF141" t="str">
        <f>IFERROR(INDEX(TableWRCalcPts[TM],MATCH(TableWRRanks32[[#This Row],[Player]],TableWRCalcPts[PLAYER],0)),"")</f>
        <v>KC</v>
      </c>
      <c r="AG141">
        <f>IFERROR(INDEX(TableWRCalcPts[BYE],MATCH(TableWRRanks32[[#This Row],[Player]],TableWRCalcPts[PLAYER],0)),"")</f>
        <v>6</v>
      </c>
      <c r="AH141" s="83">
        <f>IFERROR((VLOOKUP(TableWRRanks32[[#This Row],[Player]],WR!B:O,4,FALSE)),"")</f>
        <v>0</v>
      </c>
      <c r="AI141" s="83">
        <f>IFERROR((VLOOKUP(TableWRRanks32[[#This Row],[Player]],WR!B:O,5,FALSE)),"")</f>
        <v>0</v>
      </c>
      <c r="AJ141" s="83">
        <f>IFERROR((VLOOKUP(TableWRRanks32[[#This Row],[Player]],WR!B:O,6,FALSE)),"")</f>
        <v>15.128063999999998</v>
      </c>
      <c r="AK141" s="83">
        <f>IFERROR((VLOOKUP(TableWRRanks32[[#This Row],[Player]],WR!B:O,7,FALSE)),"")</f>
        <v>9.1524787200000013</v>
      </c>
      <c r="AL141" s="83">
        <f>IFERROR((VLOOKUP(TableWRRanks32[[#This Row],[Player]],WR!B:O,8,FALSE)),"")</f>
        <v>106.07722836480001</v>
      </c>
      <c r="AM141" s="83">
        <f>IFERROR((VLOOKUP(TableWRRanks32[[#This Row],[Player]],WR!B:O,9,FALSE)),"")</f>
        <v>0.73504676875311936</v>
      </c>
      <c r="AN141" s="57">
        <f>IFERROR((IFERROR(INDEX(TableWRCalcPts[Custom],MATCH(TableWRRanks32[[#This Row],[RK]],TableWRCalcPts[RK],0)),"")),"")</f>
        <v>19.594242808998718</v>
      </c>
      <c r="AO141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42" spans="16:41" x14ac:dyDescent="0.2">
      <c r="P142">
        <v>141</v>
      </c>
      <c r="Q142" t="str">
        <f>IFERROR(INDEX(TableRBCalcPts[PLAYER],MATCH(TableRBRanks31[[#This Row],[RK]],TableRBCalcPts[RK],0)),"")</f>
        <v/>
      </c>
      <c r="R142" t="str">
        <f>IFERROR(INDEX(TableRBCalcPts[TM],MATCH(TableRBRanks31[[#This Row],[Player]],TableRBCalcPts[PLAYER],0)),"")</f>
        <v/>
      </c>
      <c r="S142" t="str">
        <f>IFERROR(INDEX(TableRBCalcPts[BYE],MATCH(TableRBRanks31[[#This Row],[Player]],TableRBCalcPts[PLAYER],0)),"")</f>
        <v/>
      </c>
      <c r="T142" s="83" t="str">
        <f>IFERROR((VLOOKUP(TableRBRanks31[[#This Row],[Player]],RB!B:O,4,FALSE)),"")</f>
        <v/>
      </c>
      <c r="U142" s="83" t="str">
        <f>IFERROR((VLOOKUP(TableRBRanks31[[#This Row],[Player]],RB!B:O,5,FALSE)),"")</f>
        <v/>
      </c>
      <c r="V142" s="83" t="str">
        <f>IFERROR((VLOOKUP(TableRBRanks31[[#This Row],[Player]],RB!B:O,6,FALSE)),"")</f>
        <v/>
      </c>
      <c r="W142" s="83" t="str">
        <f>IFERROR((VLOOKUP(TableRBRanks31[[#This Row],[Player]],RB!B:O,7,FALSE)),"")</f>
        <v/>
      </c>
      <c r="X142" s="83" t="str">
        <f>IFERROR((VLOOKUP(TableRBRanks31[[#This Row],[Player]],RB!B:O,8,FALSE)),"")</f>
        <v/>
      </c>
      <c r="Y142" s="83" t="str">
        <f>IFERROR((VLOOKUP(TableRBRanks31[[#This Row],[Player]],RB!B:O,9,FALSE)),"")</f>
        <v/>
      </c>
      <c r="Z142" s="83" t="str">
        <f>IFERROR((VLOOKUP(TableRBRanks31[[#This Row],[Player]],RB!B:O,10,FALSE)),"")</f>
        <v/>
      </c>
      <c r="AA142" s="57" t="str">
        <f>IFERROR((IFERROR(INDEX(TableRBCalcPts[Custom],MATCH(TableRBRanks31[[#This Row],[RK]],TableRBCalcPts[RK],0)),"")),"")</f>
        <v/>
      </c>
      <c r="AB142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42">
        <v>141</v>
      </c>
      <c r="AE142" t="str">
        <f>IFERROR(INDEX(TableWRCalcPts[PLAYER],MATCH(TableWRRanks32[[#This Row],[RK]],TableWRCalcPts[RK],0)),"")</f>
        <v>Bub Means</v>
      </c>
      <c r="AF142" t="str">
        <f>IFERROR(INDEX(TableWRCalcPts[TM],MATCH(TableWRRanks32[[#This Row],[Player]],TableWRCalcPts[PLAYER],0)),"")</f>
        <v>NO</v>
      </c>
      <c r="AG142">
        <f>IFERROR(INDEX(TableWRCalcPts[BYE],MATCH(TableWRRanks32[[#This Row],[Player]],TableWRCalcPts[PLAYER],0)),"")</f>
        <v>12</v>
      </c>
      <c r="AH142" s="83">
        <f>IFERROR((VLOOKUP(TableWRRanks32[[#This Row],[Player]],WR!B:O,4,FALSE)),"")</f>
        <v>0</v>
      </c>
      <c r="AI142" s="83">
        <f>IFERROR((VLOOKUP(TableWRRanks32[[#This Row],[Player]],WR!B:O,5,FALSE)),"")</f>
        <v>0</v>
      </c>
      <c r="AJ142" s="83">
        <f>IFERROR((VLOOKUP(TableWRRanks32[[#This Row],[Player]],WR!B:O,6,FALSE)),"")</f>
        <v>13.908323659999999</v>
      </c>
      <c r="AK142" s="83">
        <f>IFERROR((VLOOKUP(TableWRRanks32[[#This Row],[Player]],WR!B:O,7,FALSE)),"")</f>
        <v>8.8317855241000007</v>
      </c>
      <c r="AL142" s="83">
        <f>IFERROR((VLOOKUP(TableWRRanks32[[#This Row],[Player]],WR!B:O,8,FALSE)),"")</f>
        <v>105.62815486823601</v>
      </c>
      <c r="AM142" s="83">
        <f>IFERROR((VLOOKUP(TableWRRanks32[[#This Row],[Player]],WR!B:O,9,FALSE)),"")</f>
        <v>0.71006733593030069</v>
      </c>
      <c r="AN142" s="57">
        <f>IFERROR((IFERROR(INDEX(TableWRCalcPts[Custom],MATCH(TableWRRanks32[[#This Row],[RK]],TableWRCalcPts[RK],0)),"")),"")</f>
        <v>19.239112264455407</v>
      </c>
      <c r="AO142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43" spans="16:41" x14ac:dyDescent="0.2">
      <c r="P143">
        <v>142</v>
      </c>
      <c r="Q143" t="str">
        <f>IFERROR(INDEX(TableRBCalcPts[PLAYER],MATCH(TableRBRanks31[[#This Row],[RK]],TableRBCalcPts[RK],0)),"")</f>
        <v/>
      </c>
      <c r="R143" t="str">
        <f>IFERROR(INDEX(TableRBCalcPts[TM],MATCH(TableRBRanks31[[#This Row],[Player]],TableRBCalcPts[PLAYER],0)),"")</f>
        <v/>
      </c>
      <c r="S143" t="str">
        <f>IFERROR(INDEX(TableRBCalcPts[BYE],MATCH(TableRBRanks31[[#This Row],[Player]],TableRBCalcPts[PLAYER],0)),"")</f>
        <v/>
      </c>
      <c r="T143" s="83" t="str">
        <f>IFERROR((VLOOKUP(TableRBRanks31[[#This Row],[Player]],RB!B:O,4,FALSE)),"")</f>
        <v/>
      </c>
      <c r="U143" s="83" t="str">
        <f>IFERROR((VLOOKUP(TableRBRanks31[[#This Row],[Player]],RB!B:O,5,FALSE)),"")</f>
        <v/>
      </c>
      <c r="V143" s="83" t="str">
        <f>IFERROR((VLOOKUP(TableRBRanks31[[#This Row],[Player]],RB!B:O,6,FALSE)),"")</f>
        <v/>
      </c>
      <c r="W143" s="83" t="str">
        <f>IFERROR((VLOOKUP(TableRBRanks31[[#This Row],[Player]],RB!B:O,7,FALSE)),"")</f>
        <v/>
      </c>
      <c r="X143" s="83" t="str">
        <f>IFERROR((VLOOKUP(TableRBRanks31[[#This Row],[Player]],RB!B:O,8,FALSE)),"")</f>
        <v/>
      </c>
      <c r="Y143" s="83" t="str">
        <f>IFERROR((VLOOKUP(TableRBRanks31[[#This Row],[Player]],RB!B:O,9,FALSE)),"")</f>
        <v/>
      </c>
      <c r="Z143" s="83" t="str">
        <f>IFERROR((VLOOKUP(TableRBRanks31[[#This Row],[Player]],RB!B:O,10,FALSE)),"")</f>
        <v/>
      </c>
      <c r="AA143" s="57" t="str">
        <f>IFERROR((IFERROR(INDEX(TableRBCalcPts[Custom],MATCH(TableRBRanks31[[#This Row],[RK]],TableRBCalcPts[RK],0)),"")),"")</f>
        <v/>
      </c>
      <c r="AB143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43">
        <v>142</v>
      </c>
      <c r="AE143" t="str">
        <f>IFERROR(INDEX(TableWRCalcPts[PLAYER],MATCH(TableWRRanks32[[#This Row],[RK]],TableWRCalcPts[RK],0)),"")</f>
        <v>Nick Westbrook-Ikhine</v>
      </c>
      <c r="AF143" t="str">
        <f>IFERROR(INDEX(TableWRCalcPts[TM],MATCH(TableWRRanks32[[#This Row],[Player]],TableWRCalcPts[PLAYER],0)),"")</f>
        <v>TEN</v>
      </c>
      <c r="AG143">
        <f>IFERROR(INDEX(TableWRCalcPts[BYE],MATCH(TableWRRanks32[[#This Row],[Player]],TableWRCalcPts[PLAYER],0)),"")</f>
        <v>5</v>
      </c>
      <c r="AH143" s="83">
        <f>IFERROR((VLOOKUP(TableWRRanks32[[#This Row],[Player]],WR!B:O,4,FALSE)),"")</f>
        <v>0</v>
      </c>
      <c r="AI143" s="83">
        <f>IFERROR((VLOOKUP(TableWRRanks32[[#This Row],[Player]],WR!B:O,5,FALSE)),"")</f>
        <v>0</v>
      </c>
      <c r="AJ143" s="83">
        <f>IFERROR((VLOOKUP(TableWRRanks32[[#This Row],[Player]],WR!B:O,6,FALSE)),"")</f>
        <v>15.61857066</v>
      </c>
      <c r="AK143" s="83">
        <f>IFERROR((VLOOKUP(TableWRRanks32[[#This Row],[Player]],WR!B:O,7,FALSE)),"")</f>
        <v>9.2930495426999986</v>
      </c>
      <c r="AL143" s="83">
        <f>IFERROR((VLOOKUP(TableWRRanks32[[#This Row],[Player]],WR!B:O,8,FALSE)),"")</f>
        <v>107.52896919621344</v>
      </c>
      <c r="AM143" s="83">
        <f>IFERROR((VLOOKUP(TableWRRanks32[[#This Row],[Player]],WR!B:O,9,FALSE)),"")</f>
        <v>0.5436624076441573</v>
      </c>
      <c r="AN143" s="57">
        <f>IFERROR((IFERROR(INDEX(TableWRCalcPts[Custom],MATCH(TableWRRanks32[[#This Row],[RK]],TableWRCalcPts[RK],0)),"")),"")</f>
        <v>18.661396136836288</v>
      </c>
      <c r="AO143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44" spans="16:41" x14ac:dyDescent="0.2">
      <c r="P144">
        <v>143</v>
      </c>
      <c r="Q144" t="str">
        <f>IFERROR(INDEX(TableRBCalcPts[PLAYER],MATCH(TableRBRanks31[[#This Row],[RK]],TableRBCalcPts[RK],0)),"")</f>
        <v/>
      </c>
      <c r="R144" t="str">
        <f>IFERROR(INDEX(TableRBCalcPts[TM],MATCH(TableRBRanks31[[#This Row],[Player]],TableRBCalcPts[PLAYER],0)),"")</f>
        <v/>
      </c>
      <c r="S144" t="str">
        <f>IFERROR(INDEX(TableRBCalcPts[BYE],MATCH(TableRBRanks31[[#This Row],[Player]],TableRBCalcPts[PLAYER],0)),"")</f>
        <v/>
      </c>
      <c r="T144" s="83" t="str">
        <f>IFERROR((VLOOKUP(TableRBRanks31[[#This Row],[Player]],RB!B:O,4,FALSE)),"")</f>
        <v/>
      </c>
      <c r="U144" s="83" t="str">
        <f>IFERROR((VLOOKUP(TableRBRanks31[[#This Row],[Player]],RB!B:O,5,FALSE)),"")</f>
        <v/>
      </c>
      <c r="V144" s="83" t="str">
        <f>IFERROR((VLOOKUP(TableRBRanks31[[#This Row],[Player]],RB!B:O,6,FALSE)),"")</f>
        <v/>
      </c>
      <c r="W144" s="83" t="str">
        <f>IFERROR((VLOOKUP(TableRBRanks31[[#This Row],[Player]],RB!B:O,7,FALSE)),"")</f>
        <v/>
      </c>
      <c r="X144" s="83" t="str">
        <f>IFERROR((VLOOKUP(TableRBRanks31[[#This Row],[Player]],RB!B:O,8,FALSE)),"")</f>
        <v/>
      </c>
      <c r="Y144" s="83" t="str">
        <f>IFERROR((VLOOKUP(TableRBRanks31[[#This Row],[Player]],RB!B:O,9,FALSE)),"")</f>
        <v/>
      </c>
      <c r="Z144" s="83" t="str">
        <f>IFERROR((VLOOKUP(TableRBRanks31[[#This Row],[Player]],RB!B:O,10,FALSE)),"")</f>
        <v/>
      </c>
      <c r="AA144" s="57" t="str">
        <f>IFERROR((IFERROR(INDEX(TableRBCalcPts[Custom],MATCH(TableRBRanks31[[#This Row],[RK]],TableRBCalcPts[RK],0)),"")),"")</f>
        <v/>
      </c>
      <c r="AB144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44">
        <v>143</v>
      </c>
      <c r="AE144" t="str">
        <f>IFERROR(INDEX(TableWRCalcPts[PLAYER],MATCH(TableWRRanks32[[#This Row],[RK]],TableWRCalcPts[RK],0)),"")</f>
        <v>Jason Brownlee</v>
      </c>
      <c r="AF144" t="str">
        <f>IFERROR(INDEX(TableWRCalcPts[TM],MATCH(TableWRRanks32[[#This Row],[Player]],TableWRCalcPts[PLAYER],0)),"")</f>
        <v>NYJ</v>
      </c>
      <c r="AG144">
        <f>IFERROR(INDEX(TableWRCalcPts[BYE],MATCH(TableWRRanks32[[#This Row],[Player]],TableWRCalcPts[PLAYER],0)),"")</f>
        <v>12</v>
      </c>
      <c r="AH144" s="83">
        <f>IFERROR((VLOOKUP(TableWRRanks32[[#This Row],[Player]],WR!B:O,4,FALSE)),"")</f>
        <v>0</v>
      </c>
      <c r="AI144" s="83">
        <f>IFERROR((VLOOKUP(TableWRRanks32[[#This Row],[Player]],WR!B:O,5,FALSE)),"")</f>
        <v>0</v>
      </c>
      <c r="AJ144" s="83">
        <f>IFERROR((VLOOKUP(TableWRRanks32[[#This Row],[Player]],WR!B:O,6,FALSE)),"")</f>
        <v>13.627774159999998</v>
      </c>
      <c r="AK144" s="83">
        <f>IFERROR((VLOOKUP(TableWRRanks32[[#This Row],[Player]],WR!B:O,7,FALSE)),"")</f>
        <v>8.176664495999999</v>
      </c>
      <c r="AL144" s="83">
        <f>IFERROR((VLOOKUP(TableWRRanks32[[#This Row],[Player]],WR!B:O,8,FALSE)),"")</f>
        <v>93.099417340045775</v>
      </c>
      <c r="AM144" s="83">
        <f>IFERROR((VLOOKUP(TableWRRanks32[[#This Row],[Player]],WR!B:O,9,FALSE)),"")</f>
        <v>0.66830645474025152</v>
      </c>
      <c r="AN144" s="57">
        <f>IFERROR((IFERROR(INDEX(TableWRCalcPts[Custom],MATCH(TableWRRanks32[[#This Row],[RK]],TableWRCalcPts[RK],0)),"")),"")</f>
        <v>17.408112710446087</v>
      </c>
      <c r="AO144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45" spans="16:41" x14ac:dyDescent="0.2">
      <c r="P145">
        <v>144</v>
      </c>
      <c r="Q145" t="str">
        <f>IFERROR(INDEX(TableRBCalcPts[PLAYER],MATCH(TableRBRanks31[[#This Row],[RK]],TableRBCalcPts[RK],0)),"")</f>
        <v/>
      </c>
      <c r="R145" t="str">
        <f>IFERROR(INDEX(TableRBCalcPts[TM],MATCH(TableRBRanks31[[#This Row],[Player]],TableRBCalcPts[PLAYER],0)),"")</f>
        <v/>
      </c>
      <c r="S145" t="str">
        <f>IFERROR(INDEX(TableRBCalcPts[BYE],MATCH(TableRBRanks31[[#This Row],[Player]],TableRBCalcPts[PLAYER],0)),"")</f>
        <v/>
      </c>
      <c r="T145" s="83" t="str">
        <f>IFERROR((VLOOKUP(TableRBRanks31[[#This Row],[Player]],RB!B:O,4,FALSE)),"")</f>
        <v/>
      </c>
      <c r="U145" s="83" t="str">
        <f>IFERROR((VLOOKUP(TableRBRanks31[[#This Row],[Player]],RB!B:O,5,FALSE)),"")</f>
        <v/>
      </c>
      <c r="V145" s="83" t="str">
        <f>IFERROR((VLOOKUP(TableRBRanks31[[#This Row],[Player]],RB!B:O,6,FALSE)),"")</f>
        <v/>
      </c>
      <c r="W145" s="83" t="str">
        <f>IFERROR((VLOOKUP(TableRBRanks31[[#This Row],[Player]],RB!B:O,7,FALSE)),"")</f>
        <v/>
      </c>
      <c r="X145" s="83" t="str">
        <f>IFERROR((VLOOKUP(TableRBRanks31[[#This Row],[Player]],RB!B:O,8,FALSE)),"")</f>
        <v/>
      </c>
      <c r="Y145" s="83" t="str">
        <f>IFERROR((VLOOKUP(TableRBRanks31[[#This Row],[Player]],RB!B:O,9,FALSE)),"")</f>
        <v/>
      </c>
      <c r="Z145" s="83" t="str">
        <f>IFERROR((VLOOKUP(TableRBRanks31[[#This Row],[Player]],RB!B:O,10,FALSE)),"")</f>
        <v/>
      </c>
      <c r="AA145" s="57" t="str">
        <f>IFERROR((IFERROR(INDEX(TableRBCalcPts[Custom],MATCH(TableRBRanks31[[#This Row],[RK]],TableRBCalcPts[RK],0)),"")),"")</f>
        <v/>
      </c>
      <c r="AB145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45">
        <v>144</v>
      </c>
      <c r="AE145" t="str">
        <f>IFERROR(INDEX(TableWRCalcPts[PLAYER],MATCH(TableWRRanks32[[#This Row],[RK]],TableWRCalcPts[RK],0)),"")</f>
        <v>Devontez Walker</v>
      </c>
      <c r="AF145" t="str">
        <f>IFERROR(INDEX(TableWRCalcPts[TM],MATCH(TableWRRanks32[[#This Row],[Player]],TableWRCalcPts[PLAYER],0)),"")</f>
        <v>BAL</v>
      </c>
      <c r="AG145">
        <f>IFERROR(INDEX(TableWRCalcPts[BYE],MATCH(TableWRRanks32[[#This Row],[Player]],TableWRCalcPts[PLAYER],0)),"")</f>
        <v>14</v>
      </c>
      <c r="AH145" s="83">
        <f>IFERROR((VLOOKUP(TableWRRanks32[[#This Row],[Player]],WR!B:O,4,FALSE)),"")</f>
        <v>0</v>
      </c>
      <c r="AI145" s="83">
        <f>IFERROR((VLOOKUP(TableWRRanks32[[#This Row],[Player]],WR!B:O,5,FALSE)),"")</f>
        <v>0</v>
      </c>
      <c r="AJ145" s="83">
        <f>IFERROR((VLOOKUP(TableWRRanks32[[#This Row],[Player]],WR!B:O,6,FALSE)),"")</f>
        <v>12.70437504</v>
      </c>
      <c r="AK145" s="83">
        <f>IFERROR((VLOOKUP(TableWRRanks32[[#This Row],[Player]],WR!B:O,7,FALSE)),"")</f>
        <v>7.4828768985600016</v>
      </c>
      <c r="AL145" s="83">
        <f>IFERROR((VLOOKUP(TableWRRanks32[[#This Row],[Player]],WR!B:O,8,FALSE)),"")</f>
        <v>95.822736749914085</v>
      </c>
      <c r="AM145" s="83">
        <f>IFERROR((VLOOKUP(TableWRRanks32[[#This Row],[Player]],WR!B:O,9,FALSE)),"")</f>
        <v>0.58366439808768011</v>
      </c>
      <c r="AN145" s="57">
        <f>IFERROR((IFERROR(INDEX(TableWRCalcPts[Custom],MATCH(TableWRRanks32[[#This Row],[RK]],TableWRCalcPts[RK],0)),"")),"")</f>
        <v>16.825698512797491</v>
      </c>
      <c r="AO145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46" spans="16:41" x14ac:dyDescent="0.2">
      <c r="P146">
        <v>145</v>
      </c>
      <c r="Q146" t="str">
        <f>IFERROR(INDEX(TableRBCalcPts[PLAYER],MATCH(TableRBRanks31[[#This Row],[RK]],TableRBCalcPts[RK],0)),"")</f>
        <v/>
      </c>
      <c r="R146" t="str">
        <f>IFERROR(INDEX(TableRBCalcPts[TM],MATCH(TableRBRanks31[[#This Row],[Player]],TableRBCalcPts[PLAYER],0)),"")</f>
        <v/>
      </c>
      <c r="S146" t="str">
        <f>IFERROR(INDEX(TableRBCalcPts[BYE],MATCH(TableRBRanks31[[#This Row],[Player]],TableRBCalcPts[PLAYER],0)),"")</f>
        <v/>
      </c>
      <c r="T146" s="83" t="str">
        <f>IFERROR((VLOOKUP(TableRBRanks31[[#This Row],[Player]],RB!B:O,4,FALSE)),"")</f>
        <v/>
      </c>
      <c r="U146" s="83" t="str">
        <f>IFERROR((VLOOKUP(TableRBRanks31[[#This Row],[Player]],RB!B:O,5,FALSE)),"")</f>
        <v/>
      </c>
      <c r="V146" s="83" t="str">
        <f>IFERROR((VLOOKUP(TableRBRanks31[[#This Row],[Player]],RB!B:O,6,FALSE)),"")</f>
        <v/>
      </c>
      <c r="W146" s="83" t="str">
        <f>IFERROR((VLOOKUP(TableRBRanks31[[#This Row],[Player]],RB!B:O,7,FALSE)),"")</f>
        <v/>
      </c>
      <c r="X146" s="83" t="str">
        <f>IFERROR((VLOOKUP(TableRBRanks31[[#This Row],[Player]],RB!B:O,8,FALSE)),"")</f>
        <v/>
      </c>
      <c r="Y146" s="83" t="str">
        <f>IFERROR((VLOOKUP(TableRBRanks31[[#This Row],[Player]],RB!B:O,9,FALSE)),"")</f>
        <v/>
      </c>
      <c r="Z146" s="83" t="str">
        <f>IFERROR((VLOOKUP(TableRBRanks31[[#This Row],[Player]],RB!B:O,10,FALSE)),"")</f>
        <v/>
      </c>
      <c r="AA146" s="57" t="str">
        <f>IFERROR((IFERROR(INDEX(TableRBCalcPts[Custom],MATCH(TableRBRanks31[[#This Row],[RK]],TableRBCalcPts[RK],0)),"")),"")</f>
        <v/>
      </c>
      <c r="AB146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46">
        <v>145</v>
      </c>
      <c r="AE146" t="str">
        <f>IFERROR(INDEX(TableWRCalcPts[PLAYER],MATCH(TableWRRanks32[[#This Row],[RK]],TableWRCalcPts[RK],0)),"")</f>
        <v>Javon Baker</v>
      </c>
      <c r="AF146" t="str">
        <f>IFERROR(INDEX(TableWRCalcPts[TM],MATCH(TableWRRanks32[[#This Row],[Player]],TableWRCalcPts[PLAYER],0)),"")</f>
        <v>NE</v>
      </c>
      <c r="AG146">
        <f>IFERROR(INDEX(TableWRCalcPts[BYE],MATCH(TableWRRanks32[[#This Row],[Player]],TableWRCalcPts[PLAYER],0)),"")</f>
        <v>14</v>
      </c>
      <c r="AH146" s="83">
        <f>IFERROR((VLOOKUP(TableWRRanks32[[#This Row],[Player]],WR!B:O,4,FALSE)),"")</f>
        <v>0</v>
      </c>
      <c r="AI146" s="83">
        <f>IFERROR((VLOOKUP(TableWRRanks32[[#This Row],[Player]],WR!B:O,5,FALSE)),"")</f>
        <v>0</v>
      </c>
      <c r="AJ146" s="83">
        <f>IFERROR((VLOOKUP(TableWRRanks32[[#This Row],[Player]],WR!B:O,6,FALSE)),"")</f>
        <v>13.605191039999999</v>
      </c>
      <c r="AK146" s="83">
        <f>IFERROR((VLOOKUP(TableWRRanks32[[#This Row],[Player]],WR!B:O,7,FALSE)),"")</f>
        <v>8.0406679046400011</v>
      </c>
      <c r="AL146" s="83">
        <f>IFERROR((VLOOKUP(TableWRRanks32[[#This Row],[Player]],WR!B:O,8,FALSE)),"")</f>
        <v>97.935335078515209</v>
      </c>
      <c r="AM146" s="83">
        <f>IFERROR((VLOOKUP(TableWRRanks32[[#This Row],[Player]],WR!B:O,9,FALSE)),"")</f>
        <v>0.47439940637376005</v>
      </c>
      <c r="AN146" s="57">
        <f>IFERROR((IFERROR(INDEX(TableWRCalcPts[Custom],MATCH(TableWRRanks32[[#This Row],[RK]],TableWRCalcPts[RK],0)),"")),"")</f>
        <v>16.660263898414083</v>
      </c>
      <c r="AO146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47" spans="16:41" x14ac:dyDescent="0.2">
      <c r="P147">
        <v>146</v>
      </c>
      <c r="Q147" t="str">
        <f>IFERROR(INDEX(TableRBCalcPts[PLAYER],MATCH(TableRBRanks31[[#This Row],[RK]],TableRBCalcPts[RK],0)),"")</f>
        <v/>
      </c>
      <c r="R147" t="str">
        <f>IFERROR(INDEX(TableRBCalcPts[TM],MATCH(TableRBRanks31[[#This Row],[Player]],TableRBCalcPts[PLAYER],0)),"")</f>
        <v/>
      </c>
      <c r="S147" t="str">
        <f>IFERROR(INDEX(TableRBCalcPts[BYE],MATCH(TableRBRanks31[[#This Row],[Player]],TableRBCalcPts[PLAYER],0)),"")</f>
        <v/>
      </c>
      <c r="T147" s="83" t="str">
        <f>IFERROR((VLOOKUP(TableRBRanks31[[#This Row],[Player]],RB!B:O,4,FALSE)),"")</f>
        <v/>
      </c>
      <c r="U147" s="83" t="str">
        <f>IFERROR((VLOOKUP(TableRBRanks31[[#This Row],[Player]],RB!B:O,5,FALSE)),"")</f>
        <v/>
      </c>
      <c r="V147" s="83" t="str">
        <f>IFERROR((VLOOKUP(TableRBRanks31[[#This Row],[Player]],RB!B:O,6,FALSE)),"")</f>
        <v/>
      </c>
      <c r="W147" s="83" t="str">
        <f>IFERROR((VLOOKUP(TableRBRanks31[[#This Row],[Player]],RB!B:O,7,FALSE)),"")</f>
        <v/>
      </c>
      <c r="X147" s="83" t="str">
        <f>IFERROR((VLOOKUP(TableRBRanks31[[#This Row],[Player]],RB!B:O,8,FALSE)),"")</f>
        <v/>
      </c>
      <c r="Y147" s="83" t="str">
        <f>IFERROR((VLOOKUP(TableRBRanks31[[#This Row],[Player]],RB!B:O,9,FALSE)),"")</f>
        <v/>
      </c>
      <c r="Z147" s="83" t="str">
        <f>IFERROR((VLOOKUP(TableRBRanks31[[#This Row],[Player]],RB!B:O,10,FALSE)),"")</f>
        <v/>
      </c>
      <c r="AA147" s="57" t="str">
        <f>IFERROR((IFERROR(INDEX(TableRBCalcPts[Custom],MATCH(TableRBRanks31[[#This Row],[RK]],TableRBCalcPts[RK],0)),"")),"")</f>
        <v/>
      </c>
      <c r="AB147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47">
        <v>146</v>
      </c>
      <c r="AE147" t="str">
        <f>IFERROR(INDEX(TableWRCalcPts[PLAYER],MATCH(TableWRRanks32[[#This Row],[RK]],TableWRCalcPts[RK],0)),"")</f>
        <v>Bo Melton</v>
      </c>
      <c r="AF147" t="str">
        <f>IFERROR(INDEX(TableWRCalcPts[TM],MATCH(TableWRRanks32[[#This Row],[Player]],TableWRCalcPts[PLAYER],0)),"")</f>
        <v>GB</v>
      </c>
      <c r="AG147">
        <f>IFERROR(INDEX(TableWRCalcPts[BYE],MATCH(TableWRRanks32[[#This Row],[Player]],TableWRCalcPts[PLAYER],0)),"")</f>
        <v>10</v>
      </c>
      <c r="AH147" s="83">
        <f>IFERROR((VLOOKUP(TableWRRanks32[[#This Row],[Player]],WR!B:O,4,FALSE)),"")</f>
        <v>0</v>
      </c>
      <c r="AI147" s="83">
        <f>IFERROR((VLOOKUP(TableWRRanks32[[#This Row],[Player]],WR!B:O,5,FALSE)),"")</f>
        <v>0</v>
      </c>
      <c r="AJ147" s="83">
        <f>IFERROR((VLOOKUP(TableWRRanks32[[#This Row],[Player]],WR!B:O,6,FALSE)),"")</f>
        <v>11.404064</v>
      </c>
      <c r="AK147" s="83">
        <f>IFERROR((VLOOKUP(TableWRRanks32[[#This Row],[Player]],WR!B:O,7,FALSE)),"")</f>
        <v>7.264388767999999</v>
      </c>
      <c r="AL147" s="83">
        <f>IFERROR((VLOOKUP(TableWRRanks32[[#This Row],[Player]],WR!B:O,8,FALSE)),"")</f>
        <v>86.736801889919988</v>
      </c>
      <c r="AM147" s="83">
        <f>IFERROR((VLOOKUP(TableWRRanks32[[#This Row],[Player]],WR!B:O,9,FALSE)),"")</f>
        <v>0.58115110143999993</v>
      </c>
      <c r="AN147" s="57">
        <f>IFERROR((IFERROR(INDEX(TableWRCalcPts[Custom],MATCH(TableWRRanks32[[#This Row],[RK]],TableWRCalcPts[RK],0)),"")),"")</f>
        <v>15.792781181632</v>
      </c>
      <c r="AO147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48" spans="16:41" x14ac:dyDescent="0.2">
      <c r="P148">
        <v>147</v>
      </c>
      <c r="Q148" t="str">
        <f>IFERROR(INDEX(TableRBCalcPts[PLAYER],MATCH(TableRBRanks31[[#This Row],[RK]],TableRBCalcPts[RK],0)),"")</f>
        <v/>
      </c>
      <c r="R148" t="str">
        <f>IFERROR(INDEX(TableRBCalcPts[TM],MATCH(TableRBRanks31[[#This Row],[Player]],TableRBCalcPts[PLAYER],0)),"")</f>
        <v/>
      </c>
      <c r="S148" t="str">
        <f>IFERROR(INDEX(TableRBCalcPts[BYE],MATCH(TableRBRanks31[[#This Row],[Player]],TableRBCalcPts[PLAYER],0)),"")</f>
        <v/>
      </c>
      <c r="T148" s="83" t="str">
        <f>IFERROR((VLOOKUP(TableRBRanks31[[#This Row],[Player]],RB!B:O,4,FALSE)),"")</f>
        <v/>
      </c>
      <c r="U148" s="83" t="str">
        <f>IFERROR((VLOOKUP(TableRBRanks31[[#This Row],[Player]],RB!B:O,5,FALSE)),"")</f>
        <v/>
      </c>
      <c r="V148" s="83" t="str">
        <f>IFERROR((VLOOKUP(TableRBRanks31[[#This Row],[Player]],RB!B:O,6,FALSE)),"")</f>
        <v/>
      </c>
      <c r="W148" s="83" t="str">
        <f>IFERROR((VLOOKUP(TableRBRanks31[[#This Row],[Player]],RB!B:O,7,FALSE)),"")</f>
        <v/>
      </c>
      <c r="X148" s="83" t="str">
        <f>IFERROR((VLOOKUP(TableRBRanks31[[#This Row],[Player]],RB!B:O,8,FALSE)),"")</f>
        <v/>
      </c>
      <c r="Y148" s="83" t="str">
        <f>IFERROR((VLOOKUP(TableRBRanks31[[#This Row],[Player]],RB!B:O,9,FALSE)),"")</f>
        <v/>
      </c>
      <c r="Z148" s="83" t="str">
        <f>IFERROR((VLOOKUP(TableRBRanks31[[#This Row],[Player]],RB!B:O,10,FALSE)),"")</f>
        <v/>
      </c>
      <c r="AA148" s="57" t="str">
        <f>IFERROR((IFERROR(INDEX(TableRBCalcPts[Custom],MATCH(TableRBRanks31[[#This Row],[RK]],TableRBCalcPts[RK],0)),"")),"")</f>
        <v/>
      </c>
      <c r="AB148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48">
        <v>147</v>
      </c>
      <c r="AE148" t="str">
        <f>IFERROR(INDEX(TableWRCalcPts[PLAYER],MATCH(TableWRRanks32[[#This Row],[RK]],TableWRCalcPts[RK],0)),"")</f>
        <v>Ryan Flournoy</v>
      </c>
      <c r="AF148" t="str">
        <f>IFERROR(INDEX(TableWRCalcPts[TM],MATCH(TableWRRanks32[[#This Row],[Player]],TableWRCalcPts[PLAYER],0)),"")</f>
        <v>DAL</v>
      </c>
      <c r="AG148">
        <f>IFERROR(INDEX(TableWRCalcPts[BYE],MATCH(TableWRRanks32[[#This Row],[Player]],TableWRCalcPts[PLAYER],0)),"")</f>
        <v>7</v>
      </c>
      <c r="AH148" s="83">
        <f>IFERROR((VLOOKUP(TableWRRanks32[[#This Row],[Player]],WR!B:O,4,FALSE)),"")</f>
        <v>0</v>
      </c>
      <c r="AI148" s="83">
        <f>IFERROR((VLOOKUP(TableWRRanks32[[#This Row],[Player]],WR!B:O,5,FALSE)),"")</f>
        <v>0</v>
      </c>
      <c r="AJ148" s="83">
        <f>IFERROR((VLOOKUP(TableWRRanks32[[#This Row],[Player]],WR!B:O,6,FALSE)),"")</f>
        <v>11.586816359999995</v>
      </c>
      <c r="AK148" s="83">
        <f>IFERROR((VLOOKUP(TableWRRanks32[[#This Row],[Player]],WR!B:O,7,FALSE)),"")</f>
        <v>7.1606525104799967</v>
      </c>
      <c r="AL148" s="83">
        <f>IFERROR((VLOOKUP(TableWRRanks32[[#This Row],[Player]],WR!B:O,8,FALSE)),"")</f>
        <v>83.493208272196767</v>
      </c>
      <c r="AM148" s="83">
        <f>IFERROR((VLOOKUP(TableWRRanks32[[#This Row],[Player]],WR!B:O,9,FALSE)),"")</f>
        <v>0.57285220083839972</v>
      </c>
      <c r="AN148" s="57">
        <f>IFERROR((IFERROR(INDEX(TableWRCalcPts[Custom],MATCH(TableWRRanks32[[#This Row],[RK]],TableWRCalcPts[RK],0)),"")),"")</f>
        <v>15.366760287490072</v>
      </c>
      <c r="AO148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49" spans="16:41" x14ac:dyDescent="0.2">
      <c r="P149">
        <v>148</v>
      </c>
      <c r="Q149" t="str">
        <f>IFERROR(INDEX(TableRBCalcPts[PLAYER],MATCH(TableRBRanks31[[#This Row],[RK]],TableRBCalcPts[RK],0)),"")</f>
        <v/>
      </c>
      <c r="R149" t="str">
        <f>IFERROR(INDEX(TableRBCalcPts[TM],MATCH(TableRBRanks31[[#This Row],[Player]],TableRBCalcPts[PLAYER],0)),"")</f>
        <v/>
      </c>
      <c r="S149" t="str">
        <f>IFERROR(INDEX(TableRBCalcPts[BYE],MATCH(TableRBRanks31[[#This Row],[Player]],TableRBCalcPts[PLAYER],0)),"")</f>
        <v/>
      </c>
      <c r="T149" s="83" t="str">
        <f>IFERROR((VLOOKUP(TableRBRanks31[[#This Row],[Player]],RB!B:O,4,FALSE)),"")</f>
        <v/>
      </c>
      <c r="U149" s="83" t="str">
        <f>IFERROR((VLOOKUP(TableRBRanks31[[#This Row],[Player]],RB!B:O,5,FALSE)),"")</f>
        <v/>
      </c>
      <c r="V149" s="83" t="str">
        <f>IFERROR((VLOOKUP(TableRBRanks31[[#This Row],[Player]],RB!B:O,6,FALSE)),"")</f>
        <v/>
      </c>
      <c r="W149" s="83" t="str">
        <f>IFERROR((VLOOKUP(TableRBRanks31[[#This Row],[Player]],RB!B:O,7,FALSE)),"")</f>
        <v/>
      </c>
      <c r="X149" s="83" t="str">
        <f>IFERROR((VLOOKUP(TableRBRanks31[[#This Row],[Player]],RB!B:O,8,FALSE)),"")</f>
        <v/>
      </c>
      <c r="Y149" s="83" t="str">
        <f>IFERROR((VLOOKUP(TableRBRanks31[[#This Row],[Player]],RB!B:O,9,FALSE)),"")</f>
        <v/>
      </c>
      <c r="Z149" s="83" t="str">
        <f>IFERROR((VLOOKUP(TableRBRanks31[[#This Row],[Player]],RB!B:O,10,FALSE)),"")</f>
        <v/>
      </c>
      <c r="AA149" s="57" t="str">
        <f>IFERROR((IFERROR(INDEX(TableRBCalcPts[Custom],MATCH(TableRBRanks31[[#This Row],[RK]],TableRBCalcPts[RK],0)),"")),"")</f>
        <v/>
      </c>
      <c r="AB149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49">
        <v>148</v>
      </c>
      <c r="AE149" t="str">
        <f>IFERROR(INDEX(TableWRCalcPts[PLAYER],MATCH(TableWRRanks32[[#This Row],[RK]],TableWRCalcPts[RK],0)),"")</f>
        <v>Jalen Brooks</v>
      </c>
      <c r="AF149" t="str">
        <f>IFERROR(INDEX(TableWRCalcPts[TM],MATCH(TableWRRanks32[[#This Row],[Player]],TableWRCalcPts[PLAYER],0)),"")</f>
        <v>DAL</v>
      </c>
      <c r="AG149">
        <f>IFERROR(INDEX(TableWRCalcPts[BYE],MATCH(TableWRRanks32[[#This Row],[Player]],TableWRCalcPts[PLAYER],0)),"")</f>
        <v>7</v>
      </c>
      <c r="AH149" s="83">
        <f>IFERROR((VLOOKUP(TableWRRanks32[[#This Row],[Player]],WR!B:O,4,FALSE)),"")</f>
        <v>0</v>
      </c>
      <c r="AI149" s="83">
        <f>IFERROR((VLOOKUP(TableWRRanks32[[#This Row],[Player]],WR!B:O,5,FALSE)),"")</f>
        <v>0</v>
      </c>
      <c r="AJ149" s="83">
        <f>IFERROR((VLOOKUP(TableWRRanks32[[#This Row],[Player]],WR!B:O,6,FALSE)),"")</f>
        <v>12.196648799999995</v>
      </c>
      <c r="AK149" s="83">
        <f>IFERROR((VLOOKUP(TableWRRanks32[[#This Row],[Player]],WR!B:O,7,FALSE)),"")</f>
        <v>7.4399557679999981</v>
      </c>
      <c r="AL149" s="83">
        <f>IFERROR((VLOOKUP(TableWRRanks32[[#This Row],[Player]],WR!B:O,8,FALSE)),"")</f>
        <v>79.384328044559979</v>
      </c>
      <c r="AM149" s="83">
        <f>IFERROR((VLOOKUP(TableWRRanks32[[#This Row],[Player]],WR!B:O,9,FALSE)),"")</f>
        <v>0.58673118533693014</v>
      </c>
      <c r="AN149" s="57">
        <f>IFERROR((IFERROR(INDEX(TableWRCalcPts[Custom],MATCH(TableWRRanks32[[#This Row],[RK]],TableWRCalcPts[RK],0)),"")),"")</f>
        <v>15.178797800477579</v>
      </c>
      <c r="AO149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50" spans="16:41" x14ac:dyDescent="0.2">
      <c r="P150">
        <v>149</v>
      </c>
      <c r="Q150" t="str">
        <f>IFERROR(INDEX(TableRBCalcPts[PLAYER],MATCH(TableRBRanks31[[#This Row],[RK]],TableRBCalcPts[RK],0)),"")</f>
        <v/>
      </c>
      <c r="R150" t="str">
        <f>IFERROR(INDEX(TableRBCalcPts[TM],MATCH(TableRBRanks31[[#This Row],[Player]],TableRBCalcPts[PLAYER],0)),"")</f>
        <v/>
      </c>
      <c r="S150" t="str">
        <f>IFERROR(INDEX(TableRBCalcPts[BYE],MATCH(TableRBRanks31[[#This Row],[Player]],TableRBCalcPts[PLAYER],0)),"")</f>
        <v/>
      </c>
      <c r="T150" s="83" t="str">
        <f>IFERROR((VLOOKUP(TableRBRanks31[[#This Row],[Player]],RB!B:O,4,FALSE)),"")</f>
        <v/>
      </c>
      <c r="U150" s="83" t="str">
        <f>IFERROR((VLOOKUP(TableRBRanks31[[#This Row],[Player]],RB!B:O,5,FALSE)),"")</f>
        <v/>
      </c>
      <c r="V150" s="83" t="str">
        <f>IFERROR((VLOOKUP(TableRBRanks31[[#This Row],[Player]],RB!B:O,6,FALSE)),"")</f>
        <v/>
      </c>
      <c r="W150" s="83" t="str">
        <f>IFERROR((VLOOKUP(TableRBRanks31[[#This Row],[Player]],RB!B:O,7,FALSE)),"")</f>
        <v/>
      </c>
      <c r="X150" s="83" t="str">
        <f>IFERROR((VLOOKUP(TableRBRanks31[[#This Row],[Player]],RB!B:O,8,FALSE)),"")</f>
        <v/>
      </c>
      <c r="Y150" s="83" t="str">
        <f>IFERROR((VLOOKUP(TableRBRanks31[[#This Row],[Player]],RB!B:O,9,FALSE)),"")</f>
        <v/>
      </c>
      <c r="Z150" s="83" t="str">
        <f>IFERROR((VLOOKUP(TableRBRanks31[[#This Row],[Player]],RB!B:O,10,FALSE)),"")</f>
        <v/>
      </c>
      <c r="AA150" s="57" t="str">
        <f>IFERROR((IFERROR(INDEX(TableRBCalcPts[Custom],MATCH(TableRBRanks31[[#This Row],[RK]],TableRBCalcPts[RK],0)),"")),"")</f>
        <v/>
      </c>
      <c r="AB150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50">
        <v>149</v>
      </c>
      <c r="AE150" t="str">
        <f>IFERROR(INDEX(TableWRCalcPts[PLAYER],MATCH(TableWRRanks32[[#This Row],[RK]],TableWRCalcPts[RK],0)),"")</f>
        <v>Chris Moore</v>
      </c>
      <c r="AF150" t="str">
        <f>IFERROR(INDEX(TableWRCalcPts[TM],MATCH(TableWRRanks32[[#This Row],[Player]],TableWRCalcPts[PLAYER],0)),"")</f>
        <v>ARI</v>
      </c>
      <c r="AG150">
        <f>IFERROR(INDEX(TableWRCalcPts[BYE],MATCH(TableWRRanks32[[#This Row],[Player]],TableWRCalcPts[PLAYER],0)),"")</f>
        <v>11</v>
      </c>
      <c r="AH150" s="83">
        <f>IFERROR((VLOOKUP(TableWRRanks32[[#This Row],[Player]],WR!B:O,4,FALSE)),"")</f>
        <v>0</v>
      </c>
      <c r="AI150" s="83">
        <f>IFERROR((VLOOKUP(TableWRRanks32[[#This Row],[Player]],WR!B:O,5,FALSE)),"")</f>
        <v>0</v>
      </c>
      <c r="AJ150" s="83">
        <f>IFERROR((VLOOKUP(TableWRRanks32[[#This Row],[Player]],WR!B:O,6,FALSE)),"")</f>
        <v>12.973191</v>
      </c>
      <c r="AK150" s="83">
        <f>IFERROR((VLOOKUP(TableWRRanks32[[#This Row],[Player]],WR!B:O,7,FALSE)),"")</f>
        <v>7.7839145999999992</v>
      </c>
      <c r="AL150" s="83">
        <f>IFERROR((VLOOKUP(TableWRRanks32[[#This Row],[Player]],WR!B:O,8,FALSE)),"")</f>
        <v>86.479291205999985</v>
      </c>
      <c r="AM150" s="83">
        <f>IFERROR((VLOOKUP(TableWRRanks32[[#This Row],[Player]],WR!B:O,9,FALSE)),"")</f>
        <v>0.40409979546640457</v>
      </c>
      <c r="AN150" s="57">
        <f>IFERROR((IFERROR(INDEX(TableWRCalcPts[Custom],MATCH(TableWRRanks32[[#This Row],[RK]],TableWRCalcPts[RK],0)),"")),"")</f>
        <v>14.964485193398426</v>
      </c>
      <c r="AO150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51" spans="16:41" x14ac:dyDescent="0.2">
      <c r="P151">
        <v>150</v>
      </c>
      <c r="Q151" t="str">
        <f>IFERROR(INDEX(TableRBCalcPts[PLAYER],MATCH(TableRBRanks31[[#This Row],[RK]],TableRBCalcPts[RK],0)),"")</f>
        <v/>
      </c>
      <c r="R151" t="str">
        <f>IFERROR(INDEX(TableRBCalcPts[TM],MATCH(TableRBRanks31[[#This Row],[Player]],TableRBCalcPts[PLAYER],0)),"")</f>
        <v/>
      </c>
      <c r="S151" t="str">
        <f>IFERROR(INDEX(TableRBCalcPts[BYE],MATCH(TableRBRanks31[[#This Row],[Player]],TableRBCalcPts[PLAYER],0)),"")</f>
        <v/>
      </c>
      <c r="T151" s="83" t="str">
        <f>IFERROR((VLOOKUP(TableRBRanks31[[#This Row],[Player]],RB!B:O,4,FALSE)),"")</f>
        <v/>
      </c>
      <c r="U151" s="83" t="str">
        <f>IFERROR((VLOOKUP(TableRBRanks31[[#This Row],[Player]],RB!B:O,5,FALSE)),"")</f>
        <v/>
      </c>
      <c r="V151" s="83" t="str">
        <f>IFERROR((VLOOKUP(TableRBRanks31[[#This Row],[Player]],RB!B:O,6,FALSE)),"")</f>
        <v/>
      </c>
      <c r="W151" s="83" t="str">
        <f>IFERROR((VLOOKUP(TableRBRanks31[[#This Row],[Player]],RB!B:O,7,FALSE)),"")</f>
        <v/>
      </c>
      <c r="X151" s="83" t="str">
        <f>IFERROR((VLOOKUP(TableRBRanks31[[#This Row],[Player]],RB!B:O,8,FALSE)),"")</f>
        <v/>
      </c>
      <c r="Y151" s="83" t="str">
        <f>IFERROR((VLOOKUP(TableRBRanks31[[#This Row],[Player]],RB!B:O,9,FALSE)),"")</f>
        <v/>
      </c>
      <c r="Z151" s="83" t="str">
        <f>IFERROR((VLOOKUP(TableRBRanks31[[#This Row],[Player]],RB!B:O,10,FALSE)),"")</f>
        <v/>
      </c>
      <c r="AA151" s="57" t="str">
        <f>IFERROR((IFERROR(INDEX(TableRBCalcPts[Custom],MATCH(TableRBRanks31[[#This Row],[RK]],TableRBCalcPts[RK],0)),"")),"")</f>
        <v/>
      </c>
      <c r="AB151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51">
        <v>150</v>
      </c>
      <c r="AE151" t="str">
        <f>IFERROR(INDEX(TableWRCalcPts[PLAYER],MATCH(TableWRRanks32[[#This Row],[RK]],TableWRCalcPts[RK],0)),"")</f>
        <v>Antoine Green</v>
      </c>
      <c r="AF151" t="str">
        <f>IFERROR(INDEX(TableWRCalcPts[TM],MATCH(TableWRRanks32[[#This Row],[Player]],TableWRCalcPts[PLAYER],0)),"")</f>
        <v>DET</v>
      </c>
      <c r="AG151">
        <f>IFERROR(INDEX(TableWRCalcPts[BYE],MATCH(TableWRRanks32[[#This Row],[Player]],TableWRCalcPts[PLAYER],0)),"")</f>
        <v>5</v>
      </c>
      <c r="AH151" s="83">
        <f>IFERROR((VLOOKUP(TableWRRanks32[[#This Row],[Player]],WR!B:O,4,FALSE)),"")</f>
        <v>0</v>
      </c>
      <c r="AI151" s="83">
        <f>IFERROR((VLOOKUP(TableWRRanks32[[#This Row],[Player]],WR!B:O,5,FALSE)),"")</f>
        <v>0</v>
      </c>
      <c r="AJ151" s="83">
        <f>IFERROR((VLOOKUP(TableWRRanks32[[#This Row],[Player]],WR!B:O,6,FALSE)),"")</f>
        <v>11.853491999999999</v>
      </c>
      <c r="AK151" s="83">
        <f>IFERROR((VLOOKUP(TableWRRanks32[[#This Row],[Player]],WR!B:O,7,FALSE)),"")</f>
        <v>6.7564904400000003</v>
      </c>
      <c r="AL151" s="83">
        <f>IFERROR((VLOOKUP(TableWRRanks32[[#This Row],[Player]],WR!B:O,8,FALSE)),"")</f>
        <v>87.901940624399998</v>
      </c>
      <c r="AM151" s="83">
        <f>IFERROR((VLOOKUP(TableWRRanks32[[#This Row],[Player]],WR!B:O,9,FALSE)),"")</f>
        <v>0.44891383942220314</v>
      </c>
      <c r="AN151" s="57">
        <f>IFERROR((IFERROR(INDEX(TableWRCalcPts[Custom],MATCH(TableWRRanks32[[#This Row],[RK]],TableWRCalcPts[RK],0)),"")),"")</f>
        <v>14.861922318973217</v>
      </c>
      <c r="AO151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52" spans="16:41" x14ac:dyDescent="0.2">
      <c r="P152">
        <v>151</v>
      </c>
      <c r="Q152" t="str">
        <f>IFERROR(INDEX(TableRBCalcPts[PLAYER],MATCH(TableRBRanks31[[#This Row],[RK]],TableRBCalcPts[RK],0)),"")</f>
        <v/>
      </c>
      <c r="R152" t="str">
        <f>IFERROR(INDEX(TableRBCalcPts[TM],MATCH(TableRBRanks31[[#This Row],[Player]],TableRBCalcPts[PLAYER],0)),"")</f>
        <v/>
      </c>
      <c r="S152" t="str">
        <f>IFERROR(INDEX(TableRBCalcPts[BYE],MATCH(TableRBRanks31[[#This Row],[Player]],TableRBCalcPts[PLAYER],0)),"")</f>
        <v/>
      </c>
      <c r="T152" s="83" t="str">
        <f>IFERROR((VLOOKUP(TableRBRanks31[[#This Row],[Player]],RB!B:O,4,FALSE)),"")</f>
        <v/>
      </c>
      <c r="U152" s="83" t="str">
        <f>IFERROR((VLOOKUP(TableRBRanks31[[#This Row],[Player]],RB!B:O,5,FALSE)),"")</f>
        <v/>
      </c>
      <c r="V152" s="83" t="str">
        <f>IFERROR((VLOOKUP(TableRBRanks31[[#This Row],[Player]],RB!B:O,6,FALSE)),"")</f>
        <v/>
      </c>
      <c r="W152" s="83" t="str">
        <f>IFERROR((VLOOKUP(TableRBRanks31[[#This Row],[Player]],RB!B:O,7,FALSE)),"")</f>
        <v/>
      </c>
      <c r="X152" s="83" t="str">
        <f>IFERROR((VLOOKUP(TableRBRanks31[[#This Row],[Player]],RB!B:O,8,FALSE)),"")</f>
        <v/>
      </c>
      <c r="Y152" s="83" t="str">
        <f>IFERROR((VLOOKUP(TableRBRanks31[[#This Row],[Player]],RB!B:O,9,FALSE)),"")</f>
        <v/>
      </c>
      <c r="Z152" s="83" t="str">
        <f>IFERROR((VLOOKUP(TableRBRanks31[[#This Row],[Player]],RB!B:O,10,FALSE)),"")</f>
        <v/>
      </c>
      <c r="AA152" s="57" t="str">
        <f>IFERROR((IFERROR(INDEX(TableRBCalcPts[Custom],MATCH(TableRBRanks31[[#This Row],[RK]],TableRBCalcPts[RK],0)),"")),"")</f>
        <v/>
      </c>
      <c r="AB152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52">
        <v>151</v>
      </c>
      <c r="AE152" t="str">
        <f>IFERROR(INDEX(TableWRCalcPts[PLAYER],MATCH(TableWRRanks32[[#This Row],[RK]],TableWRCalcPts[RK],0)),"")</f>
        <v>Derius Davis</v>
      </c>
      <c r="AF152" t="str">
        <f>IFERROR(INDEX(TableWRCalcPts[TM],MATCH(TableWRRanks32[[#This Row],[Player]],TableWRCalcPts[PLAYER],0)),"")</f>
        <v>LAC</v>
      </c>
      <c r="AG152">
        <f>IFERROR(INDEX(TableWRCalcPts[BYE],MATCH(TableWRRanks32[[#This Row],[Player]],TableWRCalcPts[PLAYER],0)),"")</f>
        <v>5</v>
      </c>
      <c r="AH152" s="83">
        <f>IFERROR((VLOOKUP(TableWRRanks32[[#This Row],[Player]],WR!B:O,4,FALSE)),"")</f>
        <v>0</v>
      </c>
      <c r="AI152" s="83">
        <f>IFERROR((VLOOKUP(TableWRRanks32[[#This Row],[Player]],WR!B:O,5,FALSE)),"")</f>
        <v>0</v>
      </c>
      <c r="AJ152" s="83">
        <f>IFERROR((VLOOKUP(TableWRRanks32[[#This Row],[Player]],WR!B:O,6,FALSE)),"")</f>
        <v>11.167237200000002</v>
      </c>
      <c r="AK152" s="83">
        <f>IFERROR((VLOOKUP(TableWRRanks32[[#This Row],[Player]],WR!B:O,7,FALSE)),"")</f>
        <v>7.7723970912000038</v>
      </c>
      <c r="AL152" s="83">
        <f>IFERROR((VLOOKUP(TableWRRanks32[[#This Row],[Player]],WR!B:O,8,FALSE)),"")</f>
        <v>80.030861227672546</v>
      </c>
      <c r="AM152" s="83">
        <f>IFERROR((VLOOKUP(TableWRRanks32[[#This Row],[Player]],WR!B:O,9,FALSE)),"")</f>
        <v>0.48768355010769732</v>
      </c>
      <c r="AN152" s="57">
        <f>IFERROR((IFERROR(INDEX(TableWRCalcPts[Custom],MATCH(TableWRRanks32[[#This Row],[RK]],TableWRCalcPts[RK],0)),"")),"")</f>
        <v>14.815385969013441</v>
      </c>
      <c r="AO152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53" spans="16:41" x14ac:dyDescent="0.2">
      <c r="P153">
        <v>152</v>
      </c>
      <c r="Q153" t="str">
        <f>IFERROR(INDEX(TableRBCalcPts[PLAYER],MATCH(TableRBRanks31[[#This Row],[RK]],TableRBCalcPts[RK],0)),"")</f>
        <v/>
      </c>
      <c r="R153" t="str">
        <f>IFERROR(INDEX(TableRBCalcPts[TM],MATCH(TableRBRanks31[[#This Row],[Player]],TableRBCalcPts[PLAYER],0)),"")</f>
        <v/>
      </c>
      <c r="S153" t="str">
        <f>IFERROR(INDEX(TableRBCalcPts[BYE],MATCH(TableRBRanks31[[#This Row],[Player]],TableRBCalcPts[PLAYER],0)),"")</f>
        <v/>
      </c>
      <c r="T153" s="83" t="str">
        <f>IFERROR((VLOOKUP(TableRBRanks31[[#This Row],[Player]],RB!B:O,4,FALSE)),"")</f>
        <v/>
      </c>
      <c r="U153" s="83" t="str">
        <f>IFERROR((VLOOKUP(TableRBRanks31[[#This Row],[Player]],RB!B:O,5,FALSE)),"")</f>
        <v/>
      </c>
      <c r="V153" s="83" t="str">
        <f>IFERROR((VLOOKUP(TableRBRanks31[[#This Row],[Player]],RB!B:O,6,FALSE)),"")</f>
        <v/>
      </c>
      <c r="W153" s="83" t="str">
        <f>IFERROR((VLOOKUP(TableRBRanks31[[#This Row],[Player]],RB!B:O,7,FALSE)),"")</f>
        <v/>
      </c>
      <c r="X153" s="83" t="str">
        <f>IFERROR((VLOOKUP(TableRBRanks31[[#This Row],[Player]],RB!B:O,8,FALSE)),"")</f>
        <v/>
      </c>
      <c r="Y153" s="83" t="str">
        <f>IFERROR((VLOOKUP(TableRBRanks31[[#This Row],[Player]],RB!B:O,9,FALSE)),"")</f>
        <v/>
      </c>
      <c r="Z153" s="83" t="str">
        <f>IFERROR((VLOOKUP(TableRBRanks31[[#This Row],[Player]],RB!B:O,10,FALSE)),"")</f>
        <v/>
      </c>
      <c r="AA153" s="57" t="str">
        <f>IFERROR((IFERROR(INDEX(TableRBCalcPts[Custom],MATCH(TableRBRanks31[[#This Row],[RK]],TableRBCalcPts[RK],0)),"")),"")</f>
        <v/>
      </c>
      <c r="AB153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53">
        <v>152</v>
      </c>
      <c r="AE153" t="str">
        <f>IFERROR(INDEX(TableWRCalcPts[PLAYER],MATCH(TableWRRanks32[[#This Row],[RK]],TableWRCalcPts[RK],0)),"")</f>
        <v>Trent Sherfield</v>
      </c>
      <c r="AF153" t="str">
        <f>IFERROR(INDEX(TableWRCalcPts[TM],MATCH(TableWRRanks32[[#This Row],[Player]],TableWRCalcPts[PLAYER],0)),"")</f>
        <v>MIN</v>
      </c>
      <c r="AG153">
        <f>IFERROR(INDEX(TableWRCalcPts[BYE],MATCH(TableWRRanks32[[#This Row],[Player]],TableWRCalcPts[PLAYER],0)),"")</f>
        <v>6</v>
      </c>
      <c r="AH153" s="83">
        <f>IFERROR((VLOOKUP(TableWRRanks32[[#This Row],[Player]],WR!B:O,4,FALSE)),"")</f>
        <v>0</v>
      </c>
      <c r="AI153" s="83">
        <f>IFERROR((VLOOKUP(TableWRRanks32[[#This Row],[Player]],WR!B:O,5,FALSE)),"")</f>
        <v>0</v>
      </c>
      <c r="AJ153" s="83">
        <f>IFERROR((VLOOKUP(TableWRRanks32[[#This Row],[Player]],WR!B:O,6,FALSE)),"")</f>
        <v>12.442079999999999</v>
      </c>
      <c r="AK153" s="83">
        <f>IFERROR((VLOOKUP(TableWRRanks32[[#This Row],[Player]],WR!B:O,7,FALSE)),"")</f>
        <v>7.3035009599999974</v>
      </c>
      <c r="AL153" s="83">
        <f>IFERROR((VLOOKUP(TableWRRanks32[[#This Row],[Player]],WR!B:O,8,FALSE)),"")</f>
        <v>86.272150780147825</v>
      </c>
      <c r="AM153" s="83">
        <f>IFERROR((VLOOKUP(TableWRRanks32[[#This Row],[Player]],WR!B:O,9,FALSE)),"")</f>
        <v>0.40008391543138655</v>
      </c>
      <c r="AN153" s="57">
        <f>IFERROR((IFERROR(INDEX(TableWRCalcPts[Custom],MATCH(TableWRRanks32[[#This Row],[RK]],TableWRCalcPts[RK],0)),"")),"")</f>
        <v>14.679469050603101</v>
      </c>
      <c r="AO153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54" spans="16:41" x14ac:dyDescent="0.2">
      <c r="P154">
        <v>153</v>
      </c>
      <c r="Q154" t="str">
        <f>IFERROR(INDEX(TableRBCalcPts[PLAYER],MATCH(TableRBRanks31[[#This Row],[RK]],TableRBCalcPts[RK],0)),"")</f>
        <v/>
      </c>
      <c r="R154" t="str">
        <f>IFERROR(INDEX(TableRBCalcPts[TM],MATCH(TableRBRanks31[[#This Row],[Player]],TableRBCalcPts[PLAYER],0)),"")</f>
        <v/>
      </c>
      <c r="S154" t="str">
        <f>IFERROR(INDEX(TableRBCalcPts[BYE],MATCH(TableRBRanks31[[#This Row],[Player]],TableRBCalcPts[PLAYER],0)),"")</f>
        <v/>
      </c>
      <c r="T154" s="83" t="str">
        <f>IFERROR((VLOOKUP(TableRBRanks31[[#This Row],[Player]],RB!B:O,4,FALSE)),"")</f>
        <v/>
      </c>
      <c r="U154" s="83" t="str">
        <f>IFERROR((VLOOKUP(TableRBRanks31[[#This Row],[Player]],RB!B:O,5,FALSE)),"")</f>
        <v/>
      </c>
      <c r="V154" s="83" t="str">
        <f>IFERROR((VLOOKUP(TableRBRanks31[[#This Row],[Player]],RB!B:O,6,FALSE)),"")</f>
        <v/>
      </c>
      <c r="W154" s="83" t="str">
        <f>IFERROR((VLOOKUP(TableRBRanks31[[#This Row],[Player]],RB!B:O,7,FALSE)),"")</f>
        <v/>
      </c>
      <c r="X154" s="83" t="str">
        <f>IFERROR((VLOOKUP(TableRBRanks31[[#This Row],[Player]],RB!B:O,8,FALSE)),"")</f>
        <v/>
      </c>
      <c r="Y154" s="83" t="str">
        <f>IFERROR((VLOOKUP(TableRBRanks31[[#This Row],[Player]],RB!B:O,9,FALSE)),"")</f>
        <v/>
      </c>
      <c r="Z154" s="83" t="str">
        <f>IFERROR((VLOOKUP(TableRBRanks31[[#This Row],[Player]],RB!B:O,10,FALSE)),"")</f>
        <v/>
      </c>
      <c r="AA154" s="57" t="str">
        <f>IFERROR((IFERROR(INDEX(TableRBCalcPts[Custom],MATCH(TableRBRanks31[[#This Row],[RK]],TableRBCalcPts[RK],0)),"")),"")</f>
        <v/>
      </c>
      <c r="AB154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54">
        <v>153</v>
      </c>
      <c r="AE154" t="str">
        <f>IFERROR(INDEX(TableWRCalcPts[PLAYER],MATCH(TableWRRanks32[[#This Row],[RK]],TableWRCalcPts[RK],0)),"")</f>
        <v>Laviska Shenault</v>
      </c>
      <c r="AF154" t="str">
        <f>IFERROR(INDEX(TableWRCalcPts[TM],MATCH(TableWRRanks32[[#This Row],[Player]],TableWRCalcPts[PLAYER],0)),"")</f>
        <v>SEA</v>
      </c>
      <c r="AG154">
        <f>IFERROR(INDEX(TableWRCalcPts[BYE],MATCH(TableWRRanks32[[#This Row],[Player]],TableWRCalcPts[PLAYER],0)),"")</f>
        <v>10</v>
      </c>
      <c r="AH154" s="83">
        <f>IFERROR((VLOOKUP(TableWRRanks32[[#This Row],[Player]],WR!B:O,4,FALSE)),"")</f>
        <v>0</v>
      </c>
      <c r="AI154" s="83">
        <f>IFERROR((VLOOKUP(TableWRRanks32[[#This Row],[Player]],WR!B:O,5,FALSE)),"")</f>
        <v>0</v>
      </c>
      <c r="AJ154" s="83">
        <f>IFERROR((VLOOKUP(TableWRRanks32[[#This Row],[Player]],WR!B:O,6,FALSE)),"")</f>
        <v>11.609648399999999</v>
      </c>
      <c r="AK154" s="83">
        <f>IFERROR((VLOOKUP(TableWRRanks32[[#This Row],[Player]],WR!B:O,7,FALSE)),"")</f>
        <v>7.9990477475999988</v>
      </c>
      <c r="AL154" s="83">
        <f>IFERROR((VLOOKUP(TableWRRanks32[[#This Row],[Player]],WR!B:O,8,FALSE)),"")</f>
        <v>78.422703608191242</v>
      </c>
      <c r="AM154" s="83">
        <f>IFERROR((VLOOKUP(TableWRRanks32[[#This Row],[Player]],WR!B:O,9,FALSE)),"")</f>
        <v>0.46458328906608864</v>
      </c>
      <c r="AN154" s="57">
        <f>IFERROR((IFERROR(INDEX(TableWRCalcPts[Custom],MATCH(TableWRRanks32[[#This Row],[RK]],TableWRCalcPts[RK],0)),"")),"")</f>
        <v>14.629293969015656</v>
      </c>
      <c r="AO154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55" spans="16:41" x14ac:dyDescent="0.2">
      <c r="P155">
        <v>154</v>
      </c>
      <c r="Q155" t="str">
        <f>IFERROR(INDEX(TableRBCalcPts[PLAYER],MATCH(TableRBRanks31[[#This Row],[RK]],TableRBCalcPts[RK],0)),"")</f>
        <v/>
      </c>
      <c r="R155" t="str">
        <f>IFERROR(INDEX(TableRBCalcPts[TM],MATCH(TableRBRanks31[[#This Row],[Player]],TableRBCalcPts[PLAYER],0)),"")</f>
        <v/>
      </c>
      <c r="S155" t="str">
        <f>IFERROR(INDEX(TableRBCalcPts[BYE],MATCH(TableRBRanks31[[#This Row],[Player]],TableRBCalcPts[PLAYER],0)),"")</f>
        <v/>
      </c>
      <c r="T155" s="83" t="str">
        <f>IFERROR((VLOOKUP(TableRBRanks31[[#This Row],[Player]],RB!B:O,4,FALSE)),"")</f>
        <v/>
      </c>
      <c r="U155" s="83" t="str">
        <f>IFERROR((VLOOKUP(TableRBRanks31[[#This Row],[Player]],RB!B:O,5,FALSE)),"")</f>
        <v/>
      </c>
      <c r="V155" s="83" t="str">
        <f>IFERROR((VLOOKUP(TableRBRanks31[[#This Row],[Player]],RB!B:O,6,FALSE)),"")</f>
        <v/>
      </c>
      <c r="W155" s="83" t="str">
        <f>IFERROR((VLOOKUP(TableRBRanks31[[#This Row],[Player]],RB!B:O,7,FALSE)),"")</f>
        <v/>
      </c>
      <c r="X155" s="83" t="str">
        <f>IFERROR((VLOOKUP(TableRBRanks31[[#This Row],[Player]],RB!B:O,8,FALSE)),"")</f>
        <v/>
      </c>
      <c r="Y155" s="83" t="str">
        <f>IFERROR((VLOOKUP(TableRBRanks31[[#This Row],[Player]],RB!B:O,9,FALSE)),"")</f>
        <v/>
      </c>
      <c r="Z155" s="83" t="str">
        <f>IFERROR((VLOOKUP(TableRBRanks31[[#This Row],[Player]],RB!B:O,10,FALSE)),"")</f>
        <v/>
      </c>
      <c r="AA155" s="57" t="str">
        <f>IFERROR((IFERROR(INDEX(TableRBCalcPts[Custom],MATCH(TableRBRanks31[[#This Row],[RK]],TableRBCalcPts[RK],0)),"")),"")</f>
        <v/>
      </c>
      <c r="AB155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55">
        <v>154</v>
      </c>
      <c r="AE155" t="str">
        <f>IFERROR(INDEX(TableWRCalcPts[PLAYER],MATCH(TableWRRanks32[[#This Row],[RK]],TableWRCalcPts[RK],0)),"")</f>
        <v>Velus Jones</v>
      </c>
      <c r="AF155" t="str">
        <f>IFERROR(INDEX(TableWRCalcPts[TM],MATCH(TableWRRanks32[[#This Row],[Player]],TableWRCalcPts[PLAYER],0)),"")</f>
        <v>CHI</v>
      </c>
      <c r="AG155">
        <f>IFERROR(INDEX(TableWRCalcPts[BYE],MATCH(TableWRRanks32[[#This Row],[Player]],TableWRCalcPts[PLAYER],0)),"")</f>
        <v>7</v>
      </c>
      <c r="AH155" s="83">
        <f>IFERROR((VLOOKUP(TableWRRanks32[[#This Row],[Player]],WR!B:O,4,FALSE)),"")</f>
        <v>0</v>
      </c>
      <c r="AI155" s="83">
        <f>IFERROR((VLOOKUP(TableWRRanks32[[#This Row],[Player]],WR!B:O,5,FALSE)),"")</f>
        <v>0</v>
      </c>
      <c r="AJ155" s="83">
        <f>IFERROR((VLOOKUP(TableWRRanks32[[#This Row],[Player]],WR!B:O,6,FALSE)),"")</f>
        <v>11.3361696</v>
      </c>
      <c r="AK155" s="83">
        <f>IFERROR((VLOOKUP(TableWRRanks32[[#This Row],[Player]],WR!B:O,7,FALSE)),"")</f>
        <v>6.5749783679999991</v>
      </c>
      <c r="AL155" s="83">
        <f>IFERROR((VLOOKUP(TableWRRanks32[[#This Row],[Player]],WR!B:O,8,FALSE)),"")</f>
        <v>82.12745497967974</v>
      </c>
      <c r="AM155" s="83">
        <f>IFERROR((VLOOKUP(TableWRRanks32[[#This Row],[Player]],WR!B:O,9,FALSE)),"")</f>
        <v>0.49611210861601202</v>
      </c>
      <c r="AN155" s="57">
        <f>IFERROR((IFERROR(INDEX(TableWRCalcPts[Custom],MATCH(TableWRRanks32[[#This Row],[RK]],TableWRCalcPts[RK],0)),"")),"")</f>
        <v>14.476907333664046</v>
      </c>
      <c r="AO155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56" spans="16:41" x14ac:dyDescent="0.2">
      <c r="P156">
        <v>155</v>
      </c>
      <c r="Q156" t="str">
        <f>IFERROR(INDEX(TableRBCalcPts[PLAYER],MATCH(TableRBRanks31[[#This Row],[RK]],TableRBCalcPts[RK],0)),"")</f>
        <v/>
      </c>
      <c r="R156" t="str">
        <f>IFERROR(INDEX(TableRBCalcPts[TM],MATCH(TableRBRanks31[[#This Row],[Player]],TableRBCalcPts[PLAYER],0)),"")</f>
        <v/>
      </c>
      <c r="S156" t="str">
        <f>IFERROR(INDEX(TableRBCalcPts[BYE],MATCH(TableRBRanks31[[#This Row],[Player]],TableRBCalcPts[PLAYER],0)),"")</f>
        <v/>
      </c>
      <c r="T156" s="83" t="str">
        <f>IFERROR((VLOOKUP(TableRBRanks31[[#This Row],[Player]],RB!B:O,4,FALSE)),"")</f>
        <v/>
      </c>
      <c r="U156" s="83" t="str">
        <f>IFERROR((VLOOKUP(TableRBRanks31[[#This Row],[Player]],RB!B:O,5,FALSE)),"")</f>
        <v/>
      </c>
      <c r="V156" s="83" t="str">
        <f>IFERROR((VLOOKUP(TableRBRanks31[[#This Row],[Player]],RB!B:O,6,FALSE)),"")</f>
        <v/>
      </c>
      <c r="W156" s="83" t="str">
        <f>IFERROR((VLOOKUP(TableRBRanks31[[#This Row],[Player]],RB!B:O,7,FALSE)),"")</f>
        <v/>
      </c>
      <c r="X156" s="83" t="str">
        <f>IFERROR((VLOOKUP(TableRBRanks31[[#This Row],[Player]],RB!B:O,8,FALSE)),"")</f>
        <v/>
      </c>
      <c r="Y156" s="83" t="str">
        <f>IFERROR((VLOOKUP(TableRBRanks31[[#This Row],[Player]],RB!B:O,9,FALSE)),"")</f>
        <v/>
      </c>
      <c r="Z156" s="83" t="str">
        <f>IFERROR((VLOOKUP(TableRBRanks31[[#This Row],[Player]],RB!B:O,10,FALSE)),"")</f>
        <v/>
      </c>
      <c r="AA156" s="57" t="str">
        <f>IFERROR((IFERROR(INDEX(TableRBCalcPts[Custom],MATCH(TableRBRanks31[[#This Row],[RK]],TableRBCalcPts[RK],0)),"")),"")</f>
        <v/>
      </c>
      <c r="AB156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56">
        <v>155</v>
      </c>
      <c r="AE156" t="str">
        <f>IFERROR(INDEX(TableWRCalcPts[PLAYER],MATCH(TableWRRanks32[[#This Row],[RK]],TableWRCalcPts[RK],0)),"")</f>
        <v>Xavier Hutchinson</v>
      </c>
      <c r="AF156" t="str">
        <f>IFERROR(INDEX(TableWRCalcPts[TM],MATCH(TableWRRanks32[[#This Row],[Player]],TableWRCalcPts[PLAYER],0)),"")</f>
        <v>HOU</v>
      </c>
      <c r="AG156">
        <f>IFERROR(INDEX(TableWRCalcPts[BYE],MATCH(TableWRRanks32[[#This Row],[Player]],TableWRCalcPts[PLAYER],0)),"")</f>
        <v>14</v>
      </c>
      <c r="AH156" s="83">
        <f>IFERROR((VLOOKUP(TableWRRanks32[[#This Row],[Player]],WR!B:O,4,FALSE)),"")</f>
        <v>0</v>
      </c>
      <c r="AI156" s="83">
        <f>IFERROR((VLOOKUP(TableWRRanks32[[#This Row],[Player]],WR!B:O,5,FALSE)),"")</f>
        <v>0</v>
      </c>
      <c r="AJ156" s="83">
        <f>IFERROR((VLOOKUP(TableWRRanks32[[#This Row],[Player]],WR!B:O,6,FALSE)),"")</f>
        <v>11.883871999999998</v>
      </c>
      <c r="AK156" s="83">
        <f>IFERROR((VLOOKUP(TableWRRanks32[[#This Row],[Player]],WR!B:O,7,FALSE)),"")</f>
        <v>6.6074328319999998</v>
      </c>
      <c r="AL156" s="83">
        <f>IFERROR((VLOOKUP(TableWRRanks32[[#This Row],[Player]],WR!B:O,8,FALSE)),"")</f>
        <v>82.880429860884632</v>
      </c>
      <c r="AM156" s="83">
        <f>IFERROR((VLOOKUP(TableWRRanks32[[#This Row],[Player]],WR!B:O,9,FALSE)),"")</f>
        <v>0.46907235215565302</v>
      </c>
      <c r="AN156" s="57">
        <f>IFERROR((IFERROR(INDEX(TableWRCalcPts[Custom],MATCH(TableWRRanks32[[#This Row],[RK]],TableWRCalcPts[RK],0)),"")),"")</f>
        <v>14.406193515022382</v>
      </c>
      <c r="AO156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57" spans="16:41" x14ac:dyDescent="0.2">
      <c r="P157">
        <v>156</v>
      </c>
      <c r="Q157" t="str">
        <f>IFERROR(INDEX(TableRBCalcPts[PLAYER],MATCH(TableRBRanks31[[#This Row],[RK]],TableRBCalcPts[RK],0)),"")</f>
        <v/>
      </c>
      <c r="R157" t="str">
        <f>IFERROR(INDEX(TableRBCalcPts[TM],MATCH(TableRBRanks31[[#This Row],[Player]],TableRBCalcPts[PLAYER],0)),"")</f>
        <v/>
      </c>
      <c r="S157" t="str">
        <f>IFERROR(INDEX(TableRBCalcPts[BYE],MATCH(TableRBRanks31[[#This Row],[Player]],TableRBCalcPts[PLAYER],0)),"")</f>
        <v/>
      </c>
      <c r="T157" s="83" t="str">
        <f>IFERROR((VLOOKUP(TableRBRanks31[[#This Row],[Player]],RB!B:O,4,FALSE)),"")</f>
        <v/>
      </c>
      <c r="U157" s="83" t="str">
        <f>IFERROR((VLOOKUP(TableRBRanks31[[#This Row],[Player]],RB!B:O,5,FALSE)),"")</f>
        <v/>
      </c>
      <c r="V157" s="83" t="str">
        <f>IFERROR((VLOOKUP(TableRBRanks31[[#This Row],[Player]],RB!B:O,6,FALSE)),"")</f>
        <v/>
      </c>
      <c r="W157" s="83" t="str">
        <f>IFERROR((VLOOKUP(TableRBRanks31[[#This Row],[Player]],RB!B:O,7,FALSE)),"")</f>
        <v/>
      </c>
      <c r="X157" s="83" t="str">
        <f>IFERROR((VLOOKUP(TableRBRanks31[[#This Row],[Player]],RB!B:O,8,FALSE)),"")</f>
        <v/>
      </c>
      <c r="Y157" s="83" t="str">
        <f>IFERROR((VLOOKUP(TableRBRanks31[[#This Row],[Player]],RB!B:O,9,FALSE)),"")</f>
        <v/>
      </c>
      <c r="Z157" s="83" t="str">
        <f>IFERROR((VLOOKUP(TableRBRanks31[[#This Row],[Player]],RB!B:O,10,FALSE)),"")</f>
        <v/>
      </c>
      <c r="AA157" s="57" t="str">
        <f>IFERROR((IFERROR(INDEX(TableRBCalcPts[Custom],MATCH(TableRBRanks31[[#This Row],[RK]],TableRBCalcPts[RK],0)),"")),"")</f>
        <v/>
      </c>
      <c r="AB157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57">
        <v>156</v>
      </c>
      <c r="AE157" t="str">
        <f>IFERROR(INDEX(TableWRCalcPts[PLAYER],MATCH(TableWRRanks32[[#This Row],[RK]],TableWRCalcPts[RK],0)),"")</f>
        <v>Jamison Crowder</v>
      </c>
      <c r="AF157" t="str">
        <f>IFERROR(INDEX(TableWRCalcPts[TM],MATCH(TableWRRanks32[[#This Row],[Player]],TableWRCalcPts[PLAYER],0)),"")</f>
        <v>WSH</v>
      </c>
      <c r="AG157">
        <f>IFERROR(INDEX(TableWRCalcPts[BYE],MATCH(TableWRRanks32[[#This Row],[Player]],TableWRCalcPts[PLAYER],0)),"")</f>
        <v>14</v>
      </c>
      <c r="AH157" s="83">
        <f>IFERROR((VLOOKUP(TableWRRanks32[[#This Row],[Player]],WR!B:O,4,FALSE)),"")</f>
        <v>0</v>
      </c>
      <c r="AI157" s="83">
        <f>IFERROR((VLOOKUP(TableWRRanks32[[#This Row],[Player]],WR!B:O,5,FALSE)),"")</f>
        <v>0</v>
      </c>
      <c r="AJ157" s="83">
        <f>IFERROR((VLOOKUP(TableWRRanks32[[#This Row],[Player]],WR!B:O,6,FALSE)),"")</f>
        <v>11.898121200000002</v>
      </c>
      <c r="AK157" s="83">
        <f>IFERROR((VLOOKUP(TableWRRanks32[[#This Row],[Player]],WR!B:O,7,FALSE)),"")</f>
        <v>7.4958163559999997</v>
      </c>
      <c r="AL157" s="83">
        <f>IFERROR((VLOOKUP(TableWRRanks32[[#This Row],[Player]],WR!B:O,8,FALSE)),"")</f>
        <v>75.257996214239995</v>
      </c>
      <c r="AM157" s="83">
        <f>IFERROR((VLOOKUP(TableWRRanks32[[#This Row],[Player]],WR!B:O,9,FALSE)),"")</f>
        <v>0.44225316500399997</v>
      </c>
      <c r="AN157" s="57">
        <f>IFERROR((IFERROR(INDEX(TableWRCalcPts[Custom],MATCH(TableWRRanks32[[#This Row],[RK]],TableWRCalcPts[RK],0)),"")),"")</f>
        <v>13.927226789448</v>
      </c>
      <c r="AO157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58" spans="16:41" x14ac:dyDescent="0.2">
      <c r="P158">
        <v>157</v>
      </c>
      <c r="Q158" t="str">
        <f>IFERROR(INDEX(TableRBCalcPts[PLAYER],MATCH(TableRBRanks31[[#This Row],[RK]],TableRBCalcPts[RK],0)),"")</f>
        <v/>
      </c>
      <c r="R158" t="str">
        <f>IFERROR(INDEX(TableRBCalcPts[TM],MATCH(TableRBRanks31[[#This Row],[Player]],TableRBCalcPts[PLAYER],0)),"")</f>
        <v/>
      </c>
      <c r="S158" t="str">
        <f>IFERROR(INDEX(TableRBCalcPts[BYE],MATCH(TableRBRanks31[[#This Row],[Player]],TableRBCalcPts[PLAYER],0)),"")</f>
        <v/>
      </c>
      <c r="T158" s="83" t="str">
        <f>IFERROR((VLOOKUP(TableRBRanks31[[#This Row],[Player]],RB!B:O,4,FALSE)),"")</f>
        <v/>
      </c>
      <c r="U158" s="83" t="str">
        <f>IFERROR((VLOOKUP(TableRBRanks31[[#This Row],[Player]],RB!B:O,5,FALSE)),"")</f>
        <v/>
      </c>
      <c r="V158" s="83" t="str">
        <f>IFERROR((VLOOKUP(TableRBRanks31[[#This Row],[Player]],RB!B:O,6,FALSE)),"")</f>
        <v/>
      </c>
      <c r="W158" s="83" t="str">
        <f>IFERROR((VLOOKUP(TableRBRanks31[[#This Row],[Player]],RB!B:O,7,FALSE)),"")</f>
        <v/>
      </c>
      <c r="X158" s="83" t="str">
        <f>IFERROR((VLOOKUP(TableRBRanks31[[#This Row],[Player]],RB!B:O,8,FALSE)),"")</f>
        <v/>
      </c>
      <c r="Y158" s="83" t="str">
        <f>IFERROR((VLOOKUP(TableRBRanks31[[#This Row],[Player]],RB!B:O,9,FALSE)),"")</f>
        <v/>
      </c>
      <c r="Z158" s="83" t="str">
        <f>IFERROR((VLOOKUP(TableRBRanks31[[#This Row],[Player]],RB!B:O,10,FALSE)),"")</f>
        <v/>
      </c>
      <c r="AA158" s="57" t="str">
        <f>IFERROR((IFERROR(INDEX(TableRBCalcPts[Custom],MATCH(TableRBRanks31[[#This Row],[RK]],TableRBCalcPts[RK],0)),"")),"")</f>
        <v/>
      </c>
      <c r="AB158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58">
        <v>157</v>
      </c>
      <c r="AE158" t="str">
        <f>IFERROR(INDEX(TableWRCalcPts[PLAYER],MATCH(TableWRRanks32[[#This Row],[RK]],TableWRCalcPts[RK],0)),"")</f>
        <v>Tim Jones</v>
      </c>
      <c r="AF158" t="str">
        <f>IFERROR(INDEX(TableWRCalcPts[TM],MATCH(TableWRRanks32[[#This Row],[Player]],TableWRCalcPts[PLAYER],0)),"")</f>
        <v>JAX</v>
      </c>
      <c r="AG158">
        <f>IFERROR(INDEX(TableWRCalcPts[BYE],MATCH(TableWRRanks32[[#This Row],[Player]],TableWRCalcPts[PLAYER],0)),"")</f>
        <v>12</v>
      </c>
      <c r="AH158" s="83">
        <f>IFERROR((VLOOKUP(TableWRRanks32[[#This Row],[Player]],WR!B:O,4,FALSE)),"")</f>
        <v>0</v>
      </c>
      <c r="AI158" s="83">
        <f>IFERROR((VLOOKUP(TableWRRanks32[[#This Row],[Player]],WR!B:O,5,FALSE)),"")</f>
        <v>0</v>
      </c>
      <c r="AJ158" s="83">
        <f>IFERROR((VLOOKUP(TableWRRanks32[[#This Row],[Player]],WR!B:O,6,FALSE)),"")</f>
        <v>12.043847199999998</v>
      </c>
      <c r="AK158" s="83">
        <f>IFERROR((VLOOKUP(TableWRRanks32[[#This Row],[Player]],WR!B:O,7,FALSE)),"")</f>
        <v>6.8649929039999975</v>
      </c>
      <c r="AL158" s="83">
        <f>IFERROR((VLOOKUP(TableWRRanks32[[#This Row],[Player]],WR!B:O,8,FALSE)),"")</f>
        <v>73.043524498559975</v>
      </c>
      <c r="AM158" s="83">
        <f>IFERROR((VLOOKUP(TableWRRanks32[[#This Row],[Player]],WR!B:O,9,FALSE)),"")</f>
        <v>0.45244498229927416</v>
      </c>
      <c r="AN158" s="57">
        <f>IFERROR((IFERROR(INDEX(TableWRCalcPts[Custom],MATCH(TableWRRanks32[[#This Row],[RK]],TableWRCalcPts[RK],0)),"")),"")</f>
        <v>13.451518795651641</v>
      </c>
      <c r="AO158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59" spans="16:41" x14ac:dyDescent="0.2">
      <c r="P159">
        <v>158</v>
      </c>
      <c r="Q159" t="str">
        <f>IFERROR(INDEX(TableRBCalcPts[PLAYER],MATCH(TableRBRanks31[[#This Row],[RK]],TableRBCalcPts[RK],0)),"")</f>
        <v/>
      </c>
      <c r="R159" t="str">
        <f>IFERROR(INDEX(TableRBCalcPts[TM],MATCH(TableRBRanks31[[#This Row],[Player]],TableRBCalcPts[PLAYER],0)),"")</f>
        <v/>
      </c>
      <c r="S159" t="str">
        <f>IFERROR(INDEX(TableRBCalcPts[BYE],MATCH(TableRBRanks31[[#This Row],[Player]],TableRBCalcPts[PLAYER],0)),"")</f>
        <v/>
      </c>
      <c r="T159" s="83" t="str">
        <f>IFERROR((VLOOKUP(TableRBRanks31[[#This Row],[Player]],RB!B:O,4,FALSE)),"")</f>
        <v/>
      </c>
      <c r="U159" s="83" t="str">
        <f>IFERROR((VLOOKUP(TableRBRanks31[[#This Row],[Player]],RB!B:O,5,FALSE)),"")</f>
        <v/>
      </c>
      <c r="V159" s="83" t="str">
        <f>IFERROR((VLOOKUP(TableRBRanks31[[#This Row],[Player]],RB!B:O,6,FALSE)),"")</f>
        <v/>
      </c>
      <c r="W159" s="83" t="str">
        <f>IFERROR((VLOOKUP(TableRBRanks31[[#This Row],[Player]],RB!B:O,7,FALSE)),"")</f>
        <v/>
      </c>
      <c r="X159" s="83" t="str">
        <f>IFERROR((VLOOKUP(TableRBRanks31[[#This Row],[Player]],RB!B:O,8,FALSE)),"")</f>
        <v/>
      </c>
      <c r="Y159" s="83" t="str">
        <f>IFERROR((VLOOKUP(TableRBRanks31[[#This Row],[Player]],RB!B:O,9,FALSE)),"")</f>
        <v/>
      </c>
      <c r="Z159" s="83" t="str">
        <f>IFERROR((VLOOKUP(TableRBRanks31[[#This Row],[Player]],RB!B:O,10,FALSE)),"")</f>
        <v/>
      </c>
      <c r="AA159" s="57" t="str">
        <f>IFERROR((IFERROR(INDEX(TableRBCalcPts[Custom],MATCH(TableRBRanks31[[#This Row],[RK]],TableRBCalcPts[RK],0)),"")),"")</f>
        <v/>
      </c>
      <c r="AB159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59">
        <v>158</v>
      </c>
      <c r="AE159" t="str">
        <f>IFERROR(INDEX(TableWRCalcPts[PLAYER],MATCH(TableWRRanks32[[#This Row],[RK]],TableWRCalcPts[RK],0)),"")</f>
        <v>Marquez Valdes-Scantling</v>
      </c>
      <c r="AF159" t="str">
        <f>IFERROR(INDEX(TableWRCalcPts[TM],MATCH(TableWRRanks32[[#This Row],[Player]],TableWRCalcPts[PLAYER],0)),"")</f>
        <v>BUF</v>
      </c>
      <c r="AG159">
        <f>IFERROR(INDEX(TableWRCalcPts[BYE],MATCH(TableWRRanks32[[#This Row],[Player]],TableWRCalcPts[PLAYER],0)),"")</f>
        <v>12</v>
      </c>
      <c r="AH159" s="83">
        <f>IFERROR((VLOOKUP(TableWRRanks32[[#This Row],[Player]],WR!B:O,4,FALSE)),"")</f>
        <v>0</v>
      </c>
      <c r="AI159" s="83">
        <f>IFERROR((VLOOKUP(TableWRRanks32[[#This Row],[Player]],WR!B:O,5,FALSE)),"")</f>
        <v>0</v>
      </c>
      <c r="AJ159" s="83">
        <f>IFERROR((VLOOKUP(TableWRRanks32[[#This Row],[Player]],WR!B:O,6,FALSE)),"")</f>
        <v>9.1107071999999985</v>
      </c>
      <c r="AK159" s="83">
        <f>IFERROR((VLOOKUP(TableWRRanks32[[#This Row],[Player]],WR!B:O,7,FALSE)),"")</f>
        <v>4.6009071359999991</v>
      </c>
      <c r="AL159" s="83">
        <f>IFERROR((VLOOKUP(TableWRRanks32[[#This Row],[Player]],WR!B:O,8,FALSE)),"")</f>
        <v>69.15163425407998</v>
      </c>
      <c r="AM159" s="83">
        <f>IFERROR((VLOOKUP(TableWRRanks32[[#This Row],[Player]],WR!B:O,9,FALSE)),"")</f>
        <v>0.37267347801599993</v>
      </c>
      <c r="AN159" s="57">
        <f>IFERROR((IFERROR(INDEX(TableWRCalcPts[Custom],MATCH(TableWRRanks32[[#This Row],[RK]],TableWRCalcPts[RK],0)),"")),"")</f>
        <v>11.451657861503998</v>
      </c>
      <c r="AO159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60" spans="16:41" x14ac:dyDescent="0.2">
      <c r="P160">
        <v>159</v>
      </c>
      <c r="Q160" t="str">
        <f>IFERROR(INDEX(TableRBCalcPts[PLAYER],MATCH(TableRBRanks31[[#This Row],[RK]],TableRBCalcPts[RK],0)),"")</f>
        <v/>
      </c>
      <c r="R160" t="str">
        <f>IFERROR(INDEX(TableRBCalcPts[TM],MATCH(TableRBRanks31[[#This Row],[Player]],TableRBCalcPts[PLAYER],0)),"")</f>
        <v/>
      </c>
      <c r="S160" t="str">
        <f>IFERROR(INDEX(TableRBCalcPts[BYE],MATCH(TableRBRanks31[[#This Row],[Player]],TableRBCalcPts[PLAYER],0)),"")</f>
        <v/>
      </c>
      <c r="T160" s="83" t="str">
        <f>IFERROR((VLOOKUP(TableRBRanks31[[#This Row],[Player]],RB!B:O,4,FALSE)),"")</f>
        <v/>
      </c>
      <c r="U160" s="83" t="str">
        <f>IFERROR((VLOOKUP(TableRBRanks31[[#This Row],[Player]],RB!B:O,5,FALSE)),"")</f>
        <v/>
      </c>
      <c r="V160" s="83" t="str">
        <f>IFERROR((VLOOKUP(TableRBRanks31[[#This Row],[Player]],RB!B:O,6,FALSE)),"")</f>
        <v/>
      </c>
      <c r="W160" s="83" t="str">
        <f>IFERROR((VLOOKUP(TableRBRanks31[[#This Row],[Player]],RB!B:O,7,FALSE)),"")</f>
        <v/>
      </c>
      <c r="X160" s="83" t="str">
        <f>IFERROR((VLOOKUP(TableRBRanks31[[#This Row],[Player]],RB!B:O,8,FALSE)),"")</f>
        <v/>
      </c>
      <c r="Y160" s="83" t="str">
        <f>IFERROR((VLOOKUP(TableRBRanks31[[#This Row],[Player]],RB!B:O,9,FALSE)),"")</f>
        <v/>
      </c>
      <c r="Z160" s="83" t="str">
        <f>IFERROR((VLOOKUP(TableRBRanks31[[#This Row],[Player]],RB!B:O,10,FALSE)),"")</f>
        <v/>
      </c>
      <c r="AA160" s="57" t="str">
        <f>IFERROR((IFERROR(INDEX(TableRBCalcPts[Custom],MATCH(TableRBRanks31[[#This Row],[RK]],TableRBCalcPts[RK],0)),"")),"")</f>
        <v/>
      </c>
      <c r="AB160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60">
        <v>159</v>
      </c>
      <c r="AE160" t="str">
        <f>IFERROR(INDEX(TableWRCalcPts[PLAYER],MATCH(TableWRRanks32[[#This Row],[RK]],TableWRCalcPts[RK],0)),"")</f>
        <v>Jamari Thrash</v>
      </c>
      <c r="AF160" t="str">
        <f>IFERROR(INDEX(TableWRCalcPts[TM],MATCH(TableWRRanks32[[#This Row],[Player]],TableWRCalcPts[PLAYER],0)),"")</f>
        <v>CLE</v>
      </c>
      <c r="AG160">
        <f>IFERROR(INDEX(TableWRCalcPts[BYE],MATCH(TableWRRanks32[[#This Row],[Player]],TableWRCalcPts[PLAYER],0)),"")</f>
        <v>10</v>
      </c>
      <c r="AH160" s="83">
        <f>IFERROR((VLOOKUP(TableWRRanks32[[#This Row],[Player]],WR!B:O,4,FALSE)),"")</f>
        <v>0</v>
      </c>
      <c r="AI160" s="83">
        <f>IFERROR((VLOOKUP(TableWRRanks32[[#This Row],[Player]],WR!B:O,5,FALSE)),"")</f>
        <v>0</v>
      </c>
      <c r="AJ160" s="83">
        <f>IFERROR((VLOOKUP(TableWRRanks32[[#This Row],[Player]],WR!B:O,6,FALSE)),"")</f>
        <v>9.140092499999998</v>
      </c>
      <c r="AK160" s="83">
        <f>IFERROR((VLOOKUP(TableWRRanks32[[#This Row],[Player]],WR!B:O,7,FALSE)),"")</f>
        <v>5.6851375349999991</v>
      </c>
      <c r="AL160" s="83">
        <f>IFERROR((VLOOKUP(TableWRRanks32[[#This Row],[Player]],WR!B:O,8,FALSE)),"")</f>
        <v>65.265378901799991</v>
      </c>
      <c r="AM160" s="83">
        <f>IFERROR((VLOOKUP(TableWRRanks32[[#This Row],[Player]],WR!B:O,9,FALSE)),"")</f>
        <v>0.34110825209999995</v>
      </c>
      <c r="AN160" s="57">
        <f>IFERROR((IFERROR(INDEX(TableWRCalcPts[Custom],MATCH(TableWRRanks32[[#This Row],[RK]],TableWRCalcPts[RK],0)),"")),"")</f>
        <v>11.41575617028</v>
      </c>
      <c r="AO160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61" spans="16:41" x14ac:dyDescent="0.2">
      <c r="P161">
        <v>160</v>
      </c>
      <c r="Q161" t="str">
        <f>IFERROR(INDEX(TableRBCalcPts[PLAYER],MATCH(TableRBRanks31[[#This Row],[RK]],TableRBCalcPts[RK],0)),"")</f>
        <v/>
      </c>
      <c r="R161" t="str">
        <f>IFERROR(INDEX(TableRBCalcPts[TM],MATCH(TableRBRanks31[[#This Row],[Player]],TableRBCalcPts[PLAYER],0)),"")</f>
        <v/>
      </c>
      <c r="S161" t="str">
        <f>IFERROR(INDEX(TableRBCalcPts[BYE],MATCH(TableRBRanks31[[#This Row],[Player]],TableRBCalcPts[PLAYER],0)),"")</f>
        <v/>
      </c>
      <c r="T161" s="83" t="str">
        <f>IFERROR((VLOOKUP(TableRBRanks31[[#This Row],[Player]],RB!B:O,4,FALSE)),"")</f>
        <v/>
      </c>
      <c r="U161" s="83" t="str">
        <f>IFERROR((VLOOKUP(TableRBRanks31[[#This Row],[Player]],RB!B:O,5,FALSE)),"")</f>
        <v/>
      </c>
      <c r="V161" s="83" t="str">
        <f>IFERROR((VLOOKUP(TableRBRanks31[[#This Row],[Player]],RB!B:O,6,FALSE)),"")</f>
        <v/>
      </c>
      <c r="W161" s="83" t="str">
        <f>IFERROR((VLOOKUP(TableRBRanks31[[#This Row],[Player]],RB!B:O,7,FALSE)),"")</f>
        <v/>
      </c>
      <c r="X161" s="83" t="str">
        <f>IFERROR((VLOOKUP(TableRBRanks31[[#This Row],[Player]],RB!B:O,8,FALSE)),"")</f>
        <v/>
      </c>
      <c r="Y161" s="83" t="str">
        <f>IFERROR((VLOOKUP(TableRBRanks31[[#This Row],[Player]],RB!B:O,9,FALSE)),"")</f>
        <v/>
      </c>
      <c r="Z161" s="83" t="str">
        <f>IFERROR((VLOOKUP(TableRBRanks31[[#This Row],[Player]],RB!B:O,10,FALSE)),"")</f>
        <v/>
      </c>
      <c r="AA161" s="57" t="str">
        <f>IFERROR((IFERROR(INDEX(TableRBCalcPts[Custom],MATCH(TableRBRanks31[[#This Row],[RK]],TableRBCalcPts[RK],0)),"")),"")</f>
        <v/>
      </c>
      <c r="AB161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61">
        <v>160</v>
      </c>
      <c r="AE161" t="str">
        <f>IFERROR(INDEX(TableWRCalcPts[PLAYER],MATCH(TableWRRanks32[[#This Row],[RK]],TableWRCalcPts[RK],0)),"")</f>
        <v>Braxton Berrios</v>
      </c>
      <c r="AF161" t="str">
        <f>IFERROR(INDEX(TableWRCalcPts[TM],MATCH(TableWRRanks32[[#This Row],[Player]],TableWRCalcPts[PLAYER],0)),"")</f>
        <v>MIA</v>
      </c>
      <c r="AG161">
        <f>IFERROR(INDEX(TableWRCalcPts[BYE],MATCH(TableWRRanks32[[#This Row],[Player]],TableWRCalcPts[PLAYER],0)),"")</f>
        <v>6</v>
      </c>
      <c r="AH161" s="83">
        <f>IFERROR((VLOOKUP(TableWRRanks32[[#This Row],[Player]],WR!B:O,4,FALSE)),"")</f>
        <v>0</v>
      </c>
      <c r="AI161" s="83">
        <f>IFERROR((VLOOKUP(TableWRRanks32[[#This Row],[Player]],WR!B:O,5,FALSE)),"")</f>
        <v>0</v>
      </c>
      <c r="AJ161" s="83">
        <f>IFERROR((VLOOKUP(TableWRRanks32[[#This Row],[Player]],WR!B:O,6,FALSE)),"")</f>
        <v>10.553941439999996</v>
      </c>
      <c r="AK161" s="83">
        <f>IFERROR((VLOOKUP(TableWRRanks32[[#This Row],[Player]],WR!B:O,7,FALSE)),"")</f>
        <v>6.3323648639999979</v>
      </c>
      <c r="AL161" s="83">
        <f>IFERROR((VLOOKUP(TableWRRanks32[[#This Row],[Player]],WR!B:O,8,FALSE)),"")</f>
        <v>62.182798194090537</v>
      </c>
      <c r="AM161" s="83">
        <f>IFERROR((VLOOKUP(TableWRRanks32[[#This Row],[Player]],WR!B:O,9,FALSE)),"")</f>
        <v>0.33675089812781339</v>
      </c>
      <c r="AN161" s="57">
        <f>IFERROR((IFERROR(INDEX(TableWRCalcPts[Custom],MATCH(TableWRRanks32[[#This Row],[RK]],TableWRCalcPts[RK],0)),"")),"")</f>
        <v>11.404967640175933</v>
      </c>
      <c r="AO161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62" spans="16:41" x14ac:dyDescent="0.2">
      <c r="P162">
        <v>161</v>
      </c>
      <c r="Q162" t="str">
        <f>IFERROR(INDEX(TableRBCalcPts[PLAYER],MATCH(TableRBRanks31[[#This Row],[RK]],TableRBCalcPts[RK],0)),"")</f>
        <v/>
      </c>
      <c r="R162" t="str">
        <f>IFERROR(INDEX(TableRBCalcPts[TM],MATCH(TableRBRanks31[[#This Row],[Player]],TableRBCalcPts[PLAYER],0)),"")</f>
        <v/>
      </c>
      <c r="S162" t="str">
        <f>IFERROR(INDEX(TableRBCalcPts[BYE],MATCH(TableRBRanks31[[#This Row],[Player]],TableRBCalcPts[PLAYER],0)),"")</f>
        <v/>
      </c>
      <c r="T162" s="83" t="str">
        <f>IFERROR((VLOOKUP(TableRBRanks31[[#This Row],[Player]],RB!B:O,4,FALSE)),"")</f>
        <v/>
      </c>
      <c r="U162" s="83" t="str">
        <f>IFERROR((VLOOKUP(TableRBRanks31[[#This Row],[Player]],RB!B:O,5,FALSE)),"")</f>
        <v/>
      </c>
      <c r="V162" s="83" t="str">
        <f>IFERROR((VLOOKUP(TableRBRanks31[[#This Row],[Player]],RB!B:O,6,FALSE)),"")</f>
        <v/>
      </c>
      <c r="W162" s="83" t="str">
        <f>IFERROR((VLOOKUP(TableRBRanks31[[#This Row],[Player]],RB!B:O,7,FALSE)),"")</f>
        <v/>
      </c>
      <c r="X162" s="83" t="str">
        <f>IFERROR((VLOOKUP(TableRBRanks31[[#This Row],[Player]],RB!B:O,8,FALSE)),"")</f>
        <v/>
      </c>
      <c r="Y162" s="83" t="str">
        <f>IFERROR((VLOOKUP(TableRBRanks31[[#This Row],[Player]],RB!B:O,9,FALSE)),"")</f>
        <v/>
      </c>
      <c r="Z162" s="83" t="str">
        <f>IFERROR((VLOOKUP(TableRBRanks31[[#This Row],[Player]],RB!B:O,10,FALSE)),"")</f>
        <v/>
      </c>
      <c r="AA162" s="57" t="str">
        <f>IFERROR((IFERROR(INDEX(TableRBCalcPts[Custom],MATCH(TableRBRanks31[[#This Row],[RK]],TableRBCalcPts[RK],0)),"")),"")</f>
        <v/>
      </c>
      <c r="AB162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62">
        <v>161</v>
      </c>
      <c r="AE162" t="str">
        <f>IFERROR(INDEX(TableWRCalcPts[PLAYER],MATCH(TableWRRanks32[[#This Row],[RK]],TableWRCalcPts[RK],0)),"")</f>
        <v>Ronnie Bell</v>
      </c>
      <c r="AF162" t="str">
        <f>IFERROR(INDEX(TableWRCalcPts[TM],MATCH(TableWRRanks32[[#This Row],[Player]],TableWRCalcPts[PLAYER],0)),"")</f>
        <v>SF</v>
      </c>
      <c r="AG162">
        <f>IFERROR(INDEX(TableWRCalcPts[BYE],MATCH(TableWRRanks32[[#This Row],[Player]],TableWRCalcPts[PLAYER],0)),"")</f>
        <v>9</v>
      </c>
      <c r="AH162" s="83">
        <f>IFERROR((VLOOKUP(TableWRRanks32[[#This Row],[Player]],WR!B:O,4,FALSE)),"")</f>
        <v>0</v>
      </c>
      <c r="AI162" s="83">
        <f>IFERROR((VLOOKUP(TableWRRanks32[[#This Row],[Player]],WR!B:O,5,FALSE)),"")</f>
        <v>0</v>
      </c>
      <c r="AJ162" s="83">
        <f>IFERROR((VLOOKUP(TableWRRanks32[[#This Row],[Player]],WR!B:O,6,FALSE)),"")</f>
        <v>7.9880093999999984</v>
      </c>
      <c r="AK162" s="83">
        <f>IFERROR((VLOOKUP(TableWRRanks32[[#This Row],[Player]],WR!B:O,7,FALSE)),"")</f>
        <v>5.104338006599999</v>
      </c>
      <c r="AL162" s="83">
        <f>IFERROR((VLOOKUP(TableWRRanks32[[#This Row],[Player]],WR!B:O,8,FALSE)),"")</f>
        <v>61.263782192908828</v>
      </c>
      <c r="AM162" s="83">
        <f>IFERROR((VLOOKUP(TableWRRanks32[[#This Row],[Player]],WR!B:O,9,FALSE)),"")</f>
        <v>0.39534194215240248</v>
      </c>
      <c r="AN162" s="57">
        <f>IFERROR((IFERROR(INDEX(TableWRCalcPts[Custom],MATCH(TableWRRanks32[[#This Row],[RK]],TableWRCalcPts[RK],0)),"")),"")</f>
        <v>11.050598875505298</v>
      </c>
      <c r="AO162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63" spans="16:41" x14ac:dyDescent="0.2">
      <c r="P163">
        <v>162</v>
      </c>
      <c r="Q163" t="str">
        <f>IFERROR(INDEX(TableRBCalcPts[PLAYER],MATCH(TableRBRanks31[[#This Row],[RK]],TableRBCalcPts[RK],0)),"")</f>
        <v/>
      </c>
      <c r="R163" t="str">
        <f>IFERROR(INDEX(TableRBCalcPts[TM],MATCH(TableRBRanks31[[#This Row],[Player]],TableRBCalcPts[PLAYER],0)),"")</f>
        <v/>
      </c>
      <c r="S163" t="str">
        <f>IFERROR(INDEX(TableRBCalcPts[BYE],MATCH(TableRBRanks31[[#This Row],[Player]],TableRBCalcPts[PLAYER],0)),"")</f>
        <v/>
      </c>
      <c r="T163" s="83" t="str">
        <f>IFERROR((VLOOKUP(TableRBRanks31[[#This Row],[Player]],RB!B:O,4,FALSE)),"")</f>
        <v/>
      </c>
      <c r="U163" s="83" t="str">
        <f>IFERROR((VLOOKUP(TableRBRanks31[[#This Row],[Player]],RB!B:O,5,FALSE)),"")</f>
        <v/>
      </c>
      <c r="V163" s="83" t="str">
        <f>IFERROR((VLOOKUP(TableRBRanks31[[#This Row],[Player]],RB!B:O,6,FALSE)),"")</f>
        <v/>
      </c>
      <c r="W163" s="83" t="str">
        <f>IFERROR((VLOOKUP(TableRBRanks31[[#This Row],[Player]],RB!B:O,7,FALSE)),"")</f>
        <v/>
      </c>
      <c r="X163" s="83" t="str">
        <f>IFERROR((VLOOKUP(TableRBRanks31[[#This Row],[Player]],RB!B:O,8,FALSE)),"")</f>
        <v/>
      </c>
      <c r="Y163" s="83" t="str">
        <f>IFERROR((VLOOKUP(TableRBRanks31[[#This Row],[Player]],RB!B:O,9,FALSE)),"")</f>
        <v/>
      </c>
      <c r="Z163" s="83" t="str">
        <f>IFERROR((VLOOKUP(TableRBRanks31[[#This Row],[Player]],RB!B:O,10,FALSE)),"")</f>
        <v/>
      </c>
      <c r="AA163" s="57" t="str">
        <f>IFERROR((IFERROR(INDEX(TableRBCalcPts[Custom],MATCH(TableRBRanks31[[#This Row],[RK]],TableRBCalcPts[RK],0)),"")),"")</f>
        <v/>
      </c>
      <c r="AB163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63">
        <v>162</v>
      </c>
      <c r="AE163" t="str">
        <f>IFERROR(INDEX(TableWRCalcPts[PLAYER],MATCH(TableWRRanks32[[#This Row],[RK]],TableWRCalcPts[RK],0)),"")</f>
        <v>Gunner Olszewski</v>
      </c>
      <c r="AF163" t="str">
        <f>IFERROR(INDEX(TableWRCalcPts[TM],MATCH(TableWRRanks32[[#This Row],[Player]],TableWRCalcPts[PLAYER],0)),"")</f>
        <v>NYG</v>
      </c>
      <c r="AG163">
        <f>IFERROR(INDEX(TableWRCalcPts[BYE],MATCH(TableWRRanks32[[#This Row],[Player]],TableWRCalcPts[PLAYER],0)),"")</f>
        <v>11</v>
      </c>
      <c r="AH163" s="83">
        <f>IFERROR((VLOOKUP(TableWRRanks32[[#This Row],[Player]],WR!B:O,4,FALSE)),"")</f>
        <v>0</v>
      </c>
      <c r="AI163" s="83">
        <f>IFERROR((VLOOKUP(TableWRRanks32[[#This Row],[Player]],WR!B:O,5,FALSE)),"")</f>
        <v>0</v>
      </c>
      <c r="AJ163" s="83">
        <f>IFERROR((VLOOKUP(TableWRRanks32[[#This Row],[Player]],WR!B:O,6,FALSE)),"")</f>
        <v>10.592890559999997</v>
      </c>
      <c r="AK163" s="83">
        <f>IFERROR((VLOOKUP(TableWRRanks32[[#This Row],[Player]],WR!B:O,7,FALSE)),"")</f>
        <v>6.3557343359999985</v>
      </c>
      <c r="AL163" s="83">
        <f>IFERROR((VLOOKUP(TableWRRanks32[[#This Row],[Player]],WR!B:O,8,FALSE)),"")</f>
        <v>60.726695844674573</v>
      </c>
      <c r="AM163" s="83">
        <f>IFERROR((VLOOKUP(TableWRRanks32[[#This Row],[Player]],WR!B:O,9,FALSE)),"")</f>
        <v>0.29637199624083127</v>
      </c>
      <c r="AN163" s="57">
        <f>IFERROR((IFERROR(INDEX(TableWRCalcPts[Custom],MATCH(TableWRRanks32[[#This Row],[RK]],TableWRCalcPts[RK],0)),"")),"")</f>
        <v>11.028768729912445</v>
      </c>
      <c r="AO163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64" spans="16:41" x14ac:dyDescent="0.2">
      <c r="P164">
        <v>163</v>
      </c>
      <c r="Q164" t="str">
        <f>IFERROR(INDEX(TableRBCalcPts[PLAYER],MATCH(TableRBRanks31[[#This Row],[RK]],TableRBCalcPts[RK],0)),"")</f>
        <v/>
      </c>
      <c r="R164" t="str">
        <f>IFERROR(INDEX(TableRBCalcPts[TM],MATCH(TableRBRanks31[[#This Row],[Player]],TableRBCalcPts[PLAYER],0)),"")</f>
        <v/>
      </c>
      <c r="S164" t="str">
        <f>IFERROR(INDEX(TableRBCalcPts[BYE],MATCH(TableRBRanks31[[#This Row],[Player]],TableRBCalcPts[PLAYER],0)),"")</f>
        <v/>
      </c>
      <c r="T164" s="83" t="str">
        <f>IFERROR((VLOOKUP(TableRBRanks31[[#This Row],[Player]],RB!B:O,4,FALSE)),"")</f>
        <v/>
      </c>
      <c r="U164" s="83" t="str">
        <f>IFERROR((VLOOKUP(TableRBRanks31[[#This Row],[Player]],RB!B:O,5,FALSE)),"")</f>
        <v/>
      </c>
      <c r="V164" s="83" t="str">
        <f>IFERROR((VLOOKUP(TableRBRanks31[[#This Row],[Player]],RB!B:O,6,FALSE)),"")</f>
        <v/>
      </c>
      <c r="W164" s="83" t="str">
        <f>IFERROR((VLOOKUP(TableRBRanks31[[#This Row],[Player]],RB!B:O,7,FALSE)),"")</f>
        <v/>
      </c>
      <c r="X164" s="83" t="str">
        <f>IFERROR((VLOOKUP(TableRBRanks31[[#This Row],[Player]],RB!B:O,8,FALSE)),"")</f>
        <v/>
      </c>
      <c r="Y164" s="83" t="str">
        <f>IFERROR((VLOOKUP(TableRBRanks31[[#This Row],[Player]],RB!B:O,9,FALSE)),"")</f>
        <v/>
      </c>
      <c r="Z164" s="83" t="str">
        <f>IFERROR((VLOOKUP(TableRBRanks31[[#This Row],[Player]],RB!B:O,10,FALSE)),"")</f>
        <v/>
      </c>
      <c r="AA164" s="57" t="str">
        <f>IFERROR((IFERROR(INDEX(TableRBCalcPts[Custom],MATCH(TableRBRanks31[[#This Row],[RK]],TableRBCalcPts[RK],0)),"")),"")</f>
        <v/>
      </c>
      <c r="AB164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64">
        <v>163</v>
      </c>
      <c r="AE164" t="str">
        <f>IFERROR(INDEX(TableWRCalcPts[PLAYER],MATCH(TableWRRanks32[[#This Row],[RK]],TableWRCalcPts[RK],0)),"")</f>
        <v>Britain Covey</v>
      </c>
      <c r="AF164" t="str">
        <f>IFERROR(INDEX(TableWRCalcPts[TM],MATCH(TableWRRanks32[[#This Row],[Player]],TableWRCalcPts[PLAYER],0)),"")</f>
        <v>PHI</v>
      </c>
      <c r="AG164">
        <f>IFERROR(INDEX(TableWRCalcPts[BYE],MATCH(TableWRRanks32[[#This Row],[Player]],TableWRCalcPts[PLAYER],0)),"")</f>
        <v>5</v>
      </c>
      <c r="AH164" s="83">
        <f>IFERROR((VLOOKUP(TableWRRanks32[[#This Row],[Player]],WR!B:O,4,FALSE)),"")</f>
        <v>0</v>
      </c>
      <c r="AI164" s="83">
        <f>IFERROR((VLOOKUP(TableWRRanks32[[#This Row],[Player]],WR!B:O,5,FALSE)),"")</f>
        <v>0</v>
      </c>
      <c r="AJ164" s="83">
        <f>IFERROR((VLOOKUP(TableWRRanks32[[#This Row],[Player]],WR!B:O,6,FALSE)),"")</f>
        <v>8.3677104000000018</v>
      </c>
      <c r="AK164" s="83">
        <f>IFERROR((VLOOKUP(TableWRRanks32[[#This Row],[Player]],WR!B:O,7,FALSE)),"")</f>
        <v>5.1879804480000011</v>
      </c>
      <c r="AL164" s="83">
        <f>IFERROR((VLOOKUP(TableWRRanks32[[#This Row],[Player]],WR!B:O,8,FALSE)),"")</f>
        <v>58.033275066020074</v>
      </c>
      <c r="AM164" s="83">
        <f>IFERROR((VLOOKUP(TableWRRanks32[[#This Row],[Player]],WR!B:O,9,FALSE)),"")</f>
        <v>0.36315863136000009</v>
      </c>
      <c r="AN164" s="57">
        <f>IFERROR((IFERROR(INDEX(TableWRCalcPts[Custom],MATCH(TableWRRanks32[[#This Row],[RK]],TableWRCalcPts[RK],0)),"")),"")</f>
        <v>10.576269518762009</v>
      </c>
      <c r="AO164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65" spans="16:41" x14ac:dyDescent="0.2">
      <c r="P165">
        <v>164</v>
      </c>
      <c r="Q165" t="str">
        <f>IFERROR(INDEX(TableRBCalcPts[PLAYER],MATCH(TableRBRanks31[[#This Row],[RK]],TableRBCalcPts[RK],0)),"")</f>
        <v/>
      </c>
      <c r="R165" t="str">
        <f>IFERROR(INDEX(TableRBCalcPts[TM],MATCH(TableRBRanks31[[#This Row],[Player]],TableRBCalcPts[PLAYER],0)),"")</f>
        <v/>
      </c>
      <c r="S165" t="str">
        <f>IFERROR(INDEX(TableRBCalcPts[BYE],MATCH(TableRBRanks31[[#This Row],[Player]],TableRBCalcPts[PLAYER],0)),"")</f>
        <v/>
      </c>
      <c r="T165" s="83" t="str">
        <f>IFERROR((VLOOKUP(TableRBRanks31[[#This Row],[Player]],RB!B:O,4,FALSE)),"")</f>
        <v/>
      </c>
      <c r="U165" s="83" t="str">
        <f>IFERROR((VLOOKUP(TableRBRanks31[[#This Row],[Player]],RB!B:O,5,FALSE)),"")</f>
        <v/>
      </c>
      <c r="V165" s="83" t="str">
        <f>IFERROR((VLOOKUP(TableRBRanks31[[#This Row],[Player]],RB!B:O,6,FALSE)),"")</f>
        <v/>
      </c>
      <c r="W165" s="83" t="str">
        <f>IFERROR((VLOOKUP(TableRBRanks31[[#This Row],[Player]],RB!B:O,7,FALSE)),"")</f>
        <v/>
      </c>
      <c r="X165" s="83" t="str">
        <f>IFERROR((VLOOKUP(TableRBRanks31[[#This Row],[Player]],RB!B:O,8,FALSE)),"")</f>
        <v/>
      </c>
      <c r="Y165" s="83" t="str">
        <f>IFERROR((VLOOKUP(TableRBRanks31[[#This Row],[Player]],RB!B:O,9,FALSE)),"")</f>
        <v/>
      </c>
      <c r="Z165" s="83" t="str">
        <f>IFERROR((VLOOKUP(TableRBRanks31[[#This Row],[Player]],RB!B:O,10,FALSE)),"")</f>
        <v/>
      </c>
      <c r="AA165" s="57" t="str">
        <f>IFERROR((IFERROR(INDEX(TableRBCalcPts[Custom],MATCH(TableRBRanks31[[#This Row],[RK]],TableRBCalcPts[RK],0)),"")),"")</f>
        <v/>
      </c>
      <c r="AB165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65">
        <v>164</v>
      </c>
      <c r="AE165" t="str">
        <f>IFERROR(INDEX(TableWRCalcPts[PLAYER],MATCH(TableWRRanks32[[#This Row],[RK]],TableWRCalcPts[RK],0)),"")</f>
        <v>Zach Pascal</v>
      </c>
      <c r="AF165" t="str">
        <f>IFERROR(INDEX(TableWRCalcPts[TM],MATCH(TableWRRanks32[[#This Row],[Player]],TableWRCalcPts[PLAYER],0)),"")</f>
        <v>ARI</v>
      </c>
      <c r="AG165">
        <f>IFERROR(INDEX(TableWRCalcPts[BYE],MATCH(TableWRRanks32[[#This Row],[Player]],TableWRCalcPts[PLAYER],0)),"")</f>
        <v>11</v>
      </c>
      <c r="AH165" s="83">
        <f>IFERROR((VLOOKUP(TableWRRanks32[[#This Row],[Player]],WR!B:O,4,FALSE)),"")</f>
        <v>0</v>
      </c>
      <c r="AI165" s="83">
        <f>IFERROR((VLOOKUP(TableWRRanks32[[#This Row],[Player]],WR!B:O,5,FALSE)),"")</f>
        <v>0</v>
      </c>
      <c r="AJ165" s="83">
        <f>IFERROR((VLOOKUP(TableWRRanks32[[#This Row],[Player]],WR!B:O,6,FALSE)),"")</f>
        <v>8.2556670000000008</v>
      </c>
      <c r="AK165" s="83">
        <f>IFERROR((VLOOKUP(TableWRRanks32[[#This Row],[Player]],WR!B:O,7,FALSE)),"")</f>
        <v>4.7965425269999988</v>
      </c>
      <c r="AL165" s="83">
        <f>IFERROR((VLOOKUP(TableWRRanks32[[#This Row],[Player]],WR!B:O,8,FALSE)),"")</f>
        <v>52.522140670649982</v>
      </c>
      <c r="AM165" s="83">
        <f>IFERROR((VLOOKUP(TableWRRanks32[[#This Row],[Player]],WR!B:O,9,FALSE)),"")</f>
        <v>0.28779255161999989</v>
      </c>
      <c r="AN165" s="57">
        <f>IFERROR((IFERROR(INDEX(TableWRCalcPts[Custom],MATCH(TableWRRanks32[[#This Row],[RK]],TableWRCalcPts[RK],0)),"")),"")</f>
        <v>9.377240640284997</v>
      </c>
      <c r="AO165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66" spans="16:41" x14ac:dyDescent="0.2">
      <c r="P166">
        <v>165</v>
      </c>
      <c r="Q166" t="str">
        <f>IFERROR(INDEX(TableRBCalcPts[PLAYER],MATCH(TableRBRanks31[[#This Row],[RK]],TableRBCalcPts[RK],0)),"")</f>
        <v/>
      </c>
      <c r="R166" t="str">
        <f>IFERROR(INDEX(TableRBCalcPts[TM],MATCH(TableRBRanks31[[#This Row],[Player]],TableRBCalcPts[PLAYER],0)),"")</f>
        <v/>
      </c>
      <c r="S166" t="str">
        <f>IFERROR(INDEX(TableRBCalcPts[BYE],MATCH(TableRBRanks31[[#This Row],[Player]],TableRBCalcPts[PLAYER],0)),"")</f>
        <v/>
      </c>
      <c r="T166" s="83" t="str">
        <f>IFERROR((VLOOKUP(TableRBRanks31[[#This Row],[Player]],RB!B:O,4,FALSE)),"")</f>
        <v/>
      </c>
      <c r="U166" s="83" t="str">
        <f>IFERROR((VLOOKUP(TableRBRanks31[[#This Row],[Player]],RB!B:O,5,FALSE)),"")</f>
        <v/>
      </c>
      <c r="V166" s="83" t="str">
        <f>IFERROR((VLOOKUP(TableRBRanks31[[#This Row],[Player]],RB!B:O,6,FALSE)),"")</f>
        <v/>
      </c>
      <c r="W166" s="83" t="str">
        <f>IFERROR((VLOOKUP(TableRBRanks31[[#This Row],[Player]],RB!B:O,7,FALSE)),"")</f>
        <v/>
      </c>
      <c r="X166" s="83" t="str">
        <f>IFERROR((VLOOKUP(TableRBRanks31[[#This Row],[Player]],RB!B:O,8,FALSE)),"")</f>
        <v/>
      </c>
      <c r="Y166" s="83" t="str">
        <f>IFERROR((VLOOKUP(TableRBRanks31[[#This Row],[Player]],RB!B:O,9,FALSE)),"")</f>
        <v/>
      </c>
      <c r="Z166" s="83" t="str">
        <f>IFERROR((VLOOKUP(TableRBRanks31[[#This Row],[Player]],RB!B:O,10,FALSE)),"")</f>
        <v/>
      </c>
      <c r="AA166" s="57" t="str">
        <f>IFERROR((IFERROR(INDEX(TableRBCalcPts[Custom],MATCH(TableRBRanks31[[#This Row],[RK]],TableRBCalcPts[RK],0)),"")),"")</f>
        <v/>
      </c>
      <c r="AB166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66">
        <v>165</v>
      </c>
      <c r="AE166" t="str">
        <f>IFERROR(INDEX(TableWRCalcPts[PLAYER],MATCH(TableWRRanks32[[#This Row],[RK]],TableWRCalcPts[RK],0)),"")</f>
        <v>Kameron Johnson</v>
      </c>
      <c r="AF166" t="str">
        <f>IFERROR(INDEX(TableWRCalcPts[TM],MATCH(TableWRRanks32[[#This Row],[Player]],TableWRCalcPts[PLAYER],0)),"")</f>
        <v>TB</v>
      </c>
      <c r="AG166">
        <f>IFERROR(INDEX(TableWRCalcPts[BYE],MATCH(TableWRRanks32[[#This Row],[Player]],TableWRCalcPts[PLAYER],0)),"")</f>
        <v>11</v>
      </c>
      <c r="AH166" s="83">
        <f>IFERROR((VLOOKUP(TableWRRanks32[[#This Row],[Player]],WR!B:O,4,FALSE)),"")</f>
        <v>0</v>
      </c>
      <c r="AI166" s="83">
        <f>IFERROR((VLOOKUP(TableWRRanks32[[#This Row],[Player]],WR!B:O,5,FALSE)),"")</f>
        <v>0</v>
      </c>
      <c r="AJ166" s="83">
        <f>IFERROR((VLOOKUP(TableWRRanks32[[#This Row],[Player]],WR!B:O,6,FALSE)),"")</f>
        <v>8.3027128799999996</v>
      </c>
      <c r="AK166" s="83">
        <f>IFERROR((VLOOKUP(TableWRRanks32[[#This Row],[Player]],WR!B:O,7,FALSE)),"")</f>
        <v>4.8155734703999995</v>
      </c>
      <c r="AL166" s="83">
        <f>IFERROR((VLOOKUP(TableWRRanks32[[#This Row],[Player]],WR!B:O,8,FALSE)),"")</f>
        <v>48.05579627257822</v>
      </c>
      <c r="AM166" s="83">
        <f>IFERROR((VLOOKUP(TableWRRanks32[[#This Row],[Player]],WR!B:O,9,FALSE)),"")</f>
        <v>0.30819670210559996</v>
      </c>
      <c r="AN166" s="57">
        <f>IFERROR((IFERROR(INDEX(TableWRCalcPts[Custom],MATCH(TableWRRanks32[[#This Row],[RK]],TableWRCalcPts[RK],0)),"")),"")</f>
        <v>9.0625465750914227</v>
      </c>
      <c r="AO166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67" spans="16:41" x14ac:dyDescent="0.2">
      <c r="P167">
        <v>166</v>
      </c>
      <c r="Q167" t="str">
        <f>IFERROR(INDEX(TableRBCalcPts[PLAYER],MATCH(TableRBRanks31[[#This Row],[RK]],TableRBCalcPts[RK],0)),"")</f>
        <v/>
      </c>
      <c r="R167" t="str">
        <f>IFERROR(INDEX(TableRBCalcPts[TM],MATCH(TableRBRanks31[[#This Row],[Player]],TableRBCalcPts[PLAYER],0)),"")</f>
        <v/>
      </c>
      <c r="S167" t="str">
        <f>IFERROR(INDEX(TableRBCalcPts[BYE],MATCH(TableRBRanks31[[#This Row],[Player]],TableRBCalcPts[PLAYER],0)),"")</f>
        <v/>
      </c>
      <c r="T167" s="83" t="str">
        <f>IFERROR((VLOOKUP(TableRBRanks31[[#This Row],[Player]],RB!B:O,4,FALSE)),"")</f>
        <v/>
      </c>
      <c r="U167" s="83" t="str">
        <f>IFERROR((VLOOKUP(TableRBRanks31[[#This Row],[Player]],RB!B:O,5,FALSE)),"")</f>
        <v/>
      </c>
      <c r="V167" s="83" t="str">
        <f>IFERROR((VLOOKUP(TableRBRanks31[[#This Row],[Player]],RB!B:O,6,FALSE)),"")</f>
        <v/>
      </c>
      <c r="W167" s="83" t="str">
        <f>IFERROR((VLOOKUP(TableRBRanks31[[#This Row],[Player]],RB!B:O,7,FALSE)),"")</f>
        <v/>
      </c>
      <c r="X167" s="83" t="str">
        <f>IFERROR((VLOOKUP(TableRBRanks31[[#This Row],[Player]],RB!B:O,8,FALSE)),"")</f>
        <v/>
      </c>
      <c r="Y167" s="83" t="str">
        <f>IFERROR((VLOOKUP(TableRBRanks31[[#This Row],[Player]],RB!B:O,9,FALSE)),"")</f>
        <v/>
      </c>
      <c r="Z167" s="83" t="str">
        <f>IFERROR((VLOOKUP(TableRBRanks31[[#This Row],[Player]],RB!B:O,10,FALSE)),"")</f>
        <v/>
      </c>
      <c r="AA167" s="57" t="str">
        <f>IFERROR((IFERROR(INDEX(TableRBCalcPts[Custom],MATCH(TableRBRanks31[[#This Row],[RK]],TableRBCalcPts[RK],0)),"")),"")</f>
        <v/>
      </c>
      <c r="AB167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67">
        <v>166</v>
      </c>
      <c r="AE167" t="str">
        <f>IFERROR(INDEX(TableWRCalcPts[PLAYER],MATCH(TableWRRanks32[[#This Row],[RK]],TableWRCalcPts[RK],0)),"")</f>
        <v>Danny Gray</v>
      </c>
      <c r="AF167" t="str">
        <f>IFERROR(INDEX(TableWRCalcPts[TM],MATCH(TableWRRanks32[[#This Row],[Player]],TableWRCalcPts[PLAYER],0)),"")</f>
        <v>SF</v>
      </c>
      <c r="AG167">
        <f>IFERROR(INDEX(TableWRCalcPts[BYE],MATCH(TableWRRanks32[[#This Row],[Player]],TableWRCalcPts[PLAYER],0)),"")</f>
        <v>9</v>
      </c>
      <c r="AH167" s="83">
        <f>IFERROR((VLOOKUP(TableWRRanks32[[#This Row],[Player]],WR!B:O,4,FALSE)),"")</f>
        <v>0</v>
      </c>
      <c r="AI167" s="83">
        <f>IFERROR((VLOOKUP(TableWRRanks32[[#This Row],[Player]],WR!B:O,5,FALSE)),"")</f>
        <v>0</v>
      </c>
      <c r="AJ167" s="83">
        <f>IFERROR((VLOOKUP(TableWRRanks32[[#This Row],[Player]],WR!B:O,6,FALSE)),"")</f>
        <v>5.3253395999999995</v>
      </c>
      <c r="AK167" s="83">
        <f>IFERROR((VLOOKUP(TableWRRanks32[[#This Row],[Player]],WR!B:O,7,FALSE)),"")</f>
        <v>3.3389879291999995</v>
      </c>
      <c r="AL167" s="83">
        <f>IFERROR((VLOOKUP(TableWRRanks32[[#This Row],[Player]],WR!B:O,8,FALSE)),"")</f>
        <v>54.258553849499989</v>
      </c>
      <c r="AM167" s="83">
        <f>IFERROR((VLOOKUP(TableWRRanks32[[#This Row],[Player]],WR!B:O,9,FALSE)),"")</f>
        <v>0.25042409468999993</v>
      </c>
      <c r="AN167" s="57">
        <f>IFERROR((IFERROR(INDEX(TableWRCalcPts[Custom],MATCH(TableWRRanks32[[#This Row],[RK]],TableWRCalcPts[RK],0)),"")),"")</f>
        <v>8.5978939176899996</v>
      </c>
      <c r="AO167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68" spans="16:41" x14ac:dyDescent="0.2">
      <c r="P168">
        <v>167</v>
      </c>
      <c r="Q168" t="str">
        <f>IFERROR(INDEX(TableRBCalcPts[PLAYER],MATCH(TableRBRanks31[[#This Row],[RK]],TableRBCalcPts[RK],0)),"")</f>
        <v/>
      </c>
      <c r="R168" t="str">
        <f>IFERROR(INDEX(TableRBCalcPts[TM],MATCH(TableRBRanks31[[#This Row],[Player]],TableRBCalcPts[PLAYER],0)),"")</f>
        <v/>
      </c>
      <c r="S168" t="str">
        <f>IFERROR(INDEX(TableRBCalcPts[BYE],MATCH(TableRBRanks31[[#This Row],[Player]],TableRBCalcPts[PLAYER],0)),"")</f>
        <v/>
      </c>
      <c r="T168" s="83" t="str">
        <f>IFERROR((VLOOKUP(TableRBRanks31[[#This Row],[Player]],RB!B:O,4,FALSE)),"")</f>
        <v/>
      </c>
      <c r="U168" s="83" t="str">
        <f>IFERROR((VLOOKUP(TableRBRanks31[[#This Row],[Player]],RB!B:O,5,FALSE)),"")</f>
        <v/>
      </c>
      <c r="V168" s="83" t="str">
        <f>IFERROR((VLOOKUP(TableRBRanks31[[#This Row],[Player]],RB!B:O,6,FALSE)),"")</f>
        <v/>
      </c>
      <c r="W168" s="83" t="str">
        <f>IFERROR((VLOOKUP(TableRBRanks31[[#This Row],[Player]],RB!B:O,7,FALSE)),"")</f>
        <v/>
      </c>
      <c r="X168" s="83" t="str">
        <f>IFERROR((VLOOKUP(TableRBRanks31[[#This Row],[Player]],RB!B:O,8,FALSE)),"")</f>
        <v/>
      </c>
      <c r="Y168" s="83" t="str">
        <f>IFERROR((VLOOKUP(TableRBRanks31[[#This Row],[Player]],RB!B:O,9,FALSE)),"")</f>
        <v/>
      </c>
      <c r="Z168" s="83" t="str">
        <f>IFERROR((VLOOKUP(TableRBRanks31[[#This Row],[Player]],RB!B:O,10,FALSE)),"")</f>
        <v/>
      </c>
      <c r="AA168" s="57" t="str">
        <f>IFERROR((IFERROR(INDEX(TableRBCalcPts[Custom],MATCH(TableRBRanks31[[#This Row],[RK]],TableRBCalcPts[RK],0)),"")),"")</f>
        <v/>
      </c>
      <c r="AB168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68">
        <v>167</v>
      </c>
      <c r="AE168" t="str">
        <f>IFERROR(INDEX(TableWRCalcPts[PLAYER],MATCH(TableWRRanks32[[#This Row],[RK]],TableWRCalcPts[RK],0)),"")</f>
        <v>River Cracraft</v>
      </c>
      <c r="AF168" t="str">
        <f>IFERROR(INDEX(TableWRCalcPts[TM],MATCH(TableWRRanks32[[#This Row],[Player]],TableWRCalcPts[PLAYER],0)),"")</f>
        <v>MIA</v>
      </c>
      <c r="AG168">
        <f>IFERROR(INDEX(TableWRCalcPts[BYE],MATCH(TableWRRanks32[[#This Row],[Player]],TableWRCalcPts[PLAYER],0)),"")</f>
        <v>6</v>
      </c>
      <c r="AH168" s="83">
        <f>IFERROR((VLOOKUP(TableWRRanks32[[#This Row],[Player]],WR!B:O,4,FALSE)),"")</f>
        <v>0</v>
      </c>
      <c r="AI168" s="83">
        <f>IFERROR((VLOOKUP(TableWRRanks32[[#This Row],[Player]],WR!B:O,5,FALSE)),"")</f>
        <v>0</v>
      </c>
      <c r="AJ168" s="83">
        <f>IFERROR((VLOOKUP(TableWRRanks32[[#This Row],[Player]],WR!B:O,6,FALSE)),"")</f>
        <v>7.035960959999997</v>
      </c>
      <c r="AK168" s="83">
        <f>IFERROR((VLOOKUP(TableWRRanks32[[#This Row],[Player]],WR!B:O,7,FALSE)),"")</f>
        <v>4.3974755999999982</v>
      </c>
      <c r="AL168" s="83">
        <f>IFERROR((VLOOKUP(TableWRRanks32[[#This Row],[Player]],WR!B:O,8,FALSE)),"")</f>
        <v>50.814296843749261</v>
      </c>
      <c r="AM168" s="83">
        <f>IFERROR((VLOOKUP(TableWRRanks32[[#This Row],[Player]],WR!B:O,9,FALSE)),"")</f>
        <v>0.20591088235902322</v>
      </c>
      <c r="AN168" s="57">
        <f>IFERROR((IFERROR(INDEX(TableWRCalcPts[Custom],MATCH(TableWRRanks32[[#This Row],[RK]],TableWRCalcPts[RK],0)),"")),"")</f>
        <v>8.5156327785290653</v>
      </c>
      <c r="AO168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69" spans="16:41" x14ac:dyDescent="0.2">
      <c r="P169">
        <v>168</v>
      </c>
      <c r="Q169" t="str">
        <f>IFERROR(INDEX(TableRBCalcPts[PLAYER],MATCH(TableRBRanks31[[#This Row],[RK]],TableRBCalcPts[RK],0)),"")</f>
        <v/>
      </c>
      <c r="R169" t="str">
        <f>IFERROR(INDEX(TableRBCalcPts[TM],MATCH(TableRBRanks31[[#This Row],[Player]],TableRBCalcPts[PLAYER],0)),"")</f>
        <v/>
      </c>
      <c r="S169" t="str">
        <f>IFERROR(INDEX(TableRBCalcPts[BYE],MATCH(TableRBRanks31[[#This Row],[Player]],TableRBCalcPts[PLAYER],0)),"")</f>
        <v/>
      </c>
      <c r="T169" s="83" t="str">
        <f>IFERROR((VLOOKUP(TableRBRanks31[[#This Row],[Player]],RB!B:O,4,FALSE)),"")</f>
        <v/>
      </c>
      <c r="U169" s="83" t="str">
        <f>IFERROR((VLOOKUP(TableRBRanks31[[#This Row],[Player]],RB!B:O,5,FALSE)),"")</f>
        <v/>
      </c>
      <c r="V169" s="83" t="str">
        <f>IFERROR((VLOOKUP(TableRBRanks31[[#This Row],[Player]],RB!B:O,6,FALSE)),"")</f>
        <v/>
      </c>
      <c r="W169" s="83" t="str">
        <f>IFERROR((VLOOKUP(TableRBRanks31[[#This Row],[Player]],RB!B:O,7,FALSE)),"")</f>
        <v/>
      </c>
      <c r="X169" s="83" t="str">
        <f>IFERROR((VLOOKUP(TableRBRanks31[[#This Row],[Player]],RB!B:O,8,FALSE)),"")</f>
        <v/>
      </c>
      <c r="Y169" s="83" t="str">
        <f>IFERROR((VLOOKUP(TableRBRanks31[[#This Row],[Player]],RB!B:O,9,FALSE)),"")</f>
        <v/>
      </c>
      <c r="Z169" s="83" t="str">
        <f>IFERROR((VLOOKUP(TableRBRanks31[[#This Row],[Player]],RB!B:O,10,FALSE)),"")</f>
        <v/>
      </c>
      <c r="AA169" s="57" t="str">
        <f>IFERROR((IFERROR(INDEX(TableRBCalcPts[Custom],MATCH(TableRBRanks31[[#This Row],[RK]],TableRBCalcPts[RK],0)),"")),"")</f>
        <v/>
      </c>
      <c r="AB169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69">
        <v>168</v>
      </c>
      <c r="AE169" t="str">
        <f>IFERROR(INDEX(TableWRCalcPts[PLAYER],MATCH(TableWRRanks32[[#This Row],[RK]],TableWRCalcPts[RK],0)),"")</f>
        <v>Dez Fitzpatrick</v>
      </c>
      <c r="AF169" t="str">
        <f>IFERROR(INDEX(TableWRCalcPts[TM],MATCH(TableWRRanks32[[#This Row],[Player]],TableWRCalcPts[PLAYER],0)),"")</f>
        <v>PIT</v>
      </c>
      <c r="AG169">
        <f>IFERROR(INDEX(TableWRCalcPts[BYE],MATCH(TableWRRanks32[[#This Row],[Player]],TableWRCalcPts[PLAYER],0)),"")</f>
        <v>9</v>
      </c>
      <c r="AH169" s="83">
        <f>IFERROR((VLOOKUP(TableWRRanks32[[#This Row],[Player]],WR!B:O,4,FALSE)),"")</f>
        <v>0</v>
      </c>
      <c r="AI169" s="83">
        <f>IFERROR((VLOOKUP(TableWRRanks32[[#This Row],[Player]],WR!B:O,5,FALSE)),"")</f>
        <v>0</v>
      </c>
      <c r="AJ169" s="83">
        <f>IFERROR((VLOOKUP(TableWRRanks32[[#This Row],[Player]],WR!B:O,6,FALSE)),"")</f>
        <v>7.156695</v>
      </c>
      <c r="AK169" s="83">
        <f>IFERROR((VLOOKUP(TableWRRanks32[[#This Row],[Player]],WR!B:O,7,FALSE)),"")</f>
        <v>4.0650027599999996</v>
      </c>
      <c r="AL169" s="83">
        <f>IFERROR((VLOOKUP(TableWRRanks32[[#This Row],[Player]],WR!B:O,8,FALSE)),"")</f>
        <v>50.040183975599994</v>
      </c>
      <c r="AM169" s="83">
        <f>IFERROR((VLOOKUP(TableWRRanks32[[#This Row],[Player]],WR!B:O,9,FALSE)),"")</f>
        <v>0.24390016559999997</v>
      </c>
      <c r="AN169" s="57">
        <f>IFERROR((IFERROR(INDEX(TableWRCalcPts[Custom],MATCH(TableWRRanks32[[#This Row],[RK]],TableWRCalcPts[RK],0)),"")),"")</f>
        <v>8.4999207711599993</v>
      </c>
      <c r="AO169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70" spans="16:41" x14ac:dyDescent="0.2">
      <c r="P170">
        <v>169</v>
      </c>
      <c r="Q170" t="str">
        <f>IFERROR(INDEX(TableRBCalcPts[PLAYER],MATCH(TableRBRanks31[[#This Row],[RK]],TableRBCalcPts[RK],0)),"")</f>
        <v/>
      </c>
      <c r="R170" t="str">
        <f>IFERROR(INDEX(TableRBCalcPts[TM],MATCH(TableRBRanks31[[#This Row],[Player]],TableRBCalcPts[PLAYER],0)),"")</f>
        <v/>
      </c>
      <c r="S170" t="str">
        <f>IFERROR(INDEX(TableRBCalcPts[BYE],MATCH(TableRBRanks31[[#This Row],[Player]],TableRBCalcPts[PLAYER],0)),"")</f>
        <v/>
      </c>
      <c r="T170" s="83" t="str">
        <f>IFERROR((VLOOKUP(TableRBRanks31[[#This Row],[Player]],RB!B:O,4,FALSE)),"")</f>
        <v/>
      </c>
      <c r="U170" s="83" t="str">
        <f>IFERROR((VLOOKUP(TableRBRanks31[[#This Row],[Player]],RB!B:O,5,FALSE)),"")</f>
        <v/>
      </c>
      <c r="V170" s="83" t="str">
        <f>IFERROR((VLOOKUP(TableRBRanks31[[#This Row],[Player]],RB!B:O,6,FALSE)),"")</f>
        <v/>
      </c>
      <c r="W170" s="83" t="str">
        <f>IFERROR((VLOOKUP(TableRBRanks31[[#This Row],[Player]],RB!B:O,7,FALSE)),"")</f>
        <v/>
      </c>
      <c r="X170" s="83" t="str">
        <f>IFERROR((VLOOKUP(TableRBRanks31[[#This Row],[Player]],RB!B:O,8,FALSE)),"")</f>
        <v/>
      </c>
      <c r="Y170" s="83" t="str">
        <f>IFERROR((VLOOKUP(TableRBRanks31[[#This Row],[Player]],RB!B:O,9,FALSE)),"")</f>
        <v/>
      </c>
      <c r="Z170" s="83" t="str">
        <f>IFERROR((VLOOKUP(TableRBRanks31[[#This Row],[Player]],RB!B:O,10,FALSE)),"")</f>
        <v/>
      </c>
      <c r="AA170" s="57" t="str">
        <f>IFERROR((IFERROR(INDEX(TableRBCalcPts[Custom],MATCH(TableRBRanks31[[#This Row],[RK]],TableRBCalcPts[RK],0)),"")),"")</f>
        <v/>
      </c>
      <c r="AB170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70">
        <v>169</v>
      </c>
      <c r="AE170" t="str">
        <f>IFERROR(INDEX(TableWRCalcPts[PLAYER],MATCH(TableWRRanks32[[#This Row],[RK]],TableWRCalcPts[RK],0)),"")</f>
        <v>Charlie Jones</v>
      </c>
      <c r="AF170" t="str">
        <f>IFERROR(INDEX(TableWRCalcPts[TM],MATCH(TableWRRanks32[[#This Row],[Player]],TableWRCalcPts[PLAYER],0)),"")</f>
        <v>CIN</v>
      </c>
      <c r="AG170">
        <f>IFERROR(INDEX(TableWRCalcPts[BYE],MATCH(TableWRRanks32[[#This Row],[Player]],TableWRCalcPts[PLAYER],0)),"")</f>
        <v>12</v>
      </c>
      <c r="AH170" s="83">
        <f>IFERROR((VLOOKUP(TableWRRanks32[[#This Row],[Player]],WR!B:O,4,FALSE)),"")</f>
        <v>0</v>
      </c>
      <c r="AI170" s="83">
        <f>IFERROR((VLOOKUP(TableWRRanks32[[#This Row],[Player]],WR!B:O,5,FALSE)),"")</f>
        <v>0</v>
      </c>
      <c r="AJ170" s="83">
        <f>IFERROR((VLOOKUP(TableWRRanks32[[#This Row],[Player]],WR!B:O,6,FALSE)),"")</f>
        <v>6.2356811999999993</v>
      </c>
      <c r="AK170" s="83">
        <f>IFERROR((VLOOKUP(TableWRRanks32[[#This Row],[Player]],WR!B:O,7,FALSE)),"")</f>
        <v>4.1966134476000008</v>
      </c>
      <c r="AL170" s="83">
        <f>IFERROR((VLOOKUP(TableWRRanks32[[#This Row],[Player]],WR!B:O,8,FALSE)),"")</f>
        <v>45.612008373950971</v>
      </c>
      <c r="AM170" s="83">
        <f>IFERROR((VLOOKUP(TableWRRanks32[[#This Row],[Player]],WR!B:O,9,FALSE)),"")</f>
        <v>0.29376294133200009</v>
      </c>
      <c r="AN170" s="57">
        <f>IFERROR((IFERROR(INDEX(TableWRCalcPts[Custom],MATCH(TableWRRanks32[[#This Row],[RK]],TableWRCalcPts[RK],0)),"")),"")</f>
        <v>8.4220852091870988</v>
      </c>
      <c r="AO170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71" spans="16:41" x14ac:dyDescent="0.2">
      <c r="P171">
        <v>170</v>
      </c>
      <c r="Q171" t="str">
        <f>IFERROR(INDEX(TableRBCalcPts[PLAYER],MATCH(TableRBRanks31[[#This Row],[RK]],TableRBCalcPts[RK],0)),"")</f>
        <v/>
      </c>
      <c r="R171" t="str">
        <f>IFERROR(INDEX(TableRBCalcPts[TM],MATCH(TableRBRanks31[[#This Row],[Player]],TableRBCalcPts[PLAYER],0)),"")</f>
        <v/>
      </c>
      <c r="S171" t="str">
        <f>IFERROR(INDEX(TableRBCalcPts[BYE],MATCH(TableRBRanks31[[#This Row],[Player]],TableRBCalcPts[PLAYER],0)),"")</f>
        <v/>
      </c>
      <c r="T171" s="83" t="str">
        <f>IFERROR((VLOOKUP(TableRBRanks31[[#This Row],[Player]],RB!B:O,4,FALSE)),"")</f>
        <v/>
      </c>
      <c r="U171" s="83" t="str">
        <f>IFERROR((VLOOKUP(TableRBRanks31[[#This Row],[Player]],RB!B:O,5,FALSE)),"")</f>
        <v/>
      </c>
      <c r="V171" s="83" t="str">
        <f>IFERROR((VLOOKUP(TableRBRanks31[[#This Row],[Player]],RB!B:O,6,FALSE)),"")</f>
        <v/>
      </c>
      <c r="W171" s="83" t="str">
        <f>IFERROR((VLOOKUP(TableRBRanks31[[#This Row],[Player]],RB!B:O,7,FALSE)),"")</f>
        <v/>
      </c>
      <c r="X171" s="83" t="str">
        <f>IFERROR((VLOOKUP(TableRBRanks31[[#This Row],[Player]],RB!B:O,8,FALSE)),"")</f>
        <v/>
      </c>
      <c r="Y171" s="83" t="str">
        <f>IFERROR((VLOOKUP(TableRBRanks31[[#This Row],[Player]],RB!B:O,9,FALSE)),"")</f>
        <v/>
      </c>
      <c r="Z171" s="83" t="str">
        <f>IFERROR((VLOOKUP(TableRBRanks31[[#This Row],[Player]],RB!B:O,10,FALSE)),"")</f>
        <v/>
      </c>
      <c r="AA171" s="57" t="str">
        <f>IFERROR((IFERROR(INDEX(TableRBCalcPts[Custom],MATCH(TableRBRanks31[[#This Row],[RK]],TableRBCalcPts[RK],0)),"")),"")</f>
        <v/>
      </c>
      <c r="AB171" s="125" t="str">
        <f>IFERROR((IF(((VLOOKUP(TableRBRanks31[[#This Row],[Player]],'OVR &amp; VORP Ranks'!$I:$M,5,FALSE))/('OVR &amp; VORP Ranks'!$BM$6))*(Settings!$E$10*TEAMS)&lt;0,0,((VLOOKUP(TableRBRanks31[[#This Row],[Player]],'OVR &amp; VORP Ranks'!$I:$M,5,FALSE))/('OVR &amp; VORP Ranks'!$BM$6))*(Settings!$E$10*TEAMS))),"")</f>
        <v/>
      </c>
      <c r="AD171">
        <v>170</v>
      </c>
      <c r="AE171" t="str">
        <f>IFERROR(INDEX(TableWRCalcPts[PLAYER],MATCH(TableWRRanks32[[#This Row],[RK]],TableWRCalcPts[RK],0)),"")</f>
        <v>Jalen Guyton</v>
      </c>
      <c r="AF171" t="str">
        <f>IFERROR(INDEX(TableWRCalcPts[TM],MATCH(TableWRRanks32[[#This Row],[Player]],TableWRCalcPts[PLAYER],0)),"")</f>
        <v>LV</v>
      </c>
      <c r="AG171">
        <f>IFERROR(INDEX(TableWRCalcPts[BYE],MATCH(TableWRRanks32[[#This Row],[Player]],TableWRCalcPts[PLAYER],0)),"")</f>
        <v>10</v>
      </c>
      <c r="AH171" s="83">
        <f>IFERROR((VLOOKUP(TableWRRanks32[[#This Row],[Player]],WR!B:O,4,FALSE)),"")</f>
        <v>0</v>
      </c>
      <c r="AI171" s="83">
        <f>IFERROR((VLOOKUP(TableWRRanks32[[#This Row],[Player]],WR!B:O,5,FALSE)),"")</f>
        <v>0</v>
      </c>
      <c r="AJ171" s="83">
        <f>IFERROR((VLOOKUP(TableWRRanks32[[#This Row],[Player]],WR!B:O,6,FALSE)),"")</f>
        <v>5.8260999999999994</v>
      </c>
      <c r="AK171" s="83">
        <f>IFERROR((VLOOKUP(TableWRRanks32[[#This Row],[Player]],WR!B:O,7,FALSE)),"")</f>
        <v>3.3791379999999993</v>
      </c>
      <c r="AL171" s="83">
        <f>IFERROR((VLOOKUP(TableWRRanks32[[#This Row],[Player]],WR!B:O,8,FALSE)),"")</f>
        <v>47.20933014656481</v>
      </c>
      <c r="AM171" s="83">
        <f>IFERROR((VLOOKUP(TableWRRanks32[[#This Row],[Player]],WR!B:O,9,FALSE)),"")</f>
        <v>0.22978138399999998</v>
      </c>
      <c r="AN171" s="57">
        <f>IFERROR((IFERROR(INDEX(TableWRCalcPts[Custom],MATCH(TableWRRanks32[[#This Row],[RK]],TableWRCalcPts[RK],0)),"")),"")</f>
        <v>7.7891903186564804</v>
      </c>
      <c r="AO171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72" spans="16:41" x14ac:dyDescent="0.2">
      <c r="AD172">
        <v>171</v>
      </c>
      <c r="AE172" t="str">
        <f>IFERROR(INDEX(TableWRCalcPts[PLAYER],MATCH(TableWRRanks32[[#This Row],[RK]],TableWRCalcPts[RK],0)),"")</f>
        <v>Kyle Philips</v>
      </c>
      <c r="AF172" t="str">
        <f>IFERROR(INDEX(TableWRCalcPts[TM],MATCH(TableWRRanks32[[#This Row],[Player]],TableWRCalcPts[PLAYER],0)),"")</f>
        <v>TEN</v>
      </c>
      <c r="AG172">
        <f>IFERROR(INDEX(TableWRCalcPts[BYE],MATCH(TableWRRanks32[[#This Row],[Player]],TableWRCalcPts[PLAYER],0)),"")</f>
        <v>5</v>
      </c>
      <c r="AH172" s="83">
        <f>IFERROR((VLOOKUP(TableWRRanks32[[#This Row],[Player]],WR!B:O,4,FALSE)),"")</f>
        <v>0</v>
      </c>
      <c r="AI172" s="83">
        <f>IFERROR((VLOOKUP(TableWRRanks32[[#This Row],[Player]],WR!B:O,5,FALSE)),"")</f>
        <v>0</v>
      </c>
      <c r="AJ172" s="83">
        <f>IFERROR((VLOOKUP(TableWRRanks32[[#This Row],[Player]],WR!B:O,6,FALSE)),"")</f>
        <v>5.7846557999999995</v>
      </c>
      <c r="AK172" s="83">
        <f>IFERROR((VLOOKUP(TableWRRanks32[[#This Row],[Player]],WR!B:O,7,FALSE)),"")</f>
        <v>3.5691326285999989</v>
      </c>
      <c r="AL172" s="83">
        <f>IFERROR((VLOOKUP(TableWRRanks32[[#This Row],[Player]],WR!B:O,8,FALSE)),"")</f>
        <v>44.423951259866186</v>
      </c>
      <c r="AM172" s="83">
        <f>IFERROR((VLOOKUP(TableWRRanks32[[#This Row],[Player]],WR!B:O,9,FALSE)),"")</f>
        <v>0.23097231149554279</v>
      </c>
      <c r="AN172" s="57">
        <f>IFERROR((IFERROR(INDEX(TableWRCalcPts[Custom],MATCH(TableWRRanks32[[#This Row],[RK]],TableWRCalcPts[RK],0)),"")),"")</f>
        <v>7.6127953092598748</v>
      </c>
      <c r="AO172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73" spans="16:41" x14ac:dyDescent="0.2">
      <c r="AD173">
        <v>172</v>
      </c>
      <c r="AE173" t="str">
        <f>IFERROR(INDEX(TableWRCalcPts[PLAYER],MATCH(TableWRRanks32[[#This Row],[RK]],TableWRCalcPts[RK],0)),"")</f>
        <v>Devin Duvernay</v>
      </c>
      <c r="AF173" t="str">
        <f>IFERROR(INDEX(TableWRCalcPts[TM],MATCH(TableWRRanks32[[#This Row],[Player]],TableWRCalcPts[PLAYER],0)),"")</f>
        <v>JAX</v>
      </c>
      <c r="AG173">
        <f>IFERROR(INDEX(TableWRCalcPts[BYE],MATCH(TableWRRanks32[[#This Row],[Player]],TableWRCalcPts[PLAYER],0)),"")</f>
        <v>12</v>
      </c>
      <c r="AH173" s="83">
        <f>IFERROR((VLOOKUP(TableWRRanks32[[#This Row],[Player]],WR!B:O,4,FALSE)),"")</f>
        <v>0</v>
      </c>
      <c r="AI173" s="83">
        <f>IFERROR((VLOOKUP(TableWRRanks32[[#This Row],[Player]],WR!B:O,5,FALSE)),"")</f>
        <v>0</v>
      </c>
      <c r="AJ173" s="83">
        <f>IFERROR((VLOOKUP(TableWRRanks32[[#This Row],[Player]],WR!B:O,6,FALSE)),"")</f>
        <v>6.0219235999999992</v>
      </c>
      <c r="AK173" s="83">
        <f>IFERROR((VLOOKUP(TableWRRanks32[[#This Row],[Player]],WR!B:O,7,FALSE)),"")</f>
        <v>3.9624257287999982</v>
      </c>
      <c r="AL173" s="83">
        <f>IFERROR((VLOOKUP(TableWRRanks32[[#This Row],[Player]],WR!B:O,8,FALSE)),"")</f>
        <v>37.921826363946415</v>
      </c>
      <c r="AM173" s="83">
        <f>IFERROR((VLOOKUP(TableWRRanks32[[#This Row],[Player]],WR!B:O,9,FALSE)),"")</f>
        <v>0.24317386951205217</v>
      </c>
      <c r="AN173" s="57">
        <f>IFERROR((IFERROR(INDEX(TableWRCalcPts[Custom],MATCH(TableWRRanks32[[#This Row],[RK]],TableWRCalcPts[RK],0)),"")),"")</f>
        <v>7.2324387178669536</v>
      </c>
      <c r="AO173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74" spans="16:41" x14ac:dyDescent="0.2">
      <c r="AD174">
        <v>173</v>
      </c>
      <c r="AE174" t="str">
        <f>IFERROR(INDEX(TableWRCalcPts[PLAYER],MATCH(TableWRRanks32[[#This Row],[RK]],TableWRCalcPts[RK],0)),"")</f>
        <v>Jha'Quan Jackson</v>
      </c>
      <c r="AF174" t="str">
        <f>IFERROR(INDEX(TableWRCalcPts[TM],MATCH(TableWRRanks32[[#This Row],[Player]],TableWRCalcPts[PLAYER],0)),"")</f>
        <v>TEN</v>
      </c>
      <c r="AG174">
        <f>IFERROR(INDEX(TableWRCalcPts[BYE],MATCH(TableWRRanks32[[#This Row],[Player]],TableWRCalcPts[PLAYER],0)),"")</f>
        <v>5</v>
      </c>
      <c r="AH174" s="83">
        <f>IFERROR((VLOOKUP(TableWRRanks32[[#This Row],[Player]],WR!B:O,4,FALSE)),"")</f>
        <v>0</v>
      </c>
      <c r="AI174" s="83">
        <f>IFERROR((VLOOKUP(TableWRRanks32[[#This Row],[Player]],WR!B:O,5,FALSE)),"")</f>
        <v>0</v>
      </c>
      <c r="AJ174" s="83">
        <f>IFERROR((VLOOKUP(TableWRRanks32[[#This Row],[Player]],WR!B:O,6,FALSE)),"")</f>
        <v>5.7846557999999995</v>
      </c>
      <c r="AK174" s="83">
        <f>IFERROR((VLOOKUP(TableWRRanks32[[#This Row],[Player]],WR!B:O,7,FALSE)),"")</f>
        <v>3.3493157081999994</v>
      </c>
      <c r="AL174" s="83">
        <f>IFERROR((VLOOKUP(TableWRRanks32[[#This Row],[Player]],WR!B:O,8,FALSE)),"")</f>
        <v>39.990829555907993</v>
      </c>
      <c r="AM174" s="83">
        <f>IFERROR((VLOOKUP(TableWRRanks32[[#This Row],[Player]],WR!B:O,9,FALSE)),"")</f>
        <v>0.20095894249199994</v>
      </c>
      <c r="AN174" s="57">
        <f>IFERROR((IFERROR(INDEX(TableWRCalcPts[Custom],MATCH(TableWRRanks32[[#This Row],[RK]],TableWRCalcPts[RK],0)),"")),"")</f>
        <v>6.8794944646427991</v>
      </c>
      <c r="AO174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75" spans="16:41" x14ac:dyDescent="0.2">
      <c r="AD175">
        <v>174</v>
      </c>
      <c r="AE175" t="str">
        <f>IFERROR(INDEX(TableWRCalcPts[PLAYER],MATCH(TableWRRanks32[[#This Row],[RK]],TableWRCalcPts[RK],0)),"")</f>
        <v>Stanley Morgan</v>
      </c>
      <c r="AF175" t="str">
        <f>IFERROR(INDEX(TableWRCalcPts[TM],MATCH(TableWRRanks32[[#This Row],[Player]],TableWRCalcPts[PLAYER],0)),"")</f>
        <v>NO</v>
      </c>
      <c r="AG175">
        <f>IFERROR(INDEX(TableWRCalcPts[BYE],MATCH(TableWRRanks32[[#This Row],[Player]],TableWRCalcPts[PLAYER],0)),"")</f>
        <v>12</v>
      </c>
      <c r="AH175" s="83">
        <f>IFERROR((VLOOKUP(TableWRRanks32[[#This Row],[Player]],WR!B:O,4,FALSE)),"")</f>
        <v>0</v>
      </c>
      <c r="AI175" s="83">
        <f>IFERROR((VLOOKUP(TableWRRanks32[[#This Row],[Player]],WR!B:O,5,FALSE)),"")</f>
        <v>0</v>
      </c>
      <c r="AJ175" s="83">
        <f>IFERROR((VLOOKUP(TableWRRanks32[[#This Row],[Player]],WR!B:O,6,FALSE)),"")</f>
        <v>5.5633294639999988</v>
      </c>
      <c r="AK175" s="83">
        <f>IFERROR((VLOOKUP(TableWRRanks32[[#This Row],[Player]],WR!B:O,7,FALSE)),"")</f>
        <v>3.3379976783999994</v>
      </c>
      <c r="AL175" s="83">
        <f>IFERROR((VLOOKUP(TableWRRanks32[[#This Row],[Player]],WR!B:O,8,FALSE)),"")</f>
        <v>37.076642033546754</v>
      </c>
      <c r="AM175" s="83">
        <f>IFERROR((VLOOKUP(TableWRRanks32[[#This Row],[Player]],WR!B:O,9,FALSE)),"")</f>
        <v>0.22592067160996321</v>
      </c>
      <c r="AN175" s="57">
        <f>IFERROR((IFERROR(INDEX(TableWRCalcPts[Custom],MATCH(TableWRRanks32[[#This Row],[RK]],TableWRCalcPts[RK],0)),"")),"")</f>
        <v>6.7321870722144546</v>
      </c>
      <c r="AO175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76" spans="16:41" x14ac:dyDescent="0.2">
      <c r="AD176">
        <v>175</v>
      </c>
      <c r="AE176" t="str">
        <f>IFERROR(INDEX(TableWRCalcPts[PLAYER],MATCH(TableWRRanks32[[#This Row],[RK]],TableWRCalcPts[RK],0)),"")</f>
        <v>David Bell</v>
      </c>
      <c r="AF176" t="str">
        <f>IFERROR(INDEX(TableWRCalcPts[TM],MATCH(TableWRRanks32[[#This Row],[Player]],TableWRCalcPts[PLAYER],0)),"")</f>
        <v>CLE</v>
      </c>
      <c r="AG176">
        <f>IFERROR(INDEX(TableWRCalcPts[BYE],MATCH(TableWRRanks32[[#This Row],[Player]],TableWRCalcPts[PLAYER],0)),"")</f>
        <v>10</v>
      </c>
      <c r="AH176" s="83">
        <f>IFERROR((VLOOKUP(TableWRRanks32[[#This Row],[Player]],WR!B:O,4,FALSE)),"")</f>
        <v>0</v>
      </c>
      <c r="AI176" s="83">
        <f>IFERROR((VLOOKUP(TableWRRanks32[[#This Row],[Player]],WR!B:O,5,FALSE)),"")</f>
        <v>0</v>
      </c>
      <c r="AJ176" s="83">
        <f>IFERROR((VLOOKUP(TableWRRanks32[[#This Row],[Player]],WR!B:O,6,FALSE)),"")</f>
        <v>5.3765249999999991</v>
      </c>
      <c r="AK176" s="83">
        <f>IFERROR((VLOOKUP(TableWRRanks32[[#This Row],[Player]],WR!B:O,7,FALSE)),"")</f>
        <v>3.2904332999999992</v>
      </c>
      <c r="AL176" s="83">
        <f>IFERROR((VLOOKUP(TableWRRanks32[[#This Row],[Player]],WR!B:O,8,FALSE)),"")</f>
        <v>35.317887895880361</v>
      </c>
      <c r="AM176" s="83">
        <f>IFERROR((VLOOKUP(TableWRRanks32[[#This Row],[Player]],WR!B:O,9,FALSE)),"")</f>
        <v>0.20826734748783171</v>
      </c>
      <c r="AN176" s="57">
        <f>IFERROR((IFERROR(INDEX(TableWRCalcPts[Custom],MATCH(TableWRRanks32[[#This Row],[RK]],TableWRCalcPts[RK],0)),"")),"")</f>
        <v>6.426609524515027</v>
      </c>
      <c r="AO176" s="125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>0</v>
      </c>
    </row>
    <row r="177" spans="30:41" x14ac:dyDescent="0.2">
      <c r="AD177">
        <v>176</v>
      </c>
      <c r="AE177" t="str">
        <f>IFERROR(INDEX(TableWRCalcPts[PLAYER],MATCH(TableWRRanks32[[#This Row],[RK]],TableWRCalcPts[RK],0)),"")</f>
        <v/>
      </c>
      <c r="AF177" t="str">
        <f>IFERROR(INDEX(TableWRCalcPts[TM],MATCH(TableWRRanks32[[#This Row],[Player]],TableWRCalcPts[PLAYER],0)),"")</f>
        <v/>
      </c>
      <c r="AG177" t="str">
        <f>IFERROR(INDEX(TableWRCalcPts[BYE],MATCH(TableWRRanks32[[#This Row],[Player]],TableWRCalcPts[PLAYER],0)),"")</f>
        <v/>
      </c>
      <c r="AH177" s="83" t="str">
        <f>IFERROR((VLOOKUP(TableWRRanks32[[#This Row],[Player]],WR!B:O,4,FALSE)),"")</f>
        <v/>
      </c>
      <c r="AI177" s="83" t="str">
        <f>IFERROR((VLOOKUP(TableWRRanks32[[#This Row],[Player]],WR!B:O,5,FALSE)),"")</f>
        <v/>
      </c>
      <c r="AJ177" s="83" t="str">
        <f>IFERROR((VLOOKUP(TableWRRanks32[[#This Row],[Player]],WR!B:O,6,FALSE)),"")</f>
        <v/>
      </c>
      <c r="AK177" s="83" t="str">
        <f>IFERROR((VLOOKUP(TableWRRanks32[[#This Row],[Player]],WR!B:O,7,FALSE)),"")</f>
        <v/>
      </c>
      <c r="AL177" s="83" t="str">
        <f>IFERROR((VLOOKUP(TableWRRanks32[[#This Row],[Player]],WR!B:O,8,FALSE)),"")</f>
        <v/>
      </c>
      <c r="AM177" s="83" t="str">
        <f>IFERROR((VLOOKUP(TableWRRanks32[[#This Row],[Player]],WR!B:O,9,FALSE)),"")</f>
        <v/>
      </c>
      <c r="AN177" s="57" t="str">
        <f>IFERROR((IFERROR(INDEX(TableWRCalcPts[Custom],MATCH(TableWRRanks32[[#This Row],[RK]],TableWRCalcPts[RK],0)),"")),"")</f>
        <v/>
      </c>
      <c r="AO177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178" spans="30:41" x14ac:dyDescent="0.2">
      <c r="AD178">
        <v>177</v>
      </c>
      <c r="AE178" t="str">
        <f>IFERROR(INDEX(TableWRCalcPts[PLAYER],MATCH(TableWRRanks32[[#This Row],[RK]],TableWRCalcPts[RK],0)),"")</f>
        <v/>
      </c>
      <c r="AF178" t="str">
        <f>IFERROR(INDEX(TableWRCalcPts[TM],MATCH(TableWRRanks32[[#This Row],[Player]],TableWRCalcPts[PLAYER],0)),"")</f>
        <v/>
      </c>
      <c r="AG178" t="str">
        <f>IFERROR(INDEX(TableWRCalcPts[BYE],MATCH(TableWRRanks32[[#This Row],[Player]],TableWRCalcPts[PLAYER],0)),"")</f>
        <v/>
      </c>
      <c r="AH178" s="83" t="str">
        <f>IFERROR((VLOOKUP(TableWRRanks32[[#This Row],[Player]],WR!B:O,4,FALSE)),"")</f>
        <v/>
      </c>
      <c r="AI178" s="83" t="str">
        <f>IFERROR((VLOOKUP(TableWRRanks32[[#This Row],[Player]],WR!B:O,5,FALSE)),"")</f>
        <v/>
      </c>
      <c r="AJ178" s="83" t="str">
        <f>IFERROR((VLOOKUP(TableWRRanks32[[#This Row],[Player]],WR!B:O,6,FALSE)),"")</f>
        <v/>
      </c>
      <c r="AK178" s="83" t="str">
        <f>IFERROR((VLOOKUP(TableWRRanks32[[#This Row],[Player]],WR!B:O,7,FALSE)),"")</f>
        <v/>
      </c>
      <c r="AL178" s="83" t="str">
        <f>IFERROR((VLOOKUP(TableWRRanks32[[#This Row],[Player]],WR!B:O,8,FALSE)),"")</f>
        <v/>
      </c>
      <c r="AM178" s="83" t="str">
        <f>IFERROR((VLOOKUP(TableWRRanks32[[#This Row],[Player]],WR!B:O,9,FALSE)),"")</f>
        <v/>
      </c>
      <c r="AN178" s="57" t="str">
        <f>IFERROR((IFERROR(INDEX(TableWRCalcPts[Custom],MATCH(TableWRRanks32[[#This Row],[RK]],TableWRCalcPts[RK],0)),"")),"")</f>
        <v/>
      </c>
      <c r="AO178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179" spans="30:41" x14ac:dyDescent="0.2">
      <c r="AD179">
        <v>178</v>
      </c>
      <c r="AE179" t="str">
        <f>IFERROR(INDEX(TableWRCalcPts[PLAYER],MATCH(TableWRRanks32[[#This Row],[RK]],TableWRCalcPts[RK],0)),"")</f>
        <v/>
      </c>
      <c r="AF179" t="str">
        <f>IFERROR(INDEX(TableWRCalcPts[TM],MATCH(TableWRRanks32[[#This Row],[Player]],TableWRCalcPts[PLAYER],0)),"")</f>
        <v/>
      </c>
      <c r="AG179" t="str">
        <f>IFERROR(INDEX(TableWRCalcPts[BYE],MATCH(TableWRRanks32[[#This Row],[Player]],TableWRCalcPts[PLAYER],0)),"")</f>
        <v/>
      </c>
      <c r="AH179" s="83" t="str">
        <f>IFERROR((VLOOKUP(TableWRRanks32[[#This Row],[Player]],WR!B:O,4,FALSE)),"")</f>
        <v/>
      </c>
      <c r="AI179" s="83" t="str">
        <f>IFERROR((VLOOKUP(TableWRRanks32[[#This Row],[Player]],WR!B:O,5,FALSE)),"")</f>
        <v/>
      </c>
      <c r="AJ179" s="83" t="str">
        <f>IFERROR((VLOOKUP(TableWRRanks32[[#This Row],[Player]],WR!B:O,6,FALSE)),"")</f>
        <v/>
      </c>
      <c r="AK179" s="83" t="str">
        <f>IFERROR((VLOOKUP(TableWRRanks32[[#This Row],[Player]],WR!B:O,7,FALSE)),"")</f>
        <v/>
      </c>
      <c r="AL179" s="83" t="str">
        <f>IFERROR((VLOOKUP(TableWRRanks32[[#This Row],[Player]],WR!B:O,8,FALSE)),"")</f>
        <v/>
      </c>
      <c r="AM179" s="83" t="str">
        <f>IFERROR((VLOOKUP(TableWRRanks32[[#This Row],[Player]],WR!B:O,9,FALSE)),"")</f>
        <v/>
      </c>
      <c r="AN179" s="57" t="str">
        <f>IFERROR((IFERROR(INDEX(TableWRCalcPts[Custom],MATCH(TableWRRanks32[[#This Row],[RK]],TableWRCalcPts[RK],0)),"")),"")</f>
        <v/>
      </c>
      <c r="AO179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180" spans="30:41" x14ac:dyDescent="0.2">
      <c r="AD180">
        <v>179</v>
      </c>
      <c r="AE180" t="str">
        <f>IFERROR(INDEX(TableWRCalcPts[PLAYER],MATCH(TableWRRanks32[[#This Row],[RK]],TableWRCalcPts[RK],0)),"")</f>
        <v/>
      </c>
      <c r="AF180" t="str">
        <f>IFERROR(INDEX(TableWRCalcPts[TM],MATCH(TableWRRanks32[[#This Row],[Player]],TableWRCalcPts[PLAYER],0)),"")</f>
        <v/>
      </c>
      <c r="AG180" t="str">
        <f>IFERROR(INDEX(TableWRCalcPts[BYE],MATCH(TableWRRanks32[[#This Row],[Player]],TableWRCalcPts[PLAYER],0)),"")</f>
        <v/>
      </c>
      <c r="AH180" s="83" t="str">
        <f>IFERROR((VLOOKUP(TableWRRanks32[[#This Row],[Player]],WR!B:O,4,FALSE)),"")</f>
        <v/>
      </c>
      <c r="AI180" s="83" t="str">
        <f>IFERROR((VLOOKUP(TableWRRanks32[[#This Row],[Player]],WR!B:O,5,FALSE)),"")</f>
        <v/>
      </c>
      <c r="AJ180" s="83" t="str">
        <f>IFERROR((VLOOKUP(TableWRRanks32[[#This Row],[Player]],WR!B:O,6,FALSE)),"")</f>
        <v/>
      </c>
      <c r="AK180" s="83" t="str">
        <f>IFERROR((VLOOKUP(TableWRRanks32[[#This Row],[Player]],WR!B:O,7,FALSE)),"")</f>
        <v/>
      </c>
      <c r="AL180" s="83" t="str">
        <f>IFERROR((VLOOKUP(TableWRRanks32[[#This Row],[Player]],WR!B:O,8,FALSE)),"")</f>
        <v/>
      </c>
      <c r="AM180" s="83" t="str">
        <f>IFERROR((VLOOKUP(TableWRRanks32[[#This Row],[Player]],WR!B:O,9,FALSE)),"")</f>
        <v/>
      </c>
      <c r="AN180" s="57" t="str">
        <f>IFERROR((IFERROR(INDEX(TableWRCalcPts[Custom],MATCH(TableWRRanks32[[#This Row],[RK]],TableWRCalcPts[RK],0)),"")),"")</f>
        <v/>
      </c>
      <c r="AO180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181" spans="30:41" x14ac:dyDescent="0.2">
      <c r="AD181">
        <v>180</v>
      </c>
      <c r="AE181" t="str">
        <f>IFERROR(INDEX(TableWRCalcPts[PLAYER],MATCH(TableWRRanks32[[#This Row],[RK]],TableWRCalcPts[RK],0)),"")</f>
        <v/>
      </c>
      <c r="AF181" t="str">
        <f>IFERROR(INDEX(TableWRCalcPts[TM],MATCH(TableWRRanks32[[#This Row],[Player]],TableWRCalcPts[PLAYER],0)),"")</f>
        <v/>
      </c>
      <c r="AG181" t="str">
        <f>IFERROR(INDEX(TableWRCalcPts[BYE],MATCH(TableWRRanks32[[#This Row],[Player]],TableWRCalcPts[PLAYER],0)),"")</f>
        <v/>
      </c>
      <c r="AH181" s="83" t="str">
        <f>IFERROR((VLOOKUP(TableWRRanks32[[#This Row],[Player]],WR!B:O,4,FALSE)),"")</f>
        <v/>
      </c>
      <c r="AI181" s="83" t="str">
        <f>IFERROR((VLOOKUP(TableWRRanks32[[#This Row],[Player]],WR!B:O,5,FALSE)),"")</f>
        <v/>
      </c>
      <c r="AJ181" s="83" t="str">
        <f>IFERROR((VLOOKUP(TableWRRanks32[[#This Row],[Player]],WR!B:O,6,FALSE)),"")</f>
        <v/>
      </c>
      <c r="AK181" s="83" t="str">
        <f>IFERROR((VLOOKUP(TableWRRanks32[[#This Row],[Player]],WR!B:O,7,FALSE)),"")</f>
        <v/>
      </c>
      <c r="AL181" s="83" t="str">
        <f>IFERROR((VLOOKUP(TableWRRanks32[[#This Row],[Player]],WR!B:O,8,FALSE)),"")</f>
        <v/>
      </c>
      <c r="AM181" s="83" t="str">
        <f>IFERROR((VLOOKUP(TableWRRanks32[[#This Row],[Player]],WR!B:O,9,FALSE)),"")</f>
        <v/>
      </c>
      <c r="AN181" s="57" t="str">
        <f>IFERROR((IFERROR(INDEX(TableWRCalcPts[Custom],MATCH(TableWRRanks32[[#This Row],[RK]],TableWRCalcPts[RK],0)),"")),"")</f>
        <v/>
      </c>
      <c r="AO181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182" spans="30:41" x14ac:dyDescent="0.2">
      <c r="AD182">
        <v>181</v>
      </c>
      <c r="AE182" t="str">
        <f>IFERROR(INDEX(TableWRCalcPts[PLAYER],MATCH(TableWRRanks32[[#This Row],[RK]],TableWRCalcPts[RK],0)),"")</f>
        <v/>
      </c>
      <c r="AF182" t="str">
        <f>IFERROR(INDEX(TableWRCalcPts[TM],MATCH(TableWRRanks32[[#This Row],[Player]],TableWRCalcPts[PLAYER],0)),"")</f>
        <v/>
      </c>
      <c r="AG182" t="str">
        <f>IFERROR(INDEX(TableWRCalcPts[BYE],MATCH(TableWRRanks32[[#This Row],[Player]],TableWRCalcPts[PLAYER],0)),"")</f>
        <v/>
      </c>
      <c r="AH182" s="83" t="str">
        <f>IFERROR((VLOOKUP(TableWRRanks32[[#This Row],[Player]],WR!B:O,4,FALSE)),"")</f>
        <v/>
      </c>
      <c r="AI182" s="83" t="str">
        <f>IFERROR((VLOOKUP(TableWRRanks32[[#This Row],[Player]],WR!B:O,5,FALSE)),"")</f>
        <v/>
      </c>
      <c r="AJ182" s="83" t="str">
        <f>IFERROR((VLOOKUP(TableWRRanks32[[#This Row],[Player]],WR!B:O,6,FALSE)),"")</f>
        <v/>
      </c>
      <c r="AK182" s="83" t="str">
        <f>IFERROR((VLOOKUP(TableWRRanks32[[#This Row],[Player]],WR!B:O,7,FALSE)),"")</f>
        <v/>
      </c>
      <c r="AL182" s="83" t="str">
        <f>IFERROR((VLOOKUP(TableWRRanks32[[#This Row],[Player]],WR!B:O,8,FALSE)),"")</f>
        <v/>
      </c>
      <c r="AM182" s="83" t="str">
        <f>IFERROR((VLOOKUP(TableWRRanks32[[#This Row],[Player]],WR!B:O,9,FALSE)),"")</f>
        <v/>
      </c>
      <c r="AN182" s="57" t="str">
        <f>IFERROR((IFERROR(INDEX(TableWRCalcPts[Custom],MATCH(TableWRRanks32[[#This Row],[RK]],TableWRCalcPts[RK],0)),"")),"")</f>
        <v/>
      </c>
      <c r="AO182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183" spans="30:41" x14ac:dyDescent="0.2">
      <c r="AD183">
        <v>182</v>
      </c>
      <c r="AE183" t="str">
        <f>IFERROR(INDEX(TableWRCalcPts[PLAYER],MATCH(TableWRRanks32[[#This Row],[RK]],TableWRCalcPts[RK],0)),"")</f>
        <v/>
      </c>
      <c r="AF183" t="str">
        <f>IFERROR(INDEX(TableWRCalcPts[TM],MATCH(TableWRRanks32[[#This Row],[Player]],TableWRCalcPts[PLAYER],0)),"")</f>
        <v/>
      </c>
      <c r="AG183" t="str">
        <f>IFERROR(INDEX(TableWRCalcPts[BYE],MATCH(TableWRRanks32[[#This Row],[Player]],TableWRCalcPts[PLAYER],0)),"")</f>
        <v/>
      </c>
      <c r="AH183" s="83" t="str">
        <f>IFERROR((VLOOKUP(TableWRRanks32[[#This Row],[Player]],WR!B:O,4,FALSE)),"")</f>
        <v/>
      </c>
      <c r="AI183" s="83" t="str">
        <f>IFERROR((VLOOKUP(TableWRRanks32[[#This Row],[Player]],WR!B:O,5,FALSE)),"")</f>
        <v/>
      </c>
      <c r="AJ183" s="83" t="str">
        <f>IFERROR((VLOOKUP(TableWRRanks32[[#This Row],[Player]],WR!B:O,6,FALSE)),"")</f>
        <v/>
      </c>
      <c r="AK183" s="83" t="str">
        <f>IFERROR((VLOOKUP(TableWRRanks32[[#This Row],[Player]],WR!B:O,7,FALSE)),"")</f>
        <v/>
      </c>
      <c r="AL183" s="83" t="str">
        <f>IFERROR((VLOOKUP(TableWRRanks32[[#This Row],[Player]],WR!B:O,8,FALSE)),"")</f>
        <v/>
      </c>
      <c r="AM183" s="83" t="str">
        <f>IFERROR((VLOOKUP(TableWRRanks32[[#This Row],[Player]],WR!B:O,9,FALSE)),"")</f>
        <v/>
      </c>
      <c r="AN183" s="57" t="str">
        <f>IFERROR((IFERROR(INDEX(TableWRCalcPts[Custom],MATCH(TableWRRanks32[[#This Row],[RK]],TableWRCalcPts[RK],0)),"")),"")</f>
        <v/>
      </c>
      <c r="AO183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184" spans="30:41" x14ac:dyDescent="0.2">
      <c r="AD184">
        <v>183</v>
      </c>
      <c r="AE184" t="str">
        <f>IFERROR(INDEX(TableWRCalcPts[PLAYER],MATCH(TableWRRanks32[[#This Row],[RK]],TableWRCalcPts[RK],0)),"")</f>
        <v/>
      </c>
      <c r="AF184" t="str">
        <f>IFERROR(INDEX(TableWRCalcPts[TM],MATCH(TableWRRanks32[[#This Row],[Player]],TableWRCalcPts[PLAYER],0)),"")</f>
        <v/>
      </c>
      <c r="AG184" t="str">
        <f>IFERROR(INDEX(TableWRCalcPts[BYE],MATCH(TableWRRanks32[[#This Row],[Player]],TableWRCalcPts[PLAYER],0)),"")</f>
        <v/>
      </c>
      <c r="AH184" s="83" t="str">
        <f>IFERROR((VLOOKUP(TableWRRanks32[[#This Row],[Player]],WR!B:O,4,FALSE)),"")</f>
        <v/>
      </c>
      <c r="AI184" s="83" t="str">
        <f>IFERROR((VLOOKUP(TableWRRanks32[[#This Row],[Player]],WR!B:O,5,FALSE)),"")</f>
        <v/>
      </c>
      <c r="AJ184" s="83" t="str">
        <f>IFERROR((VLOOKUP(TableWRRanks32[[#This Row],[Player]],WR!B:O,6,FALSE)),"")</f>
        <v/>
      </c>
      <c r="AK184" s="83" t="str">
        <f>IFERROR((VLOOKUP(TableWRRanks32[[#This Row],[Player]],WR!B:O,7,FALSE)),"")</f>
        <v/>
      </c>
      <c r="AL184" s="83" t="str">
        <f>IFERROR((VLOOKUP(TableWRRanks32[[#This Row],[Player]],WR!B:O,8,FALSE)),"")</f>
        <v/>
      </c>
      <c r="AM184" s="83" t="str">
        <f>IFERROR((VLOOKUP(TableWRRanks32[[#This Row],[Player]],WR!B:O,9,FALSE)),"")</f>
        <v/>
      </c>
      <c r="AN184" s="57" t="str">
        <f>IFERROR((IFERROR(INDEX(TableWRCalcPts[Custom],MATCH(TableWRRanks32[[#This Row],[RK]],TableWRCalcPts[RK],0)),"")),"")</f>
        <v/>
      </c>
      <c r="AO184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185" spans="30:41" x14ac:dyDescent="0.2">
      <c r="AD185">
        <v>184</v>
      </c>
      <c r="AE185" t="str">
        <f>IFERROR(INDEX(TableWRCalcPts[PLAYER],MATCH(TableWRRanks32[[#This Row],[RK]],TableWRCalcPts[RK],0)),"")</f>
        <v/>
      </c>
      <c r="AF185" t="str">
        <f>IFERROR(INDEX(TableWRCalcPts[TM],MATCH(TableWRRanks32[[#This Row],[Player]],TableWRCalcPts[PLAYER],0)),"")</f>
        <v/>
      </c>
      <c r="AG185" t="str">
        <f>IFERROR(INDEX(TableWRCalcPts[BYE],MATCH(TableWRRanks32[[#This Row],[Player]],TableWRCalcPts[PLAYER],0)),"")</f>
        <v/>
      </c>
      <c r="AH185" s="83" t="str">
        <f>IFERROR((VLOOKUP(TableWRRanks32[[#This Row],[Player]],WR!B:O,4,FALSE)),"")</f>
        <v/>
      </c>
      <c r="AI185" s="83" t="str">
        <f>IFERROR((VLOOKUP(TableWRRanks32[[#This Row],[Player]],WR!B:O,5,FALSE)),"")</f>
        <v/>
      </c>
      <c r="AJ185" s="83" t="str">
        <f>IFERROR((VLOOKUP(TableWRRanks32[[#This Row],[Player]],WR!B:O,6,FALSE)),"")</f>
        <v/>
      </c>
      <c r="AK185" s="83" t="str">
        <f>IFERROR((VLOOKUP(TableWRRanks32[[#This Row],[Player]],WR!B:O,7,FALSE)),"")</f>
        <v/>
      </c>
      <c r="AL185" s="83" t="str">
        <f>IFERROR((VLOOKUP(TableWRRanks32[[#This Row],[Player]],WR!B:O,8,FALSE)),"")</f>
        <v/>
      </c>
      <c r="AM185" s="83" t="str">
        <f>IFERROR((VLOOKUP(TableWRRanks32[[#This Row],[Player]],WR!B:O,9,FALSE)),"")</f>
        <v/>
      </c>
      <c r="AN185" s="57" t="str">
        <f>IFERROR((IFERROR(INDEX(TableWRCalcPts[Custom],MATCH(TableWRRanks32[[#This Row],[RK]],TableWRCalcPts[RK],0)),"")),"")</f>
        <v/>
      </c>
      <c r="AO185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186" spans="30:41" x14ac:dyDescent="0.2">
      <c r="AD186">
        <v>185</v>
      </c>
      <c r="AE186" t="str">
        <f>IFERROR(INDEX(TableWRCalcPts[PLAYER],MATCH(TableWRRanks32[[#This Row],[RK]],TableWRCalcPts[RK],0)),"")</f>
        <v/>
      </c>
      <c r="AF186" t="str">
        <f>IFERROR(INDEX(TableWRCalcPts[TM],MATCH(TableWRRanks32[[#This Row],[Player]],TableWRCalcPts[PLAYER],0)),"")</f>
        <v/>
      </c>
      <c r="AG186" t="str">
        <f>IFERROR(INDEX(TableWRCalcPts[BYE],MATCH(TableWRRanks32[[#This Row],[Player]],TableWRCalcPts[PLAYER],0)),"")</f>
        <v/>
      </c>
      <c r="AH186" s="83" t="str">
        <f>IFERROR((VLOOKUP(TableWRRanks32[[#This Row],[Player]],WR!B:O,4,FALSE)),"")</f>
        <v/>
      </c>
      <c r="AI186" s="83" t="str">
        <f>IFERROR((VLOOKUP(TableWRRanks32[[#This Row],[Player]],WR!B:O,5,FALSE)),"")</f>
        <v/>
      </c>
      <c r="AJ186" s="83" t="str">
        <f>IFERROR((VLOOKUP(TableWRRanks32[[#This Row],[Player]],WR!B:O,6,FALSE)),"")</f>
        <v/>
      </c>
      <c r="AK186" s="83" t="str">
        <f>IFERROR((VLOOKUP(TableWRRanks32[[#This Row],[Player]],WR!B:O,7,FALSE)),"")</f>
        <v/>
      </c>
      <c r="AL186" s="83" t="str">
        <f>IFERROR((VLOOKUP(TableWRRanks32[[#This Row],[Player]],WR!B:O,8,FALSE)),"")</f>
        <v/>
      </c>
      <c r="AM186" s="83" t="str">
        <f>IFERROR((VLOOKUP(TableWRRanks32[[#This Row],[Player]],WR!B:O,9,FALSE)),"")</f>
        <v/>
      </c>
      <c r="AN186" s="57" t="str">
        <f>IFERROR((IFERROR(INDEX(TableWRCalcPts[Custom],MATCH(TableWRRanks32[[#This Row],[RK]],TableWRCalcPts[RK],0)),"")),"")</f>
        <v/>
      </c>
      <c r="AO186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187" spans="30:41" x14ac:dyDescent="0.2">
      <c r="AD187">
        <v>186</v>
      </c>
      <c r="AE187" t="str">
        <f>IFERROR(INDEX(TableWRCalcPts[PLAYER],MATCH(TableWRRanks32[[#This Row],[RK]],TableWRCalcPts[RK],0)),"")</f>
        <v/>
      </c>
      <c r="AF187" t="str">
        <f>IFERROR(INDEX(TableWRCalcPts[TM],MATCH(TableWRRanks32[[#This Row],[Player]],TableWRCalcPts[PLAYER],0)),"")</f>
        <v/>
      </c>
      <c r="AG187" t="str">
        <f>IFERROR(INDEX(TableWRCalcPts[BYE],MATCH(TableWRRanks32[[#This Row],[Player]],TableWRCalcPts[PLAYER],0)),"")</f>
        <v/>
      </c>
      <c r="AH187" s="83" t="str">
        <f>IFERROR((VLOOKUP(TableWRRanks32[[#This Row],[Player]],WR!B:O,4,FALSE)),"")</f>
        <v/>
      </c>
      <c r="AI187" s="83" t="str">
        <f>IFERROR((VLOOKUP(TableWRRanks32[[#This Row],[Player]],WR!B:O,5,FALSE)),"")</f>
        <v/>
      </c>
      <c r="AJ187" s="83" t="str">
        <f>IFERROR((VLOOKUP(TableWRRanks32[[#This Row],[Player]],WR!B:O,6,FALSE)),"")</f>
        <v/>
      </c>
      <c r="AK187" s="83" t="str">
        <f>IFERROR((VLOOKUP(TableWRRanks32[[#This Row],[Player]],WR!B:O,7,FALSE)),"")</f>
        <v/>
      </c>
      <c r="AL187" s="83" t="str">
        <f>IFERROR((VLOOKUP(TableWRRanks32[[#This Row],[Player]],WR!B:O,8,FALSE)),"")</f>
        <v/>
      </c>
      <c r="AM187" s="83" t="str">
        <f>IFERROR((VLOOKUP(TableWRRanks32[[#This Row],[Player]],WR!B:O,9,FALSE)),"")</f>
        <v/>
      </c>
      <c r="AN187" s="57" t="str">
        <f>IFERROR((IFERROR(INDEX(TableWRCalcPts[Custom],MATCH(TableWRRanks32[[#This Row],[RK]],TableWRCalcPts[RK],0)),"")),"")</f>
        <v/>
      </c>
      <c r="AO187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188" spans="30:41" x14ac:dyDescent="0.2">
      <c r="AD188">
        <v>187</v>
      </c>
      <c r="AE188" t="str">
        <f>IFERROR(INDEX(TableWRCalcPts[PLAYER],MATCH(TableWRRanks32[[#This Row],[RK]],TableWRCalcPts[RK],0)),"")</f>
        <v/>
      </c>
      <c r="AF188" t="str">
        <f>IFERROR(INDEX(TableWRCalcPts[TM],MATCH(TableWRRanks32[[#This Row],[Player]],TableWRCalcPts[PLAYER],0)),"")</f>
        <v/>
      </c>
      <c r="AG188" t="str">
        <f>IFERROR(INDEX(TableWRCalcPts[BYE],MATCH(TableWRRanks32[[#This Row],[Player]],TableWRCalcPts[PLAYER],0)),"")</f>
        <v/>
      </c>
      <c r="AH188" s="83" t="str">
        <f>IFERROR((VLOOKUP(TableWRRanks32[[#This Row],[Player]],WR!B:O,4,FALSE)),"")</f>
        <v/>
      </c>
      <c r="AI188" s="83" t="str">
        <f>IFERROR((VLOOKUP(TableWRRanks32[[#This Row],[Player]],WR!B:O,5,FALSE)),"")</f>
        <v/>
      </c>
      <c r="AJ188" s="83" t="str">
        <f>IFERROR((VLOOKUP(TableWRRanks32[[#This Row],[Player]],WR!B:O,6,FALSE)),"")</f>
        <v/>
      </c>
      <c r="AK188" s="83" t="str">
        <f>IFERROR((VLOOKUP(TableWRRanks32[[#This Row],[Player]],WR!B:O,7,FALSE)),"")</f>
        <v/>
      </c>
      <c r="AL188" s="83" t="str">
        <f>IFERROR((VLOOKUP(TableWRRanks32[[#This Row],[Player]],WR!B:O,8,FALSE)),"")</f>
        <v/>
      </c>
      <c r="AM188" s="83" t="str">
        <f>IFERROR((VLOOKUP(TableWRRanks32[[#This Row],[Player]],WR!B:O,9,FALSE)),"")</f>
        <v/>
      </c>
      <c r="AN188" s="57" t="str">
        <f>IFERROR((IFERROR(INDEX(TableWRCalcPts[Custom],MATCH(TableWRRanks32[[#This Row],[RK]],TableWRCalcPts[RK],0)),"")),"")</f>
        <v/>
      </c>
      <c r="AO188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189" spans="30:41" x14ac:dyDescent="0.2">
      <c r="AD189">
        <v>188</v>
      </c>
      <c r="AE189" t="str">
        <f>IFERROR(INDEX(TableWRCalcPts[PLAYER],MATCH(TableWRRanks32[[#This Row],[RK]],TableWRCalcPts[RK],0)),"")</f>
        <v/>
      </c>
      <c r="AF189" t="str">
        <f>IFERROR(INDEX(TableWRCalcPts[TM],MATCH(TableWRRanks32[[#This Row],[Player]],TableWRCalcPts[PLAYER],0)),"")</f>
        <v/>
      </c>
      <c r="AG189" t="str">
        <f>IFERROR(INDEX(TableWRCalcPts[BYE],MATCH(TableWRRanks32[[#This Row],[Player]],TableWRCalcPts[PLAYER],0)),"")</f>
        <v/>
      </c>
      <c r="AH189" s="83" t="str">
        <f>IFERROR((VLOOKUP(TableWRRanks32[[#This Row],[Player]],WR!B:O,4,FALSE)),"")</f>
        <v/>
      </c>
      <c r="AI189" s="83" t="str">
        <f>IFERROR((VLOOKUP(TableWRRanks32[[#This Row],[Player]],WR!B:O,5,FALSE)),"")</f>
        <v/>
      </c>
      <c r="AJ189" s="83" t="str">
        <f>IFERROR((VLOOKUP(TableWRRanks32[[#This Row],[Player]],WR!B:O,6,FALSE)),"")</f>
        <v/>
      </c>
      <c r="AK189" s="83" t="str">
        <f>IFERROR((VLOOKUP(TableWRRanks32[[#This Row],[Player]],WR!B:O,7,FALSE)),"")</f>
        <v/>
      </c>
      <c r="AL189" s="83" t="str">
        <f>IFERROR((VLOOKUP(TableWRRanks32[[#This Row],[Player]],WR!B:O,8,FALSE)),"")</f>
        <v/>
      </c>
      <c r="AM189" s="83" t="str">
        <f>IFERROR((VLOOKUP(TableWRRanks32[[#This Row],[Player]],WR!B:O,9,FALSE)),"")</f>
        <v/>
      </c>
      <c r="AN189" s="57" t="str">
        <f>IFERROR((IFERROR(INDEX(TableWRCalcPts[Custom],MATCH(TableWRRanks32[[#This Row],[RK]],TableWRCalcPts[RK],0)),"")),"")</f>
        <v/>
      </c>
      <c r="AO189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190" spans="30:41" x14ac:dyDescent="0.2">
      <c r="AD190">
        <v>189</v>
      </c>
      <c r="AE190" t="str">
        <f>IFERROR(INDEX(TableWRCalcPts[PLAYER],MATCH(TableWRRanks32[[#This Row],[RK]],TableWRCalcPts[RK],0)),"")</f>
        <v/>
      </c>
      <c r="AF190" t="str">
        <f>IFERROR(INDEX(TableWRCalcPts[TM],MATCH(TableWRRanks32[[#This Row],[Player]],TableWRCalcPts[PLAYER],0)),"")</f>
        <v/>
      </c>
      <c r="AG190" t="str">
        <f>IFERROR(INDEX(TableWRCalcPts[BYE],MATCH(TableWRRanks32[[#This Row],[Player]],TableWRCalcPts[PLAYER],0)),"")</f>
        <v/>
      </c>
      <c r="AH190" s="83" t="str">
        <f>IFERROR((VLOOKUP(TableWRRanks32[[#This Row],[Player]],WR!B:O,4,FALSE)),"")</f>
        <v/>
      </c>
      <c r="AI190" s="83" t="str">
        <f>IFERROR((VLOOKUP(TableWRRanks32[[#This Row],[Player]],WR!B:O,5,FALSE)),"")</f>
        <v/>
      </c>
      <c r="AJ190" s="83" t="str">
        <f>IFERROR((VLOOKUP(TableWRRanks32[[#This Row],[Player]],WR!B:O,6,FALSE)),"")</f>
        <v/>
      </c>
      <c r="AK190" s="83" t="str">
        <f>IFERROR((VLOOKUP(TableWRRanks32[[#This Row],[Player]],WR!B:O,7,FALSE)),"")</f>
        <v/>
      </c>
      <c r="AL190" s="83" t="str">
        <f>IFERROR((VLOOKUP(TableWRRanks32[[#This Row],[Player]],WR!B:O,8,FALSE)),"")</f>
        <v/>
      </c>
      <c r="AM190" s="83" t="str">
        <f>IFERROR((VLOOKUP(TableWRRanks32[[#This Row],[Player]],WR!B:O,9,FALSE)),"")</f>
        <v/>
      </c>
      <c r="AN190" s="57" t="str">
        <f>IFERROR((IFERROR(INDEX(TableWRCalcPts[Custom],MATCH(TableWRRanks32[[#This Row],[RK]],TableWRCalcPts[RK],0)),"")),"")</f>
        <v/>
      </c>
      <c r="AO190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191" spans="30:41" x14ac:dyDescent="0.2">
      <c r="AD191">
        <v>190</v>
      </c>
      <c r="AE191" t="str">
        <f>IFERROR(INDEX(TableWRCalcPts[PLAYER],MATCH(TableWRRanks32[[#This Row],[RK]],TableWRCalcPts[RK],0)),"")</f>
        <v/>
      </c>
      <c r="AF191" t="str">
        <f>IFERROR(INDEX(TableWRCalcPts[TM],MATCH(TableWRRanks32[[#This Row],[Player]],TableWRCalcPts[PLAYER],0)),"")</f>
        <v/>
      </c>
      <c r="AG191" t="str">
        <f>IFERROR(INDEX(TableWRCalcPts[BYE],MATCH(TableWRRanks32[[#This Row],[Player]],TableWRCalcPts[PLAYER],0)),"")</f>
        <v/>
      </c>
      <c r="AH191" s="83" t="str">
        <f>IFERROR((VLOOKUP(TableWRRanks32[[#This Row],[Player]],WR!B:O,4,FALSE)),"")</f>
        <v/>
      </c>
      <c r="AI191" s="83" t="str">
        <f>IFERROR((VLOOKUP(TableWRRanks32[[#This Row],[Player]],WR!B:O,5,FALSE)),"")</f>
        <v/>
      </c>
      <c r="AJ191" s="83" t="str">
        <f>IFERROR((VLOOKUP(TableWRRanks32[[#This Row],[Player]],WR!B:O,6,FALSE)),"")</f>
        <v/>
      </c>
      <c r="AK191" s="83" t="str">
        <f>IFERROR((VLOOKUP(TableWRRanks32[[#This Row],[Player]],WR!B:O,7,FALSE)),"")</f>
        <v/>
      </c>
      <c r="AL191" s="83" t="str">
        <f>IFERROR((VLOOKUP(TableWRRanks32[[#This Row],[Player]],WR!B:O,8,FALSE)),"")</f>
        <v/>
      </c>
      <c r="AM191" s="83" t="str">
        <f>IFERROR((VLOOKUP(TableWRRanks32[[#This Row],[Player]],WR!B:O,9,FALSE)),"")</f>
        <v/>
      </c>
      <c r="AN191" s="57" t="str">
        <f>IFERROR((IFERROR(INDEX(TableWRCalcPts[Custom],MATCH(TableWRRanks32[[#This Row],[RK]],TableWRCalcPts[RK],0)),"")),"")</f>
        <v/>
      </c>
      <c r="AO191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192" spans="30:41" x14ac:dyDescent="0.2">
      <c r="AD192">
        <v>191</v>
      </c>
      <c r="AE192" t="str">
        <f>IFERROR(INDEX(TableWRCalcPts[PLAYER],MATCH(TableWRRanks32[[#This Row],[RK]],TableWRCalcPts[RK],0)),"")</f>
        <v/>
      </c>
      <c r="AF192" t="str">
        <f>IFERROR(INDEX(TableWRCalcPts[TM],MATCH(TableWRRanks32[[#This Row],[Player]],TableWRCalcPts[PLAYER],0)),"")</f>
        <v/>
      </c>
      <c r="AG192" t="str">
        <f>IFERROR(INDEX(TableWRCalcPts[BYE],MATCH(TableWRRanks32[[#This Row],[Player]],TableWRCalcPts[PLAYER],0)),"")</f>
        <v/>
      </c>
      <c r="AH192" s="83" t="str">
        <f>IFERROR((VLOOKUP(TableWRRanks32[[#This Row],[Player]],WR!B:O,4,FALSE)),"")</f>
        <v/>
      </c>
      <c r="AI192" s="83" t="str">
        <f>IFERROR((VLOOKUP(TableWRRanks32[[#This Row],[Player]],WR!B:O,5,FALSE)),"")</f>
        <v/>
      </c>
      <c r="AJ192" s="83" t="str">
        <f>IFERROR((VLOOKUP(TableWRRanks32[[#This Row],[Player]],WR!B:O,6,FALSE)),"")</f>
        <v/>
      </c>
      <c r="AK192" s="83" t="str">
        <f>IFERROR((VLOOKUP(TableWRRanks32[[#This Row],[Player]],WR!B:O,7,FALSE)),"")</f>
        <v/>
      </c>
      <c r="AL192" s="83" t="str">
        <f>IFERROR((VLOOKUP(TableWRRanks32[[#This Row],[Player]],WR!B:O,8,FALSE)),"")</f>
        <v/>
      </c>
      <c r="AM192" s="83" t="str">
        <f>IFERROR((VLOOKUP(TableWRRanks32[[#This Row],[Player]],WR!B:O,9,FALSE)),"")</f>
        <v/>
      </c>
      <c r="AN192" s="57" t="str">
        <f>IFERROR((IFERROR(INDEX(TableWRCalcPts[Custom],MATCH(TableWRRanks32[[#This Row],[RK]],TableWRCalcPts[RK],0)),"")),"")</f>
        <v/>
      </c>
      <c r="AO192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193" spans="30:41" x14ac:dyDescent="0.2">
      <c r="AD193">
        <v>192</v>
      </c>
      <c r="AE193" t="str">
        <f>IFERROR(INDEX(TableWRCalcPts[PLAYER],MATCH(TableWRRanks32[[#This Row],[RK]],TableWRCalcPts[RK],0)),"")</f>
        <v/>
      </c>
      <c r="AF193" t="str">
        <f>IFERROR(INDEX(TableWRCalcPts[TM],MATCH(TableWRRanks32[[#This Row],[Player]],TableWRCalcPts[PLAYER],0)),"")</f>
        <v/>
      </c>
      <c r="AG193" t="str">
        <f>IFERROR(INDEX(TableWRCalcPts[BYE],MATCH(TableWRRanks32[[#This Row],[Player]],TableWRCalcPts[PLAYER],0)),"")</f>
        <v/>
      </c>
      <c r="AH193" s="83" t="str">
        <f>IFERROR((VLOOKUP(TableWRRanks32[[#This Row],[Player]],WR!B:O,4,FALSE)),"")</f>
        <v/>
      </c>
      <c r="AI193" s="83" t="str">
        <f>IFERROR((VLOOKUP(TableWRRanks32[[#This Row],[Player]],WR!B:O,5,FALSE)),"")</f>
        <v/>
      </c>
      <c r="AJ193" s="83" t="str">
        <f>IFERROR((VLOOKUP(TableWRRanks32[[#This Row],[Player]],WR!B:O,6,FALSE)),"")</f>
        <v/>
      </c>
      <c r="AK193" s="83" t="str">
        <f>IFERROR((VLOOKUP(TableWRRanks32[[#This Row],[Player]],WR!B:O,7,FALSE)),"")</f>
        <v/>
      </c>
      <c r="AL193" s="83" t="str">
        <f>IFERROR((VLOOKUP(TableWRRanks32[[#This Row],[Player]],WR!B:O,8,FALSE)),"")</f>
        <v/>
      </c>
      <c r="AM193" s="83" t="str">
        <f>IFERROR((VLOOKUP(TableWRRanks32[[#This Row],[Player]],WR!B:O,9,FALSE)),"")</f>
        <v/>
      </c>
      <c r="AN193" s="57" t="str">
        <f>IFERROR((IFERROR(INDEX(TableWRCalcPts[Custom],MATCH(TableWRRanks32[[#This Row],[RK]],TableWRCalcPts[RK],0)),"")),"")</f>
        <v/>
      </c>
      <c r="AO193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194" spans="30:41" x14ac:dyDescent="0.2">
      <c r="AD194">
        <v>193</v>
      </c>
      <c r="AE194" t="str">
        <f>IFERROR(INDEX(TableWRCalcPts[PLAYER],MATCH(TableWRRanks32[[#This Row],[RK]],TableWRCalcPts[RK],0)),"")</f>
        <v/>
      </c>
      <c r="AF194" t="str">
        <f>IFERROR(INDEX(TableWRCalcPts[TM],MATCH(TableWRRanks32[[#This Row],[Player]],TableWRCalcPts[PLAYER],0)),"")</f>
        <v/>
      </c>
      <c r="AG194" t="str">
        <f>IFERROR(INDEX(TableWRCalcPts[BYE],MATCH(TableWRRanks32[[#This Row],[Player]],TableWRCalcPts[PLAYER],0)),"")</f>
        <v/>
      </c>
      <c r="AH194" s="83" t="str">
        <f>IFERROR((VLOOKUP(TableWRRanks32[[#This Row],[Player]],WR!B:O,4,FALSE)),"")</f>
        <v/>
      </c>
      <c r="AI194" s="83" t="str">
        <f>IFERROR((VLOOKUP(TableWRRanks32[[#This Row],[Player]],WR!B:O,5,FALSE)),"")</f>
        <v/>
      </c>
      <c r="AJ194" s="83" t="str">
        <f>IFERROR((VLOOKUP(TableWRRanks32[[#This Row],[Player]],WR!B:O,6,FALSE)),"")</f>
        <v/>
      </c>
      <c r="AK194" s="83" t="str">
        <f>IFERROR((VLOOKUP(TableWRRanks32[[#This Row],[Player]],WR!B:O,7,FALSE)),"")</f>
        <v/>
      </c>
      <c r="AL194" s="83" t="str">
        <f>IFERROR((VLOOKUP(TableWRRanks32[[#This Row],[Player]],WR!B:O,8,FALSE)),"")</f>
        <v/>
      </c>
      <c r="AM194" s="83" t="str">
        <f>IFERROR((VLOOKUP(TableWRRanks32[[#This Row],[Player]],WR!B:O,9,FALSE)),"")</f>
        <v/>
      </c>
      <c r="AN194" s="57" t="str">
        <f>IFERROR((IFERROR(INDEX(TableWRCalcPts[Custom],MATCH(TableWRRanks32[[#This Row],[RK]],TableWRCalcPts[RK],0)),"")),"")</f>
        <v/>
      </c>
      <c r="AO194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195" spans="30:41" x14ac:dyDescent="0.2">
      <c r="AD195">
        <v>194</v>
      </c>
      <c r="AE195" t="str">
        <f>IFERROR(INDEX(TableWRCalcPts[PLAYER],MATCH(TableWRRanks32[[#This Row],[RK]],TableWRCalcPts[RK],0)),"")</f>
        <v/>
      </c>
      <c r="AF195" t="str">
        <f>IFERROR(INDEX(TableWRCalcPts[TM],MATCH(TableWRRanks32[[#This Row],[Player]],TableWRCalcPts[PLAYER],0)),"")</f>
        <v/>
      </c>
      <c r="AG195" t="str">
        <f>IFERROR(INDEX(TableWRCalcPts[BYE],MATCH(TableWRRanks32[[#This Row],[Player]],TableWRCalcPts[PLAYER],0)),"")</f>
        <v/>
      </c>
      <c r="AH195" s="83" t="str">
        <f>IFERROR((VLOOKUP(TableWRRanks32[[#This Row],[Player]],WR!B:O,4,FALSE)),"")</f>
        <v/>
      </c>
      <c r="AI195" s="83" t="str">
        <f>IFERROR((VLOOKUP(TableWRRanks32[[#This Row],[Player]],WR!B:O,5,FALSE)),"")</f>
        <v/>
      </c>
      <c r="AJ195" s="83" t="str">
        <f>IFERROR((VLOOKUP(TableWRRanks32[[#This Row],[Player]],WR!B:O,6,FALSE)),"")</f>
        <v/>
      </c>
      <c r="AK195" s="83" t="str">
        <f>IFERROR((VLOOKUP(TableWRRanks32[[#This Row],[Player]],WR!B:O,7,FALSE)),"")</f>
        <v/>
      </c>
      <c r="AL195" s="83" t="str">
        <f>IFERROR((VLOOKUP(TableWRRanks32[[#This Row],[Player]],WR!B:O,8,FALSE)),"")</f>
        <v/>
      </c>
      <c r="AM195" s="83" t="str">
        <f>IFERROR((VLOOKUP(TableWRRanks32[[#This Row],[Player]],WR!B:O,9,FALSE)),"")</f>
        <v/>
      </c>
      <c r="AN195" s="57" t="str">
        <f>IFERROR((IFERROR(INDEX(TableWRCalcPts[Custom],MATCH(TableWRRanks32[[#This Row],[RK]],TableWRCalcPts[RK],0)),"")),"")</f>
        <v/>
      </c>
      <c r="AO195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196" spans="30:41" x14ac:dyDescent="0.2">
      <c r="AD196">
        <v>195</v>
      </c>
      <c r="AE196" t="str">
        <f>IFERROR(INDEX(TableWRCalcPts[PLAYER],MATCH(TableWRRanks32[[#This Row],[RK]],TableWRCalcPts[RK],0)),"")</f>
        <v/>
      </c>
      <c r="AF196" t="str">
        <f>IFERROR(INDEX(TableWRCalcPts[TM],MATCH(TableWRRanks32[[#This Row],[Player]],TableWRCalcPts[PLAYER],0)),"")</f>
        <v/>
      </c>
      <c r="AG196" t="str">
        <f>IFERROR(INDEX(TableWRCalcPts[BYE],MATCH(TableWRRanks32[[#This Row],[Player]],TableWRCalcPts[PLAYER],0)),"")</f>
        <v/>
      </c>
      <c r="AH196" s="83" t="str">
        <f>IFERROR((VLOOKUP(TableWRRanks32[[#This Row],[Player]],WR!B:O,4,FALSE)),"")</f>
        <v/>
      </c>
      <c r="AI196" s="83" t="str">
        <f>IFERROR((VLOOKUP(TableWRRanks32[[#This Row],[Player]],WR!B:O,5,FALSE)),"")</f>
        <v/>
      </c>
      <c r="AJ196" s="83" t="str">
        <f>IFERROR((VLOOKUP(TableWRRanks32[[#This Row],[Player]],WR!B:O,6,FALSE)),"")</f>
        <v/>
      </c>
      <c r="AK196" s="83" t="str">
        <f>IFERROR((VLOOKUP(TableWRRanks32[[#This Row],[Player]],WR!B:O,7,FALSE)),"")</f>
        <v/>
      </c>
      <c r="AL196" s="83" t="str">
        <f>IFERROR((VLOOKUP(TableWRRanks32[[#This Row],[Player]],WR!B:O,8,FALSE)),"")</f>
        <v/>
      </c>
      <c r="AM196" s="83" t="str">
        <f>IFERROR((VLOOKUP(TableWRRanks32[[#This Row],[Player]],WR!B:O,9,FALSE)),"")</f>
        <v/>
      </c>
      <c r="AN196" s="57" t="str">
        <f>IFERROR((IFERROR(INDEX(TableWRCalcPts[Custom],MATCH(TableWRRanks32[[#This Row],[RK]],TableWRCalcPts[RK],0)),"")),"")</f>
        <v/>
      </c>
      <c r="AO196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197" spans="30:41" x14ac:dyDescent="0.2">
      <c r="AD197">
        <v>196</v>
      </c>
      <c r="AE197" t="str">
        <f>IFERROR(INDEX(TableWRCalcPts[PLAYER],MATCH(TableWRRanks32[[#This Row],[RK]],TableWRCalcPts[RK],0)),"")</f>
        <v/>
      </c>
      <c r="AF197" t="str">
        <f>IFERROR(INDEX(TableWRCalcPts[TM],MATCH(TableWRRanks32[[#This Row],[Player]],TableWRCalcPts[PLAYER],0)),"")</f>
        <v/>
      </c>
      <c r="AG197" t="str">
        <f>IFERROR(INDEX(TableWRCalcPts[BYE],MATCH(TableWRRanks32[[#This Row],[Player]],TableWRCalcPts[PLAYER],0)),"")</f>
        <v/>
      </c>
      <c r="AH197" s="83" t="str">
        <f>IFERROR((VLOOKUP(TableWRRanks32[[#This Row],[Player]],WR!B:O,4,FALSE)),"")</f>
        <v/>
      </c>
      <c r="AI197" s="83" t="str">
        <f>IFERROR((VLOOKUP(TableWRRanks32[[#This Row],[Player]],WR!B:O,5,FALSE)),"")</f>
        <v/>
      </c>
      <c r="AJ197" s="83" t="str">
        <f>IFERROR((VLOOKUP(TableWRRanks32[[#This Row],[Player]],WR!B:O,6,FALSE)),"")</f>
        <v/>
      </c>
      <c r="AK197" s="83" t="str">
        <f>IFERROR((VLOOKUP(TableWRRanks32[[#This Row],[Player]],WR!B:O,7,FALSE)),"")</f>
        <v/>
      </c>
      <c r="AL197" s="83" t="str">
        <f>IFERROR((VLOOKUP(TableWRRanks32[[#This Row],[Player]],WR!B:O,8,FALSE)),"")</f>
        <v/>
      </c>
      <c r="AM197" s="83" t="str">
        <f>IFERROR((VLOOKUP(TableWRRanks32[[#This Row],[Player]],WR!B:O,9,FALSE)),"")</f>
        <v/>
      </c>
      <c r="AN197" s="57" t="str">
        <f>IFERROR((IFERROR(INDEX(TableWRCalcPts[Custom],MATCH(TableWRRanks32[[#This Row],[RK]],TableWRCalcPts[RK],0)),"")),"")</f>
        <v/>
      </c>
      <c r="AO197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198" spans="30:41" x14ac:dyDescent="0.2">
      <c r="AD198">
        <v>197</v>
      </c>
      <c r="AE198" t="str">
        <f>IFERROR(INDEX(TableWRCalcPts[PLAYER],MATCH(TableWRRanks32[[#This Row],[RK]],TableWRCalcPts[RK],0)),"")</f>
        <v/>
      </c>
      <c r="AF198" t="str">
        <f>IFERROR(INDEX(TableWRCalcPts[TM],MATCH(TableWRRanks32[[#This Row],[Player]],TableWRCalcPts[PLAYER],0)),"")</f>
        <v/>
      </c>
      <c r="AG198" t="str">
        <f>IFERROR(INDEX(TableWRCalcPts[BYE],MATCH(TableWRRanks32[[#This Row],[Player]],TableWRCalcPts[PLAYER],0)),"")</f>
        <v/>
      </c>
      <c r="AH198" s="83" t="str">
        <f>IFERROR((VLOOKUP(TableWRRanks32[[#This Row],[Player]],WR!B:O,4,FALSE)),"")</f>
        <v/>
      </c>
      <c r="AI198" s="83" t="str">
        <f>IFERROR((VLOOKUP(TableWRRanks32[[#This Row],[Player]],WR!B:O,5,FALSE)),"")</f>
        <v/>
      </c>
      <c r="AJ198" s="83" t="str">
        <f>IFERROR((VLOOKUP(TableWRRanks32[[#This Row],[Player]],WR!B:O,6,FALSE)),"")</f>
        <v/>
      </c>
      <c r="AK198" s="83" t="str">
        <f>IFERROR((VLOOKUP(TableWRRanks32[[#This Row],[Player]],WR!B:O,7,FALSE)),"")</f>
        <v/>
      </c>
      <c r="AL198" s="83" t="str">
        <f>IFERROR((VLOOKUP(TableWRRanks32[[#This Row],[Player]],WR!B:O,8,FALSE)),"")</f>
        <v/>
      </c>
      <c r="AM198" s="83" t="str">
        <f>IFERROR((VLOOKUP(TableWRRanks32[[#This Row],[Player]],WR!B:O,9,FALSE)),"")</f>
        <v/>
      </c>
      <c r="AN198" s="57" t="str">
        <f>IFERROR((IFERROR(INDEX(TableWRCalcPts[Custom],MATCH(TableWRRanks32[[#This Row],[RK]],TableWRCalcPts[RK],0)),"")),"")</f>
        <v/>
      </c>
      <c r="AO198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199" spans="30:41" x14ac:dyDescent="0.2">
      <c r="AD199">
        <v>198</v>
      </c>
      <c r="AE199" t="str">
        <f>IFERROR(INDEX(TableWRCalcPts[PLAYER],MATCH(TableWRRanks32[[#This Row],[RK]],TableWRCalcPts[RK],0)),"")</f>
        <v/>
      </c>
      <c r="AF199" t="str">
        <f>IFERROR(INDEX(TableWRCalcPts[TM],MATCH(TableWRRanks32[[#This Row],[Player]],TableWRCalcPts[PLAYER],0)),"")</f>
        <v/>
      </c>
      <c r="AG199" t="str">
        <f>IFERROR(INDEX(TableWRCalcPts[BYE],MATCH(TableWRRanks32[[#This Row],[Player]],TableWRCalcPts[PLAYER],0)),"")</f>
        <v/>
      </c>
      <c r="AH199" s="83" t="str">
        <f>IFERROR((VLOOKUP(TableWRRanks32[[#This Row],[Player]],WR!B:O,4,FALSE)),"")</f>
        <v/>
      </c>
      <c r="AI199" s="83" t="str">
        <f>IFERROR((VLOOKUP(TableWRRanks32[[#This Row],[Player]],WR!B:O,5,FALSE)),"")</f>
        <v/>
      </c>
      <c r="AJ199" s="83" t="str">
        <f>IFERROR((VLOOKUP(TableWRRanks32[[#This Row],[Player]],WR!B:O,6,FALSE)),"")</f>
        <v/>
      </c>
      <c r="AK199" s="83" t="str">
        <f>IFERROR((VLOOKUP(TableWRRanks32[[#This Row],[Player]],WR!B:O,7,FALSE)),"")</f>
        <v/>
      </c>
      <c r="AL199" s="83" t="str">
        <f>IFERROR((VLOOKUP(TableWRRanks32[[#This Row],[Player]],WR!B:O,8,FALSE)),"")</f>
        <v/>
      </c>
      <c r="AM199" s="83" t="str">
        <f>IFERROR((VLOOKUP(TableWRRanks32[[#This Row],[Player]],WR!B:O,9,FALSE)),"")</f>
        <v/>
      </c>
      <c r="AN199" s="57" t="str">
        <f>IFERROR((IFERROR(INDEX(TableWRCalcPts[Custom],MATCH(TableWRRanks32[[#This Row],[RK]],TableWRCalcPts[RK],0)),"")),"")</f>
        <v/>
      </c>
      <c r="AO199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200" spans="30:41" x14ac:dyDescent="0.2">
      <c r="AD200">
        <v>199</v>
      </c>
      <c r="AE200" t="str">
        <f>IFERROR(INDEX(TableWRCalcPts[PLAYER],MATCH(TableWRRanks32[[#This Row],[RK]],TableWRCalcPts[RK],0)),"")</f>
        <v/>
      </c>
      <c r="AF200" t="str">
        <f>IFERROR(INDEX(TableWRCalcPts[TM],MATCH(TableWRRanks32[[#This Row],[Player]],TableWRCalcPts[PLAYER],0)),"")</f>
        <v/>
      </c>
      <c r="AG200" t="str">
        <f>IFERROR(INDEX(TableWRCalcPts[BYE],MATCH(TableWRRanks32[[#This Row],[Player]],TableWRCalcPts[PLAYER],0)),"")</f>
        <v/>
      </c>
      <c r="AH200" s="83" t="str">
        <f>IFERROR((VLOOKUP(TableWRRanks32[[#This Row],[Player]],WR!B:O,4,FALSE)),"")</f>
        <v/>
      </c>
      <c r="AI200" s="83" t="str">
        <f>IFERROR((VLOOKUP(TableWRRanks32[[#This Row],[Player]],WR!B:O,5,FALSE)),"")</f>
        <v/>
      </c>
      <c r="AJ200" s="83" t="str">
        <f>IFERROR((VLOOKUP(TableWRRanks32[[#This Row],[Player]],WR!B:O,6,FALSE)),"")</f>
        <v/>
      </c>
      <c r="AK200" s="83" t="str">
        <f>IFERROR((VLOOKUP(TableWRRanks32[[#This Row],[Player]],WR!B:O,7,FALSE)),"")</f>
        <v/>
      </c>
      <c r="AL200" s="83" t="str">
        <f>IFERROR((VLOOKUP(TableWRRanks32[[#This Row],[Player]],WR!B:O,8,FALSE)),"")</f>
        <v/>
      </c>
      <c r="AM200" s="83" t="str">
        <f>IFERROR((VLOOKUP(TableWRRanks32[[#This Row],[Player]],WR!B:O,9,FALSE)),"")</f>
        <v/>
      </c>
      <c r="AN200" s="57" t="str">
        <f>IFERROR((IFERROR(INDEX(TableWRCalcPts[Custom],MATCH(TableWRRanks32[[#This Row],[RK]],TableWRCalcPts[RK],0)),"")),"")</f>
        <v/>
      </c>
      <c r="AO200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201" spans="30:41" x14ac:dyDescent="0.2">
      <c r="AD201">
        <v>200</v>
      </c>
      <c r="AE201" t="str">
        <f>IFERROR(INDEX(TableWRCalcPts[PLAYER],MATCH(TableWRRanks32[[#This Row],[RK]],TableWRCalcPts[RK],0)),"")</f>
        <v/>
      </c>
      <c r="AF201" t="str">
        <f>IFERROR(INDEX(TableWRCalcPts[TM],MATCH(TableWRRanks32[[#This Row],[Player]],TableWRCalcPts[PLAYER],0)),"")</f>
        <v/>
      </c>
      <c r="AG201" t="str">
        <f>IFERROR(INDEX(TableWRCalcPts[BYE],MATCH(TableWRRanks32[[#This Row],[Player]],TableWRCalcPts[PLAYER],0)),"")</f>
        <v/>
      </c>
      <c r="AH201" s="83" t="str">
        <f>IFERROR((VLOOKUP(TableWRRanks32[[#This Row],[Player]],WR!B:O,4,FALSE)),"")</f>
        <v/>
      </c>
      <c r="AI201" s="83" t="str">
        <f>IFERROR((VLOOKUP(TableWRRanks32[[#This Row],[Player]],WR!B:O,5,FALSE)),"")</f>
        <v/>
      </c>
      <c r="AJ201" s="83" t="str">
        <f>IFERROR((VLOOKUP(TableWRRanks32[[#This Row],[Player]],WR!B:O,6,FALSE)),"")</f>
        <v/>
      </c>
      <c r="AK201" s="83" t="str">
        <f>IFERROR((VLOOKUP(TableWRRanks32[[#This Row],[Player]],WR!B:O,7,FALSE)),"")</f>
        <v/>
      </c>
      <c r="AL201" s="83" t="str">
        <f>IFERROR((VLOOKUP(TableWRRanks32[[#This Row],[Player]],WR!B:O,8,FALSE)),"")</f>
        <v/>
      </c>
      <c r="AM201" s="83" t="str">
        <f>IFERROR((VLOOKUP(TableWRRanks32[[#This Row],[Player]],WR!B:O,9,FALSE)),"")</f>
        <v/>
      </c>
      <c r="AN201" s="57" t="str">
        <f>IFERROR((IFERROR(INDEX(TableWRCalcPts[Custom],MATCH(TableWRRanks32[[#This Row],[RK]],TableWRCalcPts[RK],0)),"")),"")</f>
        <v/>
      </c>
      <c r="AO201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202" spans="30:41" x14ac:dyDescent="0.2">
      <c r="AD202">
        <v>201</v>
      </c>
      <c r="AE202" t="str">
        <f>IFERROR(INDEX(TableWRCalcPts[PLAYER],MATCH(TableWRRanks32[[#This Row],[RK]],TableWRCalcPts[RK],0)),"")</f>
        <v/>
      </c>
      <c r="AF202" t="str">
        <f>IFERROR(INDEX(TableWRCalcPts[TM],MATCH(TableWRRanks32[[#This Row],[Player]],TableWRCalcPts[PLAYER],0)),"")</f>
        <v/>
      </c>
      <c r="AG202" t="str">
        <f>IFERROR(INDEX(TableWRCalcPts[BYE],MATCH(TableWRRanks32[[#This Row],[Player]],TableWRCalcPts[PLAYER],0)),"")</f>
        <v/>
      </c>
      <c r="AH202" s="83" t="str">
        <f>IFERROR((VLOOKUP(TableWRRanks32[[#This Row],[Player]],WR!B:O,4,FALSE)),"")</f>
        <v/>
      </c>
      <c r="AI202" s="83" t="str">
        <f>IFERROR((VLOOKUP(TableWRRanks32[[#This Row],[Player]],WR!B:O,5,FALSE)),"")</f>
        <v/>
      </c>
      <c r="AJ202" s="83" t="str">
        <f>IFERROR((VLOOKUP(TableWRRanks32[[#This Row],[Player]],WR!B:O,6,FALSE)),"")</f>
        <v/>
      </c>
      <c r="AK202" s="83" t="str">
        <f>IFERROR((VLOOKUP(TableWRRanks32[[#This Row],[Player]],WR!B:O,7,FALSE)),"")</f>
        <v/>
      </c>
      <c r="AL202" s="83" t="str">
        <f>IFERROR((VLOOKUP(TableWRRanks32[[#This Row],[Player]],WR!B:O,8,FALSE)),"")</f>
        <v/>
      </c>
      <c r="AM202" s="83" t="str">
        <f>IFERROR((VLOOKUP(TableWRRanks32[[#This Row],[Player]],WR!B:O,9,FALSE)),"")</f>
        <v/>
      </c>
      <c r="AN202" s="57" t="str">
        <f>IFERROR((IFERROR(INDEX(TableWRCalcPts[Custom],MATCH(TableWRRanks32[[#This Row],[RK]],TableWRCalcPts[RK],0)),"")),"")</f>
        <v/>
      </c>
      <c r="AO202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203" spans="30:41" x14ac:dyDescent="0.2">
      <c r="AD203">
        <v>202</v>
      </c>
      <c r="AE203" t="str">
        <f>IFERROR(INDEX(TableWRCalcPts[PLAYER],MATCH(TableWRRanks32[[#This Row],[RK]],TableWRCalcPts[RK],0)),"")</f>
        <v/>
      </c>
      <c r="AF203" t="str">
        <f>IFERROR(INDEX(TableWRCalcPts[TM],MATCH(TableWRRanks32[[#This Row],[Player]],TableWRCalcPts[PLAYER],0)),"")</f>
        <v/>
      </c>
      <c r="AG203" t="str">
        <f>IFERROR(INDEX(TableWRCalcPts[BYE],MATCH(TableWRRanks32[[#This Row],[Player]],TableWRCalcPts[PLAYER],0)),"")</f>
        <v/>
      </c>
      <c r="AH203" s="83" t="str">
        <f>IFERROR((VLOOKUP(TableWRRanks32[[#This Row],[Player]],WR!B:O,4,FALSE)),"")</f>
        <v/>
      </c>
      <c r="AI203" s="83" t="str">
        <f>IFERROR((VLOOKUP(TableWRRanks32[[#This Row],[Player]],WR!B:O,5,FALSE)),"")</f>
        <v/>
      </c>
      <c r="AJ203" s="83" t="str">
        <f>IFERROR((VLOOKUP(TableWRRanks32[[#This Row],[Player]],WR!B:O,6,FALSE)),"")</f>
        <v/>
      </c>
      <c r="AK203" s="83" t="str">
        <f>IFERROR((VLOOKUP(TableWRRanks32[[#This Row],[Player]],WR!B:O,7,FALSE)),"")</f>
        <v/>
      </c>
      <c r="AL203" s="83" t="str">
        <f>IFERROR((VLOOKUP(TableWRRanks32[[#This Row],[Player]],WR!B:O,8,FALSE)),"")</f>
        <v/>
      </c>
      <c r="AM203" s="83" t="str">
        <f>IFERROR((VLOOKUP(TableWRRanks32[[#This Row],[Player]],WR!B:O,9,FALSE)),"")</f>
        <v/>
      </c>
      <c r="AN203" s="57" t="str">
        <f>IFERROR((IFERROR(INDEX(TableWRCalcPts[Custom],MATCH(TableWRRanks32[[#This Row],[RK]],TableWRCalcPts[RK],0)),"")),"")</f>
        <v/>
      </c>
      <c r="AO203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204" spans="30:41" x14ac:dyDescent="0.2">
      <c r="AD204">
        <v>203</v>
      </c>
      <c r="AE204" t="str">
        <f>IFERROR(INDEX(TableWRCalcPts[PLAYER],MATCH(TableWRRanks32[[#This Row],[RK]],TableWRCalcPts[RK],0)),"")</f>
        <v/>
      </c>
      <c r="AF204" t="str">
        <f>IFERROR(INDEX(TableWRCalcPts[TM],MATCH(TableWRRanks32[[#This Row],[Player]],TableWRCalcPts[PLAYER],0)),"")</f>
        <v/>
      </c>
      <c r="AG204" t="str">
        <f>IFERROR(INDEX(TableWRCalcPts[BYE],MATCH(TableWRRanks32[[#This Row],[Player]],TableWRCalcPts[PLAYER],0)),"")</f>
        <v/>
      </c>
      <c r="AH204" s="83" t="str">
        <f>IFERROR((VLOOKUP(TableWRRanks32[[#This Row],[Player]],WR!B:O,4,FALSE)),"")</f>
        <v/>
      </c>
      <c r="AI204" s="83" t="str">
        <f>IFERROR((VLOOKUP(TableWRRanks32[[#This Row],[Player]],WR!B:O,5,FALSE)),"")</f>
        <v/>
      </c>
      <c r="AJ204" s="83" t="str">
        <f>IFERROR((VLOOKUP(TableWRRanks32[[#This Row],[Player]],WR!B:O,6,FALSE)),"")</f>
        <v/>
      </c>
      <c r="AK204" s="83" t="str">
        <f>IFERROR((VLOOKUP(TableWRRanks32[[#This Row],[Player]],WR!B:O,7,FALSE)),"")</f>
        <v/>
      </c>
      <c r="AL204" s="83" t="str">
        <f>IFERROR((VLOOKUP(TableWRRanks32[[#This Row],[Player]],WR!B:O,8,FALSE)),"")</f>
        <v/>
      </c>
      <c r="AM204" s="83" t="str">
        <f>IFERROR((VLOOKUP(TableWRRanks32[[#This Row],[Player]],WR!B:O,9,FALSE)),"")</f>
        <v/>
      </c>
      <c r="AN204" s="57" t="str">
        <f>IFERROR((IFERROR(INDEX(TableWRCalcPts[Custom],MATCH(TableWRRanks32[[#This Row],[RK]],TableWRCalcPts[RK],0)),"")),"")</f>
        <v/>
      </c>
      <c r="AO204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205" spans="30:41" x14ac:dyDescent="0.2">
      <c r="AD205">
        <v>204</v>
      </c>
      <c r="AE205" t="str">
        <f>IFERROR(INDEX(TableWRCalcPts[PLAYER],MATCH(TableWRRanks32[[#This Row],[RK]],TableWRCalcPts[RK],0)),"")</f>
        <v/>
      </c>
      <c r="AF205" t="str">
        <f>IFERROR(INDEX(TableWRCalcPts[TM],MATCH(TableWRRanks32[[#This Row],[Player]],TableWRCalcPts[PLAYER],0)),"")</f>
        <v/>
      </c>
      <c r="AG205" t="str">
        <f>IFERROR(INDEX(TableWRCalcPts[BYE],MATCH(TableWRRanks32[[#This Row],[Player]],TableWRCalcPts[PLAYER],0)),"")</f>
        <v/>
      </c>
      <c r="AH205" s="83" t="str">
        <f>IFERROR((VLOOKUP(TableWRRanks32[[#This Row],[Player]],WR!B:O,4,FALSE)),"")</f>
        <v/>
      </c>
      <c r="AI205" s="83" t="str">
        <f>IFERROR((VLOOKUP(TableWRRanks32[[#This Row],[Player]],WR!B:O,5,FALSE)),"")</f>
        <v/>
      </c>
      <c r="AJ205" s="83" t="str">
        <f>IFERROR((VLOOKUP(TableWRRanks32[[#This Row],[Player]],WR!B:O,6,FALSE)),"")</f>
        <v/>
      </c>
      <c r="AK205" s="83" t="str">
        <f>IFERROR((VLOOKUP(TableWRRanks32[[#This Row],[Player]],WR!B:O,7,FALSE)),"")</f>
        <v/>
      </c>
      <c r="AL205" s="83" t="str">
        <f>IFERROR((VLOOKUP(TableWRRanks32[[#This Row],[Player]],WR!B:O,8,FALSE)),"")</f>
        <v/>
      </c>
      <c r="AM205" s="83" t="str">
        <f>IFERROR((VLOOKUP(TableWRRanks32[[#This Row],[Player]],WR!B:O,9,FALSE)),"")</f>
        <v/>
      </c>
      <c r="AN205" s="57" t="str">
        <f>IFERROR((IFERROR(INDEX(TableWRCalcPts[Custom],MATCH(TableWRRanks32[[#This Row],[RK]],TableWRCalcPts[RK],0)),"")),"")</f>
        <v/>
      </c>
      <c r="AO205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206" spans="30:41" x14ac:dyDescent="0.2">
      <c r="AD206">
        <v>205</v>
      </c>
      <c r="AE206" t="str">
        <f>IFERROR(INDEX(TableWRCalcPts[PLAYER],MATCH(TableWRRanks32[[#This Row],[RK]],TableWRCalcPts[RK],0)),"")</f>
        <v/>
      </c>
      <c r="AF206" t="str">
        <f>IFERROR(INDEX(TableWRCalcPts[TM],MATCH(TableWRRanks32[[#This Row],[Player]],TableWRCalcPts[PLAYER],0)),"")</f>
        <v/>
      </c>
      <c r="AG206" t="str">
        <f>IFERROR(INDEX(TableWRCalcPts[BYE],MATCH(TableWRRanks32[[#This Row],[Player]],TableWRCalcPts[PLAYER],0)),"")</f>
        <v/>
      </c>
      <c r="AH206" s="83" t="str">
        <f>IFERROR((VLOOKUP(TableWRRanks32[[#This Row],[Player]],WR!B:O,4,FALSE)),"")</f>
        <v/>
      </c>
      <c r="AI206" s="83" t="str">
        <f>IFERROR((VLOOKUP(TableWRRanks32[[#This Row],[Player]],WR!B:O,5,FALSE)),"")</f>
        <v/>
      </c>
      <c r="AJ206" s="83" t="str">
        <f>IFERROR((VLOOKUP(TableWRRanks32[[#This Row],[Player]],WR!B:O,6,FALSE)),"")</f>
        <v/>
      </c>
      <c r="AK206" s="83" t="str">
        <f>IFERROR((VLOOKUP(TableWRRanks32[[#This Row],[Player]],WR!B:O,7,FALSE)),"")</f>
        <v/>
      </c>
      <c r="AL206" s="83" t="str">
        <f>IFERROR((VLOOKUP(TableWRRanks32[[#This Row],[Player]],WR!B:O,8,FALSE)),"")</f>
        <v/>
      </c>
      <c r="AM206" s="83" t="str">
        <f>IFERROR((VLOOKUP(TableWRRanks32[[#This Row],[Player]],WR!B:O,9,FALSE)),"")</f>
        <v/>
      </c>
      <c r="AN206" s="57" t="str">
        <f>IFERROR((IFERROR(INDEX(TableWRCalcPts[Custom],MATCH(TableWRRanks32[[#This Row],[RK]],TableWRCalcPts[RK],0)),"")),"")</f>
        <v/>
      </c>
      <c r="AO206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207" spans="30:41" x14ac:dyDescent="0.2">
      <c r="AD207">
        <v>206</v>
      </c>
      <c r="AE207" t="str">
        <f>IFERROR(INDEX(TableWRCalcPts[PLAYER],MATCH(TableWRRanks32[[#This Row],[RK]],TableWRCalcPts[RK],0)),"")</f>
        <v/>
      </c>
      <c r="AF207" t="str">
        <f>IFERROR(INDEX(TableWRCalcPts[TM],MATCH(TableWRRanks32[[#This Row],[Player]],TableWRCalcPts[PLAYER],0)),"")</f>
        <v/>
      </c>
      <c r="AG207" t="str">
        <f>IFERROR(INDEX(TableWRCalcPts[BYE],MATCH(TableWRRanks32[[#This Row],[Player]],TableWRCalcPts[PLAYER],0)),"")</f>
        <v/>
      </c>
      <c r="AH207" s="83" t="str">
        <f>IFERROR((VLOOKUP(TableWRRanks32[[#This Row],[Player]],WR!B:O,4,FALSE)),"")</f>
        <v/>
      </c>
      <c r="AI207" s="83" t="str">
        <f>IFERROR((VLOOKUP(TableWRRanks32[[#This Row],[Player]],WR!B:O,5,FALSE)),"")</f>
        <v/>
      </c>
      <c r="AJ207" s="83" t="str">
        <f>IFERROR((VLOOKUP(TableWRRanks32[[#This Row],[Player]],WR!B:O,6,FALSE)),"")</f>
        <v/>
      </c>
      <c r="AK207" s="83" t="str">
        <f>IFERROR((VLOOKUP(TableWRRanks32[[#This Row],[Player]],WR!B:O,7,FALSE)),"")</f>
        <v/>
      </c>
      <c r="AL207" s="83" t="str">
        <f>IFERROR((VLOOKUP(TableWRRanks32[[#This Row],[Player]],WR!B:O,8,FALSE)),"")</f>
        <v/>
      </c>
      <c r="AM207" s="83" t="str">
        <f>IFERROR((VLOOKUP(TableWRRanks32[[#This Row],[Player]],WR!B:O,9,FALSE)),"")</f>
        <v/>
      </c>
      <c r="AN207" s="57" t="str">
        <f>IFERROR((IFERROR(INDEX(TableWRCalcPts[Custom],MATCH(TableWRRanks32[[#This Row],[RK]],TableWRCalcPts[RK],0)),"")),"")</f>
        <v/>
      </c>
      <c r="AO207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208" spans="30:41" x14ac:dyDescent="0.2">
      <c r="AD208">
        <v>207</v>
      </c>
      <c r="AE208" t="str">
        <f>IFERROR(INDEX(TableWRCalcPts[PLAYER],MATCH(TableWRRanks32[[#This Row],[RK]],TableWRCalcPts[RK],0)),"")</f>
        <v/>
      </c>
      <c r="AF208" t="str">
        <f>IFERROR(INDEX(TableWRCalcPts[TM],MATCH(TableWRRanks32[[#This Row],[Player]],TableWRCalcPts[PLAYER],0)),"")</f>
        <v/>
      </c>
      <c r="AG208" t="str">
        <f>IFERROR(INDEX(TableWRCalcPts[BYE],MATCH(TableWRRanks32[[#This Row],[Player]],TableWRCalcPts[PLAYER],0)),"")</f>
        <v/>
      </c>
      <c r="AH208" s="83" t="str">
        <f>IFERROR((VLOOKUP(TableWRRanks32[[#This Row],[Player]],WR!B:O,4,FALSE)),"")</f>
        <v/>
      </c>
      <c r="AI208" s="83" t="str">
        <f>IFERROR((VLOOKUP(TableWRRanks32[[#This Row],[Player]],WR!B:O,5,FALSE)),"")</f>
        <v/>
      </c>
      <c r="AJ208" s="83" t="str">
        <f>IFERROR((VLOOKUP(TableWRRanks32[[#This Row],[Player]],WR!B:O,6,FALSE)),"")</f>
        <v/>
      </c>
      <c r="AK208" s="83" t="str">
        <f>IFERROR((VLOOKUP(TableWRRanks32[[#This Row],[Player]],WR!B:O,7,FALSE)),"")</f>
        <v/>
      </c>
      <c r="AL208" s="83" t="str">
        <f>IFERROR((VLOOKUP(TableWRRanks32[[#This Row],[Player]],WR!B:O,8,FALSE)),"")</f>
        <v/>
      </c>
      <c r="AM208" s="83" t="str">
        <f>IFERROR((VLOOKUP(TableWRRanks32[[#This Row],[Player]],WR!B:O,9,FALSE)),"")</f>
        <v/>
      </c>
      <c r="AN208" s="57" t="str">
        <f>IFERROR((IFERROR(INDEX(TableWRCalcPts[Custom],MATCH(TableWRRanks32[[#This Row],[RK]],TableWRCalcPts[RK],0)),"")),"")</f>
        <v/>
      </c>
      <c r="AO208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209" spans="30:41" x14ac:dyDescent="0.2">
      <c r="AD209">
        <v>208</v>
      </c>
      <c r="AE209" t="str">
        <f>IFERROR(INDEX(TableWRCalcPts[PLAYER],MATCH(TableWRRanks32[[#This Row],[RK]],TableWRCalcPts[RK],0)),"")</f>
        <v/>
      </c>
      <c r="AF209" t="str">
        <f>IFERROR(INDEX(TableWRCalcPts[TM],MATCH(TableWRRanks32[[#This Row],[Player]],TableWRCalcPts[PLAYER],0)),"")</f>
        <v/>
      </c>
      <c r="AG209" t="str">
        <f>IFERROR(INDEX(TableWRCalcPts[BYE],MATCH(TableWRRanks32[[#This Row],[Player]],TableWRCalcPts[PLAYER],0)),"")</f>
        <v/>
      </c>
      <c r="AH209" s="83" t="str">
        <f>IFERROR((VLOOKUP(TableWRRanks32[[#This Row],[Player]],WR!B:O,4,FALSE)),"")</f>
        <v/>
      </c>
      <c r="AI209" s="83" t="str">
        <f>IFERROR((VLOOKUP(TableWRRanks32[[#This Row],[Player]],WR!B:O,5,FALSE)),"")</f>
        <v/>
      </c>
      <c r="AJ209" s="83" t="str">
        <f>IFERROR((VLOOKUP(TableWRRanks32[[#This Row],[Player]],WR!B:O,6,FALSE)),"")</f>
        <v/>
      </c>
      <c r="AK209" s="83" t="str">
        <f>IFERROR((VLOOKUP(TableWRRanks32[[#This Row],[Player]],WR!B:O,7,FALSE)),"")</f>
        <v/>
      </c>
      <c r="AL209" s="83" t="str">
        <f>IFERROR((VLOOKUP(TableWRRanks32[[#This Row],[Player]],WR!B:O,8,FALSE)),"")</f>
        <v/>
      </c>
      <c r="AM209" s="83" t="str">
        <f>IFERROR((VLOOKUP(TableWRRanks32[[#This Row],[Player]],WR!B:O,9,FALSE)),"")</f>
        <v/>
      </c>
      <c r="AN209" s="57" t="str">
        <f>IFERROR((IFERROR(INDEX(TableWRCalcPts[Custom],MATCH(TableWRRanks32[[#This Row],[RK]],TableWRCalcPts[RK],0)),"")),"")</f>
        <v/>
      </c>
      <c r="AO209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210" spans="30:41" x14ac:dyDescent="0.2">
      <c r="AD210">
        <v>209</v>
      </c>
      <c r="AE210" t="str">
        <f>IFERROR(INDEX(TableWRCalcPts[PLAYER],MATCH(TableWRRanks32[[#This Row],[RK]],TableWRCalcPts[RK],0)),"")</f>
        <v/>
      </c>
      <c r="AF210" t="str">
        <f>IFERROR(INDEX(TableWRCalcPts[TM],MATCH(TableWRRanks32[[#This Row],[Player]],TableWRCalcPts[PLAYER],0)),"")</f>
        <v/>
      </c>
      <c r="AG210" t="str">
        <f>IFERROR(INDEX(TableWRCalcPts[BYE],MATCH(TableWRRanks32[[#This Row],[Player]],TableWRCalcPts[PLAYER],0)),"")</f>
        <v/>
      </c>
      <c r="AH210" s="83" t="str">
        <f>IFERROR((VLOOKUP(TableWRRanks32[[#This Row],[Player]],WR!B:O,4,FALSE)),"")</f>
        <v/>
      </c>
      <c r="AI210" s="83" t="str">
        <f>IFERROR((VLOOKUP(TableWRRanks32[[#This Row],[Player]],WR!B:O,5,FALSE)),"")</f>
        <v/>
      </c>
      <c r="AJ210" s="83" t="str">
        <f>IFERROR((VLOOKUP(TableWRRanks32[[#This Row],[Player]],WR!B:O,6,FALSE)),"")</f>
        <v/>
      </c>
      <c r="AK210" s="83" t="str">
        <f>IFERROR((VLOOKUP(TableWRRanks32[[#This Row],[Player]],WR!B:O,7,FALSE)),"")</f>
        <v/>
      </c>
      <c r="AL210" s="83" t="str">
        <f>IFERROR((VLOOKUP(TableWRRanks32[[#This Row],[Player]],WR!B:O,8,FALSE)),"")</f>
        <v/>
      </c>
      <c r="AM210" s="83" t="str">
        <f>IFERROR((VLOOKUP(TableWRRanks32[[#This Row],[Player]],WR!B:O,9,FALSE)),"")</f>
        <v/>
      </c>
      <c r="AN210" s="57" t="str">
        <f>IFERROR((IFERROR(INDEX(TableWRCalcPts[Custom],MATCH(TableWRRanks32[[#This Row],[RK]],TableWRCalcPts[RK],0)),"")),"")</f>
        <v/>
      </c>
      <c r="AO210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211" spans="30:41" x14ac:dyDescent="0.2">
      <c r="AD211">
        <v>210</v>
      </c>
      <c r="AE211" t="str">
        <f>IFERROR(INDEX(TableWRCalcPts[PLAYER],MATCH(TableWRRanks32[[#This Row],[RK]],TableWRCalcPts[RK],0)),"")</f>
        <v/>
      </c>
      <c r="AF211" t="str">
        <f>IFERROR(INDEX(TableWRCalcPts[TM],MATCH(TableWRRanks32[[#This Row],[Player]],TableWRCalcPts[PLAYER],0)),"")</f>
        <v/>
      </c>
      <c r="AG211" t="str">
        <f>IFERROR(INDEX(TableWRCalcPts[BYE],MATCH(TableWRRanks32[[#This Row],[Player]],TableWRCalcPts[PLAYER],0)),"")</f>
        <v/>
      </c>
      <c r="AH211" s="83" t="str">
        <f>IFERROR((VLOOKUP(TableWRRanks32[[#This Row],[Player]],WR!B:O,4,FALSE)),"")</f>
        <v/>
      </c>
      <c r="AI211" s="83" t="str">
        <f>IFERROR((VLOOKUP(TableWRRanks32[[#This Row],[Player]],WR!B:O,5,FALSE)),"")</f>
        <v/>
      </c>
      <c r="AJ211" s="83" t="str">
        <f>IFERROR((VLOOKUP(TableWRRanks32[[#This Row],[Player]],WR!B:O,6,FALSE)),"")</f>
        <v/>
      </c>
      <c r="AK211" s="83" t="str">
        <f>IFERROR((VLOOKUP(TableWRRanks32[[#This Row],[Player]],WR!B:O,7,FALSE)),"")</f>
        <v/>
      </c>
      <c r="AL211" s="83" t="str">
        <f>IFERROR((VLOOKUP(TableWRRanks32[[#This Row],[Player]],WR!B:O,8,FALSE)),"")</f>
        <v/>
      </c>
      <c r="AM211" s="83" t="str">
        <f>IFERROR((VLOOKUP(TableWRRanks32[[#This Row],[Player]],WR!B:O,9,FALSE)),"")</f>
        <v/>
      </c>
      <c r="AN211" s="57" t="str">
        <f>IFERROR((IFERROR(INDEX(TableWRCalcPts[Custom],MATCH(TableWRRanks32[[#This Row],[RK]],TableWRCalcPts[RK],0)),"")),"")</f>
        <v/>
      </c>
      <c r="AO211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212" spans="30:41" x14ac:dyDescent="0.2">
      <c r="AD212">
        <v>211</v>
      </c>
      <c r="AE212" t="str">
        <f>IFERROR(INDEX(TableWRCalcPts[PLAYER],MATCH(TableWRRanks32[[#This Row],[RK]],TableWRCalcPts[RK],0)),"")</f>
        <v/>
      </c>
      <c r="AF212" t="str">
        <f>IFERROR(INDEX(TableWRCalcPts[TM],MATCH(TableWRRanks32[[#This Row],[Player]],TableWRCalcPts[PLAYER],0)),"")</f>
        <v/>
      </c>
      <c r="AG212" t="str">
        <f>IFERROR(INDEX(TableWRCalcPts[BYE],MATCH(TableWRRanks32[[#This Row],[Player]],TableWRCalcPts[PLAYER],0)),"")</f>
        <v/>
      </c>
      <c r="AH212" s="83" t="str">
        <f>IFERROR((VLOOKUP(TableWRRanks32[[#This Row],[Player]],WR!B:O,4,FALSE)),"")</f>
        <v/>
      </c>
      <c r="AI212" s="83" t="str">
        <f>IFERROR((VLOOKUP(TableWRRanks32[[#This Row],[Player]],WR!B:O,5,FALSE)),"")</f>
        <v/>
      </c>
      <c r="AJ212" s="83" t="str">
        <f>IFERROR((VLOOKUP(TableWRRanks32[[#This Row],[Player]],WR!B:O,6,FALSE)),"")</f>
        <v/>
      </c>
      <c r="AK212" s="83" t="str">
        <f>IFERROR((VLOOKUP(TableWRRanks32[[#This Row],[Player]],WR!B:O,7,FALSE)),"")</f>
        <v/>
      </c>
      <c r="AL212" s="83" t="str">
        <f>IFERROR((VLOOKUP(TableWRRanks32[[#This Row],[Player]],WR!B:O,8,FALSE)),"")</f>
        <v/>
      </c>
      <c r="AM212" s="83" t="str">
        <f>IFERROR((VLOOKUP(TableWRRanks32[[#This Row],[Player]],WR!B:O,9,FALSE)),"")</f>
        <v/>
      </c>
      <c r="AN212" s="57" t="str">
        <f>IFERROR((IFERROR(INDEX(TableWRCalcPts[Custom],MATCH(TableWRRanks32[[#This Row],[RK]],TableWRCalcPts[RK],0)),"")),"")</f>
        <v/>
      </c>
      <c r="AO212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213" spans="30:41" x14ac:dyDescent="0.2">
      <c r="AD213">
        <v>212</v>
      </c>
      <c r="AE213" t="str">
        <f>IFERROR(INDEX(TableWRCalcPts[PLAYER],MATCH(TableWRRanks32[[#This Row],[RK]],TableWRCalcPts[RK],0)),"")</f>
        <v/>
      </c>
      <c r="AF213" t="str">
        <f>IFERROR(INDEX(TableWRCalcPts[TM],MATCH(TableWRRanks32[[#This Row],[Player]],TableWRCalcPts[PLAYER],0)),"")</f>
        <v/>
      </c>
      <c r="AG213" t="str">
        <f>IFERROR(INDEX(TableWRCalcPts[BYE],MATCH(TableWRRanks32[[#This Row],[Player]],TableWRCalcPts[PLAYER],0)),"")</f>
        <v/>
      </c>
      <c r="AH213" s="83" t="str">
        <f>IFERROR((VLOOKUP(TableWRRanks32[[#This Row],[Player]],WR!B:O,4,FALSE)),"")</f>
        <v/>
      </c>
      <c r="AI213" s="83" t="str">
        <f>IFERROR((VLOOKUP(TableWRRanks32[[#This Row],[Player]],WR!B:O,5,FALSE)),"")</f>
        <v/>
      </c>
      <c r="AJ213" s="83" t="str">
        <f>IFERROR((VLOOKUP(TableWRRanks32[[#This Row],[Player]],WR!B:O,6,FALSE)),"")</f>
        <v/>
      </c>
      <c r="AK213" s="83" t="str">
        <f>IFERROR((VLOOKUP(TableWRRanks32[[#This Row],[Player]],WR!B:O,7,FALSE)),"")</f>
        <v/>
      </c>
      <c r="AL213" s="83" t="str">
        <f>IFERROR((VLOOKUP(TableWRRanks32[[#This Row],[Player]],WR!B:O,8,FALSE)),"")</f>
        <v/>
      </c>
      <c r="AM213" s="83" t="str">
        <f>IFERROR((VLOOKUP(TableWRRanks32[[#This Row],[Player]],WR!B:O,9,FALSE)),"")</f>
        <v/>
      </c>
      <c r="AN213" s="57" t="str">
        <f>IFERROR((IFERROR(INDEX(TableWRCalcPts[Custom],MATCH(TableWRRanks32[[#This Row],[RK]],TableWRCalcPts[RK],0)),"")),"")</f>
        <v/>
      </c>
      <c r="AO213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214" spans="30:41" x14ac:dyDescent="0.2">
      <c r="AD214">
        <v>213</v>
      </c>
      <c r="AE214" t="str">
        <f>IFERROR(INDEX(TableWRCalcPts[PLAYER],MATCH(TableWRRanks32[[#This Row],[RK]],TableWRCalcPts[RK],0)),"")</f>
        <v/>
      </c>
      <c r="AF214" t="str">
        <f>IFERROR(INDEX(TableWRCalcPts[TM],MATCH(TableWRRanks32[[#This Row],[Player]],TableWRCalcPts[PLAYER],0)),"")</f>
        <v/>
      </c>
      <c r="AG214" t="str">
        <f>IFERROR(INDEX(TableWRCalcPts[BYE],MATCH(TableWRRanks32[[#This Row],[Player]],TableWRCalcPts[PLAYER],0)),"")</f>
        <v/>
      </c>
      <c r="AH214" s="83" t="str">
        <f>IFERROR((VLOOKUP(TableWRRanks32[[#This Row],[Player]],WR!B:O,4,FALSE)),"")</f>
        <v/>
      </c>
      <c r="AI214" s="83" t="str">
        <f>IFERROR((VLOOKUP(TableWRRanks32[[#This Row],[Player]],WR!B:O,5,FALSE)),"")</f>
        <v/>
      </c>
      <c r="AJ214" s="83" t="str">
        <f>IFERROR((VLOOKUP(TableWRRanks32[[#This Row],[Player]],WR!B:O,6,FALSE)),"")</f>
        <v/>
      </c>
      <c r="AK214" s="83" t="str">
        <f>IFERROR((VLOOKUP(TableWRRanks32[[#This Row],[Player]],WR!B:O,7,FALSE)),"")</f>
        <v/>
      </c>
      <c r="AL214" s="83" t="str">
        <f>IFERROR((VLOOKUP(TableWRRanks32[[#This Row],[Player]],WR!B:O,8,FALSE)),"")</f>
        <v/>
      </c>
      <c r="AM214" s="83" t="str">
        <f>IFERROR((VLOOKUP(TableWRRanks32[[#This Row],[Player]],WR!B:O,9,FALSE)),"")</f>
        <v/>
      </c>
      <c r="AN214" s="57" t="str">
        <f>IFERROR((IFERROR(INDEX(TableWRCalcPts[Custom],MATCH(TableWRRanks32[[#This Row],[RK]],TableWRCalcPts[RK],0)),"")),"")</f>
        <v/>
      </c>
      <c r="AO214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215" spans="30:41" x14ac:dyDescent="0.2">
      <c r="AD215">
        <v>214</v>
      </c>
      <c r="AE215" t="str">
        <f>IFERROR(INDEX(TableWRCalcPts[PLAYER],MATCH(TableWRRanks32[[#This Row],[RK]],TableWRCalcPts[RK],0)),"")</f>
        <v/>
      </c>
      <c r="AF215" t="str">
        <f>IFERROR(INDEX(TableWRCalcPts[TM],MATCH(TableWRRanks32[[#This Row],[Player]],TableWRCalcPts[PLAYER],0)),"")</f>
        <v/>
      </c>
      <c r="AG215" t="str">
        <f>IFERROR(INDEX(TableWRCalcPts[BYE],MATCH(TableWRRanks32[[#This Row],[Player]],TableWRCalcPts[PLAYER],0)),"")</f>
        <v/>
      </c>
      <c r="AH215" s="83" t="str">
        <f>IFERROR((VLOOKUP(TableWRRanks32[[#This Row],[Player]],WR!B:O,4,FALSE)),"")</f>
        <v/>
      </c>
      <c r="AI215" s="83" t="str">
        <f>IFERROR((VLOOKUP(TableWRRanks32[[#This Row],[Player]],WR!B:O,5,FALSE)),"")</f>
        <v/>
      </c>
      <c r="AJ215" s="83" t="str">
        <f>IFERROR((VLOOKUP(TableWRRanks32[[#This Row],[Player]],WR!B:O,6,FALSE)),"")</f>
        <v/>
      </c>
      <c r="AK215" s="83" t="str">
        <f>IFERROR((VLOOKUP(TableWRRanks32[[#This Row],[Player]],WR!B:O,7,FALSE)),"")</f>
        <v/>
      </c>
      <c r="AL215" s="83" t="str">
        <f>IFERROR((VLOOKUP(TableWRRanks32[[#This Row],[Player]],WR!B:O,8,FALSE)),"")</f>
        <v/>
      </c>
      <c r="AM215" s="83" t="str">
        <f>IFERROR((VLOOKUP(TableWRRanks32[[#This Row],[Player]],WR!B:O,9,FALSE)),"")</f>
        <v/>
      </c>
      <c r="AN215" s="57" t="str">
        <f>IFERROR((IFERROR(INDEX(TableWRCalcPts[Custom],MATCH(TableWRRanks32[[#This Row],[RK]],TableWRCalcPts[RK],0)),"")),"")</f>
        <v/>
      </c>
      <c r="AO215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216" spans="30:41" x14ac:dyDescent="0.2">
      <c r="AD216">
        <v>215</v>
      </c>
      <c r="AE216" t="str">
        <f>IFERROR(INDEX(TableWRCalcPts[PLAYER],MATCH(TableWRRanks32[[#This Row],[RK]],TableWRCalcPts[RK],0)),"")</f>
        <v/>
      </c>
      <c r="AF216" t="str">
        <f>IFERROR(INDEX(TableWRCalcPts[TM],MATCH(TableWRRanks32[[#This Row],[Player]],TableWRCalcPts[PLAYER],0)),"")</f>
        <v/>
      </c>
      <c r="AG216" t="str">
        <f>IFERROR(INDEX(TableWRCalcPts[BYE],MATCH(TableWRRanks32[[#This Row],[Player]],TableWRCalcPts[PLAYER],0)),"")</f>
        <v/>
      </c>
      <c r="AH216" s="83" t="str">
        <f>IFERROR((VLOOKUP(TableWRRanks32[[#This Row],[Player]],WR!B:O,4,FALSE)),"")</f>
        <v/>
      </c>
      <c r="AI216" s="83" t="str">
        <f>IFERROR((VLOOKUP(TableWRRanks32[[#This Row],[Player]],WR!B:O,5,FALSE)),"")</f>
        <v/>
      </c>
      <c r="AJ216" s="83" t="str">
        <f>IFERROR((VLOOKUP(TableWRRanks32[[#This Row],[Player]],WR!B:O,6,FALSE)),"")</f>
        <v/>
      </c>
      <c r="AK216" s="83" t="str">
        <f>IFERROR((VLOOKUP(TableWRRanks32[[#This Row],[Player]],WR!B:O,7,FALSE)),"")</f>
        <v/>
      </c>
      <c r="AL216" s="83" t="str">
        <f>IFERROR((VLOOKUP(TableWRRanks32[[#This Row],[Player]],WR!B:O,8,FALSE)),"")</f>
        <v/>
      </c>
      <c r="AM216" s="83" t="str">
        <f>IFERROR((VLOOKUP(TableWRRanks32[[#This Row],[Player]],WR!B:O,9,FALSE)),"")</f>
        <v/>
      </c>
      <c r="AN216" s="57" t="str">
        <f>IFERROR((IFERROR(INDEX(TableWRCalcPts[Custom],MATCH(TableWRRanks32[[#This Row],[RK]],TableWRCalcPts[RK],0)),"")),"")</f>
        <v/>
      </c>
      <c r="AO216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217" spans="30:41" x14ac:dyDescent="0.2">
      <c r="AD217">
        <v>216</v>
      </c>
      <c r="AE217" t="str">
        <f>IFERROR(INDEX(TableWRCalcPts[PLAYER],MATCH(TableWRRanks32[[#This Row],[RK]],TableWRCalcPts[RK],0)),"")</f>
        <v/>
      </c>
      <c r="AF217" t="str">
        <f>IFERROR(INDEX(TableWRCalcPts[TM],MATCH(TableWRRanks32[[#This Row],[Player]],TableWRCalcPts[PLAYER],0)),"")</f>
        <v/>
      </c>
      <c r="AG217" t="str">
        <f>IFERROR(INDEX(TableWRCalcPts[BYE],MATCH(TableWRRanks32[[#This Row],[Player]],TableWRCalcPts[PLAYER],0)),"")</f>
        <v/>
      </c>
      <c r="AH217" s="83" t="str">
        <f>IFERROR((VLOOKUP(TableWRRanks32[[#This Row],[Player]],WR!B:O,4,FALSE)),"")</f>
        <v/>
      </c>
      <c r="AI217" s="83" t="str">
        <f>IFERROR((VLOOKUP(TableWRRanks32[[#This Row],[Player]],WR!B:O,5,FALSE)),"")</f>
        <v/>
      </c>
      <c r="AJ217" s="83" t="str">
        <f>IFERROR((VLOOKUP(TableWRRanks32[[#This Row],[Player]],WR!B:O,6,FALSE)),"")</f>
        <v/>
      </c>
      <c r="AK217" s="83" t="str">
        <f>IFERROR((VLOOKUP(TableWRRanks32[[#This Row],[Player]],WR!B:O,7,FALSE)),"")</f>
        <v/>
      </c>
      <c r="AL217" s="83" t="str">
        <f>IFERROR((VLOOKUP(TableWRRanks32[[#This Row],[Player]],WR!B:O,8,FALSE)),"")</f>
        <v/>
      </c>
      <c r="AM217" s="83" t="str">
        <f>IFERROR((VLOOKUP(TableWRRanks32[[#This Row],[Player]],WR!B:O,9,FALSE)),"")</f>
        <v/>
      </c>
      <c r="AN217" s="57" t="str">
        <f>IFERROR((IFERROR(INDEX(TableWRCalcPts[Custom],MATCH(TableWRRanks32[[#This Row],[RK]],TableWRCalcPts[RK],0)),"")),"")</f>
        <v/>
      </c>
      <c r="AO217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218" spans="30:41" x14ac:dyDescent="0.2">
      <c r="AD218">
        <v>217</v>
      </c>
      <c r="AE218" t="str">
        <f>IFERROR(INDEX(TableWRCalcPts[PLAYER],MATCH(TableWRRanks32[[#This Row],[RK]],TableWRCalcPts[RK],0)),"")</f>
        <v/>
      </c>
      <c r="AF218" t="str">
        <f>IFERROR(INDEX(TableWRCalcPts[TM],MATCH(TableWRRanks32[[#This Row],[Player]],TableWRCalcPts[PLAYER],0)),"")</f>
        <v/>
      </c>
      <c r="AG218" t="str">
        <f>IFERROR(INDEX(TableWRCalcPts[BYE],MATCH(TableWRRanks32[[#This Row],[Player]],TableWRCalcPts[PLAYER],0)),"")</f>
        <v/>
      </c>
      <c r="AH218" s="83" t="str">
        <f>IFERROR((VLOOKUP(TableWRRanks32[[#This Row],[Player]],WR!B:O,4,FALSE)),"")</f>
        <v/>
      </c>
      <c r="AI218" s="83" t="str">
        <f>IFERROR((VLOOKUP(TableWRRanks32[[#This Row],[Player]],WR!B:O,5,FALSE)),"")</f>
        <v/>
      </c>
      <c r="AJ218" s="83" t="str">
        <f>IFERROR((VLOOKUP(TableWRRanks32[[#This Row],[Player]],WR!B:O,6,FALSE)),"")</f>
        <v/>
      </c>
      <c r="AK218" s="83" t="str">
        <f>IFERROR((VLOOKUP(TableWRRanks32[[#This Row],[Player]],WR!B:O,7,FALSE)),"")</f>
        <v/>
      </c>
      <c r="AL218" s="83" t="str">
        <f>IFERROR((VLOOKUP(TableWRRanks32[[#This Row],[Player]],WR!B:O,8,FALSE)),"")</f>
        <v/>
      </c>
      <c r="AM218" s="83" t="str">
        <f>IFERROR((VLOOKUP(TableWRRanks32[[#This Row],[Player]],WR!B:O,9,FALSE)),"")</f>
        <v/>
      </c>
      <c r="AN218" s="57" t="str">
        <f>IFERROR((IFERROR(INDEX(TableWRCalcPts[Custom],MATCH(TableWRRanks32[[#This Row],[RK]],TableWRCalcPts[RK],0)),"")),"")</f>
        <v/>
      </c>
      <c r="AO218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219" spans="30:41" x14ac:dyDescent="0.2">
      <c r="AD219">
        <v>218</v>
      </c>
      <c r="AE219" t="str">
        <f>IFERROR(INDEX(TableWRCalcPts[PLAYER],MATCH(TableWRRanks32[[#This Row],[RK]],TableWRCalcPts[RK],0)),"")</f>
        <v/>
      </c>
      <c r="AF219" t="str">
        <f>IFERROR(INDEX(TableWRCalcPts[TM],MATCH(TableWRRanks32[[#This Row],[Player]],TableWRCalcPts[PLAYER],0)),"")</f>
        <v/>
      </c>
      <c r="AG219" t="str">
        <f>IFERROR(INDEX(TableWRCalcPts[BYE],MATCH(TableWRRanks32[[#This Row],[Player]],TableWRCalcPts[PLAYER],0)),"")</f>
        <v/>
      </c>
      <c r="AH219" s="83" t="str">
        <f>IFERROR((VLOOKUP(TableWRRanks32[[#This Row],[Player]],WR!B:O,4,FALSE)),"")</f>
        <v/>
      </c>
      <c r="AI219" s="83" t="str">
        <f>IFERROR((VLOOKUP(TableWRRanks32[[#This Row],[Player]],WR!B:O,5,FALSE)),"")</f>
        <v/>
      </c>
      <c r="AJ219" s="83" t="str">
        <f>IFERROR((VLOOKUP(TableWRRanks32[[#This Row],[Player]],WR!B:O,6,FALSE)),"")</f>
        <v/>
      </c>
      <c r="AK219" s="83" t="str">
        <f>IFERROR((VLOOKUP(TableWRRanks32[[#This Row],[Player]],WR!B:O,7,FALSE)),"")</f>
        <v/>
      </c>
      <c r="AL219" s="83" t="str">
        <f>IFERROR((VLOOKUP(TableWRRanks32[[#This Row],[Player]],WR!B:O,8,FALSE)),"")</f>
        <v/>
      </c>
      <c r="AM219" s="83" t="str">
        <f>IFERROR((VLOOKUP(TableWRRanks32[[#This Row],[Player]],WR!B:O,9,FALSE)),"")</f>
        <v/>
      </c>
      <c r="AN219" s="57" t="str">
        <f>IFERROR((IFERROR(INDEX(TableWRCalcPts[Custom],MATCH(TableWRRanks32[[#This Row],[RK]],TableWRCalcPts[RK],0)),"")),"")</f>
        <v/>
      </c>
      <c r="AO219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220" spans="30:41" x14ac:dyDescent="0.2">
      <c r="AD220">
        <v>219</v>
      </c>
      <c r="AE220" t="str">
        <f>IFERROR(INDEX(TableWRCalcPts[PLAYER],MATCH(TableWRRanks32[[#This Row],[RK]],TableWRCalcPts[RK],0)),"")</f>
        <v/>
      </c>
      <c r="AF220" t="str">
        <f>IFERROR(INDEX(TableWRCalcPts[TM],MATCH(TableWRRanks32[[#This Row],[Player]],TableWRCalcPts[PLAYER],0)),"")</f>
        <v/>
      </c>
      <c r="AG220" t="str">
        <f>IFERROR(INDEX(TableWRCalcPts[BYE],MATCH(TableWRRanks32[[#This Row],[Player]],TableWRCalcPts[PLAYER],0)),"")</f>
        <v/>
      </c>
      <c r="AH220" s="83" t="str">
        <f>IFERROR((VLOOKUP(TableWRRanks32[[#This Row],[Player]],WR!B:O,4,FALSE)),"")</f>
        <v/>
      </c>
      <c r="AI220" s="83" t="str">
        <f>IFERROR((VLOOKUP(TableWRRanks32[[#This Row],[Player]],WR!B:O,5,FALSE)),"")</f>
        <v/>
      </c>
      <c r="AJ220" s="83" t="str">
        <f>IFERROR((VLOOKUP(TableWRRanks32[[#This Row],[Player]],WR!B:O,6,FALSE)),"")</f>
        <v/>
      </c>
      <c r="AK220" s="83" t="str">
        <f>IFERROR((VLOOKUP(TableWRRanks32[[#This Row],[Player]],WR!B:O,7,FALSE)),"")</f>
        <v/>
      </c>
      <c r="AL220" s="83" t="str">
        <f>IFERROR((VLOOKUP(TableWRRanks32[[#This Row],[Player]],WR!B:O,8,FALSE)),"")</f>
        <v/>
      </c>
      <c r="AM220" s="83" t="str">
        <f>IFERROR((VLOOKUP(TableWRRanks32[[#This Row],[Player]],WR!B:O,9,FALSE)),"")</f>
        <v/>
      </c>
      <c r="AN220" s="57" t="str">
        <f>IFERROR((IFERROR(INDEX(TableWRCalcPts[Custom],MATCH(TableWRRanks32[[#This Row],[RK]],TableWRCalcPts[RK],0)),"")),"")</f>
        <v/>
      </c>
      <c r="AO220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  <row r="221" spans="30:41" x14ac:dyDescent="0.2">
      <c r="AD221">
        <v>220</v>
      </c>
      <c r="AE221" t="str">
        <f>IFERROR(INDEX(TableWRCalcPts[PLAYER],MATCH(TableWRRanks32[[#This Row],[RK]],TableWRCalcPts[RK],0)),"")</f>
        <v/>
      </c>
      <c r="AF221" t="str">
        <f>IFERROR(INDEX(TableWRCalcPts[TM],MATCH(TableWRRanks32[[#This Row],[Player]],TableWRCalcPts[PLAYER],0)),"")</f>
        <v/>
      </c>
      <c r="AG221" t="str">
        <f>IFERROR(INDEX(TableWRCalcPts[BYE],MATCH(TableWRRanks32[[#This Row],[Player]],TableWRCalcPts[PLAYER],0)),"")</f>
        <v/>
      </c>
      <c r="AH221" s="83" t="str">
        <f>IFERROR((VLOOKUP(TableWRRanks32[[#This Row],[Player]],WR!B:O,4,FALSE)),"")</f>
        <v/>
      </c>
      <c r="AI221" s="83" t="str">
        <f>IFERROR((VLOOKUP(TableWRRanks32[[#This Row],[Player]],WR!B:O,5,FALSE)),"")</f>
        <v/>
      </c>
      <c r="AJ221" s="83" t="str">
        <f>IFERROR((VLOOKUP(TableWRRanks32[[#This Row],[Player]],WR!B:O,6,FALSE)),"")</f>
        <v/>
      </c>
      <c r="AK221" s="83" t="str">
        <f>IFERROR((VLOOKUP(TableWRRanks32[[#This Row],[Player]],WR!B:O,7,FALSE)),"")</f>
        <v/>
      </c>
      <c r="AL221" s="83" t="str">
        <f>IFERROR((VLOOKUP(TableWRRanks32[[#This Row],[Player]],WR!B:O,8,FALSE)),"")</f>
        <v/>
      </c>
      <c r="AM221" s="83" t="str">
        <f>IFERROR((VLOOKUP(TableWRRanks32[[#This Row],[Player]],WR!B:O,9,FALSE)),"")</f>
        <v/>
      </c>
      <c r="AN221" s="57" t="str">
        <f>IFERROR((IFERROR(INDEX(TableWRCalcPts[Custom],MATCH(TableWRRanks32[[#This Row],[RK]],TableWRCalcPts[RK],0)),"")),"")</f>
        <v/>
      </c>
      <c r="AO221" s="125" t="str">
        <f>IFERROR((IF(((VLOOKUP(TableWRRanks32[[#This Row],[Player]],'OVR &amp; VORP Ranks'!$P:$T,5,FALSE))/('OVR &amp; VORP Ranks'!$BM$6))*(Settings!$E$10*TEAMS)&lt;0,0,((VLOOKUP(TableWRRanks32[[#This Row],[Player]],'OVR &amp; VORP Ranks'!$P:$T,5,FALSE))/('OVR &amp; VORP Ranks'!$BM$6))*(Settings!$E$10*TEAMS))),"")</f>
        <v/>
      </c>
    </row>
  </sheetData>
  <sheetProtection sheet="1" objects="1" scenarios="1" sort="0" autoFilter="0"/>
  <protectedRanges>
    <protectedRange sqref="A1:AZ239" name="QBRanks"/>
  </protectedRanges>
  <phoneticPr fontId="19" type="noConversion"/>
  <pageMargins left="0.7" right="0.7" top="0.75" bottom="0.75" header="0.3" footer="0.3"/>
  <pageSetup orientation="portrait" horizontalDpi="90" verticalDpi="90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908EC-336D-4D08-961A-CD8DE66441FB}">
  <sheetPr>
    <tabColor rgb="FFFFD69F"/>
  </sheetPr>
  <dimension ref="A1:AZ221"/>
  <sheetViews>
    <sheetView showGridLines="0" zoomScale="85" zoomScaleNormal="85" workbookViewId="0"/>
  </sheetViews>
  <sheetFormatPr defaultRowHeight="12.75" x14ac:dyDescent="0.2"/>
  <cols>
    <col min="1" max="1" width="3.5703125" bestFit="1" customWidth="1"/>
    <col min="2" max="2" width="19.5703125" bestFit="1" customWidth="1"/>
    <col min="3" max="3" width="5.28515625" bestFit="1" customWidth="1"/>
    <col min="4" max="4" width="4.28515625" bestFit="1" customWidth="1"/>
    <col min="5" max="12" width="6.7109375" style="83" customWidth="1"/>
    <col min="13" max="13" width="7.7109375" bestFit="1" customWidth="1"/>
    <col min="14" max="14" width="5.85546875" bestFit="1" customWidth="1"/>
    <col min="15" max="15" width="5.7109375" customWidth="1"/>
    <col min="16" max="16" width="4.140625" bestFit="1" customWidth="1"/>
    <col min="17" max="17" width="22.28515625" bestFit="1" customWidth="1"/>
    <col min="18" max="18" width="5.140625" bestFit="1" customWidth="1"/>
    <col min="19" max="19" width="4.28515625" bestFit="1" customWidth="1"/>
    <col min="20" max="26" width="6.7109375" style="83" customWidth="1"/>
    <col min="27" max="27" width="7.7109375" bestFit="1" customWidth="1"/>
    <col min="28" max="28" width="5.85546875" bestFit="1" customWidth="1"/>
    <col min="29" max="29" width="5.7109375" customWidth="1"/>
    <col min="30" max="30" width="4.140625" bestFit="1" customWidth="1"/>
    <col min="31" max="31" width="25.5703125" bestFit="1" customWidth="1"/>
    <col min="32" max="32" width="5.28515625" bestFit="1" customWidth="1"/>
    <col min="33" max="33" width="4.28515625" bestFit="1" customWidth="1"/>
    <col min="34" max="39" width="6.7109375" style="83" customWidth="1"/>
    <col min="40" max="40" width="7.7109375" bestFit="1" customWidth="1"/>
    <col min="41" max="41" width="5.85546875" bestFit="1" customWidth="1"/>
    <col min="42" max="42" width="5.7109375" customWidth="1"/>
    <col min="43" max="43" width="4.140625" bestFit="1" customWidth="1"/>
    <col min="44" max="44" width="21.42578125" bestFit="1" customWidth="1"/>
    <col min="45" max="45" width="5.28515625" bestFit="1" customWidth="1"/>
    <col min="46" max="46" width="4.28515625" customWidth="1"/>
    <col min="47" max="50" width="6.7109375" style="83" customWidth="1"/>
    <col min="51" max="51" width="7.7109375" bestFit="1" customWidth="1"/>
    <col min="52" max="52" width="5.85546875" bestFit="1" customWidth="1"/>
  </cols>
  <sheetData>
    <row r="1" spans="1:52" s="6" customFormat="1" ht="25.5" x14ac:dyDescent="0.2">
      <c r="A1" s="130" t="s">
        <v>136</v>
      </c>
      <c r="B1" s="130" t="s">
        <v>325</v>
      </c>
      <c r="C1" s="130" t="s">
        <v>86</v>
      </c>
      <c r="D1" s="130" t="s">
        <v>122</v>
      </c>
      <c r="E1" s="131" t="s">
        <v>210</v>
      </c>
      <c r="F1" s="131" t="s">
        <v>1</v>
      </c>
      <c r="G1" s="131" t="s">
        <v>213</v>
      </c>
      <c r="H1" s="131" t="s">
        <v>228</v>
      </c>
      <c r="I1" s="131" t="s">
        <v>2</v>
      </c>
      <c r="J1" s="131" t="s">
        <v>229</v>
      </c>
      <c r="K1" s="131" t="s">
        <v>217</v>
      </c>
      <c r="L1" s="131" t="s">
        <v>230</v>
      </c>
      <c r="M1" s="130" t="s">
        <v>117</v>
      </c>
      <c r="N1" s="130" t="s">
        <v>295</v>
      </c>
      <c r="O1" s="128"/>
      <c r="P1" s="130" t="s">
        <v>136</v>
      </c>
      <c r="Q1" s="130" t="s">
        <v>325</v>
      </c>
      <c r="R1" s="130" t="s">
        <v>86</v>
      </c>
      <c r="S1" s="130" t="s">
        <v>122</v>
      </c>
      <c r="T1" s="131" t="s">
        <v>229</v>
      </c>
      <c r="U1" s="131" t="s">
        <v>217</v>
      </c>
      <c r="V1" s="131" t="s">
        <v>230</v>
      </c>
      <c r="W1" s="131" t="s">
        <v>453</v>
      </c>
      <c r="X1" s="131" t="s">
        <v>4</v>
      </c>
      <c r="Y1" s="131" t="s">
        <v>223</v>
      </c>
      <c r="Z1" s="131" t="s">
        <v>231</v>
      </c>
      <c r="AA1" s="130" t="s">
        <v>117</v>
      </c>
      <c r="AB1" s="130" t="s">
        <v>295</v>
      </c>
      <c r="AC1" s="128"/>
      <c r="AD1" s="130" t="s">
        <v>136</v>
      </c>
      <c r="AE1" s="130" t="s">
        <v>325</v>
      </c>
      <c r="AF1" s="130" t="s">
        <v>86</v>
      </c>
      <c r="AG1" s="130" t="s">
        <v>122</v>
      </c>
      <c r="AH1" s="131" t="s">
        <v>217</v>
      </c>
      <c r="AI1" s="131" t="s">
        <v>230</v>
      </c>
      <c r="AJ1" s="131" t="s">
        <v>453</v>
      </c>
      <c r="AK1" s="131" t="s">
        <v>4</v>
      </c>
      <c r="AL1" s="131" t="s">
        <v>223</v>
      </c>
      <c r="AM1" s="131" t="s">
        <v>231</v>
      </c>
      <c r="AN1" s="130" t="s">
        <v>117</v>
      </c>
      <c r="AO1" s="130" t="s">
        <v>295</v>
      </c>
      <c r="AP1" s="128"/>
      <c r="AQ1" s="130" t="s">
        <v>136</v>
      </c>
      <c r="AR1" s="130" t="s">
        <v>325</v>
      </c>
      <c r="AS1" s="130" t="s">
        <v>86</v>
      </c>
      <c r="AT1" s="130" t="s">
        <v>122</v>
      </c>
      <c r="AU1" s="131" t="s">
        <v>453</v>
      </c>
      <c r="AV1" s="131" t="s">
        <v>4</v>
      </c>
      <c r="AW1" s="131" t="s">
        <v>223</v>
      </c>
      <c r="AX1" s="131" t="s">
        <v>231</v>
      </c>
      <c r="AY1" s="130" t="s">
        <v>117</v>
      </c>
      <c r="AZ1" s="130" t="s">
        <v>295</v>
      </c>
    </row>
    <row r="2" spans="1:52" x14ac:dyDescent="0.2">
      <c r="A2">
        <v>1</v>
      </c>
      <c r="B2" t="str">
        <f>VLOOKUP(TableQBRanks3040[[#This Row],[RK]],Rankings!A:T,3,FALSE)</f>
        <v>Jalen Hurts</v>
      </c>
      <c r="C2" t="str">
        <f>IFERROR(INDEX(TableQBCalcPts[TM],MATCH(TableQBRanks3040[[#This Row],[Player]],TableQBCalcPts[PLAYER],0)),"")</f>
        <v>PHI</v>
      </c>
      <c r="D2">
        <f>IFERROR(INDEX(TableQBCalcPts[BYE],MATCH(TableQBRanks3040[[#This Row],[Player]],TableQBCalcPts[PLAYER],0)),"")</f>
        <v>5</v>
      </c>
      <c r="E2" s="83">
        <f>VLOOKUP(TableQBRanks3040[[#This Row],[Player]],QB!B:O,4,FALSE)</f>
        <v>557.84736000000009</v>
      </c>
      <c r="F2" s="83">
        <f>VLOOKUP(TableQBRanks3040[[#This Row],[Player]],QB!B:O,5,FALSE)</f>
        <v>366.20220121605729</v>
      </c>
      <c r="G2" s="83">
        <f>VLOOKUP(TableQBRanks3040[[#This Row],[Player]],QB!B:O,6,FALSE)</f>
        <v>4243.8447920510216</v>
      </c>
      <c r="H2" s="83">
        <f>VLOOKUP(TableQBRanks3040[[#This Row],[Player]],QB!B:O,7,FALSE)</f>
        <v>25.64723704164253</v>
      </c>
      <c r="I2" s="83">
        <f>VLOOKUP(TableQBRanks3040[[#This Row],[Player]],QB!B:O,8,FALSE)</f>
        <v>7.2849514790596315</v>
      </c>
      <c r="J2" s="83">
        <f>VLOOKUP(TableQBRanks3040[[#This Row],[Player]],QB!B:O,9,FALSE)</f>
        <v>127.97184959999998</v>
      </c>
      <c r="K2" s="83">
        <f>VLOOKUP(TableQBRanks3040[[#This Row],[Player]],QB!B:O,10,FALSE)</f>
        <v>563.07613823999998</v>
      </c>
      <c r="L2" s="83">
        <f>VLOOKUP(TableQBRanks3040[[#This Row],[Player]],QB!B:O,11,FALSE)</f>
        <v>9.7258605695999982</v>
      </c>
      <c r="M2" s="57">
        <f>VLOOKUP(TableQBRanks3040[[#This Row],[Player]],QB!B:O,13,FALSE)</f>
        <v>372.4356141320917</v>
      </c>
      <c r="N2" s="125">
        <f>IF(VLOOKUP(TableQBRanks3040[[#This Row],[RK]],'Ranks w Proj'!$A:$N,14,FALSE)&lt;0,0,VLOOKUP(TableQBRanks3040[[#This Row],[RK]],'Ranks w Proj'!$A:$N,14,FALSE))</f>
        <v>35.24880014496636</v>
      </c>
      <c r="P2">
        <v>1</v>
      </c>
      <c r="Q2" t="str">
        <f>VLOOKUP(TableRBRanks3141[[#This Row],[RK]],Rankings!A:T,8,FALSE)</f>
        <v>Christian McCaffrey</v>
      </c>
      <c r="R2" t="str">
        <f>IFERROR(INDEX(TableRBCalcPts[TM],MATCH(TableRBRanks3141[[#This Row],[Player]],TableRBCalcPts[PLAYER],0)),"")</f>
        <v>SF</v>
      </c>
      <c r="S2">
        <f>IFERROR(INDEX(TableRBCalcPts[BYE],MATCH(TableRBRanks3141[[#This Row],[Player]],TableRBCalcPts[PLAYER],0)),"")</f>
        <v>9</v>
      </c>
      <c r="T2" s="83">
        <f>VLOOKUP(TableRBRanks3141[[#This Row],[Player]],RB!B:O,4,FALSE)</f>
        <v>257.47710912000002</v>
      </c>
      <c r="U2" s="83">
        <f>VLOOKUP(TableRBRanks3141[[#This Row],[Player]],RB!B:O,5,FALSE)</f>
        <v>1230.7405815936002</v>
      </c>
      <c r="V2" s="83">
        <f>VLOOKUP(TableRBRanks3141[[#This Row],[Player]],RB!B:O,6,FALSE)</f>
        <v>13.543295939712001</v>
      </c>
      <c r="W2" s="83">
        <f>VLOOKUP(TableRBRanks3141[[#This Row],[Player]],RB!B:O,7,FALSE)</f>
        <v>82.010229839999994</v>
      </c>
      <c r="X2" s="83">
        <f>VLOOKUP(TableRBRanks3141[[#This Row],[Player]],RB!B:O,8,FALSE)</f>
        <v>65.608183872000012</v>
      </c>
      <c r="Y2" s="83">
        <f>VLOOKUP(TableRBRanks3141[[#This Row],[Player]],RB!B:O,9,FALSE)</f>
        <v>536.29453959869898</v>
      </c>
      <c r="Z2" s="83">
        <f>VLOOKUP(TableRBRanks3141[[#This Row],[Player]],RB!B:O,10,FALSE)</f>
        <v>4.5669319513021414</v>
      </c>
      <c r="AA2" s="57">
        <f>VLOOKUP(TableRBRanks3141[[#This Row],[Player]],RB!B:O,14,FALSE)</f>
        <v>318.16897140131476</v>
      </c>
      <c r="AB2" s="125">
        <f>IF(VLOOKUP(TableRBRanks3141[[#This Row],[RK]],'Ranks w Proj'!$P:$AB,13,FALSE)&lt;0,0,VLOOKUP(TableRBRanks3141[[#This Row],[RK]],'Ranks w Proj'!$P:$AB,13,FALSE))</f>
        <v>70.701289145915453</v>
      </c>
      <c r="AD2">
        <v>1</v>
      </c>
      <c r="AE2" t="str">
        <f>VLOOKUP(TableWRRanks3242[[#This Row],[RK]],Rankings!A:T,13,FALSE)</f>
        <v>CeeDee Lamb</v>
      </c>
      <c r="AF2" t="str">
        <f>IFERROR(INDEX(TableWRCalcPts[TM],MATCH(TableWRRanks3242[[#This Row],[Player]],TableWRCalcPts[PLAYER],0)),"")</f>
        <v>DAL</v>
      </c>
      <c r="AG2">
        <f>IFERROR(INDEX(TableWRCalcPts[BYE],MATCH(TableWRRanks3242[[#This Row],[Player]],TableWRCalcPts[PLAYER],0)),"")</f>
        <v>7</v>
      </c>
      <c r="AH2" s="83">
        <f>VLOOKUP(TableWRRanks3242[[#This Row],[Player]],WR!B:O,4,FALSE)</f>
        <v>78.801206903999997</v>
      </c>
      <c r="AI2" s="83">
        <f>VLOOKUP(TableWRRanks3242[[#This Row],[Player]],WR!B:O,5,FALSE)</f>
        <v>0.36355804800000002</v>
      </c>
      <c r="AJ2" s="83">
        <f>VLOOKUP(TableWRRanks3242[[#This Row],[Player]],WR!B:O,6,FALSE)</f>
        <v>160.99576415999994</v>
      </c>
      <c r="AK2" s="83">
        <f>VLOOKUP(TableWRRanks3242[[#This Row],[Player]],WR!B:O,7,FALSE)</f>
        <v>111.89205609119995</v>
      </c>
      <c r="AL2" s="83">
        <f>VLOOKUP(TableWRRanks3242[[#This Row],[Player]],WR!B:O,8,FALSE)</f>
        <v>1444.4786463175233</v>
      </c>
      <c r="AM2" s="83">
        <f>VLOOKUP(TableWRRanks3242[[#This Row],[Player]],WR!B:O,9,FALSE)</f>
        <v>10.18363511452486</v>
      </c>
      <c r="AN2" s="57">
        <f>VLOOKUP(TableWRRanks3242[[#This Row],[Player]],WR!B:O,13,FALSE)</f>
        <v>271.55717234290148</v>
      </c>
      <c r="AO2" s="125">
        <f>IF(VLOOKUP(TableWRRanks3242[[#This Row],[RK]],'Ranks w Proj'!AD:AO,12,FALSE)&lt;0,0,VLOOKUP(TableWRRanks3242[[#This Row],[RK]],'Ranks w Proj'!AD:AO,12,FALSE))</f>
        <v>54.174855244517012</v>
      </c>
      <c r="AQ2">
        <v>1</v>
      </c>
      <c r="AR2" t="str">
        <f>VLOOKUP(TableTERanks3343[[#This Row],[RK]],Rankings!A:T,18,FALSE)</f>
        <v>Travis Kelce</v>
      </c>
      <c r="AS2" t="str">
        <f>IFERROR(INDEX(TableTECalcPts[TM],MATCH(TableTERanks3343[[#This Row],[Player]],TableTECalcPts[PLAYER],0)),"")</f>
        <v>KC</v>
      </c>
      <c r="AT2">
        <f>IFERROR(INDEX(TableTECalcPts[BYE],MATCH(TableTERanks3343[[#This Row],[Player]],TableTECalcPts[PLAYER],0)),"")</f>
        <v>6</v>
      </c>
      <c r="AU2" s="83">
        <f>VLOOKUP(TableTERanks3343[[#This Row],[Player]],TE!B:O,4,FALSE)</f>
        <v>129.21887999999998</v>
      </c>
      <c r="AV2" s="83">
        <f>VLOOKUP(TableTERanks3343[[#This Row],[Player]],TE!B:O,5,FALSE)</f>
        <v>96.009627840000007</v>
      </c>
      <c r="AW2" s="83">
        <f>VLOOKUP(TableTERanks3343[[#This Row],[Player]],TE!B:O,6,FALSE)</f>
        <v>1034.0236918368</v>
      </c>
      <c r="AX2" s="83">
        <f>VLOOKUP(TableTERanks3343[[#This Row],[Player]],TE!B:O,7,FALSE)</f>
        <v>8.25682799424</v>
      </c>
      <c r="AY2" s="57">
        <f>VLOOKUP(TableTERanks3343[[#This Row],[Player]],TE!B:O,11,FALSE)</f>
        <v>200.94815106912</v>
      </c>
      <c r="AZ2" s="125">
        <f>IF(VLOOKUP(TableTERanks3343[[#This Row],[RK]],'Ranks w Proj'!AQ:AZ,10,FALSE)&lt;0,0,VLOOKUP(TableTERanks3343[[#This Row],[RK]],'Ranks w Proj'!AQ:AZ,10,FALSE))</f>
        <v>28.143774613780923</v>
      </c>
    </row>
    <row r="3" spans="1:52" x14ac:dyDescent="0.2">
      <c r="A3">
        <v>2</v>
      </c>
      <c r="B3" t="str">
        <f>VLOOKUP(TableQBRanks3040[[#This Row],[RK]],Rankings!A:T,3,FALSE)</f>
        <v>Josh Allen</v>
      </c>
      <c r="C3" t="str">
        <f>IFERROR(INDEX(TableQBCalcPts[TM],MATCH(TableQBRanks3040[[#This Row],[Player]],TableQBCalcPts[PLAYER],0)),"")</f>
        <v>BUF</v>
      </c>
      <c r="D3">
        <f>IFERROR(INDEX(TableQBCalcPts[BYE],MATCH(TableQBRanks3040[[#This Row],[Player]],TableQBCalcPts[PLAYER],0)),"")</f>
        <v>12</v>
      </c>
      <c r="E3" s="83">
        <f>VLOOKUP(TableQBRanks3040[[#This Row],[Player]],QB!B:O,4,FALSE)</f>
        <v>613.57823999999994</v>
      </c>
      <c r="F3" s="83">
        <f>VLOOKUP(TableQBRanks3040[[#This Row],[Player]],QB!B:O,5,FALSE)</f>
        <v>397.42344650894228</v>
      </c>
      <c r="G3" s="83">
        <f>VLOOKUP(TableQBRanks3040[[#This Row],[Player]],QB!B:O,6,FALSE)</f>
        <v>4459.0910698303323</v>
      </c>
      <c r="H3" s="83">
        <f>VLOOKUP(TableQBRanks3040[[#This Row],[Player]],QB!B:O,7,FALSE)</f>
        <v>30.678911999999997</v>
      </c>
      <c r="I3" s="83">
        <f>VLOOKUP(TableQBRanks3040[[#This Row],[Player]],QB!B:O,8,FALSE)</f>
        <v>8.2570027479375891</v>
      </c>
      <c r="J3" s="83">
        <f>VLOOKUP(TableQBRanks3040[[#This Row],[Player]],QB!B:O,9,FALSE)</f>
        <v>116.24587520000003</v>
      </c>
      <c r="K3" s="83">
        <f>VLOOKUP(TableQBRanks3040[[#This Row],[Player]],QB!B:O,10,FALSE)</f>
        <v>596.92711573120982</v>
      </c>
      <c r="L3" s="83">
        <f>VLOOKUP(TableQBRanks3040[[#This Row],[Player]],QB!B:O,11,FALSE)</f>
        <v>8.6830743453311445</v>
      </c>
      <c r="M3" s="57">
        <f>VLOOKUP(TableQBRanks3040[[#This Row],[Player]],QB!B:O,13,FALSE)</f>
        <v>396.35644294244599</v>
      </c>
      <c r="N3" s="125">
        <f>IF(VLOOKUP(TableQBRanks3040[[#This Row],[RK]],'Ranks w Proj'!$A:$N,14,FALSE)&lt;0,0,VLOOKUP(TableQBRanks3040[[#This Row],[RK]],'Ranks w Proj'!$A:$N,14,FALSE))</f>
        <v>22.754730975739278</v>
      </c>
      <c r="P3">
        <v>2</v>
      </c>
      <c r="Q3" t="str">
        <f>VLOOKUP(TableRBRanks3141[[#This Row],[RK]],Rankings!A:T,8,FALSE)</f>
        <v>Jonathan Taylor</v>
      </c>
      <c r="R3" t="str">
        <f>IFERROR(INDEX(TableRBCalcPts[TM],MATCH(TableRBRanks3141[[#This Row],[Player]],TableRBCalcPts[PLAYER],0)),"")</f>
        <v>IND</v>
      </c>
      <c r="S3">
        <f>IFERROR(INDEX(TableRBCalcPts[BYE],MATCH(TableRBRanks3141[[#This Row],[Player]],TableRBCalcPts[PLAYER],0)),"")</f>
        <v>14</v>
      </c>
      <c r="T3" s="83">
        <f>VLOOKUP(TableRBRanks3141[[#This Row],[Player]],RB!B:O,4,FALSE)</f>
        <v>292.48295999999993</v>
      </c>
      <c r="U3" s="83">
        <f>VLOOKUP(TableRBRanks3141[[#This Row],[Player]],RB!B:O,5,FALSE)</f>
        <v>1318.4647511290004</v>
      </c>
      <c r="V3" s="83">
        <f>VLOOKUP(TableRBRanks3141[[#This Row],[Player]],RB!B:O,6,FALSE)</f>
        <v>11.114352479999997</v>
      </c>
      <c r="W3" s="83">
        <f>VLOOKUP(TableRBRanks3141[[#This Row],[Player]],RB!B:O,7,FALSE)</f>
        <v>54.199468400000001</v>
      </c>
      <c r="X3" s="83">
        <f>VLOOKUP(TableRBRanks3141[[#This Row],[Player]],RB!B:O,8,FALSE)</f>
        <v>39.782409805599997</v>
      </c>
      <c r="Y3" s="83">
        <f>VLOOKUP(TableRBRanks3141[[#This Row],[Player]],RB!B:O,9,FALSE)</f>
        <v>313.48538926812796</v>
      </c>
      <c r="Z3" s="83">
        <f>VLOOKUP(TableRBRanks3141[[#This Row],[Player]],RB!B:O,10,FALSE)</f>
        <v>1.9891204902799999</v>
      </c>
      <c r="AA3" s="57">
        <f>VLOOKUP(TableRBRanks3141[[#This Row],[Player]],RB!B:O,14,FALSE)</f>
        <v>261.70705676419283</v>
      </c>
      <c r="AB3" s="125">
        <f>IF(VLOOKUP(TableRBRanks3141[[#This Row],[RK]],'Ranks w Proj'!$P:$AB,13,FALSE)&lt;0,0,VLOOKUP(TableRBRanks3141[[#This Row],[RK]],'Ranks w Proj'!$P:$AB,13,FALSE))</f>
        <v>50.566068834976171</v>
      </c>
      <c r="AD3">
        <v>2</v>
      </c>
      <c r="AE3" t="str">
        <f>VLOOKUP(TableWRRanks3242[[#This Row],[RK]],Rankings!A:T,13,FALSE)</f>
        <v>Tyreek Hill</v>
      </c>
      <c r="AF3" t="str">
        <f>IFERROR(INDEX(TableWRCalcPts[TM],MATCH(TableWRRanks3242[[#This Row],[Player]],TableWRCalcPts[PLAYER],0)),"")</f>
        <v>MIA</v>
      </c>
      <c r="AG3">
        <f>IFERROR(INDEX(TableWRCalcPts[BYE],MATCH(TableWRRanks3242[[#This Row],[Player]],TableWRCalcPts[PLAYER],0)),"")</f>
        <v>6</v>
      </c>
      <c r="AH3" s="83">
        <f>VLOOKUP(TableWRRanks3242[[#This Row],[Player]],WR!B:O,4,FALSE)</f>
        <v>33.541405128000001</v>
      </c>
      <c r="AI3" s="83">
        <f>VLOOKUP(TableWRRanks3242[[#This Row],[Player]],WR!B:O,5,FALSE)</f>
        <v>0.3158324400000001</v>
      </c>
      <c r="AJ3" s="83">
        <f>VLOOKUP(TableWRRanks3242[[#This Row],[Player]],WR!B:O,6,FALSE)</f>
        <v>155.96380127999996</v>
      </c>
      <c r="AK3" s="83">
        <f>VLOOKUP(TableWRRanks3242[[#This Row],[Player]],WR!B:O,7,FALSE)</f>
        <v>105.11960206271996</v>
      </c>
      <c r="AL3" s="83">
        <f>VLOOKUP(TableWRRanks3242[[#This Row],[Player]],WR!B:O,8,FALSE)</f>
        <v>1506.753388178435</v>
      </c>
      <c r="AM3" s="83">
        <f>VLOOKUP(TableWRRanks3242[[#This Row],[Player]],WR!B:O,9,FALSE)</f>
        <v>9.6458276903413687</v>
      </c>
      <c r="AN3" s="57">
        <f>VLOOKUP(TableWRRanks3242[[#This Row],[Player]],WR!B:O,13,FALSE)</f>
        <v>266.35924114405168</v>
      </c>
      <c r="AO3" s="125">
        <f>IF(VLOOKUP(TableWRRanks3242[[#This Row],[RK]],'Ranks w Proj'!AD:AO,12,FALSE)&lt;0,0,VLOOKUP(TableWRRanks3242[[#This Row],[RK]],'Ranks w Proj'!AD:AO,12,FALSE))</f>
        <v>51.910084754006128</v>
      </c>
      <c r="AQ3">
        <v>2</v>
      </c>
      <c r="AR3" t="str">
        <f>VLOOKUP(TableTERanks3343[[#This Row],[RK]],Rankings!A:T,18,FALSE)</f>
        <v>Sam LaPorta</v>
      </c>
      <c r="AS3" t="str">
        <f>IFERROR(INDEX(TableTECalcPts[TM],MATCH(TableTERanks3343[[#This Row],[Player]],TableTECalcPts[PLAYER],0)),"")</f>
        <v>DET</v>
      </c>
      <c r="AT3">
        <f>IFERROR(INDEX(TableTECalcPts[BYE],MATCH(TableTERanks3343[[#This Row],[Player]],TableTECalcPts[PLAYER],0)),"")</f>
        <v>5</v>
      </c>
      <c r="AU3" s="83">
        <f>VLOOKUP(TableTERanks3343[[#This Row],[Player]],TE!B:O,4,FALSE)</f>
        <v>121.49829299999999</v>
      </c>
      <c r="AV3" s="83">
        <f>VLOOKUP(TableTERanks3343[[#This Row],[Player]],TE!B:O,5,FALSE)</f>
        <v>86.263788029999972</v>
      </c>
      <c r="AW3" s="83">
        <f>VLOOKUP(TableTERanks3343[[#This Row],[Player]],TE!B:O,6,FALSE)</f>
        <v>896.26531845526756</v>
      </c>
      <c r="AX3" s="83">
        <f>VLOOKUP(TableTERanks3343[[#This Row],[Player]],TE!B:O,7,FALSE)</f>
        <v>8.2963843386541338</v>
      </c>
      <c r="AY3" s="57">
        <f>VLOOKUP(TableTERanks3343[[#This Row],[Player]],TE!B:O,11,FALSE)</f>
        <v>182.53673189245154</v>
      </c>
      <c r="AZ3" s="125">
        <f>IF(VLOOKUP(TableTERanks3343[[#This Row],[RK]],'Ranks w Proj'!AQ:AZ,10,FALSE)&lt;0,0,VLOOKUP(TableTERanks3343[[#This Row],[RK]],'Ranks w Proj'!AQ:AZ,10,FALSE))</f>
        <v>20.667603838702814</v>
      </c>
    </row>
    <row r="4" spans="1:52" x14ac:dyDescent="0.2">
      <c r="A4">
        <v>3</v>
      </c>
      <c r="B4" t="str">
        <f>VLOOKUP(TableQBRanks3040[[#This Row],[RK]],Rankings!A:T,3,FALSE)</f>
        <v>Lamar Jackson</v>
      </c>
      <c r="C4" t="str">
        <f>IFERROR(INDEX(TableQBCalcPts[TM],MATCH(TableQBRanks3040[[#This Row],[Player]],TableQBCalcPts[PLAYER],0)),"")</f>
        <v>BAL</v>
      </c>
      <c r="D4">
        <f>IFERROR(INDEX(TableQBCalcPts[BYE],MATCH(TableQBRanks3040[[#This Row],[Player]],TableQBCalcPts[PLAYER],0)),"")</f>
        <v>14</v>
      </c>
      <c r="E4" s="83">
        <f>VLOOKUP(TableQBRanks3040[[#This Row],[Player]],QB!B:O,4,FALSE)</f>
        <v>513.14440000000002</v>
      </c>
      <c r="F4" s="83">
        <f>VLOOKUP(TableQBRanks3040[[#This Row],[Player]],QB!B:O,5,FALSE)</f>
        <v>338.15568117642169</v>
      </c>
      <c r="G4" s="83">
        <f>VLOOKUP(TableQBRanks3040[[#This Row],[Player]],QB!B:O,6,FALSE)</f>
        <v>3938.5025075402932</v>
      </c>
      <c r="H4" s="83">
        <f>VLOOKUP(TableQBRanks3040[[#This Row],[Player]],QB!B:O,7,FALSE)</f>
        <v>27.00731983910633</v>
      </c>
      <c r="I4" s="83">
        <f>VLOOKUP(TableQBRanks3040[[#This Row],[Player]],QB!B:O,8,FALSE)</f>
        <v>6.5285855002725803</v>
      </c>
      <c r="J4" s="83">
        <f>VLOOKUP(TableQBRanks3040[[#This Row],[Player]],QB!B:O,9,FALSE)</f>
        <v>147.03669120000001</v>
      </c>
      <c r="K4" s="83">
        <f>VLOOKUP(TableQBRanks3040[[#This Row],[Player]],QB!B:O,10,FALSE)</f>
        <v>855.45770716797324</v>
      </c>
      <c r="L4" s="83">
        <f>VLOOKUP(TableQBRanks3040[[#This Row],[Player]],QB!B:O,11,FALSE)</f>
        <v>5.464757583408181</v>
      </c>
      <c r="M4" s="57">
        <f>VLOOKUP(TableQBRanks3040[[#This Row],[Player]],QB!B:O,13,FALSE)</f>
        <v>370.84652487473829</v>
      </c>
      <c r="N4" s="125">
        <f>IF(VLOOKUP(TableQBRanks3040[[#This Row],[RK]],'Ranks w Proj'!$A:$N,14,FALSE)&lt;0,0,VLOOKUP(TableQBRanks3040[[#This Row],[RK]],'Ranks w Proj'!$A:$N,14,FALSE))</f>
        <v>21.721939194300639</v>
      </c>
      <c r="P4">
        <v>3</v>
      </c>
      <c r="Q4" t="str">
        <f>VLOOKUP(TableRBRanks3141[[#This Row],[RK]],Rankings!A:T,8,FALSE)</f>
        <v>Breece Hall</v>
      </c>
      <c r="R4" t="str">
        <f>IFERROR(INDEX(TableRBCalcPts[TM],MATCH(TableRBRanks3141[[#This Row],[Player]],TableRBCalcPts[PLAYER],0)),"")</f>
        <v>NYJ</v>
      </c>
      <c r="S4">
        <f>IFERROR(INDEX(TableRBCalcPts[BYE],MATCH(TableRBRanks3141[[#This Row],[Player]],TableRBCalcPts[PLAYER],0)),"")</f>
        <v>12</v>
      </c>
      <c r="T4" s="83">
        <f>VLOOKUP(TableRBRanks3141[[#This Row],[Player]],RB!B:O,4,FALSE)</f>
        <v>241.62470360000006</v>
      </c>
      <c r="U4" s="83">
        <f>VLOOKUP(TableRBRanks3141[[#This Row],[Player]],RB!B:O,5,FALSE)</f>
        <v>1081.152639879771</v>
      </c>
      <c r="V4" s="83">
        <f>VLOOKUP(TableRBRanks3141[[#This Row],[Player]],RB!B:O,6,FALSE)</f>
        <v>9.1817387368000016</v>
      </c>
      <c r="W4" s="83">
        <f>VLOOKUP(TableRBRanks3141[[#This Row],[Player]],RB!B:O,7,FALSE)</f>
        <v>72.878966159999976</v>
      </c>
      <c r="X4" s="83">
        <f>VLOOKUP(TableRBRanks3141[[#This Row],[Player]],RB!B:O,8,FALSE)</f>
        <v>57.137109469439984</v>
      </c>
      <c r="Y4" s="83">
        <f>VLOOKUP(TableRBRanks3141[[#This Row],[Player]],RB!B:O,9,FALSE)</f>
        <v>453.72342684389395</v>
      </c>
      <c r="Z4" s="83">
        <f>VLOOKUP(TableRBRanks3141[[#This Row],[Player]],RB!B:O,10,FALSE)</f>
        <v>3.2576542327528428</v>
      </c>
      <c r="AA4" s="57">
        <f>VLOOKUP(TableRBRanks3141[[#This Row],[Player]],RB!B:O,14,FALSE)</f>
        <v>256.69251922440355</v>
      </c>
      <c r="AB4" s="125">
        <f>IF(VLOOKUP(TableRBRanks3141[[#This Row],[RK]],'Ranks w Proj'!$P:$AB,13,FALSE)&lt;0,0,VLOOKUP(TableRBRanks3141[[#This Row],[RK]],'Ranks w Proj'!$P:$AB,13,FALSE))</f>
        <v>48.777804679039306</v>
      </c>
      <c r="AD4">
        <v>3</v>
      </c>
      <c r="AE4" t="str">
        <f>VLOOKUP(TableWRRanks3242[[#This Row],[RK]],Rankings!A:T,13,FALSE)</f>
        <v>Justin Jefferson</v>
      </c>
      <c r="AF4" t="str">
        <f>IFERROR(INDEX(TableWRCalcPts[TM],MATCH(TableWRRanks3242[[#This Row],[Player]],TableWRCalcPts[PLAYER],0)),"")</f>
        <v>MIN</v>
      </c>
      <c r="AG4">
        <f>IFERROR(INDEX(TableWRCalcPts[BYE],MATCH(TableWRRanks3242[[#This Row],[Player]],TableWRCalcPts[PLAYER],0)),"")</f>
        <v>6</v>
      </c>
      <c r="AH4" s="83">
        <f>VLOOKUP(TableWRRanks3242[[#This Row],[Player]],WR!B:O,4,FALSE)</f>
        <v>17.335964799999999</v>
      </c>
      <c r="AI4" s="83">
        <f>VLOOKUP(TableWRRanks3242[[#This Row],[Player]],WR!B:O,5,FALSE)</f>
        <v>2.2637369823745219E-2</v>
      </c>
      <c r="AJ4" s="83">
        <f>VLOOKUP(TableWRRanks3242[[#This Row],[Player]],WR!B:O,6,FALSE)</f>
        <v>160.50283199999998</v>
      </c>
      <c r="AK4" s="83">
        <f>VLOOKUP(TableWRRanks3242[[#This Row],[Player]],WR!B:O,7,FALSE)</f>
        <v>103.52432663999997</v>
      </c>
      <c r="AL4" s="83">
        <f>VLOOKUP(TableWRRanks3242[[#This Row],[Player]],WR!B:O,8,FALSE)</f>
        <v>1423.4594912999996</v>
      </c>
      <c r="AM4" s="83">
        <f>VLOOKUP(TableWRRanks3242[[#This Row],[Player]],WR!B:O,9,FALSE)</f>
        <v>7.5572758447199977</v>
      </c>
      <c r="AN4" s="57">
        <f>VLOOKUP(TableWRRanks3242[[#This Row],[Player]],WR!B:O,13,FALSE)</f>
        <v>241.32118821726243</v>
      </c>
      <c r="AO4" s="125">
        <f>IF(VLOOKUP(TableWRRanks3242[[#This Row],[RK]],'Ranks w Proj'!AD:AO,12,FALSE)&lt;0,0,VLOOKUP(TableWRRanks3242[[#This Row],[RK]],'Ranks w Proj'!AD:AO,12,FALSE))</f>
        <v>45.311891365903037</v>
      </c>
      <c r="AQ4">
        <v>3</v>
      </c>
      <c r="AR4" t="str">
        <f>VLOOKUP(TableTERanks3343[[#This Row],[RK]],Rankings!A:T,18,FALSE)</f>
        <v>Trey McBride</v>
      </c>
      <c r="AS4" t="str">
        <f>IFERROR(INDEX(TableTECalcPts[TM],MATCH(TableTERanks3343[[#This Row],[Player]],TableTECalcPts[PLAYER],0)),"")</f>
        <v>ARI</v>
      </c>
      <c r="AT4">
        <f>IFERROR(INDEX(TableTECalcPts[BYE],MATCH(TableTERanks3343[[#This Row],[Player]],TableTECalcPts[PLAYER],0)),"")</f>
        <v>11</v>
      </c>
      <c r="AU4" s="83">
        <f>VLOOKUP(TableTERanks3343[[#This Row],[Player]],TE!B:O,4,FALSE)</f>
        <v>122.0659335</v>
      </c>
      <c r="AV4" s="83">
        <f>VLOOKUP(TableTERanks3343[[#This Row],[Player]],TE!B:O,5,FALSE)</f>
        <v>88.986065521499981</v>
      </c>
      <c r="AW4" s="83">
        <f>VLOOKUP(TableTERanks3343[[#This Row],[Player]],TE!B:O,6,FALSE)</f>
        <v>913.88689290580476</v>
      </c>
      <c r="AX4" s="83">
        <f>VLOOKUP(TableTERanks3343[[#This Row],[Player]],TE!B:O,7,FALSE)</f>
        <v>5.6951081933759991</v>
      </c>
      <c r="AY4" s="57">
        <f>VLOOKUP(TableTERanks3343[[#This Row],[Player]],TE!B:O,11,FALSE)</f>
        <v>170.05237121158649</v>
      </c>
      <c r="AZ4" s="125">
        <f>IF(VLOOKUP(TableTERanks3343[[#This Row],[RK]],'Ranks w Proj'!AQ:AZ,10,FALSE)&lt;0,0,VLOOKUP(TableTERanks3343[[#This Row],[RK]],'Ranks w Proj'!AQ:AZ,10,FALSE))</f>
        <v>20.568627565588908</v>
      </c>
    </row>
    <row r="5" spans="1:52" x14ac:dyDescent="0.2">
      <c r="A5">
        <v>4</v>
      </c>
      <c r="B5" t="str">
        <f>VLOOKUP(TableQBRanks3040[[#This Row],[RK]],Rankings!A:T,3,FALSE)</f>
        <v>Patrick Mahomes</v>
      </c>
      <c r="C5" t="str">
        <f>IFERROR(INDEX(TableQBCalcPts[TM],MATCH(TableQBRanks3040[[#This Row],[Player]],TableQBCalcPts[PLAYER],0)),"")</f>
        <v>KC</v>
      </c>
      <c r="D5">
        <f>IFERROR(INDEX(TableQBCalcPts[BYE],MATCH(TableQBRanks3040[[#This Row],[Player]],TableQBCalcPts[PLAYER],0)),"")</f>
        <v>6</v>
      </c>
      <c r="E5" s="83">
        <f>VLOOKUP(TableQBRanks3040[[#This Row],[Player]],QB!B:O,4,FALSE)</f>
        <v>636.76799999999992</v>
      </c>
      <c r="F5" s="83">
        <f>VLOOKUP(TableQBRanks3040[[#This Row],[Player]],QB!B:O,5,FALSE)</f>
        <v>429.18163199999998</v>
      </c>
      <c r="G5" s="83">
        <f>VLOOKUP(TableQBRanks3040[[#This Row],[Player]],QB!B:O,6,FALSE)</f>
        <v>4871.2115231999996</v>
      </c>
      <c r="H5" s="83">
        <f>VLOOKUP(TableQBRanks3040[[#This Row],[Player]],QB!B:O,7,FALSE)</f>
        <v>35.659007999999993</v>
      </c>
      <c r="I5" s="83">
        <f>VLOOKUP(TableQBRanks3040[[#This Row],[Player]],QB!B:O,8,FALSE)</f>
        <v>6.9918730139150211</v>
      </c>
      <c r="J5" s="83">
        <f>VLOOKUP(TableQBRanks3040[[#This Row],[Player]],QB!B:O,9,FALSE)</f>
        <v>58.831360000000011</v>
      </c>
      <c r="K5" s="83">
        <f>VLOOKUP(TableQBRanks3040[[#This Row],[Player]],QB!B:O,10,FALSE)</f>
        <v>311.80620800000003</v>
      </c>
      <c r="L5" s="83">
        <f>VLOOKUP(TableQBRanks3040[[#This Row],[Player]],QB!B:O,11,FALSE)</f>
        <v>2.0002662400000006</v>
      </c>
      <c r="M5" s="57">
        <f>VLOOKUP(TableQBRanks3040[[#This Row],[Player]],QB!B:O,13,FALSE)</f>
        <v>366.68296514016993</v>
      </c>
      <c r="N5" s="125">
        <f>IF(VLOOKUP(TableQBRanks3040[[#This Row],[RK]],'Ranks w Proj'!$A:$N,14,FALSE)&lt;0,0,VLOOKUP(TableQBRanks3040[[#This Row],[RK]],'Ranks w Proj'!$A:$N,14,FALSE))</f>
        <v>19.35150474991466</v>
      </c>
      <c r="P5">
        <v>4</v>
      </c>
      <c r="Q5" t="str">
        <f>VLOOKUP(TableRBRanks3141[[#This Row],[RK]],Rankings!A:T,8,FALSE)</f>
        <v>Bijan Robinson</v>
      </c>
      <c r="R5" t="str">
        <f>IFERROR(INDEX(TableRBCalcPts[TM],MATCH(TableRBRanks3141[[#This Row],[Player]],TableRBCalcPts[PLAYER],0)),"")</f>
        <v>ATL</v>
      </c>
      <c r="S5">
        <f>IFERROR(INDEX(TableRBCalcPts[BYE],MATCH(TableRBRanks3141[[#This Row],[Player]],TableRBCalcPts[PLAYER],0)),"")</f>
        <v>12</v>
      </c>
      <c r="T5" s="83">
        <f>VLOOKUP(TableRBRanks3141[[#This Row],[Player]],RB!B:O,4,FALSE)</f>
        <v>262.51071840000003</v>
      </c>
      <c r="U5" s="83">
        <f>VLOOKUP(TableRBRanks3141[[#This Row],[Player]],RB!B:O,5,FALSE)</f>
        <v>1198.3646580486595</v>
      </c>
      <c r="V5" s="83">
        <f>VLOOKUP(TableRBRanks3141[[#This Row],[Player]],RB!B:O,6,FALSE)</f>
        <v>9.7128965808000007</v>
      </c>
      <c r="W5" s="83">
        <f>VLOOKUP(TableRBRanks3141[[#This Row],[Player]],RB!B:O,7,FALSE)</f>
        <v>51.762110399999997</v>
      </c>
      <c r="X5" s="83">
        <f>VLOOKUP(TableRBRanks3141[[#This Row],[Player]],RB!B:O,8,FALSE)</f>
        <v>38.562772247999987</v>
      </c>
      <c r="Y5" s="83">
        <f>VLOOKUP(TableRBRanks3141[[#This Row],[Player]],RB!B:O,9,FALSE)</f>
        <v>320.68214668517703</v>
      </c>
      <c r="Z5" s="83">
        <f>VLOOKUP(TableRBRanks3141[[#This Row],[Player]],RB!B:O,10,FALSE)</f>
        <v>2.6969384384134791</v>
      </c>
      <c r="AA5" s="57">
        <f>VLOOKUP(TableRBRanks3141[[#This Row],[Player]],RB!B:O,14,FALSE)</f>
        <v>245.64507671266452</v>
      </c>
      <c r="AB5" s="125">
        <f>IF(VLOOKUP(TableRBRanks3141[[#This Row],[RK]],'Ranks w Proj'!$P:$AB,13,FALSE)&lt;0,0,VLOOKUP(TableRBRanks3141[[#This Row],[RK]],'Ranks w Proj'!$P:$AB,13,FALSE))</f>
        <v>44.838110280152357</v>
      </c>
      <c r="AD5">
        <v>4</v>
      </c>
      <c r="AE5" t="str">
        <f>VLOOKUP(TableWRRanks3242[[#This Row],[RK]],Rankings!A:T,13,FALSE)</f>
        <v>Amon-Ra St. Brown</v>
      </c>
      <c r="AF5" t="str">
        <f>IFERROR(INDEX(TableWRCalcPts[TM],MATCH(TableWRRanks3242[[#This Row],[Player]],TableWRCalcPts[PLAYER],0)),"")</f>
        <v>DET</v>
      </c>
      <c r="AG5">
        <f>IFERROR(INDEX(TableWRCalcPts[BYE],MATCH(TableWRRanks3242[[#This Row],[Player]],TableWRCalcPts[PLAYER],0)),"")</f>
        <v>5</v>
      </c>
      <c r="AH5" s="83">
        <f>VLOOKUP(TableWRRanks3242[[#This Row],[Player]],WR!B:O,4,FALSE)</f>
        <v>123.26695878000001</v>
      </c>
      <c r="AI5" s="83">
        <f>VLOOKUP(TableWRRanks3242[[#This Row],[Player]],WR!B:O,5,FALSE)</f>
        <v>0.28167640200000005</v>
      </c>
      <c r="AJ5" s="83">
        <f>VLOOKUP(TableWRRanks3242[[#This Row],[Player]],WR!B:O,6,FALSE)</f>
        <v>151.72469759999998</v>
      </c>
      <c r="AK5" s="83">
        <f>VLOOKUP(TableWRRanks3242[[#This Row],[Player]],WR!B:O,7,FALSE)</f>
        <v>108.17970938880001</v>
      </c>
      <c r="AL5" s="83">
        <f>VLOOKUP(TableWRRanks3242[[#This Row],[Player]],WR!B:O,8,FALSE)</f>
        <v>1337.101208045568</v>
      </c>
      <c r="AM5" s="83">
        <f>VLOOKUP(TableWRRanks3242[[#This Row],[Player]],WR!B:O,9,FALSE)</f>
        <v>8.2331388766299778</v>
      </c>
      <c r="AN5" s="57">
        <f>VLOOKUP(TableWRRanks3242[[#This Row],[Player]],WR!B:O,13,FALSE)</f>
        <v>251.21556304873667</v>
      </c>
      <c r="AO5" s="125">
        <f>IF(VLOOKUP(TableWRRanks3242[[#This Row],[RK]],'Ranks w Proj'!AD:AO,12,FALSE)&lt;0,0,VLOOKUP(TableWRRanks3242[[#This Row],[RK]],'Ranks w Proj'!AD:AO,12,FALSE))</f>
        <v>41.598300061042288</v>
      </c>
      <c r="AQ5">
        <v>4</v>
      </c>
      <c r="AR5" t="str">
        <f>VLOOKUP(TableTERanks3343[[#This Row],[RK]],Rankings!A:T,18,FALSE)</f>
        <v>Mark Andrews</v>
      </c>
      <c r="AS5" t="str">
        <f>IFERROR(INDEX(TableTECalcPts[TM],MATCH(TableTERanks3343[[#This Row],[Player]],TableTECalcPts[PLAYER],0)),"")</f>
        <v>BAL</v>
      </c>
      <c r="AT5">
        <f>IFERROR(INDEX(TableTECalcPts[BYE],MATCH(TableTERanks3343[[#This Row],[Player]],TableTECalcPts[PLAYER],0)),"")</f>
        <v>14</v>
      </c>
      <c r="AU5" s="83">
        <f>VLOOKUP(TableTERanks3343[[#This Row],[Player]],TE!B:O,4,FALSE)</f>
        <v>116.45677120000001</v>
      </c>
      <c r="AV5" s="83">
        <f>VLOOKUP(TableTERanks3343[[#This Row],[Player]],TE!B:O,5,FALSE)</f>
        <v>81.51973984</v>
      </c>
      <c r="AW5" s="83">
        <f>VLOOKUP(TableTERanks3343[[#This Row],[Player]],TE!B:O,6,FALSE)</f>
        <v>931.10389580398976</v>
      </c>
      <c r="AX5" s="83">
        <f>VLOOKUP(TableTERanks3343[[#This Row],[Player]],TE!B:O,7,FALSE)</f>
        <v>8.0704542441600005</v>
      </c>
      <c r="AY5" s="57">
        <f>VLOOKUP(TableTERanks3343[[#This Row],[Player]],TE!B:O,11,FALSE)</f>
        <v>182.29298496535898</v>
      </c>
      <c r="AZ5" s="125">
        <f>IF(VLOOKUP(TableTERanks3343[[#This Row],[RK]],'Ranks w Proj'!AQ:AZ,10,FALSE)&lt;0,0,VLOOKUP(TableTERanks3343[[#This Row],[RK]],'Ranks w Proj'!AQ:AZ,10,FALSE))</f>
        <v>18.674798626453597</v>
      </c>
    </row>
    <row r="6" spans="1:52" x14ac:dyDescent="0.2">
      <c r="A6">
        <v>5</v>
      </c>
      <c r="B6" t="str">
        <f>VLOOKUP(TableQBRanks3040[[#This Row],[RK]],Rankings!A:T,3,FALSE)</f>
        <v>Anthony Richardson</v>
      </c>
      <c r="C6" t="str">
        <f>IFERROR(INDEX(TableQBCalcPts[TM],MATCH(TableQBRanks3040[[#This Row],[Player]],TableQBCalcPts[PLAYER],0)),"")</f>
        <v>IND</v>
      </c>
      <c r="D6">
        <f>IFERROR(INDEX(TableQBCalcPts[BYE],MATCH(TableQBRanks3040[[#This Row],[Player]],TableQBCalcPts[PLAYER],0)),"")</f>
        <v>14</v>
      </c>
      <c r="E6" s="83">
        <f>VLOOKUP(TableQBRanks3040[[#This Row],[Player]],QB!B:O,4,FALSE)</f>
        <v>520.20100000000002</v>
      </c>
      <c r="F6" s="83">
        <f>VLOOKUP(TableQBRanks3040[[#This Row],[Player]],QB!B:O,5,FALSE)</f>
        <v>326.36403489000071</v>
      </c>
      <c r="G6" s="83">
        <f>VLOOKUP(TableQBRanks3040[[#This Row],[Player]],QB!B:O,6,FALSE)</f>
        <v>3655.8084668775996</v>
      </c>
      <c r="H6" s="83">
        <f>VLOOKUP(TableQBRanks3040[[#This Row],[Player]],QB!B:O,7,FALSE)</f>
        <v>22.368642999999999</v>
      </c>
      <c r="I6" s="83">
        <f>VLOOKUP(TableQBRanks3040[[#This Row],[Player]],QB!B:O,8,FALSE)</f>
        <v>6.0357611036852434</v>
      </c>
      <c r="J6" s="83">
        <f>VLOOKUP(TableQBRanks3040[[#This Row],[Player]],QB!B:O,9,FALSE)</f>
        <v>136.49204800000001</v>
      </c>
      <c r="K6" s="83">
        <f>VLOOKUP(TableQBRanks3040[[#This Row],[Player]],QB!B:O,10,FALSE)</f>
        <v>686.03471248911717</v>
      </c>
      <c r="L6" s="83">
        <f>VLOOKUP(TableQBRanks3040[[#This Row],[Player]],QB!B:O,11,FALSE)</f>
        <v>8.5105514237598872</v>
      </c>
      <c r="M6" s="57">
        <f>VLOOKUP(TableQBRanks3040[[#This Row],[Player]],QB!B:O,13,FALSE)</f>
        <v>343.30216825920456</v>
      </c>
      <c r="N6" s="125">
        <f>IF(VLOOKUP(TableQBRanks3040[[#This Row],[RK]],'Ranks w Proj'!$A:$N,14,FALSE)&lt;0,0,VLOOKUP(TableQBRanks3040[[#This Row],[RK]],'Ranks w Proj'!$A:$N,14,FALSE))</f>
        <v>15.369908826064485</v>
      </c>
      <c r="P6">
        <v>5</v>
      </c>
      <c r="Q6" t="str">
        <f>VLOOKUP(TableRBRanks3141[[#This Row],[RK]],Rankings!A:T,8,FALSE)</f>
        <v>Saquon Barkley</v>
      </c>
      <c r="R6" t="str">
        <f>IFERROR(INDEX(TableRBCalcPts[TM],MATCH(TableRBRanks3141[[#This Row],[Player]],TableRBCalcPts[PLAYER],0)),"")</f>
        <v>PHI</v>
      </c>
      <c r="S6">
        <f>IFERROR(INDEX(TableRBCalcPts[BYE],MATCH(TableRBRanks3141[[#This Row],[Player]],TableRBCalcPts[PLAYER],0)),"")</f>
        <v>5</v>
      </c>
      <c r="T6" s="83">
        <f>VLOOKUP(TableRBRanks3141[[#This Row],[Player]],RB!B:O,4,FALSE)</f>
        <v>251.11457280000002</v>
      </c>
      <c r="U6" s="83">
        <f>VLOOKUP(TableRBRanks3141[[#This Row],[Player]],RB!B:O,5,FALSE)</f>
        <v>1107.4152660480001</v>
      </c>
      <c r="V6" s="83">
        <f>VLOOKUP(TableRBRanks3141[[#This Row],[Player]],RB!B:O,6,FALSE)</f>
        <v>9.5423537663999998</v>
      </c>
      <c r="W6" s="83">
        <f>VLOOKUP(TableRBRanks3141[[#This Row],[Player]],RB!B:O,7,FALSE)</f>
        <v>63.594599040000013</v>
      </c>
      <c r="X6" s="83">
        <f>VLOOKUP(TableRBRanks3141[[#This Row],[Player]],RB!B:O,8,FALSE)</f>
        <v>48.459084468479993</v>
      </c>
      <c r="Y6" s="83">
        <f>VLOOKUP(TableRBRanks3141[[#This Row],[Player]],RB!B:O,9,FALSE)</f>
        <v>358.54282797919461</v>
      </c>
      <c r="Z6" s="83">
        <f>VLOOKUP(TableRBRanks3141[[#This Row],[Player]],RB!B:O,10,FALSE)</f>
        <v>2.2775769700185595</v>
      </c>
      <c r="AA6" s="57">
        <f>VLOOKUP(TableRBRanks3141[[#This Row],[Player]],RB!B:O,14,FALSE)</f>
        <v>241.74493605547082</v>
      </c>
      <c r="AB6" s="125">
        <f>IF(VLOOKUP(TableRBRanks3141[[#This Row],[RK]],'Ranks w Proj'!$P:$AB,13,FALSE)&lt;0,0,VLOOKUP(TableRBRanks3141[[#This Row],[RK]],'Ranks w Proj'!$P:$AB,13,FALSE))</f>
        <v>43.447257846596806</v>
      </c>
      <c r="AD6">
        <v>5</v>
      </c>
      <c r="AE6" t="str">
        <f>VLOOKUP(TableWRRanks3242[[#This Row],[RK]],Rankings!A:T,13,FALSE)</f>
        <v>Ja'Marr Chase</v>
      </c>
      <c r="AF6" t="str">
        <f>IFERROR(INDEX(TableWRCalcPts[TM],MATCH(TableWRRanks3242[[#This Row],[Player]],TableWRCalcPts[PLAYER],0)),"")</f>
        <v>CIN</v>
      </c>
      <c r="AG6">
        <f>IFERROR(INDEX(TableWRCalcPts[BYE],MATCH(TableWRRanks3242[[#This Row],[Player]],TableWRCalcPts[PLAYER],0)),"")</f>
        <v>12</v>
      </c>
      <c r="AH6" s="83">
        <f>VLOOKUP(TableWRRanks3242[[#This Row],[Player]],WR!B:O,4,FALSE)</f>
        <v>0</v>
      </c>
      <c r="AI6" s="83">
        <f>VLOOKUP(TableWRRanks3242[[#This Row],[Player]],WR!B:O,5,FALSE)</f>
        <v>0</v>
      </c>
      <c r="AJ6" s="83">
        <f>VLOOKUP(TableWRRanks3242[[#This Row],[Player]],WR!B:O,6,FALSE)</f>
        <v>156.51559811999999</v>
      </c>
      <c r="AK6" s="83">
        <f>VLOOKUP(TableWRRanks3242[[#This Row],[Player]],WR!B:O,7,FALSE)</f>
        <v>106.27409112348001</v>
      </c>
      <c r="AL6" s="83">
        <f>VLOOKUP(TableWRRanks3242[[#This Row],[Player]],WR!B:O,8,FALSE)</f>
        <v>1317.7987299311521</v>
      </c>
      <c r="AM6" s="83">
        <f>VLOOKUP(TableWRRanks3242[[#This Row],[Player]],WR!B:O,9,FALSE)</f>
        <v>9.6292480890477261</v>
      </c>
      <c r="AN6" s="57">
        <f>VLOOKUP(TableWRRanks3242[[#This Row],[Player]],WR!B:O,13,FALSE)</f>
        <v>242.69240708914157</v>
      </c>
      <c r="AO6" s="125">
        <f>IF(VLOOKUP(TableWRRanks3242[[#This Row],[RK]],'Ranks w Proj'!AD:AO,12,FALSE)&lt;0,0,VLOOKUP(TableWRRanks3242[[#This Row],[RK]],'Ranks w Proj'!AD:AO,12,FALSE))</f>
        <v>41.000851591976236</v>
      </c>
      <c r="AQ6">
        <v>5</v>
      </c>
      <c r="AR6" t="str">
        <f>VLOOKUP(TableTERanks3343[[#This Row],[RK]],Rankings!A:T,18,FALSE)</f>
        <v>Kyle Pitts</v>
      </c>
      <c r="AS6" t="str">
        <f>IFERROR(INDEX(TableTECalcPts[TM],MATCH(TableTERanks3343[[#This Row],[Player]],TableTECalcPts[PLAYER],0)),"")</f>
        <v>ATL</v>
      </c>
      <c r="AT6">
        <f>IFERROR(INDEX(TableTECalcPts[BYE],MATCH(TableTERanks3343[[#This Row],[Player]],TableTECalcPts[PLAYER],0)),"")</f>
        <v>12</v>
      </c>
      <c r="AU6" s="83">
        <f>VLOOKUP(TableTERanks3343[[#This Row],[Player]],TE!B:O,4,FALSE)</f>
        <v>126.52960319999998</v>
      </c>
      <c r="AV6" s="83">
        <f>VLOOKUP(TableTERanks3343[[#This Row],[Player]],TE!B:O,5,FALSE)</f>
        <v>78.70141319039999</v>
      </c>
      <c r="AW6" s="83">
        <f>VLOOKUP(TableTERanks3343[[#This Row],[Player]],TE!B:O,6,FALSE)</f>
        <v>1000.294961649984</v>
      </c>
      <c r="AX6" s="83">
        <f>VLOOKUP(TableTERanks3343[[#This Row],[Player]],TE!B:O,7,FALSE)</f>
        <v>6.3748144684223993</v>
      </c>
      <c r="AY6" s="57">
        <f>VLOOKUP(TableTERanks3343[[#This Row],[Player]],TE!B:O,11,FALSE)</f>
        <v>177.62908957073282</v>
      </c>
      <c r="AZ6" s="125">
        <f>IF(VLOOKUP(TableTERanks3343[[#This Row],[RK]],'Ranks w Proj'!AQ:AZ,10,FALSE)&lt;0,0,VLOOKUP(TableTERanks3343[[#This Row],[RK]],'Ranks w Proj'!AQ:AZ,10,FALSE))</f>
        <v>15.598184063279145</v>
      </c>
    </row>
    <row r="7" spans="1:52" x14ac:dyDescent="0.2">
      <c r="A7">
        <v>6</v>
      </c>
      <c r="B7" t="str">
        <f>VLOOKUP(TableQBRanks3040[[#This Row],[RK]],Rankings!A:T,3,FALSE)</f>
        <v>Jordan Love</v>
      </c>
      <c r="C7" t="str">
        <f>IFERROR(INDEX(TableQBCalcPts[TM],MATCH(TableQBRanks3040[[#This Row],[Player]],TableQBCalcPts[PLAYER],0)),"")</f>
        <v>GB</v>
      </c>
      <c r="D7">
        <f>IFERROR(INDEX(TableQBCalcPts[BYE],MATCH(TableQBRanks3040[[#This Row],[Player]],TableQBCalcPts[PLAYER],0)),"")</f>
        <v>10</v>
      </c>
      <c r="E7" s="83">
        <f>VLOOKUP(TableQBRanks3040[[#This Row],[Player]],QB!B:O,4,FALSE)</f>
        <v>576.02160000000003</v>
      </c>
      <c r="F7" s="83">
        <f>VLOOKUP(TableQBRanks3040[[#This Row],[Player]],QB!B:O,5,FALSE)</f>
        <v>378.88504275461366</v>
      </c>
      <c r="G7" s="83">
        <f>VLOOKUP(TableQBRanks3040[[#This Row],[Player]],QB!B:O,6,FALSE)</f>
        <v>4322.6213086755724</v>
      </c>
      <c r="H7" s="83">
        <f>VLOOKUP(TableQBRanks3040[[#This Row],[Player]],QB!B:O,7,FALSE)</f>
        <v>31.969198800000001</v>
      </c>
      <c r="I7" s="83">
        <f>VLOOKUP(TableQBRanks3040[[#This Row],[Player]],QB!B:O,8,FALSE)</f>
        <v>6.8428246578237495</v>
      </c>
      <c r="J7" s="83">
        <f>VLOOKUP(TableQBRanks3040[[#This Row],[Player]],QB!B:O,9,FALSE)</f>
        <v>49.281847999999997</v>
      </c>
      <c r="K7" s="83">
        <f>VLOOKUP(TableQBRanks3040[[#This Row],[Player]],QB!B:O,10,FALSE)</f>
        <v>217.58067603963559</v>
      </c>
      <c r="L7" s="83">
        <f>VLOOKUP(TableQBRanks3040[[#This Row],[Player]],QB!B:O,11,FALSE)</f>
        <v>2.2176831599999995</v>
      </c>
      <c r="M7" s="57">
        <f>VLOOKUP(TableQBRanks3040[[#This Row],[Player]],QB!B:O,13,FALSE)</f>
        <v>322.16016479533897</v>
      </c>
      <c r="N7" s="125">
        <f>IF(VLOOKUP(TableQBRanks3040[[#This Row],[RK]],'Ranks w Proj'!$A:$N,14,FALSE)&lt;0,0,VLOOKUP(TableQBRanks3040[[#This Row],[RK]],'Ranks w Proj'!$A:$N,14,FALSE))</f>
        <v>14.005054037894336</v>
      </c>
      <c r="P7">
        <v>6</v>
      </c>
      <c r="Q7" t="str">
        <f>VLOOKUP(TableRBRanks3141[[#This Row],[RK]],Rankings!A:T,8,FALSE)</f>
        <v>Derrick Henry</v>
      </c>
      <c r="R7" t="str">
        <f>IFERROR(INDEX(TableRBCalcPts[TM],MATCH(TableRBRanks3141[[#This Row],[Player]],TableRBCalcPts[PLAYER],0)),"")</f>
        <v>BAL</v>
      </c>
      <c r="S7">
        <f>IFERROR(INDEX(TableRBCalcPts[BYE],MATCH(TableRBRanks3141[[#This Row],[Player]],TableRBCalcPts[PLAYER],0)),"")</f>
        <v>14</v>
      </c>
      <c r="T7" s="83">
        <f>VLOOKUP(TableRBRanks3141[[#This Row],[Player]],RB!B:O,4,FALSE)</f>
        <v>259.41473375999999</v>
      </c>
      <c r="U7" s="83">
        <f>VLOOKUP(TableRBRanks3141[[#This Row],[Player]],RB!B:O,5,FALSE)</f>
        <v>1168.9415810283683</v>
      </c>
      <c r="V7" s="83">
        <f>VLOOKUP(TableRBRanks3141[[#This Row],[Player]],RB!B:O,6,FALSE)</f>
        <v>13.723039415904001</v>
      </c>
      <c r="W7" s="83">
        <f>VLOOKUP(TableRBRanks3141[[#This Row],[Player]],RB!B:O,7,FALSE)</f>
        <v>31.760937600000002</v>
      </c>
      <c r="X7" s="83">
        <f>VLOOKUP(TableRBRanks3141[[#This Row],[Player]],RB!B:O,8,FALSE)</f>
        <v>23.820703200000001</v>
      </c>
      <c r="Y7" s="83">
        <f>VLOOKUP(TableRBRanks3141[[#This Row],[Player]],RB!B:O,9,FALSE)</f>
        <v>192.46229869443019</v>
      </c>
      <c r="Z7" s="83">
        <f>VLOOKUP(TableRBRanks3141[[#This Row],[Player]],RB!B:O,10,FALSE)</f>
        <v>0.86370982678436103</v>
      </c>
      <c r="AA7" s="57">
        <f>VLOOKUP(TableRBRanks3141[[#This Row],[Player]],RB!B:O,14,FALSE)</f>
        <v>235.57123502841006</v>
      </c>
      <c r="AB7" s="125">
        <f>IF(VLOOKUP(TableRBRanks3141[[#This Row],[RK]],'Ranks w Proj'!$P:$AB,13,FALSE)&lt;0,0,VLOOKUP(TableRBRanks3141[[#This Row],[RK]],'Ranks w Proj'!$P:$AB,13,FALSE))</f>
        <v>41.245617482243816</v>
      </c>
      <c r="AD7">
        <v>6</v>
      </c>
      <c r="AE7" t="str">
        <f>VLOOKUP(TableWRRanks3242[[#This Row],[RK]],Rankings!A:T,13,FALSE)</f>
        <v>Puka Nacua</v>
      </c>
      <c r="AF7" t="str">
        <f>IFERROR(INDEX(TableWRCalcPts[TM],MATCH(TableWRRanks3242[[#This Row],[Player]],TableWRCalcPts[PLAYER],0)),"")</f>
        <v>LAR</v>
      </c>
      <c r="AG7">
        <f>IFERROR(INDEX(TableWRCalcPts[BYE],MATCH(TableWRRanks3242[[#This Row],[Player]],TableWRCalcPts[PLAYER],0)),"")</f>
        <v>6</v>
      </c>
      <c r="AH7" s="83">
        <f>VLOOKUP(TableWRRanks3242[[#This Row],[Player]],WR!B:O,4,FALSE)</f>
        <v>90.244147895999987</v>
      </c>
      <c r="AI7" s="83">
        <f>VLOOKUP(TableWRRanks3242[[#This Row],[Player]],WR!B:O,5,FALSE)</f>
        <v>0.1121566998292951</v>
      </c>
      <c r="AJ7" s="83">
        <f>VLOOKUP(TableWRRanks3242[[#This Row],[Player]],WR!B:O,6,FALSE)</f>
        <v>144.30153667999997</v>
      </c>
      <c r="AK7" s="83">
        <f>VLOOKUP(TableWRRanks3242[[#This Row],[Player]],WR!B:O,7,FALSE)</f>
        <v>93.940300378679979</v>
      </c>
      <c r="AL7" s="83">
        <f>VLOOKUP(TableWRRanks3242[[#This Row],[Player]],WR!B:O,8,FALSE)</f>
        <v>1298.2549512333574</v>
      </c>
      <c r="AM7" s="83">
        <f>VLOOKUP(TableWRRanks3242[[#This Row],[Player]],WR!B:O,9,FALSE)</f>
        <v>7.1173925145519492</v>
      </c>
      <c r="AN7" s="57">
        <f>VLOOKUP(TableWRRanks3242[[#This Row],[Player]],WR!B:O,13,FALSE)</f>
        <v>229.19735538856321</v>
      </c>
      <c r="AO7" s="125">
        <f>IF(VLOOKUP(TableWRRanks3242[[#This Row],[RK]],'Ranks w Proj'!AD:AO,12,FALSE)&lt;0,0,VLOOKUP(TableWRRanks3242[[#This Row],[RK]],'Ranks w Proj'!AD:AO,12,FALSE))</f>
        <v>35.71842330042805</v>
      </c>
      <c r="AQ7">
        <v>6</v>
      </c>
      <c r="AR7" t="str">
        <f>VLOOKUP(TableTERanks3343[[#This Row],[RK]],Rankings!A:T,18,FALSE)</f>
        <v>Evan Engram</v>
      </c>
      <c r="AS7" t="str">
        <f>IFERROR(INDEX(TableTECalcPts[TM],MATCH(TableTERanks3343[[#This Row],[Player]],TableTECalcPts[PLAYER],0)),"")</f>
        <v>JAX</v>
      </c>
      <c r="AT7">
        <f>IFERROR(INDEX(TableTECalcPts[BYE],MATCH(TableTERanks3343[[#This Row],[Player]],TableTECalcPts[PLAYER],0)),"")</f>
        <v>12</v>
      </c>
      <c r="AU7" s="83">
        <f>VLOOKUP(TableTERanks3343[[#This Row],[Player]],TE!B:O,4,FALSE)</f>
        <v>125.25601087999999</v>
      </c>
      <c r="AV7" s="83">
        <f>VLOOKUP(TableTERanks3343[[#This Row],[Player]],TE!B:O,5,FALSE)</f>
        <v>91.687399964159994</v>
      </c>
      <c r="AW7" s="83">
        <f>VLOOKUP(TableTERanks3343[[#This Row],[Player]],TE!B:O,6,FALSE)</f>
        <v>851.11767420050876</v>
      </c>
      <c r="AX7" s="83">
        <f>VLOOKUP(TableTERanks3343[[#This Row],[Player]],TE!B:O,7,FALSE)</f>
        <v>5.1969700216565844</v>
      </c>
      <c r="AY7" s="57">
        <f>VLOOKUP(TableTERanks3343[[#This Row],[Player]],TE!B:O,11,FALSE)</f>
        <v>162.13728753207036</v>
      </c>
      <c r="AZ7" s="125">
        <f>IF(VLOOKUP(TableTERanks3343[[#This Row],[RK]],'Ranks w Proj'!AQ:AZ,10,FALSE)&lt;0,0,VLOOKUP(TableTERanks3343[[#This Row],[RK]],'Ranks w Proj'!AQ:AZ,10,FALSE))</f>
        <v>13.016719664850518</v>
      </c>
    </row>
    <row r="8" spans="1:52" x14ac:dyDescent="0.2">
      <c r="A8">
        <v>7</v>
      </c>
      <c r="B8" t="str">
        <f>VLOOKUP(TableQBRanks3040[[#This Row],[RK]],Rankings!A:T,3,FALSE)</f>
        <v>C.J. Stroud</v>
      </c>
      <c r="C8" t="str">
        <f>IFERROR(INDEX(TableQBCalcPts[TM],MATCH(TableQBRanks3040[[#This Row],[Player]],TableQBCalcPts[PLAYER],0)),"")</f>
        <v>HOU</v>
      </c>
      <c r="D8">
        <f>IFERROR(INDEX(TableQBCalcPts[BYE],MATCH(TableQBRanks3040[[#This Row],[Player]],TableQBCalcPts[PLAYER],0)),"")</f>
        <v>14</v>
      </c>
      <c r="E8" s="83">
        <f>VLOOKUP(TableQBRanks3040[[#This Row],[Player]],QB!B:O,4,FALSE)</f>
        <v>600.25679999999988</v>
      </c>
      <c r="F8" s="83">
        <f>VLOOKUP(TableQBRanks3040[[#This Row],[Player]],QB!B:O,5,FALSE)</f>
        <v>392.76631066734694</v>
      </c>
      <c r="G8" s="83">
        <f>VLOOKUP(TableQBRanks3040[[#This Row],[Player]],QB!B:O,6,FALSE)</f>
        <v>4705.3404017948169</v>
      </c>
      <c r="H8" s="83">
        <f>VLOOKUP(TableQBRanks3040[[#This Row],[Player]],QB!B:O,7,FALSE)</f>
        <v>31.513481999999993</v>
      </c>
      <c r="I8" s="83">
        <f>VLOOKUP(TableQBRanks3040[[#This Row],[Player]],QB!B:O,8,FALSE)</f>
        <v>5.6543183371276093</v>
      </c>
      <c r="J8" s="83">
        <f>VLOOKUP(TableQBRanks3040[[#This Row],[Player]],QB!B:O,9,FALSE)</f>
        <v>38.250576000000002</v>
      </c>
      <c r="K8" s="83">
        <f>VLOOKUP(TableQBRanks3040[[#This Row],[Player]],QB!B:O,10,FALSE)</f>
        <v>158.51481338402735</v>
      </c>
      <c r="L8" s="83">
        <f>VLOOKUP(TableQBRanks3040[[#This Row],[Player]],QB!B:O,11,FALSE)</f>
        <v>1.9242119760818577</v>
      </c>
      <c r="M8" s="57">
        <f>VLOOKUP(TableQBRanks3040[[#This Row],[Player]],QB!B:O,13,FALSE)</f>
        <v>330.35566059243126</v>
      </c>
      <c r="N8" s="125">
        <f>IF(VLOOKUP(TableQBRanks3040[[#This Row],[RK]],'Ranks w Proj'!$A:$N,14,FALSE)&lt;0,0,VLOOKUP(TableQBRanks3040[[#This Row],[RK]],'Ranks w Proj'!$A:$N,14,FALSE))</f>
        <v>10.345189312590385</v>
      </c>
      <c r="P8">
        <v>7</v>
      </c>
      <c r="Q8" t="str">
        <f>VLOOKUP(TableRBRanks3141[[#This Row],[RK]],Rankings!A:T,8,FALSE)</f>
        <v>Travis Etienne</v>
      </c>
      <c r="R8" t="str">
        <f>IFERROR(INDEX(TableRBCalcPts[TM],MATCH(TableRBRanks3141[[#This Row],[Player]],TableRBCalcPts[PLAYER],0)),"")</f>
        <v>JAX</v>
      </c>
      <c r="S8">
        <f>IFERROR(INDEX(TableRBCalcPts[BYE],MATCH(TableRBRanks3141[[#This Row],[Player]],TableRBCalcPts[PLAYER],0)),"")</f>
        <v>12</v>
      </c>
      <c r="T8" s="83">
        <f>VLOOKUP(TableRBRanks3141[[#This Row],[Player]],RB!B:O,4,FALSE)</f>
        <v>232.59292560000003</v>
      </c>
      <c r="U8" s="83">
        <f>VLOOKUP(TableRBRanks3141[[#This Row],[Player]],RB!B:O,5,FALSE)</f>
        <v>976.89028752000013</v>
      </c>
      <c r="V8" s="83">
        <f>VLOOKUP(TableRBRanks3141[[#This Row],[Player]],RB!B:O,6,FALSE)</f>
        <v>8.4855596084532596</v>
      </c>
      <c r="W8" s="83">
        <f>VLOOKUP(TableRBRanks3141[[#This Row],[Player]],RB!B:O,7,FALSE)</f>
        <v>42.153465200000007</v>
      </c>
      <c r="X8" s="83">
        <f>VLOOKUP(TableRBRanks3141[[#This Row],[Player]],RB!B:O,8,FALSE)</f>
        <v>32.879702856000009</v>
      </c>
      <c r="Y8" s="83">
        <f>VLOOKUP(TableRBRanks3141[[#This Row],[Player]],RB!B:O,9,FALSE)</f>
        <v>252.51611793408006</v>
      </c>
      <c r="Z8" s="83">
        <f>VLOOKUP(TableRBRanks3141[[#This Row],[Player]],RB!B:O,10,FALSE)</f>
        <v>0.93979127108425942</v>
      </c>
      <c r="AA8" s="57">
        <f>VLOOKUP(TableRBRanks3141[[#This Row],[Player]],RB!B:O,14,FALSE)</f>
        <v>195.93259725063314</v>
      </c>
      <c r="AB8" s="125">
        <f>IF(VLOOKUP(TableRBRanks3141[[#This Row],[RK]],'Ranks w Proj'!$P:$AB,13,FALSE)&lt;0,0,VLOOKUP(TableRBRanks3141[[#This Row],[RK]],'Ranks w Proj'!$P:$AB,13,FALSE))</f>
        <v>36.259383809722777</v>
      </c>
      <c r="AD8">
        <v>7</v>
      </c>
      <c r="AE8" t="str">
        <f>VLOOKUP(TableWRRanks3242[[#This Row],[RK]],Rankings!A:T,13,FALSE)</f>
        <v>A.J. Brown</v>
      </c>
      <c r="AF8" t="str">
        <f>IFERROR(INDEX(TableWRCalcPts[TM],MATCH(TableWRRanks3242[[#This Row],[Player]],TableWRCalcPts[PLAYER],0)),"")</f>
        <v>PHI</v>
      </c>
      <c r="AG8">
        <f>IFERROR(INDEX(TableWRCalcPts[BYE],MATCH(TableWRRanks3242[[#This Row],[Player]],TableWRCalcPts[PLAYER],0)),"")</f>
        <v>5</v>
      </c>
      <c r="AH8" s="83">
        <f>VLOOKUP(TableWRRanks3242[[#This Row],[Player]],WR!B:O,4,FALSE)</f>
        <v>0</v>
      </c>
      <c r="AI8" s="83">
        <f>VLOOKUP(TableWRRanks3242[[#This Row],[Player]],WR!B:O,5,FALSE)</f>
        <v>0</v>
      </c>
      <c r="AJ8" s="83">
        <f>VLOOKUP(TableWRRanks3242[[#This Row],[Player]],WR!B:O,6,FALSE)</f>
        <v>142.80892416</v>
      </c>
      <c r="AK8" s="83">
        <f>VLOOKUP(TableWRRanks3242[[#This Row],[Player]],WR!B:O,7,FALSE)</f>
        <v>90.112431144959999</v>
      </c>
      <c r="AL8" s="83">
        <f>VLOOKUP(TableWRRanks3242[[#This Row],[Player]],WR!B:O,8,FALSE)</f>
        <v>1286.8055167500288</v>
      </c>
      <c r="AM8" s="83">
        <f>VLOOKUP(TableWRRanks3242[[#This Row],[Player]],WR!B:O,9,FALSE)</f>
        <v>8.2002312341913601</v>
      </c>
      <c r="AN8" s="57">
        <f>VLOOKUP(TableWRRanks3242[[#This Row],[Player]],WR!B:O,13,FALSE)</f>
        <v>222.93815465263103</v>
      </c>
      <c r="AO8" s="125">
        <f>IF(VLOOKUP(TableWRRanks3242[[#This Row],[RK]],'Ranks w Proj'!AD:AO,12,FALSE)&lt;0,0,VLOOKUP(TableWRRanks3242[[#This Row],[RK]],'Ranks w Proj'!AD:AO,12,FALSE))</f>
        <v>32.991251166241277</v>
      </c>
      <c r="AQ8">
        <v>7</v>
      </c>
      <c r="AR8" t="str">
        <f>VLOOKUP(TableTERanks3343[[#This Row],[RK]],Rankings!A:T,18,FALSE)</f>
        <v>Dalton Kincaid</v>
      </c>
      <c r="AS8" t="str">
        <f>IFERROR(INDEX(TableTECalcPts[TM],MATCH(TableTERanks3343[[#This Row],[Player]],TableTECalcPts[PLAYER],0)),"")</f>
        <v>BUF</v>
      </c>
      <c r="AT8">
        <f>IFERROR(INDEX(TableTECalcPts[BYE],MATCH(TableTERanks3343[[#This Row],[Player]],TableTECalcPts[PLAYER],0)),"")</f>
        <v>12</v>
      </c>
      <c r="AU8" s="83">
        <f>VLOOKUP(TableTERanks3343[[#This Row],[Player]],TE!B:O,4,FALSE)</f>
        <v>111.15062783999998</v>
      </c>
      <c r="AV8" s="83">
        <f>VLOOKUP(TableTERanks3343[[#This Row],[Player]],TE!B:O,5,FALSE)</f>
        <v>78.138891371519989</v>
      </c>
      <c r="AW8" s="83">
        <f>VLOOKUP(TableTERanks3343[[#This Row],[Player]],TE!B:O,6,FALSE)</f>
        <v>794.78433277757927</v>
      </c>
      <c r="AX8" s="83">
        <f>VLOOKUP(TableTERanks3343[[#This Row],[Player]],TE!B:O,7,FALSE)</f>
        <v>6.4855279838361595</v>
      </c>
      <c r="AY8" s="57">
        <f>VLOOKUP(TableTERanks3343[[#This Row],[Player]],TE!B:O,11,FALSE)</f>
        <v>157.46104686653487</v>
      </c>
      <c r="AZ8" s="125">
        <f>IF(VLOOKUP(TableTERanks3343[[#This Row],[RK]],'Ranks w Proj'!AQ:AZ,10,FALSE)&lt;0,0,VLOOKUP(TableTERanks3343[[#This Row],[RK]],'Ranks w Proj'!AQ:AZ,10,FALSE))</f>
        <v>12.384172328535522</v>
      </c>
    </row>
    <row r="9" spans="1:52" x14ac:dyDescent="0.2">
      <c r="A9">
        <v>8</v>
      </c>
      <c r="B9" t="str">
        <f>VLOOKUP(TableQBRanks3040[[#This Row],[RK]],Rankings!A:T,3,FALSE)</f>
        <v>Kyler Murray</v>
      </c>
      <c r="C9" t="str">
        <f>IFERROR(INDEX(TableQBCalcPts[TM],MATCH(TableQBRanks3040[[#This Row],[Player]],TableQBCalcPts[PLAYER],0)),"")</f>
        <v>ARI</v>
      </c>
      <c r="D9">
        <f>IFERROR(INDEX(TableQBCalcPts[BYE],MATCH(TableQBRanks3040[[#This Row],[Player]],TableQBCalcPts[PLAYER],0)),"")</f>
        <v>11</v>
      </c>
      <c r="E9" s="83">
        <f>VLOOKUP(TableQBRanks3040[[#This Row],[Player]],QB!B:O,4,FALSE)</f>
        <v>559.60424999999998</v>
      </c>
      <c r="F9" s="83">
        <f>VLOOKUP(TableQBRanks3040[[#This Row],[Player]],QB!B:O,5,FALSE)</f>
        <v>371.58671883620764</v>
      </c>
      <c r="G9" s="83">
        <f>VLOOKUP(TableQBRanks3040[[#This Row],[Player]],QB!B:O,6,FALSE)</f>
        <v>3930.5007768321898</v>
      </c>
      <c r="H9" s="83">
        <f>VLOOKUP(TableQBRanks3040[[#This Row],[Player]],QB!B:O,7,FALSE)</f>
        <v>23.615299350000001</v>
      </c>
      <c r="I9" s="83">
        <f>VLOOKUP(TableQBRanks3040[[#This Row],[Player]],QB!B:O,8,FALSE)</f>
        <v>7.2136997399817471</v>
      </c>
      <c r="J9" s="83">
        <f>VLOOKUP(TableQBRanks3040[[#This Row],[Player]],QB!B:O,9,FALSE)</f>
        <v>81.721710000000002</v>
      </c>
      <c r="K9" s="83">
        <f>VLOOKUP(TableQBRanks3040[[#This Row],[Player]],QB!B:O,10,FALSE)</f>
        <v>451.92105630000003</v>
      </c>
      <c r="L9" s="83">
        <f>VLOOKUP(TableQBRanks3040[[#This Row],[Player]],QB!B:O,11,FALSE)</f>
        <v>4.2646741716559298</v>
      </c>
      <c r="M9" s="57">
        <f>VLOOKUP(TableQBRanks3040[[#This Row],[Player]],QB!B:O,13,FALSE)</f>
        <v>308.03397965325968</v>
      </c>
      <c r="N9" s="125">
        <f>IF(VLOOKUP(TableQBRanks3040[[#This Row],[RK]],'Ranks w Proj'!$A:$N,14,FALSE)&lt;0,0,VLOOKUP(TableQBRanks3040[[#This Row],[RK]],'Ranks w Proj'!$A:$N,14,FALSE))</f>
        <v>9.1295158501057792</v>
      </c>
      <c r="P9">
        <v>8</v>
      </c>
      <c r="Q9" t="str">
        <f>VLOOKUP(TableRBRanks3141[[#This Row],[RK]],Rankings!A:T,8,FALSE)</f>
        <v>Jahmyr Gibbs</v>
      </c>
      <c r="R9" t="str">
        <f>IFERROR(INDEX(TableRBCalcPts[TM],MATCH(TableRBRanks3141[[#This Row],[Player]],TableRBCalcPts[PLAYER],0)),"")</f>
        <v>DET</v>
      </c>
      <c r="S9">
        <f>IFERROR(INDEX(TableRBCalcPts[BYE],MATCH(TableRBRanks3141[[#This Row],[Player]],TableRBCalcPts[PLAYER],0)),"")</f>
        <v>5</v>
      </c>
      <c r="T9" s="83">
        <f>VLOOKUP(TableRBRanks3141[[#This Row],[Player]],RB!B:O,4,FALSE)</f>
        <v>179.73637080000003</v>
      </c>
      <c r="U9" s="83">
        <f>VLOOKUP(TableRBRanks3141[[#This Row],[Player]],RB!B:O,5,FALSE)</f>
        <v>850.94060222053542</v>
      </c>
      <c r="V9" s="83">
        <f>VLOOKUP(TableRBRanks3141[[#This Row],[Player]],RB!B:O,6,FALSE)</f>
        <v>7.8443413727628721</v>
      </c>
      <c r="W9" s="83">
        <f>VLOOKUP(TableRBRanks3141[[#This Row],[Player]],RB!B:O,7,FALSE)</f>
        <v>71.120952000000003</v>
      </c>
      <c r="X9" s="83">
        <f>VLOOKUP(TableRBRanks3141[[#This Row],[Player]],RB!B:O,8,FALSE)</f>
        <v>53.340714000000006</v>
      </c>
      <c r="Y9" s="83">
        <f>VLOOKUP(TableRBRanks3141[[#This Row],[Player]],RB!B:O,9,FALSE)</f>
        <v>383.88051025592694</v>
      </c>
      <c r="Z9" s="83">
        <f>VLOOKUP(TableRBRanks3141[[#This Row],[Player]],RB!B:O,10,FALSE)</f>
        <v>2.4003321300000002</v>
      </c>
      <c r="AA9" s="57">
        <f>VLOOKUP(TableRBRanks3141[[#This Row],[Player]],RB!B:O,14,FALSE)</f>
        <v>211.62050926422344</v>
      </c>
      <c r="AB9" s="125">
        <f>IF(VLOOKUP(TableRBRanks3141[[#This Row],[RK]],'Ranks w Proj'!$P:$AB,13,FALSE)&lt;0,0,VLOOKUP(TableRBRanks3141[[#This Row],[RK]],'Ranks w Proj'!$P:$AB,13,FALSE))</f>
        <v>33.70891423844656</v>
      </c>
      <c r="AD9">
        <v>8</v>
      </c>
      <c r="AE9" t="str">
        <f>VLOOKUP(TableWRRanks3242[[#This Row],[RK]],Rankings!A:T,13,FALSE)</f>
        <v>Marvin Harrison</v>
      </c>
      <c r="AF9" t="str">
        <f>IFERROR(INDEX(TableWRCalcPts[TM],MATCH(TableWRRanks3242[[#This Row],[Player]],TableWRCalcPts[PLAYER],0)),"")</f>
        <v>ARI</v>
      </c>
      <c r="AG9">
        <f>IFERROR(INDEX(TableWRCalcPts[BYE],MATCH(TableWRRanks3242[[#This Row],[Player]],TableWRCalcPts[PLAYER],0)),"")</f>
        <v>11</v>
      </c>
      <c r="AH9" s="83">
        <f>VLOOKUP(TableWRRanks3242[[#This Row],[Player]],WR!B:O,4,FALSE)</f>
        <v>0</v>
      </c>
      <c r="AI9" s="83">
        <f>VLOOKUP(TableWRRanks3242[[#This Row],[Player]],WR!B:O,5,FALSE)</f>
        <v>0</v>
      </c>
      <c r="AJ9" s="83">
        <f>VLOOKUP(TableWRRanks3242[[#This Row],[Player]],WR!B:O,6,FALSE)</f>
        <v>137.98757700000002</v>
      </c>
      <c r="AK9" s="83">
        <f>VLOOKUP(TableWRRanks3242[[#This Row],[Player]],WR!B:O,7,FALSE)</f>
        <v>86.380223201999996</v>
      </c>
      <c r="AL9" s="83">
        <f>VLOOKUP(TableWRRanks3242[[#This Row],[Player]],WR!B:O,8,FALSE)</f>
        <v>1130.7171217141799</v>
      </c>
      <c r="AM9" s="83">
        <f>VLOOKUP(TableWRRanks3242[[#This Row],[Player]],WR!B:O,9,FALSE)</f>
        <v>6.644399453026943</v>
      </c>
      <c r="AN9" s="57">
        <f>VLOOKUP(TableWRRanks3242[[#This Row],[Player]],WR!B:O,13,FALSE)</f>
        <v>196.12822049057965</v>
      </c>
      <c r="AO9" s="125">
        <f>IF(VLOOKUP(TableWRRanks3242[[#This Row],[RK]],'Ranks w Proj'!AD:AO,12,FALSE)&lt;0,0,VLOOKUP(TableWRRanks3242[[#This Row],[RK]],'Ranks w Proj'!AD:AO,12,FALSE))</f>
        <v>28.226606993943005</v>
      </c>
      <c r="AQ9">
        <v>8</v>
      </c>
      <c r="AR9" t="str">
        <f>VLOOKUP(TableTERanks3343[[#This Row],[RK]],Rankings!A:T,18,FALSE)</f>
        <v>George Kittle</v>
      </c>
      <c r="AS9" t="str">
        <f>IFERROR(INDEX(TableTECalcPts[TM],MATCH(TableTERanks3343[[#This Row],[Player]],TableTECalcPts[PLAYER],0)),"")</f>
        <v>SF</v>
      </c>
      <c r="AT9">
        <f>IFERROR(INDEX(TableTECalcPts[BYE],MATCH(TableTERanks3343[[#This Row],[Player]],TableTECalcPts[PLAYER],0)),"")</f>
        <v>9</v>
      </c>
      <c r="AU9" s="83">
        <f>VLOOKUP(TableTERanks3343[[#This Row],[Player]],TE!B:O,4,FALSE)</f>
        <v>96.388646759999972</v>
      </c>
      <c r="AV9" s="83">
        <f>VLOOKUP(TableTERanks3343[[#This Row],[Player]],TE!B:O,5,FALSE)</f>
        <v>68.821493786639977</v>
      </c>
      <c r="AW9" s="83">
        <f>VLOOKUP(TableTERanks3343[[#This Row],[Player]],TE!B:O,6,FALSE)</f>
        <v>905.0026432943157</v>
      </c>
      <c r="AX9" s="83">
        <f>VLOOKUP(TableTERanks3343[[#This Row],[Player]],TE!B:O,7,FALSE)</f>
        <v>6.1251129470109573</v>
      </c>
      <c r="AY9" s="57">
        <f>VLOOKUP(TableTERanks3343[[#This Row],[Player]],TE!B:O,11,FALSE)</f>
        <v>161.66168890481731</v>
      </c>
      <c r="AZ9" s="125">
        <f>IF(VLOOKUP(TableTERanks3343[[#This Row],[RK]],'Ranks w Proj'!AQ:AZ,10,FALSE)&lt;0,0,VLOOKUP(TableTERanks3343[[#This Row],[RK]],'Ranks w Proj'!AQ:AZ,10,FALSE))</f>
        <v>12.19104997747622</v>
      </c>
    </row>
    <row r="10" spans="1:52" x14ac:dyDescent="0.2">
      <c r="A10">
        <v>9</v>
      </c>
      <c r="B10" t="str">
        <f>VLOOKUP(TableQBRanks3040[[#This Row],[RK]],Rankings!A:T,3,FALSE)</f>
        <v>Jayden Daniels</v>
      </c>
      <c r="C10" t="str">
        <f>IFERROR(INDEX(TableQBCalcPts[TM],MATCH(TableQBRanks3040[[#This Row],[Player]],TableQBCalcPts[PLAYER],0)),"")</f>
        <v>WSH</v>
      </c>
      <c r="D10">
        <f>IFERROR(INDEX(TableQBCalcPts[BYE],MATCH(TableQBRanks3040[[#This Row],[Player]],TableQBCalcPts[PLAYER],0)),"")</f>
        <v>14</v>
      </c>
      <c r="E10" s="83">
        <f>VLOOKUP(TableQBRanks3040[[#This Row],[Player]],QB!B:O,4,FALSE)</f>
        <v>549.23300000000006</v>
      </c>
      <c r="F10" s="83">
        <f>VLOOKUP(TableQBRanks3040[[#This Row],[Player]],QB!B:O,5,FALSE)</f>
        <v>345.9729880268273</v>
      </c>
      <c r="G10" s="83">
        <f>VLOOKUP(TableQBRanks3040[[#This Row],[Player]],QB!B:O,6,FALSE)</f>
        <v>3836.8404372175146</v>
      </c>
      <c r="H10" s="83">
        <f>VLOOKUP(TableQBRanks3040[[#This Row],[Player]],QB!B:O,7,FALSE)</f>
        <v>24.276098600000005</v>
      </c>
      <c r="I10" s="83">
        <f>VLOOKUP(TableQBRanks3040[[#This Row],[Player]],QB!B:O,8,FALSE)</f>
        <v>7.8683544631080684</v>
      </c>
      <c r="J10" s="83">
        <f>VLOOKUP(TableQBRanks3040[[#This Row],[Player]],QB!B:O,9,FALSE)</f>
        <v>121.503928</v>
      </c>
      <c r="K10" s="83">
        <f>VLOOKUP(TableQBRanks3040[[#This Row],[Player]],QB!B:O,10,FALSE)</f>
        <v>721.73333232000005</v>
      </c>
      <c r="L10" s="83">
        <f>VLOOKUP(TableQBRanks3040[[#This Row],[Player]],QB!B:O,11,FALSE)</f>
        <v>5.6134814736000003</v>
      </c>
      <c r="M10" s="57">
        <f>VLOOKUP(TableQBRanks3040[[#This Row],[Player]],QB!B:O,13,FALSE)</f>
        <v>340.69552503608452</v>
      </c>
      <c r="N10" s="125">
        <f>IF(VLOOKUP(TableQBRanks3040[[#This Row],[RK]],'Ranks w Proj'!$A:$N,14,FALSE)&lt;0,0,VLOOKUP(TableQBRanks3040[[#This Row],[RK]],'Ranks w Proj'!$A:$N,14,FALSE))</f>
        <v>8.6675793245102142</v>
      </c>
      <c r="P10">
        <v>9</v>
      </c>
      <c r="Q10" t="str">
        <f>VLOOKUP(TableRBRanks3141[[#This Row],[RK]],Rankings!A:T,8,FALSE)</f>
        <v>Josh Jacobs</v>
      </c>
      <c r="R10" t="str">
        <f>IFERROR(INDEX(TableRBCalcPts[TM],MATCH(TableRBRanks3141[[#This Row],[Player]],TableRBCalcPts[PLAYER],0)),"")</f>
        <v>GB</v>
      </c>
      <c r="S10">
        <f>IFERROR(INDEX(TableRBCalcPts[BYE],MATCH(TableRBRanks3141[[#This Row],[Player]],TableRBCalcPts[PLAYER],0)),"")</f>
        <v>10</v>
      </c>
      <c r="T10" s="83">
        <f>VLOOKUP(TableRBRanks3141[[#This Row],[Player]],RB!B:O,4,FALSE)</f>
        <v>244.16915599999999</v>
      </c>
      <c r="U10" s="83">
        <f>VLOOKUP(TableRBRanks3141[[#This Row],[Player]],RB!B:O,5,FALSE)</f>
        <v>1020.6270720799998</v>
      </c>
      <c r="V10" s="83">
        <f>VLOOKUP(TableRBRanks3141[[#This Row],[Player]],RB!B:O,6,FALSE)</f>
        <v>8.5459204599999996</v>
      </c>
      <c r="W10" s="83">
        <f>VLOOKUP(TableRBRanks3141[[#This Row],[Player]],RB!B:O,7,FALSE)</f>
        <v>54.169304000000004</v>
      </c>
      <c r="X10" s="83">
        <f>VLOOKUP(TableRBRanks3141[[#This Row],[Player]],RB!B:O,8,FALSE)</f>
        <v>41.331178952000002</v>
      </c>
      <c r="Y10" s="83">
        <f>VLOOKUP(TableRBRanks3141[[#This Row],[Player]],RB!B:O,9,FALSE)</f>
        <v>313.83158277264693</v>
      </c>
      <c r="Z10" s="83">
        <f>VLOOKUP(TableRBRanks3141[[#This Row],[Player]],RB!B:O,10,FALSE)</f>
        <v>1.4756245863746227</v>
      </c>
      <c r="AA10" s="57">
        <f>VLOOKUP(TableRBRanks3141[[#This Row],[Player]],RB!B:O,14,FALSE)</f>
        <v>214.24072523951244</v>
      </c>
      <c r="AB10" s="125">
        <f>IF(VLOOKUP(TableRBRanks3141[[#This Row],[RK]],'Ranks w Proj'!$P:$AB,13,FALSE)&lt;0,0,VLOOKUP(TableRBRanks3141[[#This Row],[RK]],'Ranks w Proj'!$P:$AB,13,FALSE))</f>
        <v>33.638817098224933</v>
      </c>
      <c r="AD10">
        <v>9</v>
      </c>
      <c r="AE10" t="str">
        <f>VLOOKUP(TableWRRanks3242[[#This Row],[RK]],Rankings!A:T,13,FALSE)</f>
        <v>Mike Evans</v>
      </c>
      <c r="AF10" t="str">
        <f>IFERROR(INDEX(TableWRCalcPts[TM],MATCH(TableWRRanks3242[[#This Row],[Player]],TableWRCalcPts[PLAYER],0)),"")</f>
        <v>TB</v>
      </c>
      <c r="AG10">
        <f>IFERROR(INDEX(TableWRCalcPts[BYE],MATCH(TableWRRanks3242[[#This Row],[Player]],TableWRCalcPts[PLAYER],0)),"")</f>
        <v>11</v>
      </c>
      <c r="AH10" s="83">
        <f>VLOOKUP(TableWRRanks3242[[#This Row],[Player]],WR!B:O,4,FALSE)</f>
        <v>0</v>
      </c>
      <c r="AI10" s="83">
        <f>VLOOKUP(TableWRRanks3242[[#This Row],[Player]],WR!B:O,5,FALSE)</f>
        <v>0</v>
      </c>
      <c r="AJ10" s="83">
        <f>VLOOKUP(TableWRRanks3242[[#This Row],[Player]],WR!B:O,6,FALSE)</f>
        <v>132.25035516</v>
      </c>
      <c r="AK10" s="83">
        <f>VLOOKUP(TableWRRanks3242[[#This Row],[Player]],WR!B:O,7,FALSE)</f>
        <v>77.234207413439989</v>
      </c>
      <c r="AL10" s="83">
        <f>VLOOKUP(TableWRRanks3242[[#This Row],[Player]],WR!B:O,8,FALSE)</f>
        <v>1153.8790587567935</v>
      </c>
      <c r="AM10" s="83">
        <f>VLOOKUP(TableWRRanks3242[[#This Row],[Player]],WR!B:O,9,FALSE)</f>
        <v>9.2681048896127987</v>
      </c>
      <c r="AN10" s="57">
        <f>VLOOKUP(TableWRRanks3242[[#This Row],[Player]],WR!B:O,13,FALSE)</f>
        <v>209.61363892007614</v>
      </c>
      <c r="AO10" s="125">
        <f>IF(VLOOKUP(TableWRRanks3242[[#This Row],[RK]],'Ranks w Proj'!AD:AO,12,FALSE)&lt;0,0,VLOOKUP(TableWRRanks3242[[#This Row],[RK]],'Ranks w Proj'!AD:AO,12,FALSE))</f>
        <v>27.185677972406786</v>
      </c>
      <c r="AQ10">
        <v>9</v>
      </c>
      <c r="AR10" t="str">
        <f>VLOOKUP(TableTERanks3343[[#This Row],[RK]],Rankings!A:T,18,FALSE)</f>
        <v>Jake Ferguson</v>
      </c>
      <c r="AS10" t="str">
        <f>IFERROR(INDEX(TableTECalcPts[TM],MATCH(TableTERanks3343[[#This Row],[Player]],TableTECalcPts[PLAYER],0)),"")</f>
        <v>DAL</v>
      </c>
      <c r="AT10">
        <f>IFERROR(INDEX(TableTECalcPts[BYE],MATCH(TableTERanks3343[[#This Row],[Player]],TableTECalcPts[PLAYER],0)),"")</f>
        <v>7</v>
      </c>
      <c r="AU10" s="83">
        <f>VLOOKUP(TableTERanks3343[[#This Row],[Player]],TE!B:O,4,FALSE)</f>
        <v>110.37967163999996</v>
      </c>
      <c r="AV10" s="83">
        <f>VLOOKUP(TableTERanks3343[[#This Row],[Player]],TE!B:O,5,FALSE)</f>
        <v>78.590326207679965</v>
      </c>
      <c r="AW10" s="83">
        <f>VLOOKUP(TableTERanks3343[[#This Row],[Player]],TE!B:O,6,FALSE)</f>
        <v>824.32652155622793</v>
      </c>
      <c r="AX10" s="83">
        <f>VLOOKUP(TableTERanks3343[[#This Row],[Player]],TE!B:O,7,FALSE)</f>
        <v>6.9945390324835168</v>
      </c>
      <c r="AY10" s="57">
        <f>VLOOKUP(TableTERanks3343[[#This Row],[Player]],TE!B:O,11,FALSE)</f>
        <v>163.6950494543639</v>
      </c>
      <c r="AZ10" s="125">
        <f>IF(VLOOKUP(TableTERanks3343[[#This Row],[RK]],'Ranks w Proj'!AQ:AZ,10,FALSE)&lt;0,0,VLOOKUP(TableTERanks3343[[#This Row],[RK]],'Ranks w Proj'!AQ:AZ,10,FALSE))</f>
        <v>10.485330448643335</v>
      </c>
    </row>
    <row r="11" spans="1:52" x14ac:dyDescent="0.2">
      <c r="A11">
        <v>10</v>
      </c>
      <c r="B11" t="str">
        <f>VLOOKUP(TableQBRanks3040[[#This Row],[RK]],Rankings!A:T,3,FALSE)</f>
        <v>Dak Prescott</v>
      </c>
      <c r="C11" t="str">
        <f>IFERROR(INDEX(TableQBCalcPts[TM],MATCH(TableQBRanks3040[[#This Row],[Player]],TableQBCalcPts[PLAYER],0)),"")</f>
        <v>DAL</v>
      </c>
      <c r="D11">
        <f>IFERROR(INDEX(TableQBCalcPts[BYE],MATCH(TableQBRanks3040[[#This Row],[Player]],TableQBCalcPts[PLAYER],0)),"")</f>
        <v>7</v>
      </c>
      <c r="E11" s="83">
        <f>VLOOKUP(TableQBRanks3040[[#This Row],[Player]],QB!B:O,4,FALSE)</f>
        <v>609.83243999999991</v>
      </c>
      <c r="F11" s="83">
        <f>VLOOKUP(TableQBRanks3040[[#This Row],[Player]],QB!B:O,5,FALSE)</f>
        <v>411.99441147158257</v>
      </c>
      <c r="G11" s="83">
        <f>VLOOKUP(TableQBRanks3040[[#This Row],[Player]],QB!B:O,6,FALSE)</f>
        <v>4556.6581908757034</v>
      </c>
      <c r="H11" s="83">
        <f>VLOOKUP(TableQBRanks3040[[#This Row],[Player]],QB!B:O,7,FALSE)</f>
        <v>32.930951759999992</v>
      </c>
      <c r="I11" s="83">
        <f>VLOOKUP(TableQBRanks3040[[#This Row],[Player]],QB!B:O,8,FALSE)</f>
        <v>7.5420368362322785</v>
      </c>
      <c r="J11" s="83">
        <f>VLOOKUP(TableQBRanks3040[[#This Row],[Player]],QB!B:O,9,FALSE)</f>
        <v>46.808098680000001</v>
      </c>
      <c r="K11" s="83">
        <f>VLOOKUP(TableQBRanks3040[[#This Row],[Player]],QB!B:O,10,FALSE)</f>
        <v>209.70028208640002</v>
      </c>
      <c r="L11" s="83">
        <f>VLOOKUP(TableQBRanks3040[[#This Row],[Player]],QB!B:O,11,FALSE)</f>
        <v>1.82551584852</v>
      </c>
      <c r="M11" s="57">
        <f>VLOOKUP(TableQBRanks3040[[#This Row],[Player]],QB!B:O,13,FALSE)</f>
        <v>330.82918430232354</v>
      </c>
      <c r="N11" s="125">
        <f>IF(VLOOKUP(TableQBRanks3040[[#This Row],[RK]],'Ranks w Proj'!$A:$N,14,FALSE)&lt;0,0,VLOOKUP(TableQBRanks3040[[#This Row],[RK]],'Ranks w Proj'!$A:$N,14,FALSE))</f>
        <v>7.892832898478467</v>
      </c>
      <c r="P11">
        <v>10</v>
      </c>
      <c r="Q11" t="str">
        <f>VLOOKUP(TableRBRanks3141[[#This Row],[RK]],Rankings!A:T,8,FALSE)</f>
        <v>Kyren Williams</v>
      </c>
      <c r="R11" t="str">
        <f>IFERROR(INDEX(TableRBCalcPts[TM],MATCH(TableRBRanks3141[[#This Row],[Player]],TableRBCalcPts[PLAYER],0)),"")</f>
        <v>LAR</v>
      </c>
      <c r="S11">
        <f>IFERROR(INDEX(TableRBCalcPts[BYE],MATCH(TableRBRanks3141[[#This Row],[Player]],TableRBCalcPts[PLAYER],0)),"")</f>
        <v>6</v>
      </c>
      <c r="T11" s="83">
        <f>VLOOKUP(TableRBRanks3141[[#This Row],[Player]],RB!B:O,4,FALSE)</f>
        <v>220.34402123999999</v>
      </c>
      <c r="U11" s="83">
        <f>VLOOKUP(TableRBRanks3141[[#This Row],[Player]],RB!B:O,5,FALSE)</f>
        <v>1002.5652966419999</v>
      </c>
      <c r="V11" s="83">
        <f>VLOOKUP(TableRBRanks3141[[#This Row],[Player]],RB!B:O,6,FALSE)</f>
        <v>9.7392057388079998</v>
      </c>
      <c r="W11" s="83">
        <f>VLOOKUP(TableRBRanks3141[[#This Row],[Player]],RB!B:O,7,FALSE)</f>
        <v>50.716858079999994</v>
      </c>
      <c r="X11" s="83">
        <f>VLOOKUP(TableRBRanks3141[[#This Row],[Player]],RB!B:O,8,FALSE)</f>
        <v>36.110402952959987</v>
      </c>
      <c r="Y11" s="83">
        <f>VLOOKUP(TableRBRanks3141[[#This Row],[Player]],RB!B:O,9,FALSE)</f>
        <v>264.23875923441426</v>
      </c>
      <c r="Z11" s="83">
        <f>VLOOKUP(TableRBRanks3141[[#This Row],[Player]],RB!B:O,10,FALSE)</f>
        <v>1.8777409535539193</v>
      </c>
      <c r="AA11" s="57">
        <f>VLOOKUP(TableRBRanks3141[[#This Row],[Player]],RB!B:O,14,FALSE)</f>
        <v>214.43728721829297</v>
      </c>
      <c r="AB11" s="125">
        <f>IF(VLOOKUP(TableRBRanks3141[[#This Row],[RK]],'Ranks w Proj'!$P:$AB,13,FALSE)&lt;0,0,VLOOKUP(TableRBRanks3141[[#This Row],[RK]],'Ranks w Proj'!$P:$AB,13,FALSE))</f>
        <v>33.574624869000786</v>
      </c>
      <c r="AD11">
        <v>10</v>
      </c>
      <c r="AE11" t="str">
        <f>VLOOKUP(TableWRRanks3242[[#This Row],[RK]],Rankings!A:T,13,FALSE)</f>
        <v>Deebo Samuel</v>
      </c>
      <c r="AF11" t="str">
        <f>IFERROR(INDEX(TableWRCalcPts[TM],MATCH(TableWRRanks3242[[#This Row],[Player]],TableWRCalcPts[PLAYER],0)),"")</f>
        <v>SF</v>
      </c>
      <c r="AG11">
        <f>IFERROR(INDEX(TableWRCalcPts[BYE],MATCH(TableWRRanks3242[[#This Row],[Player]],TableWRCalcPts[PLAYER],0)),"")</f>
        <v>9</v>
      </c>
      <c r="AH11" s="83">
        <f>VLOOKUP(TableWRRanks3242[[#This Row],[Player]],WR!B:O,4,FALSE)</f>
        <v>231.31002261360004</v>
      </c>
      <c r="AI11" s="83">
        <f>VLOOKUP(TableWRRanks3242[[#This Row],[Player]],WR!B:O,5,FALSE)</f>
        <v>2.1651484176000002</v>
      </c>
      <c r="AJ11" s="83">
        <f>VLOOKUP(TableWRRanks3242[[#This Row],[Player]],WR!B:O,6,FALSE)</f>
        <v>106.50679199999999</v>
      </c>
      <c r="AK11" s="83">
        <f>VLOOKUP(TableWRRanks3242[[#This Row],[Player]],WR!B:O,7,FALSE)</f>
        <v>71.466057431999999</v>
      </c>
      <c r="AL11" s="83">
        <f>VLOOKUP(TableWRRanks3242[[#This Row],[Player]],WR!B:O,8,FALSE)</f>
        <v>998.38082232504007</v>
      </c>
      <c r="AM11" s="83">
        <f>VLOOKUP(TableWRRanks3242[[#This Row],[Player]],WR!B:O,9,FALSE)</f>
        <v>6.2890130540159994</v>
      </c>
      <c r="AN11" s="57">
        <f>VLOOKUP(TableWRRanks3242[[#This Row],[Player]],WR!B:O,13,FALSE)</f>
        <v>209.42708203956002</v>
      </c>
      <c r="AO11" s="125">
        <f>IF(VLOOKUP(TableWRRanks3242[[#This Row],[RK]],'Ranks w Proj'!AD:AO,12,FALSE)&lt;0,0,VLOOKUP(TableWRRanks3242[[#This Row],[RK]],'Ranks w Proj'!AD:AO,12,FALSE))</f>
        <v>27.104393995833917</v>
      </c>
      <c r="AQ11">
        <v>10</v>
      </c>
      <c r="AR11" t="str">
        <f>VLOOKUP(TableTERanks3343[[#This Row],[RK]],Rankings!A:T,18,FALSE)</f>
        <v>T.J. Hockenson</v>
      </c>
      <c r="AS11" t="str">
        <f>IFERROR(INDEX(TableTECalcPts[TM],MATCH(TableTERanks3343[[#This Row],[Player]],TableTECalcPts[PLAYER],0)),"")</f>
        <v>MIN</v>
      </c>
      <c r="AT11">
        <f>IFERROR(INDEX(TableTECalcPts[BYE],MATCH(TableTERanks3343[[#This Row],[Player]],TableTECalcPts[PLAYER],0)),"")</f>
        <v>6</v>
      </c>
      <c r="AU11" s="83">
        <f>VLOOKUP(TableTERanks3343[[#This Row],[Player]],TE!B:O,4,FALSE)</f>
        <v>102.64716</v>
      </c>
      <c r="AV11" s="83">
        <f>VLOOKUP(TableTERanks3343[[#This Row],[Player]],TE!B:O,5,FALSE)</f>
        <v>67.541831280000025</v>
      </c>
      <c r="AW11" s="83">
        <f>VLOOKUP(TableTERanks3343[[#This Row],[Player]],TE!B:O,6,FALSE)</f>
        <v>682.84791424080026</v>
      </c>
      <c r="AX11" s="83">
        <f>VLOOKUP(TableTERanks3343[[#This Row],[Player]],TE!B:O,7,FALSE)</f>
        <v>4.9305536834400012</v>
      </c>
      <c r="AY11" s="57">
        <f>VLOOKUP(TableTERanks3343[[#This Row],[Player]],TE!B:O,11,FALSE)</f>
        <v>131.63902916472006</v>
      </c>
      <c r="AZ11" s="125">
        <f>IF(VLOOKUP(TableTERanks3343[[#This Row],[RK]],'Ranks w Proj'!AQ:AZ,10,FALSE)&lt;0,0,VLOOKUP(TableTERanks3343[[#This Row],[RK]],'Ranks w Proj'!AQ:AZ,10,FALSE))</f>
        <v>4.4599110612072517</v>
      </c>
    </row>
    <row r="12" spans="1:52" x14ac:dyDescent="0.2">
      <c r="A12">
        <v>11</v>
      </c>
      <c r="B12" t="str">
        <f>VLOOKUP(TableQBRanks3040[[#This Row],[RK]],Rankings!A:T,3,FALSE)</f>
        <v>Joe Burrow</v>
      </c>
      <c r="C12" t="str">
        <f>IFERROR(INDEX(TableQBCalcPts[TM],MATCH(TableQBRanks3040[[#This Row],[Player]],TableQBCalcPts[PLAYER],0)),"")</f>
        <v>CIN</v>
      </c>
      <c r="D12">
        <f>IFERROR(INDEX(TableQBCalcPts[BYE],MATCH(TableQBRanks3040[[#This Row],[Player]],TableQBCalcPts[PLAYER],0)),"")</f>
        <v>12</v>
      </c>
      <c r="E12" s="83">
        <f>VLOOKUP(TableQBRanks3040[[#This Row],[Player]],QB!B:O,4,FALSE)</f>
        <v>604.47929999999997</v>
      </c>
      <c r="F12" s="83">
        <f>VLOOKUP(TableQBRanks3040[[#This Row],[Player]],QB!B:O,5,FALSE)</f>
        <v>407.60775129211197</v>
      </c>
      <c r="G12" s="83">
        <f>VLOOKUP(TableQBRanks3040[[#This Row],[Player]],QB!B:O,6,FALSE)</f>
        <v>4524.4460393424424</v>
      </c>
      <c r="H12" s="83">
        <f>VLOOKUP(TableQBRanks3040[[#This Row],[Player]],QB!B:O,7,FALSE)</f>
        <v>32.037402899999996</v>
      </c>
      <c r="I12" s="83">
        <f>VLOOKUP(TableQBRanks3040[[#This Row],[Player]],QB!B:O,8,FALSE)</f>
        <v>7.053831499284132</v>
      </c>
      <c r="J12" s="83">
        <f>VLOOKUP(TableQBRanks3040[[#This Row],[Player]],QB!B:O,9,FALSE)</f>
        <v>55.114063200000011</v>
      </c>
      <c r="K12" s="83">
        <f>VLOOKUP(TableQBRanks3040[[#This Row],[Player]],QB!B:O,10,FALSE)</f>
        <v>189.84159137213015</v>
      </c>
      <c r="L12" s="83">
        <f>VLOOKUP(TableQBRanks3040[[#This Row],[Player]],QB!B:O,11,FALSE)</f>
        <v>2.2254943124328137</v>
      </c>
      <c r="M12" s="57">
        <f>VLOOKUP(TableQBRanks3040[[#This Row],[Player]],QB!B:O,13,FALSE)</f>
        <v>327.35691518693926</v>
      </c>
      <c r="N12" s="125">
        <f>IF(VLOOKUP(TableQBRanks3040[[#This Row],[RK]],'Ranks w Proj'!$A:$N,14,FALSE)&lt;0,0,VLOOKUP(TableQBRanks3040[[#This Row],[RK]],'Ranks w Proj'!$A:$N,14,FALSE))</f>
        <v>6.5256879579353839</v>
      </c>
      <c r="P12">
        <v>11</v>
      </c>
      <c r="Q12" t="str">
        <f>VLOOKUP(TableRBRanks3141[[#This Row],[RK]],Rankings!A:T,8,FALSE)</f>
        <v>De'Von Achane</v>
      </c>
      <c r="R12" t="str">
        <f>IFERROR(INDEX(TableRBCalcPts[TM],MATCH(TableRBRanks3141[[#This Row],[Player]],TableRBCalcPts[PLAYER],0)),"")</f>
        <v>MIA</v>
      </c>
      <c r="S12">
        <f>IFERROR(INDEX(TableRBCalcPts[BYE],MATCH(TableRBRanks3141[[#This Row],[Player]],TableRBCalcPts[PLAYER],0)),"")</f>
        <v>6</v>
      </c>
      <c r="T12" s="83">
        <f>VLOOKUP(TableRBRanks3141[[#This Row],[Player]],RB!B:O,4,FALSE)</f>
        <v>144.86181248</v>
      </c>
      <c r="U12" s="83">
        <f>VLOOKUP(TableRBRanks3141[[#This Row],[Player]],RB!B:O,5,FALSE)</f>
        <v>730.10353489919999</v>
      </c>
      <c r="V12" s="83">
        <f>VLOOKUP(TableRBRanks3141[[#This Row],[Player]],RB!B:O,6,FALSE)</f>
        <v>7.2430906240000006</v>
      </c>
      <c r="W12" s="83">
        <f>VLOOKUP(TableRBRanks3141[[#This Row],[Player]],RB!B:O,7,FALSE)</f>
        <v>73.29125999999998</v>
      </c>
      <c r="X12" s="83">
        <f>VLOOKUP(TableRBRanks3141[[#This Row],[Player]],RB!B:O,8,FALSE)</f>
        <v>53.502619799999977</v>
      </c>
      <c r="Y12" s="83">
        <f>VLOOKUP(TableRBRanks3141[[#This Row],[Player]],RB!B:O,9,FALSE)</f>
        <v>422.6217051571997</v>
      </c>
      <c r="Z12" s="83">
        <f>VLOOKUP(TableRBRanks3141[[#This Row],[Player]],RB!B:O,10,FALSE)</f>
        <v>3.5846755265999986</v>
      </c>
      <c r="AA12" s="57">
        <f>VLOOKUP(TableRBRanks3141[[#This Row],[Player]],RB!B:O,14,FALSE)</f>
        <v>206.99043080924</v>
      </c>
      <c r="AB12" s="125">
        <f>IF(VLOOKUP(TableRBRanks3141[[#This Row],[RK]],'Ranks w Proj'!$P:$AB,13,FALSE)&lt;0,0,VLOOKUP(TableRBRanks3141[[#This Row],[RK]],'Ranks w Proj'!$P:$AB,13,FALSE))</f>
        <v>32.704406243336926</v>
      </c>
      <c r="AD12">
        <v>11</v>
      </c>
      <c r="AE12" t="str">
        <f>VLOOKUP(TableWRRanks3242[[#This Row],[RK]],Rankings!A:T,13,FALSE)</f>
        <v>Nico Collins</v>
      </c>
      <c r="AF12" t="str">
        <f>IFERROR(INDEX(TableWRCalcPts[TM],MATCH(TableWRRanks3242[[#This Row],[Player]],TableWRCalcPts[PLAYER],0)),"")</f>
        <v>HOU</v>
      </c>
      <c r="AG12">
        <f>IFERROR(INDEX(TableWRCalcPts[BYE],MATCH(TableWRRanks3242[[#This Row],[Player]],TableWRCalcPts[PLAYER],0)),"")</f>
        <v>14</v>
      </c>
      <c r="AH12" s="83">
        <f>VLOOKUP(TableWRRanks3242[[#This Row],[Player]],WR!B:O,4,FALSE)</f>
        <v>0</v>
      </c>
      <c r="AI12" s="83">
        <f>VLOOKUP(TableWRRanks3242[[#This Row],[Player]],WR!B:O,5,FALSE)</f>
        <v>0</v>
      </c>
      <c r="AJ12" s="83">
        <f>VLOOKUP(TableWRRanks3242[[#This Row],[Player]],WR!B:O,6,FALSE)</f>
        <v>125.96904319999999</v>
      </c>
      <c r="AK12" s="83">
        <f>VLOOKUP(TableWRRanks3242[[#This Row],[Player]],WR!B:O,7,FALSE)</f>
        <v>81.627939993599981</v>
      </c>
      <c r="AL12" s="83">
        <f>VLOOKUP(TableWRRanks3242[[#This Row],[Player]],WR!B:O,8,FALSE)</f>
        <v>1186.8702475069435</v>
      </c>
      <c r="AM12" s="83">
        <f>VLOOKUP(TableWRRanks3242[[#This Row],[Player]],WR!B:O,9,FALSE)</f>
        <v>7.8362822393855982</v>
      </c>
      <c r="AN12" s="57">
        <f>VLOOKUP(TableWRRanks3242[[#This Row],[Player]],WR!B:O,13,FALSE)</f>
        <v>206.51868818380797</v>
      </c>
      <c r="AO12" s="125">
        <f>IF(VLOOKUP(TableWRRanks3242[[#This Row],[RK]],'Ranks w Proj'!AD:AO,12,FALSE)&lt;0,0,VLOOKUP(TableWRRanks3242[[#This Row],[RK]],'Ranks w Proj'!AD:AO,12,FALSE))</f>
        <v>25.837188962272108</v>
      </c>
      <c r="AQ12">
        <v>11</v>
      </c>
      <c r="AR12" t="str">
        <f>VLOOKUP(TableTERanks3343[[#This Row],[RK]],Rankings!A:T,18,FALSE)</f>
        <v>Brock Bowers</v>
      </c>
      <c r="AS12" t="str">
        <f>IFERROR(INDEX(TableTECalcPts[TM],MATCH(TableTERanks3343[[#This Row],[Player]],TableTECalcPts[PLAYER],0)),"")</f>
        <v>LV</v>
      </c>
      <c r="AT12">
        <f>IFERROR(INDEX(TableTECalcPts[BYE],MATCH(TableTERanks3343[[#This Row],[Player]],TableTECalcPts[PLAYER],0)),"")</f>
        <v>10</v>
      </c>
      <c r="AU12" s="83">
        <f>VLOOKUP(TableTERanks3343[[#This Row],[Player]],TE!B:O,4,FALSE)</f>
        <v>103.12196999999999</v>
      </c>
      <c r="AV12" s="83">
        <f>VLOOKUP(TableTERanks3343[[#This Row],[Player]],TE!B:O,5,FALSE)</f>
        <v>70.226061570000013</v>
      </c>
      <c r="AW12" s="83">
        <f>VLOOKUP(TableTERanks3343[[#This Row],[Player]],TE!B:O,6,FALSE)</f>
        <v>781.61606527410015</v>
      </c>
      <c r="AX12" s="83">
        <f>VLOOKUP(TableTERanks3343[[#This Row],[Player]],TE!B:O,7,FALSE)</f>
        <v>4.891287895631244</v>
      </c>
      <c r="AY12" s="57">
        <f>VLOOKUP(TableTERanks3343[[#This Row],[Player]],TE!B:O,11,FALSE)</f>
        <v>142.6223646861975</v>
      </c>
      <c r="AZ12" s="125">
        <f>IF(VLOOKUP(TableTERanks3343[[#This Row],[RK]],'Ranks w Proj'!AQ:AZ,10,FALSE)&lt;0,0,VLOOKUP(TableTERanks3343[[#This Row],[RK]],'Ranks w Proj'!AQ:AZ,10,FALSE))</f>
        <v>2.6309846353796407</v>
      </c>
    </row>
    <row r="13" spans="1:52" x14ac:dyDescent="0.2">
      <c r="A13">
        <v>12</v>
      </c>
      <c r="B13" t="str">
        <f>VLOOKUP(TableQBRanks3040[[#This Row],[RK]],Rankings!A:T,3,FALSE)</f>
        <v>Brock Purdy</v>
      </c>
      <c r="C13" t="str">
        <f>IFERROR(INDEX(TableQBCalcPts[TM],MATCH(TableQBRanks3040[[#This Row],[Player]],TableQBCalcPts[PLAYER],0)),"")</f>
        <v>SF</v>
      </c>
      <c r="D13">
        <f>IFERROR(INDEX(TableQBCalcPts[BYE],MATCH(TableQBRanks3040[[#This Row],[Player]],TableQBCalcPts[PLAYER],0)),"")</f>
        <v>9</v>
      </c>
      <c r="E13" s="83">
        <f>VLOOKUP(TableQBRanks3040[[#This Row],[Player]],QB!B:O,4,FALSE)</f>
        <v>532.53395999999998</v>
      </c>
      <c r="F13" s="83">
        <f>VLOOKUP(TableQBRanks3040[[#This Row],[Player]],QB!B:O,5,FALSE)</f>
        <v>361.59619112464406</v>
      </c>
      <c r="G13" s="83">
        <f>VLOOKUP(TableQBRanks3040[[#This Row],[Player]],QB!B:O,6,FALSE)</f>
        <v>4552.496046259269</v>
      </c>
      <c r="H13" s="83">
        <f>VLOOKUP(TableQBRanks3040[[#This Row],[Player]],QB!B:O,7,FALSE)</f>
        <v>30.88696968</v>
      </c>
      <c r="I13" s="83">
        <f>VLOOKUP(TableQBRanks3040[[#This Row],[Player]],QB!B:O,8,FALSE)</f>
        <v>6.933358669694722</v>
      </c>
      <c r="J13" s="83">
        <f>VLOOKUP(TableQBRanks3040[[#This Row],[Player]],QB!B:O,9,FALSE)</f>
        <v>38.036391119999998</v>
      </c>
      <c r="K13" s="83">
        <f>VLOOKUP(TableQBRanks3040[[#This Row],[Player]],QB!B:O,10,FALSE)</f>
        <v>133.43717465042084</v>
      </c>
      <c r="L13" s="83">
        <f>VLOOKUP(TableQBRanks3040[[#This Row],[Player]],QB!B:O,11,FALSE)</f>
        <v>1.437584181966457</v>
      </c>
      <c r="M13" s="57">
        <f>VLOOKUP(TableQBRanks3040[[#This Row],[Player]],QB!B:O,13,FALSE)</f>
        <v>313.75022578782216</v>
      </c>
      <c r="N13" s="125">
        <f>IF(VLOOKUP(TableQBRanks3040[[#This Row],[RK]],'Ranks w Proj'!$A:$N,14,FALSE)&lt;0,0,VLOOKUP(TableQBRanks3040[[#This Row],[RK]],'Ranks w Proj'!$A:$N,14,FALSE))</f>
        <v>6.260575511287108</v>
      </c>
      <c r="P13">
        <v>12</v>
      </c>
      <c r="Q13" t="str">
        <f>VLOOKUP(TableRBRanks3141[[#This Row],[RK]],Rankings!A:T,8,FALSE)</f>
        <v>Joe Mixon</v>
      </c>
      <c r="R13" t="str">
        <f>IFERROR(INDEX(TableRBCalcPts[TM],MATCH(TableRBRanks3141[[#This Row],[Player]],TableRBCalcPts[PLAYER],0)),"")</f>
        <v>HOU</v>
      </c>
      <c r="S13">
        <f>IFERROR(INDEX(TableRBCalcPts[BYE],MATCH(TableRBRanks3141[[#This Row],[Player]],TableRBCalcPts[PLAYER],0)),"")</f>
        <v>14</v>
      </c>
      <c r="T13" s="83">
        <f>VLOOKUP(TableRBRanks3141[[#This Row],[Player]],RB!B:O,4,FALSE)</f>
        <v>255.00384000000003</v>
      </c>
      <c r="U13" s="83">
        <f>VLOOKUP(TableRBRanks3141[[#This Row],[Player]],RB!B:O,5,FALSE)</f>
        <v>1081.2162816000002</v>
      </c>
      <c r="V13" s="83">
        <f>VLOOKUP(TableRBRanks3141[[#This Row],[Player]],RB!B:O,6,FALSE)</f>
        <v>9.6901459200000009</v>
      </c>
      <c r="W13" s="83">
        <f>VLOOKUP(TableRBRanks3141[[#This Row],[Player]],RB!B:O,7,FALSE)</f>
        <v>46.347100799999993</v>
      </c>
      <c r="X13" s="83">
        <f>VLOOKUP(TableRBRanks3141[[#This Row],[Player]],RB!B:O,8,FALSE)</f>
        <v>35.733614716799998</v>
      </c>
      <c r="Y13" s="83">
        <f>VLOOKUP(TableRBRanks3141[[#This Row],[Player]],RB!B:O,9,FALSE)</f>
        <v>267.39757649316999</v>
      </c>
      <c r="Z13" s="83">
        <f>VLOOKUP(TableRBRanks3141[[#This Row],[Player]],RB!B:O,10,FALSE)</f>
        <v>1.7866807358400001</v>
      </c>
      <c r="AA13" s="57">
        <f>VLOOKUP(TableRBRanks3141[[#This Row],[Player]],RB!B:O,14,FALSE)</f>
        <v>221.58915310275702</v>
      </c>
      <c r="AB13" s="125">
        <f>IF(VLOOKUP(TableRBRanks3141[[#This Row],[RK]],'Ranks w Proj'!$P:$AB,13,FALSE)&lt;0,0,VLOOKUP(TableRBRanks3141[[#This Row],[RK]],'Ranks w Proj'!$P:$AB,13,FALSE))</f>
        <v>32.62967633172876</v>
      </c>
      <c r="AD13">
        <v>12</v>
      </c>
      <c r="AE13" t="str">
        <f>VLOOKUP(TableWRRanks3242[[#This Row],[RK]],Rankings!A:T,13,FALSE)</f>
        <v>Brandon Aiyuk</v>
      </c>
      <c r="AF13" t="str">
        <f>IFERROR(INDEX(TableWRCalcPts[TM],MATCH(TableWRRanks3242[[#This Row],[Player]],TableWRCalcPts[PLAYER],0)),"")</f>
        <v>SF</v>
      </c>
      <c r="AG13">
        <f>IFERROR(INDEX(TableWRCalcPts[BYE],MATCH(TableWRRanks3242[[#This Row],[Player]],TableWRCalcPts[PLAYER],0)),"")</f>
        <v>9</v>
      </c>
      <c r="AH13" s="83">
        <f>VLOOKUP(TableWRRanks3242[[#This Row],[Player]],WR!B:O,4,FALSE)</f>
        <v>0</v>
      </c>
      <c r="AI13" s="83">
        <f>VLOOKUP(TableWRRanks3242[[#This Row],[Player]],WR!B:O,5,FALSE)</f>
        <v>0</v>
      </c>
      <c r="AJ13" s="83">
        <f>VLOOKUP(TableWRRanks3242[[#This Row],[Player]],WR!B:O,6,FALSE)</f>
        <v>115.02733536</v>
      </c>
      <c r="AK13" s="83">
        <f>VLOOKUP(TableWRRanks3242[[#This Row],[Player]],WR!B:O,7,FALSE)</f>
        <v>78.218588044800001</v>
      </c>
      <c r="AL13" s="83">
        <f>VLOOKUP(TableWRRanks3242[[#This Row],[Player]],WR!B:O,8,FALSE)</f>
        <v>1184.229422998272</v>
      </c>
      <c r="AM13" s="83">
        <f>VLOOKUP(TableWRRanks3242[[#This Row],[Player]],WR!B:O,9,FALSE)</f>
        <v>7.9000773925248007</v>
      </c>
      <c r="AN13" s="57">
        <f>VLOOKUP(TableWRRanks3242[[#This Row],[Player]],WR!B:O,13,FALSE)</f>
        <v>204.932700677376</v>
      </c>
      <c r="AO13" s="125">
        <f>IF(VLOOKUP(TableWRRanks3242[[#This Row],[RK]],'Ranks w Proj'!AD:AO,12,FALSE)&lt;0,0,VLOOKUP(TableWRRanks3242[[#This Row],[RK]],'Ranks w Proj'!AD:AO,12,FALSE))</f>
        <v>25.340552643687506</v>
      </c>
      <c r="AQ13">
        <v>12</v>
      </c>
      <c r="AR13" t="str">
        <f>VLOOKUP(TableTERanks3343[[#This Row],[RK]],Rankings!A:T,18,FALSE)</f>
        <v>David Njoku</v>
      </c>
      <c r="AS13" t="str">
        <f>IFERROR(INDEX(TableTECalcPts[TM],MATCH(TableTERanks3343[[#This Row],[Player]],TableTECalcPts[PLAYER],0)),"")</f>
        <v>CLE</v>
      </c>
      <c r="AT13">
        <f>IFERROR(INDEX(TableTECalcPts[BYE],MATCH(TableTERanks3343[[#This Row],[Player]],TableTECalcPts[PLAYER],0)),"")</f>
        <v>10</v>
      </c>
      <c r="AU13" s="83">
        <f>VLOOKUP(TableTERanks3343[[#This Row],[Player]],TE!B:O,4,FALSE)</f>
        <v>102.15397499999997</v>
      </c>
      <c r="AV13" s="83">
        <f>VLOOKUP(TableTERanks3343[[#This Row],[Player]],TE!B:O,5,FALSE)</f>
        <v>68.443163249999984</v>
      </c>
      <c r="AW13" s="83">
        <f>VLOOKUP(TableTERanks3343[[#This Row],[Player]],TE!B:O,6,FALSE)</f>
        <v>718.65321412499986</v>
      </c>
      <c r="AX13" s="83">
        <f>VLOOKUP(TableTERanks3343[[#This Row],[Player]],TE!B:O,7,FALSE)</f>
        <v>5.3385667334999987</v>
      </c>
      <c r="AY13" s="57">
        <f>VLOOKUP(TableTERanks3343[[#This Row],[Player]],TE!B:O,11,FALSE)</f>
        <v>138.11830343849996</v>
      </c>
      <c r="AZ13" s="125">
        <f>IF(VLOOKUP(TableTERanks3343[[#This Row],[RK]],'Ranks w Proj'!AQ:AZ,10,FALSE)&lt;0,0,VLOOKUP(TableTERanks3343[[#This Row],[RK]],'Ranks w Proj'!AQ:AZ,10,FALSE))</f>
        <v>0</v>
      </c>
    </row>
    <row r="14" spans="1:52" x14ac:dyDescent="0.2">
      <c r="A14">
        <v>13</v>
      </c>
      <c r="B14" t="str">
        <f>VLOOKUP(TableQBRanks3040[[#This Row],[RK]],Rankings!A:T,3,FALSE)</f>
        <v>Caleb Williams</v>
      </c>
      <c r="C14" t="str">
        <f>IFERROR(INDEX(TableQBCalcPts[TM],MATCH(TableQBRanks3040[[#This Row],[Player]],TableQBCalcPts[PLAYER],0)),"")</f>
        <v>CHI</v>
      </c>
      <c r="D14">
        <f>IFERROR(INDEX(TableQBCalcPts[BYE],MATCH(TableQBRanks3040[[#This Row],[Player]],TableQBCalcPts[PLAYER],0)),"")</f>
        <v>7</v>
      </c>
      <c r="E14" s="83">
        <f>VLOOKUP(TableQBRanks3040[[#This Row],[Player]],QB!B:O,4,FALSE)</f>
        <v>566.80848000000003</v>
      </c>
      <c r="F14" s="83">
        <f>VLOOKUP(TableQBRanks3040[[#This Row],[Player]],QB!B:O,5,FALSE)</f>
        <v>363.16169234467782</v>
      </c>
      <c r="G14" s="83">
        <f>VLOOKUP(TableQBRanks3040[[#This Row],[Player]],QB!B:O,6,FALSE)</f>
        <v>4041.9896357962643</v>
      </c>
      <c r="H14" s="83">
        <f>VLOOKUP(TableQBRanks3040[[#This Row],[Player]],QB!B:O,7,FALSE)</f>
        <v>26.186551776000002</v>
      </c>
      <c r="I14" s="83">
        <f>VLOOKUP(TableQBRanks3040[[#This Row],[Player]],QB!B:O,8,FALSE)</f>
        <v>7.7279703415300309</v>
      </c>
      <c r="J14" s="83">
        <f>VLOOKUP(TableQBRanks3040[[#This Row],[Player]],QB!B:O,9,FALSE)</f>
        <v>68.446727999999993</v>
      </c>
      <c r="K14" s="83">
        <f>VLOOKUP(TableQBRanks3040[[#This Row],[Player]],QB!B:O,10,FALSE)</f>
        <v>344.97150911999995</v>
      </c>
      <c r="L14" s="83">
        <f>VLOOKUP(TableQBRanks3040[[#This Row],[Player]],QB!B:O,11,FALSE)</f>
        <v>3.6961233119999997</v>
      </c>
      <c r="M14" s="57">
        <f>VLOOKUP(TableQBRanks3040[[#This Row],[Player]],QB!B:O,13,FALSE)</f>
        <v>307.64374263679053</v>
      </c>
      <c r="N14" s="125">
        <f>IF(VLOOKUP(TableQBRanks3040[[#This Row],[RK]],'Ranks w Proj'!$A:$N,14,FALSE)&lt;0,0,VLOOKUP(TableQBRanks3040[[#This Row],[RK]],'Ranks w Proj'!$A:$N,14,FALSE))</f>
        <v>4.9726125981607847</v>
      </c>
      <c r="P14">
        <v>13</v>
      </c>
      <c r="Q14" t="str">
        <f>VLOOKUP(TableRBRanks3141[[#This Row],[RK]],Rankings!A:T,8,FALSE)</f>
        <v>Isiah Pacheco</v>
      </c>
      <c r="R14" t="str">
        <f>IFERROR(INDEX(TableRBCalcPts[TM],MATCH(TableRBRanks3141[[#This Row],[Player]],TableRBCalcPts[PLAYER],0)),"")</f>
        <v>KC</v>
      </c>
      <c r="S14">
        <f>IFERROR(INDEX(TableRBCalcPts[BYE],MATCH(TableRBRanks3141[[#This Row],[Player]],TableRBCalcPts[PLAYER],0)),"")</f>
        <v>6</v>
      </c>
      <c r="T14" s="83">
        <f>VLOOKUP(TableRBRanks3141[[#This Row],[Player]],RB!B:O,4,FALSE)</f>
        <v>247.93215999999998</v>
      </c>
      <c r="U14" s="83">
        <f>VLOOKUP(TableRBRanks3141[[#This Row],[Player]],RB!B:O,5,FALSE)</f>
        <v>1115.69472</v>
      </c>
      <c r="V14" s="83">
        <f>VLOOKUP(TableRBRanks3141[[#This Row],[Player]],RB!B:O,6,FALSE)</f>
        <v>8.9242082202101223</v>
      </c>
      <c r="W14" s="83">
        <f>VLOOKUP(TableRBRanks3141[[#This Row],[Player]],RB!B:O,7,FALSE)</f>
        <v>39.711167999999994</v>
      </c>
      <c r="X14" s="83">
        <f>VLOOKUP(TableRBRanks3141[[#This Row],[Player]],RB!B:O,8,FALSE)</f>
        <v>32.761713599999993</v>
      </c>
      <c r="Y14" s="83">
        <f>VLOOKUP(TableRBRanks3141[[#This Row],[Player]],RB!B:O,9,FALSE)</f>
        <v>223.43488675199995</v>
      </c>
      <c r="Z14" s="83">
        <f>VLOOKUP(TableRBRanks3141[[#This Row],[Player]],RB!B:O,10,FALSE)</f>
        <v>1.7036091071999995</v>
      </c>
      <c r="AA14" s="57">
        <f>VLOOKUP(TableRBRanks3141[[#This Row],[Player]],RB!B:O,14,FALSE)</f>
        <v>214.06072143966074</v>
      </c>
      <c r="AB14" s="125">
        <f>IF(VLOOKUP(TableRBRanks3141[[#This Row],[RK]],'Ranks w Proj'!$P:$AB,13,FALSE)&lt;0,0,VLOOKUP(TableRBRanks3141[[#This Row],[RK]],'Ranks w Proj'!$P:$AB,13,FALSE))</f>
        <v>31.590692484357021</v>
      </c>
      <c r="AD14">
        <v>13</v>
      </c>
      <c r="AE14" t="str">
        <f>VLOOKUP(TableWRRanks3242[[#This Row],[RK]],Rankings!A:T,13,FALSE)</f>
        <v>Garrett Wilson</v>
      </c>
      <c r="AF14" t="str">
        <f>IFERROR(INDEX(TableWRCalcPts[TM],MATCH(TableWRRanks3242[[#This Row],[Player]],TableWRCalcPts[PLAYER],0)),"")</f>
        <v>NYJ</v>
      </c>
      <c r="AG14">
        <f>IFERROR(INDEX(TableWRCalcPts[BYE],MATCH(TableWRRanks3242[[#This Row],[Player]],TableWRCalcPts[PLAYER],0)),"")</f>
        <v>12</v>
      </c>
      <c r="AH14" s="83">
        <f>VLOOKUP(TableWRRanks3242[[#This Row],[Player]],WR!B:O,4,FALSE)</f>
        <v>0</v>
      </c>
      <c r="AI14" s="83">
        <f>VLOOKUP(TableWRRanks3242[[#This Row],[Player]],WR!B:O,5,FALSE)</f>
        <v>0</v>
      </c>
      <c r="AJ14" s="83">
        <f>VLOOKUP(TableWRRanks3242[[#This Row],[Player]],WR!B:O,6,FALSE)</f>
        <v>137.46276543999994</v>
      </c>
      <c r="AK14" s="83">
        <f>VLOOKUP(TableWRRanks3242[[#This Row],[Player]],WR!B:O,7,FALSE)</f>
        <v>84.127212449279966</v>
      </c>
      <c r="AL14" s="83">
        <f>VLOOKUP(TableWRRanks3242[[#This Row],[Player]],WR!B:O,8,FALSE)</f>
        <v>1052.5644099573331</v>
      </c>
      <c r="AM14" s="83">
        <f>VLOOKUP(TableWRRanks3242[[#This Row],[Player]],WR!B:O,9,FALSE)</f>
        <v>7.3830598877381197</v>
      </c>
      <c r="AN14" s="57">
        <f>VLOOKUP(TableWRRanks3242[[#This Row],[Player]],WR!B:O,13,FALSE)</f>
        <v>191.61840654680199</v>
      </c>
      <c r="AO14" s="125">
        <f>IF(VLOOKUP(TableWRRanks3242[[#This Row],[RK]],'Ranks w Proj'!AD:AO,12,FALSE)&lt;0,0,VLOOKUP(TableWRRanks3242[[#This Row],[RK]],'Ranks w Proj'!AD:AO,12,FALSE))</f>
        <v>25.252265518291626</v>
      </c>
      <c r="AQ14">
        <v>13</v>
      </c>
      <c r="AR14" t="str">
        <f>VLOOKUP(TableTERanks3343[[#This Row],[RK]],Rankings!A:T,18,FALSE)</f>
        <v>Dallas Goedert</v>
      </c>
      <c r="AS14" t="str">
        <f>IFERROR(INDEX(TableTECalcPts[TM],MATCH(TableTERanks3343[[#This Row],[Player]],TableTECalcPts[PLAYER],0)),"")</f>
        <v>PHI</v>
      </c>
      <c r="AT14">
        <f>IFERROR(INDEX(TableTECalcPts[BYE],MATCH(TableTERanks3343[[#This Row],[Player]],TableTECalcPts[PLAYER],0)),"")</f>
        <v>5</v>
      </c>
      <c r="AU14" s="83">
        <f>VLOOKUP(TableTERanks3343[[#This Row],[Player]],TE!B:O,4,FALSE)</f>
        <v>90.929119680000014</v>
      </c>
      <c r="AV14" s="83">
        <f>VLOOKUP(TableTERanks3343[[#This Row],[Player]],TE!B:O,5,FALSE)</f>
        <v>62.195517861120017</v>
      </c>
      <c r="AW14" s="83">
        <f>VLOOKUP(TableTERanks3343[[#This Row],[Player]],TE!B:O,6,FALSE)</f>
        <v>691.61415861565456</v>
      </c>
      <c r="AX14" s="83">
        <f>VLOOKUP(TableTERanks3343[[#This Row],[Player]],TE!B:O,7,FALSE)</f>
        <v>3.8323909307243671</v>
      </c>
      <c r="AY14" s="57">
        <f>VLOOKUP(TableTERanks3343[[#This Row],[Player]],TE!B:O,11,FALSE)</f>
        <v>123.25352037647167</v>
      </c>
      <c r="AZ14" s="125">
        <f>IF(VLOOKUP(TableTERanks3343[[#This Row],[RK]],'Ranks w Proj'!AQ:AZ,10,FALSE)&lt;0,0,VLOOKUP(TableTERanks3343[[#This Row],[RK]],'Ranks w Proj'!AQ:AZ,10,FALSE))</f>
        <v>0</v>
      </c>
    </row>
    <row r="15" spans="1:52" x14ac:dyDescent="0.2">
      <c r="A15">
        <v>14</v>
      </c>
      <c r="B15" t="str">
        <f>VLOOKUP(TableQBRanks3040[[#This Row],[RK]],Rankings!A:T,3,FALSE)</f>
        <v>Jared Goff</v>
      </c>
      <c r="C15" t="str">
        <f>IFERROR(INDEX(TableQBCalcPts[TM],MATCH(TableQBRanks3040[[#This Row],[Player]],TableQBCalcPts[PLAYER],0)),"")</f>
        <v>DET</v>
      </c>
      <c r="D15">
        <f>IFERROR(INDEX(TableQBCalcPts[BYE],MATCH(TableQBRanks3040[[#This Row],[Player]],TableQBCalcPts[PLAYER],0)),"")</f>
        <v>5</v>
      </c>
      <c r="E15" s="83">
        <f>VLOOKUP(TableQBRanks3040[[#This Row],[Player]],QB!B:O,4,FALSE)</f>
        <v>592.67459999999994</v>
      </c>
      <c r="F15" s="83">
        <f>VLOOKUP(TableQBRanks3040[[#This Row],[Player]],QB!B:O,5,FALSE)</f>
        <v>399.63111327548756</v>
      </c>
      <c r="G15" s="83">
        <f>VLOOKUP(TableQBRanks3040[[#This Row],[Player]],QB!B:O,6,FALSE)</f>
        <v>4482.2463890700856</v>
      </c>
      <c r="H15" s="83">
        <f>VLOOKUP(TableQBRanks3040[[#This Row],[Player]],QB!B:O,7,FALSE)</f>
        <v>30.819079199999994</v>
      </c>
      <c r="I15" s="83">
        <f>VLOOKUP(TableQBRanks3040[[#This Row],[Player]],QB!B:O,8,FALSE)</f>
        <v>6.4239213854865307</v>
      </c>
      <c r="J15" s="83">
        <f>VLOOKUP(TableQBRanks3040[[#This Row],[Player]],QB!B:O,9,FALSE)</f>
        <v>31.297378000000009</v>
      </c>
      <c r="K15" s="83">
        <f>VLOOKUP(TableQBRanks3040[[#This Row],[Player]],QB!B:O,10,FALSE)</f>
        <v>60.704217478589875</v>
      </c>
      <c r="L15" s="83">
        <f>VLOOKUP(TableQBRanks3040[[#This Row],[Player]],QB!B:O,11,FALSE)</f>
        <v>1.23216195363023</v>
      </c>
      <c r="M15" s="57">
        <f>VLOOKUP(TableQBRanks3040[[#This Row],[Player]],QB!B:O,13,FALSE)</f>
        <v>303.18172306147073</v>
      </c>
      <c r="N15" s="125">
        <f>IF(VLOOKUP(TableQBRanks3040[[#This Row],[RK]],'Ranks w Proj'!$A:$N,14,FALSE)&lt;0,0,VLOOKUP(TableQBRanks3040[[#This Row],[RK]],'Ranks w Proj'!$A:$N,14,FALSE))</f>
        <v>4.6747533396704632</v>
      </c>
      <c r="P15">
        <v>14</v>
      </c>
      <c r="Q15" t="str">
        <f>VLOOKUP(TableRBRanks3141[[#This Row],[RK]],Rankings!A:T,8,FALSE)</f>
        <v>James Cook</v>
      </c>
      <c r="R15" t="str">
        <f>IFERROR(INDEX(TableRBCalcPts[TM],MATCH(TableRBRanks3141[[#This Row],[Player]],TableRBCalcPts[PLAYER],0)),"")</f>
        <v>BUF</v>
      </c>
      <c r="S15">
        <f>IFERROR(INDEX(TableRBCalcPts[BYE],MATCH(TableRBRanks3141[[#This Row],[Player]],TableRBCalcPts[PLAYER],0)),"")</f>
        <v>12</v>
      </c>
      <c r="T15" s="83">
        <f>VLOOKUP(TableRBRanks3141[[#This Row],[Player]],RB!B:O,4,FALSE)</f>
        <v>210.58387392000003</v>
      </c>
      <c r="U15" s="83">
        <f>VLOOKUP(TableRBRanks3141[[#This Row],[Player]],RB!B:O,5,FALSE)</f>
        <v>947.62743264000017</v>
      </c>
      <c r="V15" s="83">
        <f>VLOOKUP(TableRBRanks3141[[#This Row],[Player]],RB!B:O,6,FALSE)</f>
        <v>5.1440328083671965</v>
      </c>
      <c r="W15" s="83">
        <f>VLOOKUP(TableRBRanks3141[[#This Row],[Player]],RB!B:O,7,FALSE)</f>
        <v>53.449482239999995</v>
      </c>
      <c r="X15" s="83">
        <f>VLOOKUP(TableRBRanks3141[[#This Row],[Player]],RB!B:O,8,FALSE)</f>
        <v>39.873313751040008</v>
      </c>
      <c r="Y15" s="83">
        <f>VLOOKUP(TableRBRanks3141[[#This Row],[Player]],RB!B:O,9,FALSE)</f>
        <v>343.25346832816842</v>
      </c>
      <c r="Z15" s="83">
        <f>VLOOKUP(TableRBRanks3141[[#This Row],[Player]],RB!B:O,10,FALSE)</f>
        <v>2.3008943159581885</v>
      </c>
      <c r="AA15" s="57">
        <f>VLOOKUP(TableRBRanks3141[[#This Row],[Player]],RB!B:O,14,FALSE)</f>
        <v>193.69430971828919</v>
      </c>
      <c r="AB15" s="125">
        <f>IF(VLOOKUP(TableRBRanks3141[[#This Row],[RK]],'Ranks w Proj'!$P:$AB,13,FALSE)&lt;0,0,VLOOKUP(TableRBRanks3141[[#This Row],[RK]],'Ranks w Proj'!$P:$AB,13,FALSE))</f>
        <v>31.053246335863104</v>
      </c>
      <c r="AD15">
        <v>14</v>
      </c>
      <c r="AE15" t="str">
        <f>VLOOKUP(TableWRRanks3242[[#This Row],[RK]],Rankings!A:T,13,FALSE)</f>
        <v>Drake London</v>
      </c>
      <c r="AF15" t="str">
        <f>IFERROR(INDEX(TableWRCalcPts[TM],MATCH(TableWRRanks3242[[#This Row],[Player]],TableWRCalcPts[PLAYER],0)),"")</f>
        <v>ATL</v>
      </c>
      <c r="AG15">
        <f>IFERROR(INDEX(TableWRCalcPts[BYE],MATCH(TableWRRanks3242[[#This Row],[Player]],TableWRCalcPts[PLAYER],0)),"")</f>
        <v>12</v>
      </c>
      <c r="AH15" s="83">
        <f>VLOOKUP(TableWRRanks3242[[#This Row],[Player]],WR!B:O,4,FALSE)</f>
        <v>0</v>
      </c>
      <c r="AI15" s="83">
        <f>VLOOKUP(TableWRRanks3242[[#This Row],[Player]],WR!B:O,5,FALSE)</f>
        <v>0</v>
      </c>
      <c r="AJ15" s="83">
        <f>VLOOKUP(TableWRRanks3242[[#This Row],[Player]],WR!B:O,6,FALSE)</f>
        <v>131.13067967999999</v>
      </c>
      <c r="AK15" s="83">
        <f>VLOOKUP(TableWRRanks3242[[#This Row],[Player]],WR!B:O,7,FALSE)</f>
        <v>85.366072471680013</v>
      </c>
      <c r="AL15" s="83">
        <f>VLOOKUP(TableWRRanks3242[[#This Row],[Player]],WR!B:O,8,FALSE)</f>
        <v>1097.8076919858049</v>
      </c>
      <c r="AM15" s="83">
        <f>VLOOKUP(TableWRRanks3242[[#This Row],[Player]],WR!B:O,9,FALSE)</f>
        <v>7.597580449979521</v>
      </c>
      <c r="AN15" s="57">
        <f>VLOOKUP(TableWRRanks3242[[#This Row],[Player]],WR!B:O,13,FALSE)</f>
        <v>198.04928813429765</v>
      </c>
      <c r="AO15" s="125">
        <f>IF(VLOOKUP(TableWRRanks3242[[#This Row],[RK]],'Ranks w Proj'!AD:AO,12,FALSE)&lt;0,0,VLOOKUP(TableWRRanks3242[[#This Row],[RK]],'Ranks w Proj'!AD:AO,12,FALSE))</f>
        <v>25.146164482440422</v>
      </c>
      <c r="AQ15">
        <v>14</v>
      </c>
      <c r="AR15" t="str">
        <f>VLOOKUP(TableTERanks3343[[#This Row],[RK]],Rankings!A:T,18,FALSE)</f>
        <v>Taysom Hill</v>
      </c>
      <c r="AS15" t="str">
        <f>IFERROR(INDEX(TableTECalcPts[TM],MATCH(TableTERanks3343[[#This Row],[Player]],TableTECalcPts[PLAYER],0)),"")</f>
        <v>NO</v>
      </c>
      <c r="AT15">
        <f>IFERROR(INDEX(TableTECalcPts[BYE],MATCH(TableTERanks3343[[#This Row],[Player]],TableTECalcPts[PLAYER],0)),"")</f>
        <v>12</v>
      </c>
      <c r="AU15" s="83">
        <f>VLOOKUP(TableTERanks3343[[#This Row],[Player]],TE!B:O,4,FALSE)</f>
        <v>30.598312051999994</v>
      </c>
      <c r="AV15" s="83">
        <f>VLOOKUP(TableTERanks3343[[#This Row],[Player]],TE!B:O,5,FALSE)</f>
        <v>21.174031939983998</v>
      </c>
      <c r="AW15" s="83">
        <f>VLOOKUP(TableTERanks3343[[#This Row],[Player]],TE!B:O,6,FALSE)</f>
        <v>201.78852438804748</v>
      </c>
      <c r="AX15" s="83">
        <f>VLOOKUP(TableTERanks3343[[#This Row],[Player]],TE!B:O,7,FALSE)</f>
        <v>1.5880523954987997</v>
      </c>
      <c r="AY15" s="57">
        <f>VLOOKUP(TableTERanks3343[[#This Row],[Player]],TE!B:O,11,FALSE)</f>
        <v>40.294182781789544</v>
      </c>
      <c r="AZ15" s="125">
        <f>IF(VLOOKUP(TableTERanks3343[[#This Row],[RK]],'Ranks w Proj'!AQ:AZ,10,FALSE)&lt;0,0,VLOOKUP(TableTERanks3343[[#This Row],[RK]],'Ranks w Proj'!AQ:AZ,10,FALSE))</f>
        <v>0</v>
      </c>
    </row>
    <row r="16" spans="1:52" x14ac:dyDescent="0.2">
      <c r="A16">
        <v>15</v>
      </c>
      <c r="B16" t="str">
        <f>VLOOKUP(TableQBRanks3040[[#This Row],[RK]],Rankings!A:T,3,FALSE)</f>
        <v>Trevor Lawrence</v>
      </c>
      <c r="C16" t="str">
        <f>IFERROR(INDEX(TableQBCalcPts[TM],MATCH(TableQBRanks3040[[#This Row],[Player]],TableQBCalcPts[PLAYER],0)),"")</f>
        <v>JAX</v>
      </c>
      <c r="D16">
        <f>IFERROR(INDEX(TableQBCalcPts[BYE],MATCH(TableQBRanks3040[[#This Row],[Player]],TableQBCalcPts[PLAYER],0)),"")</f>
        <v>12</v>
      </c>
      <c r="E16" s="83">
        <f>VLOOKUP(TableQBRanks3040[[#This Row],[Player]],QB!B:O,4,FALSE)</f>
        <v>608.33717999999999</v>
      </c>
      <c r="F16" s="83">
        <f>VLOOKUP(TableQBRanks3040[[#This Row],[Player]],QB!B:O,5,FALSE)</f>
        <v>397.1554754441085</v>
      </c>
      <c r="G16" s="83">
        <f>VLOOKUP(TableQBRanks3040[[#This Row],[Player]],QB!B:O,6,FALSE)</f>
        <v>4420.3404416929279</v>
      </c>
      <c r="H16" s="83">
        <f>VLOOKUP(TableQBRanks3040[[#This Row],[Player]],QB!B:O,7,FALSE)</f>
        <v>26.766835919999998</v>
      </c>
      <c r="I16" s="83">
        <f>VLOOKUP(TableQBRanks3040[[#This Row],[Player]],QB!B:O,8,FALSE)</f>
        <v>7.4530853637280483</v>
      </c>
      <c r="J16" s="83">
        <f>VLOOKUP(TableQBRanks3040[[#This Row],[Player]],QB!B:O,9,FALSE)</f>
        <v>60.301869600000011</v>
      </c>
      <c r="K16" s="83">
        <f>VLOOKUP(TableQBRanks3040[[#This Row],[Player]],QB!B:O,10,FALSE)</f>
        <v>279.35918862580735</v>
      </c>
      <c r="L16" s="83">
        <f>VLOOKUP(TableQBRanks3040[[#This Row],[Player]],QB!B:O,11,FALSE)</f>
        <v>3.0753953496000004</v>
      </c>
      <c r="M16" s="57">
        <f>VLOOKUP(TableQBRanks3040[[#This Row],[Player]],QB!B:O,13,FALSE)</f>
        <v>315.36308158044176</v>
      </c>
      <c r="N16" s="125">
        <f>IF(VLOOKUP(TableQBRanks3040[[#This Row],[RK]],'Ranks w Proj'!$A:$N,14,FALSE)&lt;0,0,VLOOKUP(TableQBRanks3040[[#This Row],[RK]],'Ranks w Proj'!$A:$N,14,FALSE))</f>
        <v>2.5029566822979472</v>
      </c>
      <c r="P16">
        <v>15</v>
      </c>
      <c r="Q16" t="str">
        <f>VLOOKUP(TableRBRanks3141[[#This Row],[RK]],Rankings!A:T,8,FALSE)</f>
        <v>Alvin Kamara</v>
      </c>
      <c r="R16" t="str">
        <f>IFERROR(INDEX(TableRBCalcPts[TM],MATCH(TableRBRanks3141[[#This Row],[Player]],TableRBCalcPts[PLAYER],0)),"")</f>
        <v>NO</v>
      </c>
      <c r="S16">
        <f>IFERROR(INDEX(TableRBCalcPts[BYE],MATCH(TableRBRanks3141[[#This Row],[Player]],TableRBCalcPts[PLAYER],0)),"")</f>
        <v>12</v>
      </c>
      <c r="T16" s="83">
        <f>VLOOKUP(TableRBRanks3141[[#This Row],[Player]],RB!B:O,4,FALSE)</f>
        <v>197.46161512000003</v>
      </c>
      <c r="U16" s="83">
        <f>VLOOKUP(TableRBRanks3141[[#This Row],[Player]],RB!B:O,5,FALSE)</f>
        <v>831.3133996552001</v>
      </c>
      <c r="V16" s="83">
        <f>VLOOKUP(TableRBRanks3141[[#This Row],[Player]],RB!B:O,6,FALSE)</f>
        <v>6.1213100687200006</v>
      </c>
      <c r="W16" s="83">
        <f>VLOOKUP(TableRBRanks3141[[#This Row],[Player]],RB!B:O,7,FALSE)</f>
        <v>74.548614817599983</v>
      </c>
      <c r="X16" s="83">
        <f>VLOOKUP(TableRBRanks3141[[#This Row],[Player]],RB!B:O,8,FALSE)</f>
        <v>61.129864150431985</v>
      </c>
      <c r="Y16" s="83">
        <f>VLOOKUP(TableRBRanks3141[[#This Row],[Player]],RB!B:O,9,FALSE)</f>
        <v>441.35761916611892</v>
      </c>
      <c r="Z16" s="83">
        <f>VLOOKUP(TableRBRanks3141[[#This Row],[Player]],RB!B:O,10,FALSE)</f>
        <v>2.3229348377164154</v>
      </c>
      <c r="AA16" s="57">
        <f>VLOOKUP(TableRBRanks3141[[#This Row],[Player]],RB!B:O,14,FALSE)</f>
        <v>208.49750339596642</v>
      </c>
      <c r="AB16" s="125">
        <f>IF(VLOOKUP(TableRBRanks3141[[#This Row],[RK]],'Ranks w Proj'!$P:$AB,13,FALSE)&lt;0,0,VLOOKUP(TableRBRanks3141[[#This Row],[RK]],'Ranks w Proj'!$P:$AB,13,FALSE))</f>
        <v>27.650160880255211</v>
      </c>
      <c r="AD16">
        <v>15</v>
      </c>
      <c r="AE16" t="str">
        <f>VLOOKUP(TableWRRanks3242[[#This Row],[RK]],Rankings!A:T,13,FALSE)</f>
        <v>Cooper Kupp</v>
      </c>
      <c r="AF16" t="str">
        <f>IFERROR(INDEX(TableWRCalcPts[TM],MATCH(TableWRRanks3242[[#This Row],[Player]],TableWRCalcPts[PLAYER],0)),"")</f>
        <v>LAR</v>
      </c>
      <c r="AG16">
        <f>IFERROR(INDEX(TableWRCalcPts[BYE],MATCH(TableWRRanks3242[[#This Row],[Player]],TableWRCalcPts[PLAYER],0)),"")</f>
        <v>6</v>
      </c>
      <c r="AH16" s="83">
        <f>VLOOKUP(TableWRRanks3242[[#This Row],[Player]],WR!B:O,4,FALSE)</f>
        <v>0</v>
      </c>
      <c r="AI16" s="83">
        <f>VLOOKUP(TableWRRanks3242[[#This Row],[Player]],WR!B:O,5,FALSE)</f>
        <v>0</v>
      </c>
      <c r="AJ16" s="83">
        <f>VLOOKUP(TableWRRanks3242[[#This Row],[Player]],WR!B:O,6,FALSE)</f>
        <v>144.90530879999997</v>
      </c>
      <c r="AK16" s="83">
        <f>VLOOKUP(TableWRRanks3242[[#This Row],[Player]],WR!B:O,7,FALSE)</f>
        <v>92.739397631999978</v>
      </c>
      <c r="AL16" s="83">
        <f>VLOOKUP(TableWRRanks3242[[#This Row],[Player]],WR!B:O,8,FALSE)</f>
        <v>1161.0972583526398</v>
      </c>
      <c r="AM16" s="83">
        <f>VLOOKUP(TableWRRanks3242[[#This Row],[Player]],WR!B:O,9,FALSE)</f>
        <v>8.2538794016278363</v>
      </c>
      <c r="AN16" s="57">
        <f>VLOOKUP(TableWRRanks3242[[#This Row],[Player]],WR!B:O,13,FALSE)</f>
        <v>212.00270106103099</v>
      </c>
      <c r="AO16" s="125">
        <f>IF(VLOOKUP(TableWRRanks3242[[#This Row],[RK]],'Ranks w Proj'!AD:AO,12,FALSE)&lt;0,0,VLOOKUP(TableWRRanks3242[[#This Row],[RK]],'Ranks w Proj'!AD:AO,12,FALSE))</f>
        <v>24.873973750915066</v>
      </c>
      <c r="AQ16">
        <v>15</v>
      </c>
      <c r="AR16" t="str">
        <f>VLOOKUP(TableTERanks3343[[#This Row],[RK]],Rankings!A:T,18,FALSE)</f>
        <v>Hunter Henry</v>
      </c>
      <c r="AS16" t="str">
        <f>IFERROR(INDEX(TableTECalcPts[TM],MATCH(TableTERanks3343[[#This Row],[Player]],TableTECalcPts[PLAYER],0)),"")</f>
        <v>NE</v>
      </c>
      <c r="AT16">
        <f>IFERROR(INDEX(TableTECalcPts[BYE],MATCH(TableTERanks3343[[#This Row],[Player]],TableTECalcPts[PLAYER],0)),"")</f>
        <v>14</v>
      </c>
      <c r="AU16" s="83">
        <f>VLOOKUP(TableTERanks3343[[#This Row],[Player]],TE!B:O,4,FALSE)</f>
        <v>75.962316639999997</v>
      </c>
      <c r="AV16" s="83">
        <f>VLOOKUP(TableTERanks3343[[#This Row],[Player]],TE!B:O,5,FALSE)</f>
        <v>48.843769599520002</v>
      </c>
      <c r="AW16" s="83">
        <f>VLOOKUP(TableTERanks3343[[#This Row],[Player]],TE!B:O,6,FALSE)</f>
        <v>520.18614623488804</v>
      </c>
      <c r="AX16" s="83">
        <f>VLOOKUP(TableTERanks3343[[#This Row],[Player]],TE!B:O,7,FALSE)</f>
        <v>4.2005641855587195</v>
      </c>
      <c r="AY16" s="57">
        <f>VLOOKUP(TableTERanks3343[[#This Row],[Player]],TE!B:O,11,FALSE)</f>
        <v>101.64388453660112</v>
      </c>
      <c r="AZ16" s="125">
        <f>IF(VLOOKUP(TableTERanks3343[[#This Row],[RK]],'Ranks w Proj'!AQ:AZ,10,FALSE)&lt;0,0,VLOOKUP(TableTERanks3343[[#This Row],[RK]],'Ranks w Proj'!AQ:AZ,10,FALSE))</f>
        <v>0</v>
      </c>
    </row>
    <row r="17" spans="1:52" x14ac:dyDescent="0.2">
      <c r="A17">
        <v>16</v>
      </c>
      <c r="B17" t="str">
        <f>VLOOKUP(TableQBRanks3040[[#This Row],[RK]],Rankings!A:T,3,FALSE)</f>
        <v>Kirk Cousins</v>
      </c>
      <c r="C17" t="str">
        <f>IFERROR(INDEX(TableQBCalcPts[TM],MATCH(TableQBRanks3040[[#This Row],[Player]],TableQBCalcPts[PLAYER],0)),"")</f>
        <v>ATL</v>
      </c>
      <c r="D17">
        <f>IFERROR(INDEX(TableQBCalcPts[BYE],MATCH(TableQBRanks3040[[#This Row],[Player]],TableQBCalcPts[PLAYER],0)),"")</f>
        <v>12</v>
      </c>
      <c r="E17" s="83">
        <f>VLOOKUP(TableQBRanks3040[[#This Row],[Player]],QB!B:O,4,FALSE)</f>
        <v>575.13455999999996</v>
      </c>
      <c r="F17" s="83">
        <f>VLOOKUP(TableQBRanks3040[[#This Row],[Player]],QB!B:O,5,FALSE)</f>
        <v>378.22168752758637</v>
      </c>
      <c r="G17" s="83">
        <f>VLOOKUP(TableQBRanks3040[[#This Row],[Player]],QB!B:O,6,FALSE)</f>
        <v>4296.5983703133807</v>
      </c>
      <c r="H17" s="83">
        <f>VLOOKUP(TableQBRanks3040[[#This Row],[Player]],QB!B:O,7,FALSE)</f>
        <v>29.504507705665819</v>
      </c>
      <c r="I17" s="83">
        <f>VLOOKUP(TableQBRanks3040[[#This Row],[Player]],QB!B:O,8,FALSE)</f>
        <v>6.1493485989509153</v>
      </c>
      <c r="J17" s="83">
        <f>VLOOKUP(TableQBRanks3040[[#This Row],[Player]],QB!B:O,9,FALSE)</f>
        <v>25.820726400000002</v>
      </c>
      <c r="K17" s="83">
        <f>VLOOKUP(TableQBRanks3040[[#This Row],[Player]],QB!B:O,10,FALSE)</f>
        <v>78.244311871374677</v>
      </c>
      <c r="L17" s="83">
        <f>VLOOKUP(TableQBRanks3040[[#This Row],[Player]],QB!B:O,11,FALSE)</f>
        <v>1.2190807392656713</v>
      </c>
      <c r="M17" s="57">
        <f>VLOOKUP(TableQBRanks3040[[#This Row],[Player]],QB!B:O,13,FALSE)</f>
        <v>292.72218406002816</v>
      </c>
      <c r="N17" s="125">
        <f>IF(VLOOKUP(TableQBRanks3040[[#This Row],[RK]],'Ranks w Proj'!$A:$N,14,FALSE)&lt;0,0,VLOOKUP(TableQBRanks3040[[#This Row],[RK]],'Ranks w Proj'!$A:$N,14,FALSE))</f>
        <v>1.6247426998282082</v>
      </c>
      <c r="P17">
        <v>16</v>
      </c>
      <c r="Q17" t="str">
        <f>VLOOKUP(TableRBRanks3141[[#This Row],[RK]],Rankings!A:T,8,FALSE)</f>
        <v>Aaron Jones</v>
      </c>
      <c r="R17" t="str">
        <f>IFERROR(INDEX(TableRBCalcPts[TM],MATCH(TableRBRanks3141[[#This Row],[Player]],TableRBCalcPts[PLAYER],0)),"")</f>
        <v>MIN</v>
      </c>
      <c r="S17">
        <f>IFERROR(INDEX(TableRBCalcPts[BYE],MATCH(TableRBRanks3141[[#This Row],[Player]],TableRBCalcPts[PLAYER],0)),"")</f>
        <v>6</v>
      </c>
      <c r="T17" s="83">
        <f>VLOOKUP(TableRBRanks3141[[#This Row],[Player]],RB!B:O,4,FALSE)</f>
        <v>215.247984</v>
      </c>
      <c r="U17" s="83">
        <f>VLOOKUP(TableRBRanks3141[[#This Row],[Player]],RB!B:O,5,FALSE)</f>
        <v>973.65533697333387</v>
      </c>
      <c r="V17" s="83">
        <f>VLOOKUP(TableRBRanks3141[[#This Row],[Player]],RB!B:O,6,FALSE)</f>
        <v>7.3184314560000008</v>
      </c>
      <c r="W17" s="83">
        <f>VLOOKUP(TableRBRanks3141[[#This Row],[Player]],RB!B:O,7,FALSE)</f>
        <v>62.832503999999993</v>
      </c>
      <c r="X17" s="83">
        <f>VLOOKUP(TableRBRanks3141[[#This Row],[Player]],RB!B:O,8,FALSE)</f>
        <v>46.056225431999991</v>
      </c>
      <c r="Y17" s="83">
        <f>VLOOKUP(TableRBRanks3141[[#This Row],[Player]],RB!B:O,9,FALSE)</f>
        <v>352.15321318809708</v>
      </c>
      <c r="Z17" s="83">
        <f>VLOOKUP(TableRBRanks3141[[#This Row],[Player]],RB!B:O,10,FALSE)</f>
        <v>1.981899982003265</v>
      </c>
      <c r="AA17" s="57">
        <f>VLOOKUP(TableRBRanks3141[[#This Row],[Player]],RB!B:O,14,FALSE)</f>
        <v>211.41095636016271</v>
      </c>
      <c r="AB17" s="125">
        <f>IF(VLOOKUP(TableRBRanks3141[[#This Row],[RK]],'Ranks w Proj'!$P:$AB,13,FALSE)&lt;0,0,VLOOKUP(TableRBRanks3141[[#This Row],[RK]],'Ranks w Proj'!$P:$AB,13,FALSE))</f>
        <v>27.257597821932013</v>
      </c>
      <c r="AD17">
        <v>16</v>
      </c>
      <c r="AE17" t="str">
        <f>VLOOKUP(TableWRRanks3242[[#This Row],[RK]],Rankings!A:T,13,FALSE)</f>
        <v>DK Metcalf</v>
      </c>
      <c r="AF17" t="str">
        <f>IFERROR(INDEX(TableWRCalcPts[TM],MATCH(TableWRRanks3242[[#This Row],[Player]],TableWRCalcPts[PLAYER],0)),"")</f>
        <v>SEA</v>
      </c>
      <c r="AG17">
        <f>IFERROR(INDEX(TableWRCalcPts[BYE],MATCH(TableWRRanks3242[[#This Row],[Player]],TableWRCalcPts[PLAYER],0)),"")</f>
        <v>10</v>
      </c>
      <c r="AH17" s="83">
        <f>VLOOKUP(TableWRRanks3242[[#This Row],[Player]],WR!B:O,4,FALSE)</f>
        <v>0</v>
      </c>
      <c r="AI17" s="83">
        <f>VLOOKUP(TableWRRanks3242[[#This Row],[Player]],WR!B:O,5,FALSE)</f>
        <v>0</v>
      </c>
      <c r="AJ17" s="83">
        <f>VLOOKUP(TableWRRanks3242[[#This Row],[Player]],WR!B:O,6,FALSE)</f>
        <v>123.64275545999998</v>
      </c>
      <c r="AK17" s="83">
        <f>VLOOKUP(TableWRRanks3242[[#This Row],[Player]],WR!B:O,7,FALSE)</f>
        <v>73.443796743239986</v>
      </c>
      <c r="AL17" s="83">
        <f>VLOOKUP(TableWRRanks3242[[#This Row],[Player]],WR!B:O,8,FALSE)</f>
        <v>1102.3913891160321</v>
      </c>
      <c r="AM17" s="83">
        <f>VLOOKUP(TableWRRanks3242[[#This Row],[Player]],WR!B:O,9,FALSE)</f>
        <v>8.2991490319861185</v>
      </c>
      <c r="AN17" s="57">
        <f>VLOOKUP(TableWRRanks3242[[#This Row],[Player]],WR!B:O,13,FALSE)</f>
        <v>196.75593147513993</v>
      </c>
      <c r="AO17" s="125">
        <f>IF(VLOOKUP(TableWRRanks3242[[#This Row],[RK]],'Ranks w Proj'!AD:AO,12,FALSE)&lt;0,0,VLOOKUP(TableWRRanks3242[[#This Row],[RK]],'Ranks w Proj'!AD:AO,12,FALSE))</f>
        <v>23.267296839105647</v>
      </c>
      <c r="AQ17">
        <v>16</v>
      </c>
      <c r="AR17" t="str">
        <f>VLOOKUP(TableTERanks3343[[#This Row],[RK]],Rankings!A:T,18,FALSE)</f>
        <v>Dalton Schultz</v>
      </c>
      <c r="AS17" t="str">
        <f>IFERROR(INDEX(TableTECalcPts[TM],MATCH(TableTERanks3343[[#This Row],[Player]],TableTECalcPts[PLAYER],0)),"")</f>
        <v>HOU</v>
      </c>
      <c r="AT17">
        <f>IFERROR(INDEX(TableTECalcPts[BYE],MATCH(TableTERanks3343[[#This Row],[Player]],TableTECalcPts[PLAYER],0)),"")</f>
        <v>14</v>
      </c>
      <c r="AU17" s="83">
        <f>VLOOKUP(TableTERanks3343[[#This Row],[Player]],TE!B:O,4,FALSE)</f>
        <v>68.926457599999992</v>
      </c>
      <c r="AV17" s="83">
        <f>VLOOKUP(TableTERanks3343[[#This Row],[Player]],TE!B:O,5,FALSE)</f>
        <v>47.007844083199998</v>
      </c>
      <c r="AW17" s="83">
        <f>VLOOKUP(TableTERanks3343[[#This Row],[Player]],TE!B:O,6,FALSE)</f>
        <v>511.44534362521603</v>
      </c>
      <c r="AX17" s="83">
        <f>VLOOKUP(TableTERanks3343[[#This Row],[Player]],TE!B:O,7,FALSE)</f>
        <v>3.9685813344360383</v>
      </c>
      <c r="AY17" s="57">
        <f>VLOOKUP(TableTERanks3343[[#This Row],[Player]],TE!B:O,11,FALSE)</f>
        <v>98.459944410737833</v>
      </c>
      <c r="AZ17" s="125">
        <f>IF(VLOOKUP(TableTERanks3343[[#This Row],[RK]],'Ranks w Proj'!AQ:AZ,10,FALSE)&lt;0,0,VLOOKUP(TableTERanks3343[[#This Row],[RK]],'Ranks w Proj'!AQ:AZ,10,FALSE))</f>
        <v>0</v>
      </c>
    </row>
    <row r="18" spans="1:52" x14ac:dyDescent="0.2">
      <c r="A18">
        <v>17</v>
      </c>
      <c r="B18" t="str">
        <f>VLOOKUP(TableQBRanks3040[[#This Row],[RK]],Rankings!A:T,3,FALSE)</f>
        <v>Tua Tagovailoa</v>
      </c>
      <c r="C18" t="str">
        <f>IFERROR(INDEX(TableQBCalcPts[TM],MATCH(TableQBRanks3040[[#This Row],[Player]],TableQBCalcPts[PLAYER],0)),"")</f>
        <v>MIA</v>
      </c>
      <c r="D18">
        <f>IFERROR(INDEX(TableQBCalcPts[BYE],MATCH(TableQBRanks3040[[#This Row],[Player]],TableQBCalcPts[PLAYER],0)),"")</f>
        <v>6</v>
      </c>
      <c r="E18" s="83">
        <f>VLOOKUP(TableQBRanks3040[[#This Row],[Player]],QB!B:O,4,FALSE)</f>
        <v>580.3471199999999</v>
      </c>
      <c r="F18" s="83">
        <f>VLOOKUP(TableQBRanks3040[[#This Row],[Player]],QB!B:O,5,FALSE)</f>
        <v>393.45014189459778</v>
      </c>
      <c r="G18" s="83">
        <f>VLOOKUP(TableQBRanks3040[[#This Row],[Player]],QB!B:O,6,FALSE)</f>
        <v>4620.5862909289335</v>
      </c>
      <c r="H18" s="83">
        <f>VLOOKUP(TableQBRanks3040[[#This Row],[Player]],QB!B:O,7,FALSE)</f>
        <v>29.017355999999996</v>
      </c>
      <c r="I18" s="83">
        <f>VLOOKUP(TableQBRanks3040[[#This Row],[Player]],QB!B:O,8,FALSE)</f>
        <v>7.943681404194515</v>
      </c>
      <c r="J18" s="83">
        <f>VLOOKUP(TableQBRanks3040[[#This Row],[Player]],QB!B:O,9,FALSE)</f>
        <v>33.688793600000004</v>
      </c>
      <c r="K18" s="83">
        <f>VLOOKUP(TableQBRanks3040[[#This Row],[Player]],QB!B:O,10,FALSE)</f>
        <v>92.454583979979532</v>
      </c>
      <c r="L18" s="83">
        <f>VLOOKUP(TableQBRanks3040[[#This Row],[Player]],QB!B:O,11,FALSE)</f>
        <v>0.67377587200000011</v>
      </c>
      <c r="M18" s="57">
        <f>VLOOKUP(TableQBRanks3040[[#This Row],[Player]],QB!B:O,13,FALSE)</f>
        <v>298.29362645876625</v>
      </c>
      <c r="N18" s="125">
        <f>IF(VLOOKUP(TableQBRanks3040[[#This Row],[RK]],'Ranks w Proj'!$A:$N,14,FALSE)&lt;0,0,VLOOKUP(TableQBRanks3040[[#This Row],[RK]],'Ranks w Proj'!$A:$N,14,FALSE))</f>
        <v>1.1114353881118684</v>
      </c>
      <c r="P18">
        <v>17</v>
      </c>
      <c r="Q18" t="str">
        <f>VLOOKUP(TableRBRanks3141[[#This Row],[RK]],Rankings!A:T,8,FALSE)</f>
        <v>James Conner</v>
      </c>
      <c r="R18" t="str">
        <f>IFERROR(INDEX(TableRBCalcPts[TM],MATCH(TableRBRanks3141[[#This Row],[Player]],TableRBCalcPts[PLAYER],0)),"")</f>
        <v>ARI</v>
      </c>
      <c r="S18">
        <f>IFERROR(INDEX(TableRBCalcPts[BYE],MATCH(TableRBRanks3141[[#This Row],[Player]],TableRBCalcPts[PLAYER],0)),"")</f>
        <v>11</v>
      </c>
      <c r="T18" s="83">
        <f>VLOOKUP(TableRBRanks3141[[#This Row],[Player]],RB!B:O,4,FALSE)</f>
        <v>204.30427500000002</v>
      </c>
      <c r="U18" s="83">
        <f>VLOOKUP(TableRBRanks3141[[#This Row],[Player]],RB!B:O,5,FALSE)</f>
        <v>907.11098100000015</v>
      </c>
      <c r="V18" s="83">
        <f>VLOOKUP(TableRBRanks3141[[#This Row],[Player]],RB!B:O,6,FALSE)</f>
        <v>7.2119409074999998</v>
      </c>
      <c r="W18" s="83">
        <f>VLOOKUP(TableRBRanks3141[[#This Row],[Player]],RB!B:O,7,FALSE)</f>
        <v>50.123692500000004</v>
      </c>
      <c r="X18" s="83">
        <f>VLOOKUP(TableRBRanks3141[[#This Row],[Player]],RB!B:O,8,FALSE)</f>
        <v>40.499943540000004</v>
      </c>
      <c r="Y18" s="83">
        <f>VLOOKUP(TableRBRanks3141[[#This Row],[Player]],RB!B:O,9,FALSE)</f>
        <v>275.47818585613362</v>
      </c>
      <c r="Z18" s="83">
        <f>VLOOKUP(TableRBRanks3141[[#This Row],[Player]],RB!B:O,10,FALSE)</f>
        <v>1.6604976851400002</v>
      </c>
      <c r="AA18" s="57">
        <f>VLOOKUP(TableRBRanks3141[[#This Row],[Player]],RB!B:O,14,FALSE)</f>
        <v>191.74352001145337</v>
      </c>
      <c r="AB18" s="125">
        <f>IF(VLOOKUP(TableRBRanks3141[[#This Row],[RK]],'Ranks w Proj'!$P:$AB,13,FALSE)&lt;0,0,VLOOKUP(TableRBRanks3141[[#This Row],[RK]],'Ranks w Proj'!$P:$AB,13,FALSE))</f>
        <v>27.10984632374484</v>
      </c>
      <c r="AD18">
        <v>17</v>
      </c>
      <c r="AE18" t="str">
        <f>VLOOKUP(TableWRRanks3242[[#This Row],[RK]],Rankings!A:T,13,FALSE)</f>
        <v>Rashee Rice</v>
      </c>
      <c r="AF18" t="str">
        <f>IFERROR(INDEX(TableWRCalcPts[TM],MATCH(TableWRRanks3242[[#This Row],[Player]],TableWRCalcPts[PLAYER],0)),"")</f>
        <v>KC</v>
      </c>
      <c r="AG18">
        <f>IFERROR(INDEX(TableWRCalcPts[BYE],MATCH(TableWRRanks3242[[#This Row],[Player]],TableWRCalcPts[PLAYER],0)),"")</f>
        <v>6</v>
      </c>
      <c r="AH18" s="83">
        <f>VLOOKUP(TableWRRanks3242[[#This Row],[Player]],WR!B:O,4,FALSE)</f>
        <v>21.095244799999996</v>
      </c>
      <c r="AI18" s="83">
        <f>VLOOKUP(TableWRRanks3242[[#This Row],[Player]],WR!B:O,5,FALSE)</f>
        <v>1.0947701395606461E-2</v>
      </c>
      <c r="AJ18" s="83">
        <f>VLOOKUP(TableWRRanks3242[[#This Row],[Player]],WR!B:O,6,FALSE)</f>
        <v>130.47955199999998</v>
      </c>
      <c r="AK18" s="83">
        <f>VLOOKUP(TableWRRanks3242[[#This Row],[Player]],WR!B:O,7,FALSE)</f>
        <v>93.945277439999984</v>
      </c>
      <c r="AL18" s="83">
        <f>VLOOKUP(TableWRRanks3242[[#This Row],[Player]],WR!B:O,8,FALSE)</f>
        <v>1100.0991988223998</v>
      </c>
      <c r="AM18" s="83">
        <f>VLOOKUP(TableWRRanks3242[[#This Row],[Player]],WR!B:O,9,FALSE)</f>
        <v>7.7035127500799989</v>
      </c>
      <c r="AN18" s="57">
        <f>VLOOKUP(TableWRRanks3242[[#This Row],[Player]],WR!B:O,13,FALSE)</f>
        <v>205.3788457910936</v>
      </c>
      <c r="AO18" s="125">
        <f>IF(VLOOKUP(TableWRRanks3242[[#This Row],[RK]],'Ranks w Proj'!AD:AO,12,FALSE)&lt;0,0,VLOOKUP(TableWRRanks3242[[#This Row],[RK]],'Ranks w Proj'!AD:AO,12,FALSE))</f>
        <v>22.147019436998896</v>
      </c>
      <c r="AQ18">
        <v>17</v>
      </c>
      <c r="AR18" t="str">
        <f>VLOOKUP(TableTERanks3343[[#This Row],[RK]],Rankings!A:T,18,FALSE)</f>
        <v>Luke Musgrave</v>
      </c>
      <c r="AS18" t="str">
        <f>IFERROR(INDEX(TableTECalcPts[TM],MATCH(TableTERanks3343[[#This Row],[Player]],TableTECalcPts[PLAYER],0)),"")</f>
        <v>GB</v>
      </c>
      <c r="AT18">
        <f>IFERROR(INDEX(TableTECalcPts[BYE],MATCH(TableTERanks3343[[#This Row],[Player]],TableTECalcPts[PLAYER],0)),"")</f>
        <v>10</v>
      </c>
      <c r="AU18" s="83">
        <f>VLOOKUP(TableTERanks3343[[#This Row],[Player]],TE!B:O,4,FALSE)</f>
        <v>66.713774400000005</v>
      </c>
      <c r="AV18" s="83">
        <f>VLOOKUP(TableTERanks3343[[#This Row],[Player]],TE!B:O,5,FALSE)</f>
        <v>47.500207372800006</v>
      </c>
      <c r="AW18" s="83">
        <f>VLOOKUP(TableTERanks3343[[#This Row],[Player]],TE!B:O,6,FALSE)</f>
        <v>511.02483660131139</v>
      </c>
      <c r="AX18" s="83">
        <f>VLOOKUP(TableTERanks3343[[#This Row],[Player]],TE!B:O,7,FALSE)</f>
        <v>3.4923484555538193</v>
      </c>
      <c r="AY18" s="57">
        <f>VLOOKUP(TableTERanks3343[[#This Row],[Player]],TE!B:O,11,FALSE)</f>
        <v>95.806678079854066</v>
      </c>
      <c r="AZ18" s="125">
        <f>IF(VLOOKUP(TableTERanks3343[[#This Row],[RK]],'Ranks w Proj'!AQ:AZ,10,FALSE)&lt;0,0,VLOOKUP(TableTERanks3343[[#This Row],[RK]],'Ranks w Proj'!AQ:AZ,10,FALSE))</f>
        <v>0</v>
      </c>
    </row>
    <row r="19" spans="1:52" x14ac:dyDescent="0.2">
      <c r="A19">
        <v>18</v>
      </c>
      <c r="B19" t="str">
        <f>VLOOKUP(TableQBRanks3040[[#This Row],[RK]],Rankings!A:T,3,FALSE)</f>
        <v>Aaron Rodgers</v>
      </c>
      <c r="C19" t="str">
        <f>IFERROR(INDEX(TableQBCalcPts[TM],MATCH(TableQBRanks3040[[#This Row],[Player]],TableQBCalcPts[PLAYER],0)),"")</f>
        <v>NYJ</v>
      </c>
      <c r="D19">
        <f>IFERROR(INDEX(TableQBCalcPts[BYE],MATCH(TableQBRanks3040[[#This Row],[Player]],TableQBCalcPts[PLAYER],0)),"")</f>
        <v>12</v>
      </c>
      <c r="E19" s="83">
        <f>VLOOKUP(TableQBRanks3040[[#This Row],[Player]],QB!B:O,4,FALSE)</f>
        <v>592.51191999999992</v>
      </c>
      <c r="F19" s="83">
        <f>VLOOKUP(TableQBRanks3040[[#This Row],[Player]],QB!B:O,5,FALSE)</f>
        <v>385.17892700200605</v>
      </c>
      <c r="G19" s="83">
        <f>VLOOKUP(TableQBRanks3040[[#This Row],[Player]],QB!B:O,6,FALSE)</f>
        <v>4261.1253103919335</v>
      </c>
      <c r="H19" s="83">
        <f>VLOOKUP(TableQBRanks3040[[#This Row],[Player]],QB!B:O,7,FALSE)</f>
        <v>29.625595999999998</v>
      </c>
      <c r="I19" s="83">
        <f>VLOOKUP(TableQBRanks3040[[#This Row],[Player]],QB!B:O,8,FALSE)</f>
        <v>5.4561566113858548</v>
      </c>
      <c r="J19" s="83">
        <f>VLOOKUP(TableQBRanks3040[[#This Row],[Player]],QB!B:O,9,FALSE)</f>
        <v>31.034365600000008</v>
      </c>
      <c r="K19" s="83">
        <f>VLOOKUP(TableQBRanks3040[[#This Row],[Player]],QB!B:O,10,FALSE)</f>
        <v>101.92927358707342</v>
      </c>
      <c r="L19" s="83">
        <f>VLOOKUP(TableQBRanks3040[[#This Row],[Player]],QB!B:O,11,FALSE)</f>
        <v>1.1587367853837653</v>
      </c>
      <c r="M19" s="57">
        <f>VLOOKUP(TableQBRanks3040[[#This Row],[Player]],QB!B:O,13,FALSE)</f>
        <v>295.18043126391552</v>
      </c>
      <c r="N19" s="125">
        <f>IF(VLOOKUP(TableQBRanks3040[[#This Row],[RK]],'Ranks w Proj'!$A:$N,14,FALSE)&lt;0,0,VLOOKUP(TableQBRanks3040[[#This Row],[RK]],'Ranks w Proj'!$A:$N,14,FALSE))</f>
        <v>0.39942311438595435</v>
      </c>
      <c r="P19">
        <v>18</v>
      </c>
      <c r="Q19" t="str">
        <f>VLOOKUP(TableRBRanks3141[[#This Row],[RK]],Rankings!A:T,8,FALSE)</f>
        <v>Rachaad White</v>
      </c>
      <c r="R19" t="str">
        <f>IFERROR(INDEX(TableRBCalcPts[TM],MATCH(TableRBRanks3141[[#This Row],[Player]],TableRBCalcPts[PLAYER],0)),"")</f>
        <v>TB</v>
      </c>
      <c r="S19">
        <f>IFERROR(INDEX(TableRBCalcPts[BYE],MATCH(TableRBRanks3141[[#This Row],[Player]],TableRBCalcPts[PLAYER],0)),"")</f>
        <v>11</v>
      </c>
      <c r="T19" s="83">
        <f>VLOOKUP(TableRBRanks3141[[#This Row],[Player]],RB!B:O,4,FALSE)</f>
        <v>216.33643080000004</v>
      </c>
      <c r="U19" s="83">
        <f>VLOOKUP(TableRBRanks3141[[#This Row],[Player]],RB!B:O,5,FALSE)</f>
        <v>869.67245181600003</v>
      </c>
      <c r="V19" s="83">
        <f>VLOOKUP(TableRBRanks3141[[#This Row],[Player]],RB!B:O,6,FALSE)</f>
        <v>6.4900929240000007</v>
      </c>
      <c r="W19" s="83">
        <f>VLOOKUP(TableRBRanks3141[[#This Row],[Player]],RB!B:O,7,FALSE)</f>
        <v>56.932888319999996</v>
      </c>
      <c r="X19" s="83">
        <f>VLOOKUP(TableRBRanks3141[[#This Row],[Player]],RB!B:O,8,FALSE)</f>
        <v>46.45723686912001</v>
      </c>
      <c r="Y19" s="83">
        <f>VLOOKUP(TableRBRanks3141[[#This Row],[Player]],RB!B:O,9,FALSE)</f>
        <v>360.93497968080663</v>
      </c>
      <c r="Z19" s="83">
        <f>VLOOKUP(TableRBRanks3141[[#This Row],[Player]],RB!B:O,10,FALSE)</f>
        <v>2.0362990196558814</v>
      </c>
      <c r="AA19" s="57">
        <f>VLOOKUP(TableRBRanks3141[[#This Row],[Player]],RB!B:O,14,FALSE)</f>
        <v>197.44771324617597</v>
      </c>
      <c r="AB19" s="125">
        <f>IF(VLOOKUP(TableRBRanks3141[[#This Row],[RK]],'Ranks w Proj'!$P:$AB,13,FALSE)&lt;0,0,VLOOKUP(TableRBRanks3141[[#This Row],[RK]],'Ranks w Proj'!$P:$AB,13,FALSE))</f>
        <v>26.3116372500245</v>
      </c>
      <c r="AD19">
        <v>18</v>
      </c>
      <c r="AE19" t="str">
        <f>VLOOKUP(TableWRRanks3242[[#This Row],[RK]],Rankings!A:T,13,FALSE)</f>
        <v>Chris Olave</v>
      </c>
      <c r="AF19" t="str">
        <f>IFERROR(INDEX(TableWRCalcPts[TM],MATCH(TableWRRanks3242[[#This Row],[Player]],TableWRCalcPts[PLAYER],0)),"")</f>
        <v>NO</v>
      </c>
      <c r="AG19">
        <f>IFERROR(INDEX(TableWRCalcPts[BYE],MATCH(TableWRRanks3242[[#This Row],[Player]],TableWRCalcPts[PLAYER],0)),"")</f>
        <v>12</v>
      </c>
      <c r="AH19" s="83">
        <f>VLOOKUP(TableWRRanks3242[[#This Row],[Player]],WR!B:O,4,FALSE)</f>
        <v>0</v>
      </c>
      <c r="AI19" s="83">
        <f>VLOOKUP(TableWRRanks3242[[#This Row],[Player]],WR!B:O,5,FALSE)</f>
        <v>0</v>
      </c>
      <c r="AJ19" s="83">
        <f>VLOOKUP(TableWRRanks3242[[#This Row],[Player]],WR!B:O,6,FALSE)</f>
        <v>134.07624008239998</v>
      </c>
      <c r="AK19" s="83">
        <f>VLOOKUP(TableWRRanks3242[[#This Row],[Player]],WR!B:O,7,FALSE)</f>
        <v>84.065802531664787</v>
      </c>
      <c r="AL19" s="83">
        <f>VLOOKUP(TableWRRanks3242[[#This Row],[Player]],WR!B:O,8,FALSE)</f>
        <v>1120.5971477470916</v>
      </c>
      <c r="AM19" s="83">
        <f>VLOOKUP(TableWRRanks3242[[#This Row],[Player]],WR!B:O,9,FALSE)</f>
        <v>6.2370178417112587</v>
      </c>
      <c r="AN19" s="57">
        <f>VLOOKUP(TableWRRanks3242[[#This Row],[Player]],WR!B:O,13,FALSE)</f>
        <v>191.5147230908091</v>
      </c>
      <c r="AO19" s="125">
        <f>IF(VLOOKUP(TableWRRanks3242[[#This Row],[RK]],'Ranks w Proj'!AD:AO,12,FALSE)&lt;0,0,VLOOKUP(TableWRRanks3242[[#This Row],[RK]],'Ranks w Proj'!AD:AO,12,FALSE))</f>
        <v>21.583496011368652</v>
      </c>
      <c r="AQ19">
        <v>18</v>
      </c>
      <c r="AR19" t="str">
        <f>VLOOKUP(TableTERanks3343[[#This Row],[RK]],Rankings!A:T,18,FALSE)</f>
        <v>Cole Kmet</v>
      </c>
      <c r="AS19" t="str">
        <f>IFERROR(INDEX(TableTECalcPts[TM],MATCH(TableTERanks3343[[#This Row],[Player]],TableTECalcPts[PLAYER],0)),"")</f>
        <v>CHI</v>
      </c>
      <c r="AT19">
        <f>IFERROR(INDEX(TableTECalcPts[BYE],MATCH(TableTERanks3343[[#This Row],[Player]],TableTECalcPts[PLAYER],0)),"")</f>
        <v>7</v>
      </c>
      <c r="AU19" s="83">
        <f>VLOOKUP(TableTERanks3343[[#This Row],[Player]],TE!B:O,4,FALSE)</f>
        <v>76.519144799999992</v>
      </c>
      <c r="AV19" s="83">
        <f>VLOOKUP(TableTERanks3343[[#This Row],[Player]],TE!B:O,5,FALSE)</f>
        <v>51.267827015999998</v>
      </c>
      <c r="AW19" s="83">
        <f>VLOOKUP(TableTERanks3343[[#This Row],[Player]],TE!B:O,6,FALSE)</f>
        <v>505.9149762291255</v>
      </c>
      <c r="AX19" s="83">
        <f>VLOOKUP(TableTERanks3343[[#This Row],[Player]],TE!B:O,7,FALSE)</f>
        <v>3.8888148377086442</v>
      </c>
      <c r="AY19" s="57">
        <f>VLOOKUP(TableTERanks3343[[#This Row],[Player]],TE!B:O,11,FALSE)</f>
        <v>99.558300157164425</v>
      </c>
      <c r="AZ19" s="125">
        <f>IF(VLOOKUP(TableTERanks3343[[#This Row],[RK]],'Ranks w Proj'!AQ:AZ,10,FALSE)&lt;0,0,VLOOKUP(TableTERanks3343[[#This Row],[RK]],'Ranks w Proj'!AQ:AZ,10,FALSE))</f>
        <v>0</v>
      </c>
    </row>
    <row r="20" spans="1:52" x14ac:dyDescent="0.2">
      <c r="A20">
        <v>19</v>
      </c>
      <c r="B20" t="str">
        <f>VLOOKUP(TableQBRanks3040[[#This Row],[RK]],Rankings!A:T,3,FALSE)</f>
        <v>Will Levis</v>
      </c>
      <c r="C20" t="str">
        <f>IFERROR(INDEX(TableQBCalcPts[TM],MATCH(TableQBRanks3040[[#This Row],[Player]],TableQBCalcPts[PLAYER],0)),"")</f>
        <v>TEN</v>
      </c>
      <c r="D20">
        <f>IFERROR(INDEX(TableQBCalcPts[BYE],MATCH(TableQBRanks3040[[#This Row],[Player]],TableQBCalcPts[PLAYER],0)),"")</f>
        <v>5</v>
      </c>
      <c r="E20" s="83">
        <f>VLOOKUP(TableQBRanks3040[[#This Row],[Player]],QB!B:O,4,FALSE)</f>
        <v>560.75744999999995</v>
      </c>
      <c r="F20" s="83">
        <f>VLOOKUP(TableQBRanks3040[[#This Row],[Player]],QB!B:O,5,FALSE)</f>
        <v>348.98979724909157</v>
      </c>
      <c r="G20" s="83">
        <f>VLOOKUP(TableQBRanks3040[[#This Row],[Player]],QB!B:O,6,FALSE)</f>
        <v>4037.8119541719893</v>
      </c>
      <c r="H20" s="83">
        <f>VLOOKUP(TableQBRanks3040[[#This Row],[Player]],QB!B:O,7,FALSE)</f>
        <v>24.112570349999995</v>
      </c>
      <c r="I20" s="83">
        <f>VLOOKUP(TableQBRanks3040[[#This Row],[Player]],QB!B:O,8,FALSE)</f>
        <v>6.6374964967695069</v>
      </c>
      <c r="J20" s="83">
        <f>VLOOKUP(TableQBRanks3040[[#This Row],[Player]],QB!B:O,9,FALSE)</f>
        <v>42.407442000000003</v>
      </c>
      <c r="K20" s="83">
        <f>VLOOKUP(TableQBRanks3040[[#This Row],[Player]],QB!B:O,10,FALSE)</f>
        <v>148.26717505603435</v>
      </c>
      <c r="L20" s="83">
        <f>VLOOKUP(TableQBRanks3040[[#This Row],[Player]],QB!B:O,11,FALSE)</f>
        <v>1.7873073197129588</v>
      </c>
      <c r="M20" s="57">
        <f>VLOOKUP(TableQBRanks3040[[#This Row],[Player]],QB!B:O,13,FALSE)</f>
        <v>270.23832799722175</v>
      </c>
      <c r="N20" s="125">
        <f>IF(VLOOKUP(TableQBRanks3040[[#This Row],[RK]],'Ranks w Proj'!$A:$N,14,FALSE)&lt;0,0,VLOOKUP(TableQBRanks3040[[#This Row],[RK]],'Ranks w Proj'!$A:$N,14,FALSE))</f>
        <v>7.9450336512538813E-2</v>
      </c>
      <c r="P20">
        <v>19</v>
      </c>
      <c r="Q20" t="str">
        <f>VLOOKUP(TableRBRanks3141[[#This Row],[RK]],Rankings!A:T,8,FALSE)</f>
        <v>Kenneth Walker</v>
      </c>
      <c r="R20" t="str">
        <f>IFERROR(INDEX(TableRBCalcPts[TM],MATCH(TableRBRanks3141[[#This Row],[Player]],TableRBCalcPts[PLAYER],0)),"")</f>
        <v>SEA</v>
      </c>
      <c r="S20">
        <f>IFERROR(INDEX(TableRBCalcPts[BYE],MATCH(TableRBRanks3141[[#This Row],[Player]],TableRBCalcPts[PLAYER],0)),"")</f>
        <v>10</v>
      </c>
      <c r="T20" s="83">
        <f>VLOOKUP(TableRBRanks3141[[#This Row],[Player]],RB!B:O,4,FALSE)</f>
        <v>234.79850772000003</v>
      </c>
      <c r="U20" s="83">
        <f>VLOOKUP(TableRBRanks3141[[#This Row],[Player]],RB!B:O,5,FALSE)</f>
        <v>1028.4174638136001</v>
      </c>
      <c r="V20" s="83">
        <f>VLOOKUP(TableRBRanks3141[[#This Row],[Player]],RB!B:O,6,FALSE)</f>
        <v>8.969302994904</v>
      </c>
      <c r="W20" s="83">
        <f>VLOOKUP(TableRBRanks3141[[#This Row],[Player]],RB!B:O,7,FALSE)</f>
        <v>34.828945199999993</v>
      </c>
      <c r="X20" s="83">
        <f>VLOOKUP(TableRBRanks3141[[#This Row],[Player]],RB!B:O,8,FALSE)</f>
        <v>26.853116749199991</v>
      </c>
      <c r="Y20" s="83">
        <f>VLOOKUP(TableRBRanks3141[[#This Row],[Player]],RB!B:O,9,FALSE)</f>
        <v>209.55563946416092</v>
      </c>
      <c r="Z20" s="83">
        <f>VLOOKUP(TableRBRanks3141[[#This Row],[Player]],RB!B:O,10,FALSE)</f>
        <v>0.8845376682785584</v>
      </c>
      <c r="AA20" s="57">
        <f>VLOOKUP(TableRBRanks3141[[#This Row],[Player]],RB!B:O,14,FALSE)</f>
        <v>196.34691268147145</v>
      </c>
      <c r="AB20" s="125">
        <f>IF(VLOOKUP(TableRBRanks3141[[#This Row],[RK]],'Ranks w Proj'!$P:$AB,13,FALSE)&lt;0,0,VLOOKUP(TableRBRanks3141[[#This Row],[RK]],'Ranks w Proj'!$P:$AB,13,FALSE))</f>
        <v>25.790681833196349</v>
      </c>
      <c r="AD20">
        <v>19</v>
      </c>
      <c r="AE20" t="str">
        <f>VLOOKUP(TableWRRanks3242[[#This Row],[RK]],Rankings!A:T,13,FALSE)</f>
        <v>Davante Adams</v>
      </c>
      <c r="AF20" t="str">
        <f>IFERROR(INDEX(TableWRCalcPts[TM],MATCH(TableWRRanks3242[[#This Row],[Player]],TableWRCalcPts[PLAYER],0)),"")</f>
        <v>LV</v>
      </c>
      <c r="AG20">
        <f>IFERROR(INDEX(TableWRCalcPts[BYE],MATCH(TableWRRanks3242[[#This Row],[Player]],TableWRCalcPts[PLAYER],0)),"")</f>
        <v>10</v>
      </c>
      <c r="AH20" s="83">
        <f>VLOOKUP(TableWRRanks3242[[#This Row],[Player]],WR!B:O,4,FALSE)</f>
        <v>0</v>
      </c>
      <c r="AI20" s="83">
        <f>VLOOKUP(TableWRRanks3242[[#This Row],[Player]],WR!B:O,5,FALSE)</f>
        <v>0</v>
      </c>
      <c r="AJ20" s="83">
        <f>VLOOKUP(TableWRRanks3242[[#This Row],[Player]],WR!B:O,6,FALSE)</f>
        <v>153.22643000000002</v>
      </c>
      <c r="AK20" s="83">
        <f>VLOOKUP(TableWRRanks3242[[#This Row],[Player]],WR!B:O,7,FALSE)</f>
        <v>91.32295228000001</v>
      </c>
      <c r="AL20" s="83">
        <f>VLOOKUP(TableWRRanks3242[[#This Row],[Player]],WR!B:O,8,FALSE)</f>
        <v>1089.6110033262021</v>
      </c>
      <c r="AM20" s="83">
        <f>VLOOKUP(TableWRRanks3242[[#This Row],[Player]],WR!B:O,9,FALSE)</f>
        <v>6.4839296118799998</v>
      </c>
      <c r="AN20" s="57">
        <f>VLOOKUP(TableWRRanks3242[[#This Row],[Player]],WR!B:O,13,FALSE)</f>
        <v>193.52615414390021</v>
      </c>
      <c r="AO20" s="125">
        <f>IF(VLOOKUP(TableWRRanks3242[[#This Row],[RK]],'Ranks w Proj'!AD:AO,12,FALSE)&lt;0,0,VLOOKUP(TableWRRanks3242[[#This Row],[RK]],'Ranks w Proj'!AD:AO,12,FALSE))</f>
        <v>21.531181773900851</v>
      </c>
      <c r="AQ20">
        <v>19</v>
      </c>
      <c r="AR20" t="str">
        <f>VLOOKUP(TableTERanks3343[[#This Row],[RK]],Rankings!A:T,18,FALSE)</f>
        <v>Cade Otton</v>
      </c>
      <c r="AS20" t="str">
        <f>IFERROR(INDEX(TableTECalcPts[TM],MATCH(TableTERanks3343[[#This Row],[Player]],TableTECalcPts[PLAYER],0)),"")</f>
        <v>TB</v>
      </c>
      <c r="AT20">
        <f>IFERROR(INDEX(TableTECalcPts[BYE],MATCH(TableTERanks3343[[#This Row],[Player]],TableTECalcPts[PLAYER],0)),"")</f>
        <v>11</v>
      </c>
      <c r="AU20" s="83">
        <f>VLOOKUP(TableTERanks3343[[#This Row],[Player]],TE!B:O,4,FALSE)</f>
        <v>73.538314080000006</v>
      </c>
      <c r="AV20" s="83">
        <f>VLOOKUP(TableTERanks3343[[#This Row],[Player]],TE!B:O,5,FALSE)</f>
        <v>48.167595722400009</v>
      </c>
      <c r="AW20" s="83">
        <f>VLOOKUP(TableTERanks3343[[#This Row],[Player]],TE!B:O,6,FALSE)</f>
        <v>481.12730607497372</v>
      </c>
      <c r="AX20" s="83">
        <f>VLOOKUP(TableTERanks3343[[#This Row],[Player]],TE!B:O,7,FALSE)</f>
        <v>3.5836691217465604</v>
      </c>
      <c r="AY20" s="57">
        <f>VLOOKUP(TableTERanks3343[[#This Row],[Player]],TE!B:O,11,FALSE)</f>
        <v>93.69854319917674</v>
      </c>
      <c r="AZ20" s="125">
        <f>IF(VLOOKUP(TableTERanks3343[[#This Row],[RK]],'Ranks w Proj'!AQ:AZ,10,FALSE)&lt;0,0,VLOOKUP(TableTERanks3343[[#This Row],[RK]],'Ranks w Proj'!AQ:AZ,10,FALSE))</f>
        <v>0</v>
      </c>
    </row>
    <row r="21" spans="1:52" x14ac:dyDescent="0.2">
      <c r="A21">
        <v>20</v>
      </c>
      <c r="B21" t="str">
        <f>VLOOKUP(TableQBRanks3040[[#This Row],[RK]],Rankings!A:T,3,FALSE)</f>
        <v>Deshaun Watson</v>
      </c>
      <c r="C21" t="str">
        <f>IFERROR(INDEX(TableQBCalcPts[TM],MATCH(TableQBRanks3040[[#This Row],[Player]],TableQBCalcPts[PLAYER],0)),"")</f>
        <v>CLE</v>
      </c>
      <c r="D21">
        <f>IFERROR(INDEX(TableQBCalcPts[BYE],MATCH(TableQBRanks3040[[#This Row],[Player]],TableQBCalcPts[PLAYER],0)),"")</f>
        <v>10</v>
      </c>
      <c r="E21" s="83">
        <f>VLOOKUP(TableQBRanks3040[[#This Row],[Player]],QB!B:O,4,FALSE)</f>
        <v>537.65250000000003</v>
      </c>
      <c r="F21" s="83">
        <f>VLOOKUP(TableQBRanks3040[[#This Row],[Player]],QB!B:O,5,FALSE)</f>
        <v>336.40236083227416</v>
      </c>
      <c r="G21" s="83">
        <f>VLOOKUP(TableQBRanks3040[[#This Row],[Player]],QB!B:O,6,FALSE)</f>
        <v>3828.2588662712801</v>
      </c>
      <c r="H21" s="83">
        <f>VLOOKUP(TableQBRanks3040[[#This Row],[Player]],QB!B:O,7,FALSE)</f>
        <v>23.018994227050147</v>
      </c>
      <c r="I21" s="83">
        <f>VLOOKUP(TableQBRanks3040[[#This Row],[Player]],QB!B:O,8,FALSE)</f>
        <v>7.2235246947888987</v>
      </c>
      <c r="J21" s="83">
        <f>VLOOKUP(TableQBRanks3040[[#This Row],[Player]],QB!B:O,9,FALSE)</f>
        <v>82.696074999999993</v>
      </c>
      <c r="K21" s="83">
        <f>VLOOKUP(TableQBRanks3040[[#This Row],[Player]],QB!B:O,10,FALSE)</f>
        <v>420.16003883315818</v>
      </c>
      <c r="L21" s="83">
        <f>VLOOKUP(TableQBRanks3040[[#This Row],[Player]],QB!B:O,11,FALSE)</f>
        <v>3.2251469249999998</v>
      </c>
      <c r="M21" s="57">
        <f>VLOOKUP(TableQBRanks3040[[#This Row],[Player]],QB!B:O,13,FALSE)</f>
        <v>292.12616760278985</v>
      </c>
      <c r="N21" s="125">
        <f>IF(VLOOKUP(TableQBRanks3040[[#This Row],[RK]],'Ranks w Proj'!$A:$N,14,FALSE)&lt;0,0,VLOOKUP(TableQBRanks3040[[#This Row],[RK]],'Ranks w Proj'!$A:$N,14,FALSE))</f>
        <v>0</v>
      </c>
      <c r="P21">
        <v>20</v>
      </c>
      <c r="Q21" t="str">
        <f>VLOOKUP(TableRBRanks3141[[#This Row],[RK]],Rankings!A:T,8,FALSE)</f>
        <v>Rhamondre Stevenson</v>
      </c>
      <c r="R21" t="str">
        <f>IFERROR(INDEX(TableRBCalcPts[TM],MATCH(TableRBRanks3141[[#This Row],[Player]],TableRBCalcPts[PLAYER],0)),"")</f>
        <v>NE</v>
      </c>
      <c r="S21">
        <f>IFERROR(INDEX(TableRBCalcPts[BYE],MATCH(TableRBRanks3141[[#This Row],[Player]],TableRBCalcPts[PLAYER],0)),"")</f>
        <v>14</v>
      </c>
      <c r="T21" s="83">
        <f>VLOOKUP(TableRBRanks3141[[#This Row],[Player]],RB!B:O,4,FALSE)</f>
        <v>229.94415416000004</v>
      </c>
      <c r="U21" s="83">
        <f>VLOOKUP(TableRBRanks3141[[#This Row],[Player]],RB!B:O,5,FALSE)</f>
        <v>996.63663478500939</v>
      </c>
      <c r="V21" s="83">
        <f>VLOOKUP(TableRBRanks3141[[#This Row],[Player]],RB!B:O,6,FALSE)</f>
        <v>7.1282687789600008</v>
      </c>
      <c r="W21" s="83">
        <f>VLOOKUP(TableRBRanks3141[[#This Row],[Player]],RB!B:O,7,FALSE)</f>
        <v>34.012977599999999</v>
      </c>
      <c r="X21" s="83">
        <f>VLOOKUP(TableRBRanks3141[[#This Row],[Player]],RB!B:O,8,FALSE)</f>
        <v>24.829473648</v>
      </c>
      <c r="Y21" s="83">
        <f>VLOOKUP(TableRBRanks3141[[#This Row],[Player]],RB!B:O,9,FALSE)</f>
        <v>172.52057180513003</v>
      </c>
      <c r="Z21" s="83">
        <f>VLOOKUP(TableRBRanks3141[[#This Row],[Player]],RB!B:O,10,FALSE)</f>
        <v>0.69666165989364393</v>
      </c>
      <c r="AA21" s="57">
        <f>VLOOKUP(TableRBRanks3141[[#This Row],[Player]],RB!B:O,14,FALSE)</f>
        <v>176.28004011613581</v>
      </c>
      <c r="AB21" s="125">
        <f>IF(VLOOKUP(TableRBRanks3141[[#This Row],[RK]],'Ranks w Proj'!$P:$AB,13,FALSE)&lt;0,0,VLOOKUP(TableRBRanks3141[[#This Row],[RK]],'Ranks w Proj'!$P:$AB,13,FALSE))</f>
        <v>25.615954491480093</v>
      </c>
      <c r="AD21">
        <v>20</v>
      </c>
      <c r="AE21" t="str">
        <f>VLOOKUP(TableWRRanks3242[[#This Row],[RK]],Rankings!A:T,13,FALSE)</f>
        <v>DJ Moore</v>
      </c>
      <c r="AF21" t="str">
        <f>IFERROR(INDEX(TableWRCalcPts[TM],MATCH(TableWRRanks3242[[#This Row],[Player]],TableWRCalcPts[PLAYER],0)),"")</f>
        <v>CHI</v>
      </c>
      <c r="AG21">
        <f>IFERROR(INDEX(TableWRCalcPts[BYE],MATCH(TableWRRanks3242[[#This Row],[Player]],TableWRCalcPts[PLAYER],0)),"")</f>
        <v>7</v>
      </c>
      <c r="AH21" s="83">
        <f>VLOOKUP(TableWRRanks3242[[#This Row],[Player]],WR!B:O,4,FALSE)</f>
        <v>22.906838303999997</v>
      </c>
      <c r="AI21" s="83">
        <f>VLOOKUP(TableWRRanks3242[[#This Row],[Player]],WR!B:O,5,FALSE)</f>
        <v>0.15058280159999998</v>
      </c>
      <c r="AJ21" s="83">
        <f>VLOOKUP(TableWRRanks3242[[#This Row],[Player]],WR!B:O,6,FALSE)</f>
        <v>130.3659504</v>
      </c>
      <c r="AK21" s="83">
        <f>VLOOKUP(TableWRRanks3242[[#This Row],[Player]],WR!B:O,7,FALSE)</f>
        <v>78.871399991999979</v>
      </c>
      <c r="AL21" s="83">
        <f>VLOOKUP(TableWRRanks3242[[#This Row],[Player]],WR!B:O,8,FALSE)</f>
        <v>1086.0591778898397</v>
      </c>
      <c r="AM21" s="83">
        <f>VLOOKUP(TableWRRanks3242[[#This Row],[Player]],WR!B:O,9,FALSE)</f>
        <v>6.8122664990501116</v>
      </c>
      <c r="AN21" s="57">
        <f>VLOOKUP(TableWRRanks3242[[#This Row],[Player]],WR!B:O,13,FALSE)</f>
        <v>192.10939741928462</v>
      </c>
      <c r="AO21" s="125">
        <f>IF(VLOOKUP(TableWRRanks3242[[#This Row],[RK]],'Ranks w Proj'!AD:AO,12,FALSE)&lt;0,0,VLOOKUP(TableWRRanks3242[[#This Row],[RK]],'Ranks w Proj'!AD:AO,12,FALSE))</f>
        <v>21.30999848706201</v>
      </c>
      <c r="AQ21">
        <v>20</v>
      </c>
      <c r="AR21" t="str">
        <f>VLOOKUP(TableTERanks3343[[#This Row],[RK]],Rankings!A:T,18,FALSE)</f>
        <v>Pat Freiermuth</v>
      </c>
      <c r="AS21" t="str">
        <f>IFERROR(INDEX(TableTECalcPts[TM],MATCH(TableTERanks3343[[#This Row],[Player]],TableTECalcPts[PLAYER],0)),"")</f>
        <v>PIT</v>
      </c>
      <c r="AT21">
        <f>IFERROR(INDEX(TableTECalcPts[BYE],MATCH(TableTERanks3343[[#This Row],[Player]],TableTECalcPts[PLAYER],0)),"")</f>
        <v>9</v>
      </c>
      <c r="AU21" s="83">
        <f>VLOOKUP(TableTERanks3343[[#This Row],[Player]],TE!B:O,4,FALSE)</f>
        <v>61.657679999999999</v>
      </c>
      <c r="AV21" s="83">
        <f>VLOOKUP(TableTERanks3343[[#This Row],[Player]],TE!B:O,5,FALSE)</f>
        <v>42.790429919999987</v>
      </c>
      <c r="AW21" s="83">
        <f>VLOOKUP(TableTERanks3343[[#This Row],[Player]],TE!B:O,6,FALSE)</f>
        <v>427.10386273936177</v>
      </c>
      <c r="AX21" s="83">
        <f>VLOOKUP(TableTERanks3343[[#This Row],[Player]],TE!B:O,7,FALSE)</f>
        <v>3.3582417357386869</v>
      </c>
      <c r="AY21" s="57">
        <f>VLOOKUP(TableTERanks3343[[#This Row],[Player]],TE!B:O,11,FALSE)</f>
        <v>84.255051648368294</v>
      </c>
      <c r="AZ21" s="125">
        <f>IF(VLOOKUP(TableTERanks3343[[#This Row],[RK]],'Ranks w Proj'!AQ:AZ,10,FALSE)&lt;0,0,VLOOKUP(TableTERanks3343[[#This Row],[RK]],'Ranks w Proj'!AQ:AZ,10,FALSE))</f>
        <v>0</v>
      </c>
    </row>
    <row r="22" spans="1:52" x14ac:dyDescent="0.2">
      <c r="A22">
        <v>21</v>
      </c>
      <c r="B22" t="str">
        <f>VLOOKUP(TableQBRanks3040[[#This Row],[RK]],Rankings!A:T,3,FALSE)</f>
        <v>Justin Herbert</v>
      </c>
      <c r="C22" t="str">
        <f>IFERROR(INDEX(TableQBCalcPts[TM],MATCH(TableQBRanks3040[[#This Row],[Player]],TableQBCalcPts[PLAYER],0)),"")</f>
        <v>LAC</v>
      </c>
      <c r="D22">
        <f>IFERROR(INDEX(TableQBCalcPts[BYE],MATCH(TableQBRanks3040[[#This Row],[Player]],TableQBCalcPts[PLAYER],0)),"")</f>
        <v>5</v>
      </c>
      <c r="E22" s="83">
        <f>VLOOKUP(TableQBRanks3040[[#This Row],[Player]],QB!B:O,4,FALSE)</f>
        <v>512.7813000000001</v>
      </c>
      <c r="F22" s="83">
        <f>VLOOKUP(TableQBRanks3040[[#This Row],[Player]],QB!B:O,5,FALSE)</f>
        <v>335.51019957569457</v>
      </c>
      <c r="G22" s="83">
        <f>VLOOKUP(TableQBRanks3040[[#This Row],[Player]],QB!B:O,6,FALSE)</f>
        <v>3740.9387252689944</v>
      </c>
      <c r="H22" s="83">
        <f>VLOOKUP(TableQBRanks3040[[#This Row],[Player]],QB!B:O,7,FALSE)</f>
        <v>24.024284297131754</v>
      </c>
      <c r="I22" s="83">
        <f>VLOOKUP(TableQBRanks3040[[#This Row],[Player]],QB!B:O,8,FALSE)</f>
        <v>5.0361709609782439</v>
      </c>
      <c r="J22" s="83">
        <f>VLOOKUP(TableQBRanks3040[[#This Row],[Player]],QB!B:O,9,FALSE)</f>
        <v>57.770176799999987</v>
      </c>
      <c r="K22" s="83">
        <f>VLOOKUP(TableQBRanks3040[[#This Row],[Player]],QB!B:O,10,FALSE)</f>
        <v>252.48270172272572</v>
      </c>
      <c r="L22" s="83">
        <f>VLOOKUP(TableQBRanks3040[[#This Row],[Player]],QB!B:O,11,FALSE)</f>
        <v>2.3015913562728687</v>
      </c>
      <c r="M22" s="57">
        <f>VLOOKUP(TableQBRanks3040[[#This Row],[Player]],QB!B:O,13,FALSE)</f>
        <v>274.72016258724005</v>
      </c>
      <c r="N22" s="125">
        <f>IF(VLOOKUP(TableQBRanks3040[[#This Row],[RK]],'Ranks w Proj'!$A:$N,14,FALSE)&lt;0,0,VLOOKUP(TableQBRanks3040[[#This Row],[RK]],'Ranks w Proj'!$A:$N,14,FALSE))</f>
        <v>0</v>
      </c>
      <c r="P22">
        <v>21</v>
      </c>
      <c r="Q22" t="str">
        <f>VLOOKUP(TableRBRanks3141[[#This Row],[RK]],Rankings!A:T,8,FALSE)</f>
        <v>Zamir White</v>
      </c>
      <c r="R22" t="str">
        <f>IFERROR(INDEX(TableRBCalcPts[TM],MATCH(TableRBRanks3141[[#This Row],[Player]],TableRBCalcPts[PLAYER],0)),"")</f>
        <v>LV</v>
      </c>
      <c r="S22">
        <f>IFERROR(INDEX(TableRBCalcPts[BYE],MATCH(TableRBRanks3141[[#This Row],[Player]],TableRBCalcPts[PLAYER],0)),"")</f>
        <v>10</v>
      </c>
      <c r="T22" s="83">
        <f>VLOOKUP(TableRBRanks3141[[#This Row],[Player]],RB!B:O,4,FALSE)</f>
        <v>253.13400000000001</v>
      </c>
      <c r="U22" s="83">
        <f>VLOOKUP(TableRBRanks3141[[#This Row],[Player]],RB!B:O,5,FALSE)</f>
        <v>1088.4762000000001</v>
      </c>
      <c r="V22" s="83">
        <f>VLOOKUP(TableRBRanks3141[[#This Row],[Player]],RB!B:O,6,FALSE)</f>
        <v>8.1002880000000008</v>
      </c>
      <c r="W22" s="83">
        <f>VLOOKUP(TableRBRanks3141[[#This Row],[Player]],RB!B:O,7,FALSE)</f>
        <v>34.956600000000002</v>
      </c>
      <c r="X22" s="83">
        <f>VLOOKUP(TableRBRanks3141[[#This Row],[Player]],RB!B:O,8,FALSE)</f>
        <v>25.518318000000001</v>
      </c>
      <c r="Y22" s="83">
        <f>VLOOKUP(TableRBRanks3141[[#This Row],[Player]],RB!B:O,9,FALSE)</f>
        <v>182.45474291871378</v>
      </c>
      <c r="Z22" s="83">
        <f>VLOOKUP(TableRBRanks3141[[#This Row],[Player]],RB!B:O,10,FALSE)</f>
        <v>0.62991635152821857</v>
      </c>
      <c r="AA22" s="57">
        <f>VLOOKUP(TableRBRanks3141[[#This Row],[Player]],RB!B:O,14,FALSE)</f>
        <v>192.23347940104071</v>
      </c>
      <c r="AB22" s="125">
        <f>IF(VLOOKUP(TableRBRanks3141[[#This Row],[RK]],'Ranks w Proj'!$P:$AB,13,FALSE)&lt;0,0,VLOOKUP(TableRBRanks3141[[#This Row],[RK]],'Ranks w Proj'!$P:$AB,13,FALSE))</f>
        <v>24.557167155314254</v>
      </c>
      <c r="AD22">
        <v>21</v>
      </c>
      <c r="AE22" t="str">
        <f>VLOOKUP(TableWRRanks3242[[#This Row],[RK]],Rankings!A:T,13,FALSE)</f>
        <v>DeVonta Smith</v>
      </c>
      <c r="AF22" t="str">
        <f>IFERROR(INDEX(TableWRCalcPts[TM],MATCH(TableWRRanks3242[[#This Row],[Player]],TableWRCalcPts[PLAYER],0)),"")</f>
        <v>PHI</v>
      </c>
      <c r="AG22">
        <f>IFERROR(INDEX(TableWRCalcPts[BYE],MATCH(TableWRRanks3242[[#This Row],[Player]],TableWRCalcPts[PLAYER],0)),"")</f>
        <v>5</v>
      </c>
      <c r="AH22" s="83">
        <f>VLOOKUP(TableWRRanks3242[[#This Row],[Player]],WR!B:O,4,FALSE)</f>
        <v>24.242214527999998</v>
      </c>
      <c r="AI22" s="83">
        <f>VLOOKUP(TableWRRanks3242[[#This Row],[Player]],WR!B:O,5,FALSE)</f>
        <v>1.4429660557768925E-2</v>
      </c>
      <c r="AJ22" s="83">
        <f>VLOOKUP(TableWRRanks3242[[#This Row],[Player]],WR!B:O,6,FALSE)</f>
        <v>128.86274016000002</v>
      </c>
      <c r="AK22" s="83">
        <f>VLOOKUP(TableWRRanks3242[[#This Row],[Player]],WR!B:O,7,FALSE)</f>
        <v>84.018506584320008</v>
      </c>
      <c r="AL22" s="83">
        <f>VLOOKUP(TableWRRanks3242[[#This Row],[Player]],WR!B:O,8,FALSE)</f>
        <v>1135.9302090200065</v>
      </c>
      <c r="AM22" s="83">
        <f>VLOOKUP(TableWRRanks3242[[#This Row],[Player]],WR!B:O,9,FALSE)</f>
        <v>7.0845651851390858</v>
      </c>
      <c r="AN22" s="57">
        <f>VLOOKUP(TableWRRanks3242[[#This Row],[Player]],WR!B:O,13,FALSE)</f>
        <v>200.62046472114179</v>
      </c>
      <c r="AO22" s="125">
        <f>IF(VLOOKUP(TableWRRanks3242[[#This Row],[RK]],'Ranks w Proj'!AD:AO,12,FALSE)&lt;0,0,VLOOKUP(TableWRRanks3242[[#This Row],[RK]],'Ranks w Proj'!AD:AO,12,FALSE))</f>
        <v>20.176262227217887</v>
      </c>
      <c r="AQ22">
        <v>21</v>
      </c>
      <c r="AR22" t="str">
        <f>VLOOKUP(TableTERanks3343[[#This Row],[RK]],Rankings!A:T,18,FALSE)</f>
        <v>Juwan Johnson</v>
      </c>
      <c r="AS22" t="str">
        <f>IFERROR(INDEX(TableTECalcPts[TM],MATCH(TableTERanks3343[[#This Row],[Player]],TableTECalcPts[PLAYER],0)),"")</f>
        <v>NO</v>
      </c>
      <c r="AT22">
        <f>IFERROR(INDEX(TableTECalcPts[BYE],MATCH(TableTERanks3343[[#This Row],[Player]],TableTECalcPts[PLAYER],0)),"")</f>
        <v>12</v>
      </c>
      <c r="AU22" s="83">
        <f>VLOOKUP(TableTERanks3343[[#This Row],[Player]],TE!B:O,4,FALSE)</f>
        <v>67.872619460799996</v>
      </c>
      <c r="AV22" s="83">
        <f>VLOOKUP(TableTERanks3343[[#This Row],[Player]],TE!B:O,5,FALSE)</f>
        <v>43.574221693833607</v>
      </c>
      <c r="AW22" s="83">
        <f>VLOOKUP(TableTERanks3343[[#This Row],[Player]],TE!B:O,6,FALSE)</f>
        <v>456.22210113443788</v>
      </c>
      <c r="AX22" s="83">
        <f>VLOOKUP(TableTERanks3343[[#This Row],[Player]],TE!B:O,7,FALSE)</f>
        <v>4.0959768392203593</v>
      </c>
      <c r="AY22" s="57">
        <f>VLOOKUP(TableTERanks3343[[#This Row],[Player]],TE!B:O,11,FALSE)</f>
        <v>91.985181995682751</v>
      </c>
      <c r="AZ22" s="125">
        <f>IF(VLOOKUP(TableTERanks3343[[#This Row],[RK]],'Ranks w Proj'!AQ:AZ,10,FALSE)&lt;0,0,VLOOKUP(TableTERanks3343[[#This Row],[RK]],'Ranks w Proj'!AQ:AZ,10,FALSE))</f>
        <v>0</v>
      </c>
    </row>
    <row r="23" spans="1:52" x14ac:dyDescent="0.2">
      <c r="A23">
        <v>22</v>
      </c>
      <c r="B23" t="str">
        <f>VLOOKUP(TableQBRanks3040[[#This Row],[RK]],Rankings!A:T,3,FALSE)</f>
        <v>Matthew Stafford</v>
      </c>
      <c r="C23" t="str">
        <f>IFERROR(INDEX(TableQBCalcPts[TM],MATCH(TableQBRanks3040[[#This Row],[Player]],TableQBCalcPts[PLAYER],0)),"")</f>
        <v>LAR</v>
      </c>
      <c r="D23">
        <f>IFERROR(INDEX(TableQBCalcPts[BYE],MATCH(TableQBRanks3040[[#This Row],[Player]],TableQBCalcPts[PLAYER],0)),"")</f>
        <v>6</v>
      </c>
      <c r="E23" s="83">
        <f>VLOOKUP(TableQBRanks3040[[#This Row],[Player]],QB!B:O,4,FALSE)</f>
        <v>591.45023999999989</v>
      </c>
      <c r="F23" s="83">
        <f>VLOOKUP(TableQBRanks3040[[#This Row],[Player]],QB!B:O,5,FALSE)</f>
        <v>379.74343148996815</v>
      </c>
      <c r="G23" s="83">
        <f>VLOOKUP(TableQBRanks3040[[#This Row],[Player]],QB!B:O,6,FALSE)</f>
        <v>4473.3776229518244</v>
      </c>
      <c r="H23" s="83">
        <f>VLOOKUP(TableQBRanks3040[[#This Row],[Player]],QB!B:O,7,FALSE)</f>
        <v>28.567046591999997</v>
      </c>
      <c r="I23" s="83">
        <f>VLOOKUP(TableQBRanks3040[[#This Row],[Player]],QB!B:O,8,FALSE)</f>
        <v>7.1716503458743217</v>
      </c>
      <c r="J23" s="83">
        <f>VLOOKUP(TableQBRanks3040[[#This Row],[Player]],QB!B:O,9,FALSE)</f>
        <v>21.065394000000001</v>
      </c>
      <c r="K23" s="83">
        <f>VLOOKUP(TableQBRanks3040[[#This Row],[Player]],QB!B:O,10,FALSE)</f>
        <v>54.71061728567436</v>
      </c>
      <c r="L23" s="83">
        <f>VLOOKUP(TableQBRanks3040[[#This Row],[Player]],QB!B:O,11,FALSE)</f>
        <v>0.44237327400000004</v>
      </c>
      <c r="M23" s="57">
        <f>VLOOKUP(TableQBRanks3040[[#This Row],[Player]],QB!B:O,13,FALSE)</f>
        <v>286.98529196689174</v>
      </c>
      <c r="N23" s="125">
        <f>IF(VLOOKUP(TableQBRanks3040[[#This Row],[RK]],'Ranks w Proj'!$A:$N,14,FALSE)&lt;0,0,VLOOKUP(TableQBRanks3040[[#This Row],[RK]],'Ranks w Proj'!$A:$N,14,FALSE))</f>
        <v>0</v>
      </c>
      <c r="P23">
        <v>22</v>
      </c>
      <c r="Q23" t="str">
        <f>VLOOKUP(TableRBRanks3141[[#This Row],[RK]],Rankings!A:T,8,FALSE)</f>
        <v>Raheem Mostert</v>
      </c>
      <c r="R23" t="str">
        <f>IFERROR(INDEX(TableRBCalcPts[TM],MATCH(TableRBRanks3141[[#This Row],[Player]],TableRBCalcPts[PLAYER],0)),"")</f>
        <v>MIA</v>
      </c>
      <c r="S23">
        <f>IFERROR(INDEX(TableRBCalcPts[BYE],MATCH(TableRBRanks3141[[#This Row],[Player]],TableRBCalcPts[PLAYER],0)),"")</f>
        <v>6</v>
      </c>
      <c r="T23" s="83">
        <f>VLOOKUP(TableRBRanks3141[[#This Row],[Player]],RB!B:O,4,FALSE)</f>
        <v>175.18172672000003</v>
      </c>
      <c r="U23" s="83">
        <f>VLOOKUP(TableRBRanks3141[[#This Row],[Player]],RB!B:O,5,FALSE)</f>
        <v>827.88836383838679</v>
      </c>
      <c r="V23" s="83">
        <f>VLOOKUP(TableRBRanks3141[[#This Row],[Player]],RB!B:O,6,FALSE)</f>
        <v>9.8276948689920012</v>
      </c>
      <c r="W23" s="83">
        <f>VLOOKUP(TableRBRanks3141[[#This Row],[Player]],RB!B:O,7,FALSE)</f>
        <v>23.453203199999994</v>
      </c>
      <c r="X23" s="83">
        <f>VLOOKUP(TableRBRanks3141[[#This Row],[Player]],RB!B:O,8,FALSE)</f>
        <v>17.542995993599991</v>
      </c>
      <c r="Y23" s="83">
        <f>VLOOKUP(TableRBRanks3141[[#This Row],[Player]],RB!B:O,9,FALSE)</f>
        <v>123.10984222257677</v>
      </c>
      <c r="Z23" s="83">
        <f>VLOOKUP(TableRBRanks3141[[#This Row],[Player]],RB!B:O,10,FALSE)</f>
        <v>1.0666255945375045</v>
      </c>
      <c r="AA23" s="57">
        <f>VLOOKUP(TableRBRanks3141[[#This Row],[Player]],RB!B:O,14,FALSE)</f>
        <v>169.2372413840734</v>
      </c>
      <c r="AB23" s="125">
        <f>IF(VLOOKUP(TableRBRanks3141[[#This Row],[RK]],'Ranks w Proj'!$P:$AB,13,FALSE)&lt;0,0,VLOOKUP(TableRBRanks3141[[#This Row],[RK]],'Ranks w Proj'!$P:$AB,13,FALSE))</f>
        <v>22.05899986428425</v>
      </c>
      <c r="AD23">
        <v>22</v>
      </c>
      <c r="AE23" t="str">
        <f>VLOOKUP(TableWRRanks3242[[#This Row],[RK]],Rankings!A:T,13,FALSE)</f>
        <v>Terry McLaurin</v>
      </c>
      <c r="AF23" t="str">
        <f>IFERROR(INDEX(TableWRCalcPts[TM],MATCH(TableWRRanks3242[[#This Row],[Player]],TableWRCalcPts[PLAYER],0)),"")</f>
        <v>WSH</v>
      </c>
      <c r="AG23">
        <f>IFERROR(INDEX(TableWRCalcPts[BYE],MATCH(TableWRRanks3242[[#This Row],[Player]],TableWRCalcPts[PLAYER],0)),"")</f>
        <v>14</v>
      </c>
      <c r="AH23" s="83">
        <f>VLOOKUP(TableWRRanks3242[[#This Row],[Player]],WR!B:O,4,FALSE)</f>
        <v>0</v>
      </c>
      <c r="AI23" s="83">
        <f>VLOOKUP(TableWRRanks3242[[#This Row],[Player]],WR!B:O,5,FALSE)</f>
        <v>0</v>
      </c>
      <c r="AJ23" s="83">
        <f>VLOOKUP(TableWRRanks3242[[#This Row],[Player]],WR!B:O,6,FALSE)</f>
        <v>139.37799120000003</v>
      </c>
      <c r="AK23" s="83">
        <f>VLOOKUP(TableWRRanks3242[[#This Row],[Player]],WR!B:O,7,FALSE)</f>
        <v>85.717464588000013</v>
      </c>
      <c r="AL23" s="83">
        <f>VLOOKUP(TableWRRanks3242[[#This Row],[Player]],WR!B:O,8,FALSE)</f>
        <v>1146.8996761874403</v>
      </c>
      <c r="AM23" s="83">
        <f>VLOOKUP(TableWRRanks3242[[#This Row],[Player]],WR!B:O,9,FALSE)</f>
        <v>6.5145273086880007</v>
      </c>
      <c r="AN23" s="57">
        <f>VLOOKUP(TableWRRanks3242[[#This Row],[Player]],WR!B:O,13,FALSE)</f>
        <v>196.63586376487206</v>
      </c>
      <c r="AO23" s="125">
        <f>IF(VLOOKUP(TableWRRanks3242[[#This Row],[RK]],'Ranks w Proj'!AD:AO,12,FALSE)&lt;0,0,VLOOKUP(TableWRRanks3242[[#This Row],[RK]],'Ranks w Proj'!AD:AO,12,FALSE))</f>
        <v>19.558972636533756</v>
      </c>
      <c r="AQ23">
        <v>22</v>
      </c>
      <c r="AR23" t="str">
        <f>VLOOKUP(TableTERanks3343[[#This Row],[RK]],Rankings!A:T,18,FALSE)</f>
        <v>Jonnu Smith</v>
      </c>
      <c r="AS23" t="str">
        <f>IFERROR(INDEX(TableTECalcPts[TM],MATCH(TableTERanks3343[[#This Row],[Player]],TableTECalcPts[PLAYER],0)),"")</f>
        <v>MIA</v>
      </c>
      <c r="AT23">
        <f>IFERROR(INDEX(TableTECalcPts[BYE],MATCH(TableTERanks3343[[#This Row],[Player]],TableTECalcPts[PLAYER],0)),"")</f>
        <v>6</v>
      </c>
      <c r="AU23" s="83">
        <f>VLOOKUP(TableTERanks3343[[#This Row],[Player]],TE!B:O,4,FALSE)</f>
        <v>61.564658399999971</v>
      </c>
      <c r="AV23" s="83">
        <f>VLOOKUP(TableTERanks3343[[#This Row],[Player]],TE!B:O,5,FALSE)</f>
        <v>41.925532370399992</v>
      </c>
      <c r="AW23" s="83">
        <f>VLOOKUP(TableTERanks3343[[#This Row],[Player]],TE!B:O,6,FALSE)</f>
        <v>461.20501993138794</v>
      </c>
      <c r="AX23" s="83">
        <f>VLOOKUP(TableTERanks3343[[#This Row],[Player]],TE!B:O,7,FALSE)</f>
        <v>3.0905162053528943</v>
      </c>
      <c r="AY23" s="57">
        <f>VLOOKUP(TableTERanks3343[[#This Row],[Player]],TE!B:O,11,FALSE)</f>
        <v>85.626365410456145</v>
      </c>
      <c r="AZ23" s="125">
        <f>IF(VLOOKUP(TableTERanks3343[[#This Row],[RK]],'Ranks w Proj'!AQ:AZ,10,FALSE)&lt;0,0,VLOOKUP(TableTERanks3343[[#This Row],[RK]],'Ranks w Proj'!AQ:AZ,10,FALSE))</f>
        <v>0</v>
      </c>
    </row>
    <row r="24" spans="1:52" x14ac:dyDescent="0.2">
      <c r="A24">
        <v>23</v>
      </c>
      <c r="B24" t="str">
        <f>VLOOKUP(TableQBRanks3040[[#This Row],[RK]],Rankings!A:T,3,FALSE)</f>
        <v>Baker Mayfield</v>
      </c>
      <c r="C24" t="str">
        <f>IFERROR(INDEX(TableQBCalcPts[TM],MATCH(TableQBRanks3040[[#This Row],[Player]],TableQBCalcPts[PLAYER],0)),"")</f>
        <v>TB</v>
      </c>
      <c r="D24">
        <f>IFERROR(INDEX(TableQBCalcPts[BYE],MATCH(TableQBRanks3040[[#This Row],[Player]],TableQBCalcPts[PLAYER],0)),"")</f>
        <v>11</v>
      </c>
      <c r="E24" s="83">
        <f>VLOOKUP(TableQBRanks3040[[#This Row],[Player]],QB!B:O,4,FALSE)</f>
        <v>574.8963</v>
      </c>
      <c r="F24" s="83">
        <f>VLOOKUP(TableQBRanks3040[[#This Row],[Player]],QB!B:O,5,FALSE)</f>
        <v>365.75749830423888</v>
      </c>
      <c r="G24" s="83">
        <f>VLOOKUP(TableQBRanks3040[[#This Row],[Player]],QB!B:O,6,FALSE)</f>
        <v>4151.3904426181143</v>
      </c>
      <c r="H24" s="83">
        <f>VLOOKUP(TableQBRanks3040[[#This Row],[Player]],QB!B:O,7,FALSE)</f>
        <v>26.562103720590617</v>
      </c>
      <c r="I24" s="83">
        <f>VLOOKUP(TableQBRanks3040[[#This Row],[Player]],QB!B:O,8,FALSE)</f>
        <v>6.6527377498817559</v>
      </c>
      <c r="J24" s="83">
        <f>VLOOKUP(TableQBRanks3040[[#This Row],[Player]],QB!B:O,9,FALSE)</f>
        <v>46.660798800000002</v>
      </c>
      <c r="K24" s="83">
        <f>VLOOKUP(TableQBRanks3040[[#This Row],[Player]],QB!B:O,10,FALSE)</f>
        <v>145.32301606830376</v>
      </c>
      <c r="L24" s="83">
        <f>VLOOKUP(TableQBRanks3040[[#This Row],[Player]],QB!B:O,11,FALSE)</f>
        <v>0.97987677480000013</v>
      </c>
      <c r="M24" s="57">
        <f>VLOOKUP(TableQBRanks3040[[#This Row],[Player]],QB!B:O,13,FALSE)</f>
        <v>279.41011934295392</v>
      </c>
      <c r="N24" s="125">
        <f>IF(VLOOKUP(TableQBRanks3040[[#This Row],[RK]],'Ranks w Proj'!$A:$N,14,FALSE)&lt;0,0,VLOOKUP(TableQBRanks3040[[#This Row],[RK]],'Ranks w Proj'!$A:$N,14,FALSE))</f>
        <v>0</v>
      </c>
      <c r="P24">
        <v>23</v>
      </c>
      <c r="Q24" t="str">
        <f>VLOOKUP(TableRBRanks3141[[#This Row],[RK]],Rankings!A:T,8,FALSE)</f>
        <v>D'Andre Swift</v>
      </c>
      <c r="R24" t="str">
        <f>IFERROR(INDEX(TableRBCalcPts[TM],MATCH(TableRBRanks3141[[#This Row],[Player]],TableRBCalcPts[PLAYER],0)),"")</f>
        <v>CHI</v>
      </c>
      <c r="S24">
        <f>IFERROR(INDEX(TableRBCalcPts[BYE],MATCH(TableRBRanks3141[[#This Row],[Player]],TableRBCalcPts[PLAYER],0)),"")</f>
        <v>7</v>
      </c>
      <c r="T24" s="83">
        <f>VLOOKUP(TableRBRanks3141[[#This Row],[Player]],RB!B:O,4,FALSE)</f>
        <v>214.46641439999996</v>
      </c>
      <c r="U24" s="83">
        <f>VLOOKUP(TableRBRanks3141[[#This Row],[Player]],RB!B:O,5,FALSE)</f>
        <v>951.50264952455905</v>
      </c>
      <c r="V24" s="83">
        <f>VLOOKUP(TableRBRanks3141[[#This Row],[Player]],RB!B:O,6,FALSE)</f>
        <v>7.0773916751999995</v>
      </c>
      <c r="W24" s="83">
        <f>VLOOKUP(TableRBRanks3141[[#This Row],[Player]],RB!B:O,7,FALSE)</f>
        <v>45.344678399999999</v>
      </c>
      <c r="X24" s="83">
        <f>VLOOKUP(TableRBRanks3141[[#This Row],[Player]],RB!B:O,8,FALSE)</f>
        <v>34.008508800000001</v>
      </c>
      <c r="Y24" s="83">
        <f>VLOOKUP(TableRBRanks3141[[#This Row],[Player]],RB!B:O,9,FALSE)</f>
        <v>246.22160371200002</v>
      </c>
      <c r="Z24" s="83">
        <f>VLOOKUP(TableRBRanks3141[[#This Row],[Player]],RB!B:O,10,FALSE)</f>
        <v>1.5889175963929081</v>
      </c>
      <c r="AA24" s="57">
        <f>VLOOKUP(TableRBRanks3141[[#This Row],[Player]],RB!B:O,14,FALSE)</f>
        <v>188.77453535321337</v>
      </c>
      <c r="AB24" s="125">
        <f>IF(VLOOKUP(TableRBRanks3141[[#This Row],[RK]],'Ranks w Proj'!$P:$AB,13,FALSE)&lt;0,0,VLOOKUP(TableRBRanks3141[[#This Row],[RK]],'Ranks w Proj'!$P:$AB,13,FALSE))</f>
        <v>21.571977862719312</v>
      </c>
      <c r="AD24">
        <v>23</v>
      </c>
      <c r="AE24" t="str">
        <f>VLOOKUP(TableWRRanks3242[[#This Row],[RK]],Rankings!A:T,13,FALSE)</f>
        <v>Jaylen Waddle</v>
      </c>
      <c r="AF24" t="str">
        <f>IFERROR(INDEX(TableWRCalcPts[TM],MATCH(TableWRRanks3242[[#This Row],[Player]],TableWRCalcPts[PLAYER],0)),"")</f>
        <v>MIA</v>
      </c>
      <c r="AG24">
        <f>IFERROR(INDEX(TableWRCalcPts[BYE],MATCH(TableWRRanks3242[[#This Row],[Player]],TableWRCalcPts[PLAYER],0)),"")</f>
        <v>6</v>
      </c>
      <c r="AH24" s="83">
        <f>VLOOKUP(TableWRRanks3242[[#This Row],[Player]],WR!B:O,4,FALSE)</f>
        <v>10.190860064000001</v>
      </c>
      <c r="AI24" s="83">
        <f>VLOOKUP(TableWRRanks3242[[#This Row],[Player]],WR!B:O,5,FALSE)</f>
        <v>0.10527748000000002</v>
      </c>
      <c r="AJ24" s="83">
        <f>VLOOKUP(TableWRRanks3242[[#This Row],[Player]],WR!B:O,6,FALSE)</f>
        <v>131.33793791999994</v>
      </c>
      <c r="AK24" s="83">
        <f>VLOOKUP(TableWRRanks3242[[#This Row],[Player]],WR!B:O,7,FALSE)</f>
        <v>88.259094282239943</v>
      </c>
      <c r="AL24" s="83">
        <f>VLOOKUP(TableWRRanks3242[[#This Row],[Player]],WR!B:O,8,FALSE)</f>
        <v>1223.2709818310982</v>
      </c>
      <c r="AM24" s="83">
        <f>VLOOKUP(TableWRRanks3242[[#This Row],[Player]],WR!B:O,9,FALSE)</f>
        <v>6.1781365997567965</v>
      </c>
      <c r="AN24" s="57">
        <f>VLOOKUP(TableWRRanks3242[[#This Row],[Player]],WR!B:O,13,FALSE)</f>
        <v>205.17621580917057</v>
      </c>
      <c r="AO24" s="125">
        <f>IF(VLOOKUP(TableWRRanks3242[[#This Row],[RK]],'Ranks w Proj'!AD:AO,12,FALSE)&lt;0,0,VLOOKUP(TableWRRanks3242[[#This Row],[RK]],'Ranks w Proj'!AD:AO,12,FALSE))</f>
        <v>19.345044903255008</v>
      </c>
      <c r="AQ24">
        <v>23</v>
      </c>
      <c r="AR24" t="str">
        <f>VLOOKUP(TableTERanks3343[[#This Row],[RK]],Rankings!A:T,18,FALSE)</f>
        <v>Tyler Conklin</v>
      </c>
      <c r="AS24" t="str">
        <f>IFERROR(INDEX(TableTECalcPts[TM],MATCH(TableTERanks3343[[#This Row],[Player]],TableTECalcPts[PLAYER],0)),"")</f>
        <v>NYJ</v>
      </c>
      <c r="AT24">
        <f>IFERROR(INDEX(TableTECalcPts[BYE],MATCH(TableTERanks3343[[#This Row],[Player]],TableTECalcPts[PLAYER],0)),"")</f>
        <v>12</v>
      </c>
      <c r="AU24" s="83">
        <f>VLOOKUP(TableTERanks3343[[#This Row],[Player]],TE!B:O,4,FALSE)</f>
        <v>67.546358879999971</v>
      </c>
      <c r="AV24" s="83">
        <f>VLOOKUP(TableTERanks3343[[#This Row],[Player]],TE!B:O,5,FALSE)</f>
        <v>47.822822087039974</v>
      </c>
      <c r="AW24" s="83">
        <f>VLOOKUP(TableTERanks3343[[#This Row],[Player]],TE!B:O,6,FALSE)</f>
        <v>480.80830174130097</v>
      </c>
      <c r="AX24" s="83">
        <f>VLOOKUP(TableTERanks3343[[#This Row],[Player]],TE!B:O,7,FALSE)</f>
        <v>3.3475975460927985</v>
      </c>
      <c r="AY24" s="57">
        <f>VLOOKUP(TableTERanks3343[[#This Row],[Player]],TE!B:O,11,FALSE)</f>
        <v>92.077826494206874</v>
      </c>
      <c r="AZ24" s="125">
        <f>IF(VLOOKUP(TableTERanks3343[[#This Row],[RK]],'Ranks w Proj'!AQ:AZ,10,FALSE)&lt;0,0,VLOOKUP(TableTERanks3343[[#This Row],[RK]],'Ranks w Proj'!AQ:AZ,10,FALSE))</f>
        <v>0</v>
      </c>
    </row>
    <row r="25" spans="1:52" x14ac:dyDescent="0.2">
      <c r="A25">
        <v>24</v>
      </c>
      <c r="B25" t="str">
        <f>VLOOKUP(TableQBRanks3040[[#This Row],[RK]],Rankings!A:T,3,FALSE)</f>
        <v>Bo Nix</v>
      </c>
      <c r="C25" t="str">
        <f>IFERROR(INDEX(TableQBCalcPts[TM],MATCH(TableQBRanks3040[[#This Row],[Player]],TableQBCalcPts[PLAYER],0)),"")</f>
        <v>DEN</v>
      </c>
      <c r="D25">
        <f>IFERROR(INDEX(TableQBCalcPts[BYE],MATCH(TableQBRanks3040[[#This Row],[Player]],TableQBCalcPts[PLAYER],0)),"")</f>
        <v>14</v>
      </c>
      <c r="E25" s="83">
        <f>VLOOKUP(TableQBRanks3040[[#This Row],[Player]],QB!B:O,4,FALSE)</f>
        <v>553.38924999999995</v>
      </c>
      <c r="F25" s="83">
        <f>VLOOKUP(TableQBRanks3040[[#This Row],[Player]],QB!B:O,5,FALSE)</f>
        <v>344.97325081961122</v>
      </c>
      <c r="G25" s="83">
        <f>VLOOKUP(TableQBRanks3040[[#This Row],[Player]],QB!B:O,6,FALSE)</f>
        <v>3815.4041540649005</v>
      </c>
      <c r="H25" s="83">
        <f>VLOOKUP(TableQBRanks3040[[#This Row],[Player]],QB!B:O,7,FALSE)</f>
        <v>22.301586775000001</v>
      </c>
      <c r="I25" s="83">
        <f>VLOOKUP(TableQBRanks3040[[#This Row],[Player]],QB!B:O,8,FALSE)</f>
        <v>7.2656029534218431</v>
      </c>
      <c r="J25" s="83">
        <f>VLOOKUP(TableQBRanks3040[[#This Row],[Player]],QB!B:O,9,FALSE)</f>
        <v>65.487779700000004</v>
      </c>
      <c r="K25" s="83">
        <f>VLOOKUP(TableQBRanks3040[[#This Row],[Player]],QB!B:O,10,FALSE)</f>
        <v>273.43925259927005</v>
      </c>
      <c r="L25" s="83">
        <f>VLOOKUP(TableQBRanks3040[[#This Row],[Player]],QB!B:O,11,FALSE)</f>
        <v>3.5363401038000002</v>
      </c>
      <c r="M25" s="57">
        <f>VLOOKUP(TableQBRanks3040[[#This Row],[Player]],QB!B:O,13,FALSE)</f>
        <v>275.85327323847935</v>
      </c>
      <c r="N25" s="125">
        <f>IF(VLOOKUP(TableQBRanks3040[[#This Row],[RK]],'Ranks w Proj'!$A:$N,14,FALSE)&lt;0,0,VLOOKUP(TableQBRanks3040[[#This Row],[RK]],'Ranks w Proj'!$A:$N,14,FALSE))</f>
        <v>0</v>
      </c>
      <c r="P25">
        <v>24</v>
      </c>
      <c r="Q25" t="str">
        <f>VLOOKUP(TableRBRanks3141[[#This Row],[RK]],Rankings!A:T,8,FALSE)</f>
        <v>Javonte Williams</v>
      </c>
      <c r="R25" t="str">
        <f>IFERROR(INDEX(TableRBCalcPts[TM],MATCH(TableRBRanks3141[[#This Row],[Player]],TableRBCalcPts[PLAYER],0)),"")</f>
        <v>DEN</v>
      </c>
      <c r="S25">
        <f>IFERROR(INDEX(TableRBCalcPts[BYE],MATCH(TableRBRanks3141[[#This Row],[Player]],TableRBCalcPts[PLAYER],0)),"")</f>
        <v>14</v>
      </c>
      <c r="T25" s="83">
        <f>VLOOKUP(TableRBRanks3141[[#This Row],[Player]],RB!B:O,4,FALSE)</f>
        <v>210.52782870000001</v>
      </c>
      <c r="U25" s="83">
        <f>VLOOKUP(TableRBRanks3141[[#This Row],[Player]],RB!B:O,5,FALSE)</f>
        <v>863.16409766999993</v>
      </c>
      <c r="V25" s="83">
        <f>VLOOKUP(TableRBRanks3141[[#This Row],[Player]],RB!B:O,6,FALSE)</f>
        <v>6.5263626897</v>
      </c>
      <c r="W25" s="83">
        <f>VLOOKUP(TableRBRanks3141[[#This Row],[Player]],RB!B:O,7,FALSE)</f>
        <v>52.783469748743713</v>
      </c>
      <c r="X25" s="83">
        <f>VLOOKUP(TableRBRanks3141[[#This Row],[Player]],RB!B:O,8,FALSE)</f>
        <v>38.795850265326628</v>
      </c>
      <c r="Y25" s="83">
        <f>VLOOKUP(TableRBRanks3141[[#This Row],[Player]],RB!B:O,9,FALSE)</f>
        <v>266.52749132279394</v>
      </c>
      <c r="Z25" s="83">
        <f>VLOOKUP(TableRBRanks3141[[#This Row],[Player]],RB!B:O,10,FALSE)</f>
        <v>1.3966506095517586</v>
      </c>
      <c r="AA25" s="57">
        <f>VLOOKUP(TableRBRanks3141[[#This Row],[Player]],RB!B:O,14,FALSE)</f>
        <v>179.90516382745326</v>
      </c>
      <c r="AB25" s="125">
        <f>IF(VLOOKUP(TableRBRanks3141[[#This Row],[RK]],'Ranks w Proj'!$P:$AB,13,FALSE)&lt;0,0,VLOOKUP(TableRBRanks3141[[#This Row],[RK]],'Ranks w Proj'!$P:$AB,13,FALSE))</f>
        <v>21.394207648210749</v>
      </c>
      <c r="AD25">
        <v>24</v>
      </c>
      <c r="AE25" t="str">
        <f>VLOOKUP(TableWRRanks3242[[#This Row],[RK]],Rankings!A:T,13,FALSE)</f>
        <v>Tee Higgins</v>
      </c>
      <c r="AF25" t="str">
        <f>IFERROR(INDEX(TableWRCalcPts[TM],MATCH(TableWRRanks3242[[#This Row],[Player]],TableWRCalcPts[PLAYER],0)),"")</f>
        <v>CIN</v>
      </c>
      <c r="AG25">
        <f>IFERROR(INDEX(TableWRCalcPts[BYE],MATCH(TableWRRanks3242[[#This Row],[Player]],TableWRCalcPts[PLAYER],0)),"")</f>
        <v>12</v>
      </c>
      <c r="AH25" s="83">
        <f>VLOOKUP(TableWRRanks3242[[#This Row],[Player]],WR!B:O,4,FALSE)</f>
        <v>0</v>
      </c>
      <c r="AI25" s="83">
        <f>VLOOKUP(TableWRRanks3242[[#This Row],[Player]],WR!B:O,5,FALSE)</f>
        <v>0</v>
      </c>
      <c r="AJ25" s="83">
        <f>VLOOKUP(TableWRRanks3242[[#This Row],[Player]],WR!B:O,6,FALSE)</f>
        <v>132.82000955999999</v>
      </c>
      <c r="AK25" s="83">
        <f>VLOOKUP(TableWRRanks3242[[#This Row],[Player]],WR!B:O,7,FALSE)</f>
        <v>85.270446137519997</v>
      </c>
      <c r="AL25" s="83">
        <f>VLOOKUP(TableWRRanks3242[[#This Row],[Player]],WR!B:O,8,FALSE)</f>
        <v>1140.9185693200177</v>
      </c>
      <c r="AM25" s="83">
        <f>VLOOKUP(TableWRRanks3242[[#This Row],[Player]],WR!B:O,9,FALSE)</f>
        <v>7.9301514907893598</v>
      </c>
      <c r="AN25" s="57">
        <f>VLOOKUP(TableWRRanks3242[[#This Row],[Player]],WR!B:O,13,FALSE)</f>
        <v>204.30798894549793</v>
      </c>
      <c r="AO25" s="125">
        <f>IF(VLOOKUP(TableWRRanks3242[[#This Row],[RK]],'Ranks w Proj'!AD:AO,12,FALSE)&lt;0,0,VLOOKUP(TableWRRanks3242[[#This Row],[RK]],'Ranks w Proj'!AD:AO,12,FALSE))</f>
        <v>19.299869385822443</v>
      </c>
      <c r="AQ25">
        <v>24</v>
      </c>
      <c r="AR25" t="str">
        <f>VLOOKUP(TableTERanks3343[[#This Row],[RK]],Rankings!A:T,18,FALSE)</f>
        <v>Mike Gesicki</v>
      </c>
      <c r="AS25" t="str">
        <f>IFERROR(INDEX(TableTECalcPts[TM],MATCH(TableTERanks3343[[#This Row],[Player]],TableTECalcPts[PLAYER],0)),"")</f>
        <v>CIN</v>
      </c>
      <c r="AT25">
        <f>IFERROR(INDEX(TableTECalcPts[BYE],MATCH(TableTERanks3343[[#This Row],[Player]],TableTECalcPts[PLAYER],0)),"")</f>
        <v>12</v>
      </c>
      <c r="AU25" s="83">
        <f>VLOOKUP(TableTERanks3343[[#This Row],[Player]],TE!B:O,4,FALSE)</f>
        <v>70.463197559999998</v>
      </c>
      <c r="AV25" s="83">
        <f>VLOOKUP(TableTERanks3343[[#This Row],[Player]],TE!B:O,5,FALSE)</f>
        <v>49.747017477359996</v>
      </c>
      <c r="AW25" s="83">
        <f>VLOOKUP(TableTERanks3343[[#This Row],[Player]],TE!B:O,6,FALSE)</f>
        <v>484.26218078086788</v>
      </c>
      <c r="AX25" s="83">
        <f>VLOOKUP(TableTERanks3343[[#This Row],[Player]],TE!B:O,7,FALSE)</f>
        <v>3.9300143807114396</v>
      </c>
      <c r="AY25" s="57">
        <f>VLOOKUP(TableTERanks3343[[#This Row],[Player]],TE!B:O,11,FALSE)</f>
        <v>96.879813101035438</v>
      </c>
      <c r="AZ25" s="125">
        <f>IF(VLOOKUP(TableTERanks3343[[#This Row],[RK]],'Ranks w Proj'!AQ:AZ,10,FALSE)&lt;0,0,VLOOKUP(TableTERanks3343[[#This Row],[RK]],'Ranks w Proj'!AQ:AZ,10,FALSE))</f>
        <v>0</v>
      </c>
    </row>
    <row r="26" spans="1:52" x14ac:dyDescent="0.2">
      <c r="A26">
        <v>25</v>
      </c>
      <c r="B26" t="str">
        <f>VLOOKUP(TableQBRanks3040[[#This Row],[RK]],Rankings!A:T,3,FALSE)</f>
        <v>Bryce Young</v>
      </c>
      <c r="C26" t="str">
        <f>IFERROR(INDEX(TableQBCalcPts[TM],MATCH(TableQBRanks3040[[#This Row],[Player]],TableQBCalcPts[PLAYER],0)),"")</f>
        <v>CAR</v>
      </c>
      <c r="D26">
        <f>IFERROR(INDEX(TableQBCalcPts[BYE],MATCH(TableQBRanks3040[[#This Row],[Player]],TableQBCalcPts[PLAYER],0)),"")</f>
        <v>11</v>
      </c>
      <c r="E26" s="83">
        <f>VLOOKUP(TableQBRanks3040[[#This Row],[Player]],QB!B:O,4,FALSE)</f>
        <v>561.44049999999993</v>
      </c>
      <c r="F26" s="83">
        <f>VLOOKUP(TableQBRanks3040[[#This Row],[Player]],QB!B:O,5,FALSE)</f>
        <v>352.48025766677722</v>
      </c>
      <c r="G26" s="83">
        <f>VLOOKUP(TableQBRanks3040[[#This Row],[Player]],QB!B:O,6,FALSE)</f>
        <v>3887.8572420645523</v>
      </c>
      <c r="H26" s="83">
        <f>VLOOKUP(TableQBRanks3040[[#This Row],[Player]],QB!B:O,7,FALSE)</f>
        <v>21.896179499999999</v>
      </c>
      <c r="I26" s="83">
        <f>VLOOKUP(TableQBRanks3040[[#This Row],[Player]],QB!B:O,8,FALSE)</f>
        <v>6.4446070822175274</v>
      </c>
      <c r="J26" s="83">
        <f>VLOOKUP(TableQBRanks3040[[#This Row],[Player]],QB!B:O,9,FALSE)</f>
        <v>55.738725000000002</v>
      </c>
      <c r="K26" s="83">
        <f>VLOOKUP(TableQBRanks3040[[#This Row],[Player]],QB!B:O,10,FALSE)</f>
        <v>321.3935769222453</v>
      </c>
      <c r="L26" s="83">
        <f>VLOOKUP(TableQBRanks3040[[#This Row],[Player]],QB!B:O,11,FALSE)</f>
        <v>2.0065941</v>
      </c>
      <c r="M26" s="57">
        <f>VLOOKUP(TableQBRanks3040[[#This Row],[Player]],QB!B:O,13,FALSE)</f>
        <v>274.38871581037159</v>
      </c>
      <c r="N26" s="125">
        <f>IF(VLOOKUP(TableQBRanks3040[[#This Row],[RK]],'Ranks w Proj'!$A:$N,14,FALSE)&lt;0,0,VLOOKUP(TableQBRanks3040[[#This Row],[RK]],'Ranks w Proj'!$A:$N,14,FALSE))</f>
        <v>0</v>
      </c>
      <c r="P26">
        <v>25</v>
      </c>
      <c r="Q26" t="str">
        <f>VLOOKUP(TableRBRanks3141[[#This Row],[RK]],Rankings!A:T,8,FALSE)</f>
        <v>Brian Robinson</v>
      </c>
      <c r="R26" t="str">
        <f>IFERROR(INDEX(TableRBCalcPts[TM],MATCH(TableRBRanks3141[[#This Row],[Player]],TableRBCalcPts[PLAYER],0)),"")</f>
        <v>WSH</v>
      </c>
      <c r="S26">
        <f>IFERROR(INDEX(TableRBCalcPts[BYE],MATCH(TableRBRanks3141[[#This Row],[Player]],TableRBCalcPts[PLAYER],0)),"")</f>
        <v>14</v>
      </c>
      <c r="T26" s="83">
        <f>VLOOKUP(TableRBRanks3141[[#This Row],[Player]],RB!B:O,4,FALSE)</f>
        <v>221.04368439999996</v>
      </c>
      <c r="U26" s="83">
        <f>VLOOKUP(TableRBRanks3141[[#This Row],[Player]],RB!B:O,5,FALSE)</f>
        <v>959.32959029599976</v>
      </c>
      <c r="V26" s="83">
        <f>VLOOKUP(TableRBRanks3141[[#This Row],[Player]],RB!B:O,6,FALSE)</f>
        <v>7.1176066376799989</v>
      </c>
      <c r="W26" s="83">
        <f>VLOOKUP(TableRBRanks3141[[#This Row],[Player]],RB!B:O,7,FALSE)</f>
        <v>33.994632000000003</v>
      </c>
      <c r="X26" s="83">
        <f>VLOOKUP(TableRBRanks3141[[#This Row],[Player]],RB!B:O,8,FALSE)</f>
        <v>25.190022312000004</v>
      </c>
      <c r="Y26" s="83">
        <f>VLOOKUP(TableRBRanks3141[[#This Row],[Player]],RB!B:O,9,FALSE)</f>
        <v>202.52777938848001</v>
      </c>
      <c r="Z26" s="83">
        <f>VLOOKUP(TableRBRanks3141[[#This Row],[Player]],RB!B:O,10,FALSE)</f>
        <v>1.4862113164080002</v>
      </c>
      <c r="AA26" s="57">
        <f>VLOOKUP(TableRBRanks3141[[#This Row],[Player]],RB!B:O,14,FALSE)</f>
        <v>180.40365584897597</v>
      </c>
      <c r="AB26" s="125">
        <f>IF(VLOOKUP(TableRBRanks3141[[#This Row],[RK]],'Ranks w Proj'!$P:$AB,13,FALSE)&lt;0,0,VLOOKUP(TableRBRanks3141[[#This Row],[RK]],'Ranks w Proj'!$P:$AB,13,FALSE))</f>
        <v>20.756992437365611</v>
      </c>
      <c r="AD26">
        <v>25</v>
      </c>
      <c r="AE26" t="str">
        <f>VLOOKUP(TableWRRanks3242[[#This Row],[RK]],Rankings!A:T,13,FALSE)</f>
        <v>George Pickens</v>
      </c>
      <c r="AF26" t="str">
        <f>IFERROR(INDEX(TableWRCalcPts[TM],MATCH(TableWRRanks3242[[#This Row],[Player]],TableWRCalcPts[PLAYER],0)),"")</f>
        <v>PIT</v>
      </c>
      <c r="AG26">
        <f>IFERROR(INDEX(TableWRCalcPts[BYE],MATCH(TableWRRanks3242[[#This Row],[Player]],TableWRCalcPts[PLAYER],0)),"")</f>
        <v>9</v>
      </c>
      <c r="AH26" s="83">
        <f>VLOOKUP(TableWRRanks3242[[#This Row],[Player]],WR!B:O,4,FALSE)</f>
        <v>0</v>
      </c>
      <c r="AI26" s="83">
        <f>VLOOKUP(TableWRRanks3242[[#This Row],[Player]],WR!B:O,5,FALSE)</f>
        <v>0</v>
      </c>
      <c r="AJ26" s="83">
        <f>VLOOKUP(TableWRRanks3242[[#This Row],[Player]],WR!B:O,6,FALSE)</f>
        <v>129.37102499999997</v>
      </c>
      <c r="AK26" s="83">
        <f>VLOOKUP(TableWRRanks3242[[#This Row],[Player]],WR!B:O,7,FALSE)</f>
        <v>77.363872949999987</v>
      </c>
      <c r="AL26" s="83">
        <f>VLOOKUP(TableWRRanks3242[[#This Row],[Player]],WR!B:O,8,FALSE)</f>
        <v>1124.8707126929996</v>
      </c>
      <c r="AM26" s="83">
        <f>VLOOKUP(TableWRRanks3242[[#This Row],[Player]],WR!B:O,9,FALSE)</f>
        <v>6.3210990652167949</v>
      </c>
      <c r="AN26" s="57">
        <f>VLOOKUP(TableWRRanks3242[[#This Row],[Player]],WR!B:O,13,FALSE)</f>
        <v>189.09560213560073</v>
      </c>
      <c r="AO26" s="125">
        <f>IF(VLOOKUP(TableWRRanks3242[[#This Row],[RK]],'Ranks w Proj'!AD:AO,12,FALSE)&lt;0,0,VLOOKUP(TableWRRanks3242[[#This Row],[RK]],'Ranks w Proj'!AD:AO,12,FALSE))</f>
        <v>18.245843554633147</v>
      </c>
      <c r="AQ26">
        <v>25</v>
      </c>
      <c r="AR26" t="str">
        <f>VLOOKUP(TableTERanks3343[[#This Row],[RK]],Rankings!A:T,18,FALSE)</f>
        <v>Hayden Hurst</v>
      </c>
      <c r="AS26" t="str">
        <f>IFERROR(INDEX(TableTECalcPts[TM],MATCH(TableTERanks3343[[#This Row],[Player]],TableTECalcPts[PLAYER],0)),"")</f>
        <v>LAC</v>
      </c>
      <c r="AT26">
        <f>IFERROR(INDEX(TableTECalcPts[BYE],MATCH(TableTERanks3343[[#This Row],[Player]],TableTECalcPts[PLAYER],0)),"")</f>
        <v>5</v>
      </c>
      <c r="AU26" s="83">
        <f>VLOOKUP(TableTERanks3343[[#This Row],[Player]],TE!B:O,4,FALSE)</f>
        <v>56.394547860000024</v>
      </c>
      <c r="AV26" s="83">
        <f>VLOOKUP(TableTERanks3343[[#This Row],[Player]],TE!B:O,5,FALSE)</f>
        <v>39.645367145580011</v>
      </c>
      <c r="AW26" s="83">
        <f>VLOOKUP(TableTERanks3343[[#This Row],[Player]],TE!B:O,6,FALSE)</f>
        <v>399.22884715599071</v>
      </c>
      <c r="AX26" s="83">
        <f>VLOOKUP(TableTERanks3343[[#This Row],[Player]],TE!B:O,7,FALSE)</f>
        <v>3.3302108402287209</v>
      </c>
      <c r="AY26" s="57">
        <f>VLOOKUP(TableTERanks3343[[#This Row],[Player]],TE!B:O,11,FALSE)</f>
        <v>79.726833329761405</v>
      </c>
      <c r="AZ26" s="125">
        <f>IF(VLOOKUP(TableTERanks3343[[#This Row],[RK]],'Ranks w Proj'!AQ:AZ,10,FALSE)&lt;0,0,VLOOKUP(TableTERanks3343[[#This Row],[RK]],'Ranks w Proj'!AQ:AZ,10,FALSE))</f>
        <v>0</v>
      </c>
    </row>
    <row r="27" spans="1:52" x14ac:dyDescent="0.2">
      <c r="A27">
        <v>26</v>
      </c>
      <c r="B27" t="str">
        <f>VLOOKUP(TableQBRanks3040[[#This Row],[RK]],Rankings!A:T,3,FALSE)</f>
        <v>Sam Darnold</v>
      </c>
      <c r="C27" t="str">
        <f>IFERROR(INDEX(TableQBCalcPts[TM],MATCH(TableQBRanks3040[[#This Row],[Player]],TableQBCalcPts[PLAYER],0)),"")</f>
        <v>MIN</v>
      </c>
      <c r="D27">
        <f>IFERROR(INDEX(TableQBCalcPts[BYE],MATCH(TableQBRanks3040[[#This Row],[Player]],TableQBCalcPts[PLAYER],0)),"")</f>
        <v>6</v>
      </c>
      <c r="E27" s="83">
        <f>VLOOKUP(TableQBRanks3040[[#This Row],[Player]],QB!B:O,4,FALSE)</f>
        <v>558.62399999999991</v>
      </c>
      <c r="F27" s="83">
        <f>VLOOKUP(TableQBRanks3040[[#This Row],[Player]],QB!B:O,5,FALSE)</f>
        <v>355.89935602335407</v>
      </c>
      <c r="G27" s="83">
        <f>VLOOKUP(TableQBRanks3040[[#This Row],[Player]],QB!B:O,6,FALSE)</f>
        <v>3954.0418454194637</v>
      </c>
      <c r="H27" s="83">
        <f>VLOOKUP(TableQBRanks3040[[#This Row],[Player]],QB!B:O,7,FALSE)</f>
        <v>22.903583999999999</v>
      </c>
      <c r="I27" s="83">
        <f>VLOOKUP(TableQBRanks3040[[#This Row],[Player]],QB!B:O,8,FALSE)</f>
        <v>10.676980680700622</v>
      </c>
      <c r="J27" s="83">
        <f>VLOOKUP(TableQBRanks3040[[#This Row],[Player]],QB!B:O,9,FALSE)</f>
        <v>45.620960000000004</v>
      </c>
      <c r="K27" s="83">
        <f>VLOOKUP(TableQBRanks3040[[#This Row],[Player]],QB!B:O,10,FALSE)</f>
        <v>163.32030723064193</v>
      </c>
      <c r="L27" s="83">
        <f>VLOOKUP(TableQBRanks3040[[#This Row],[Player]],QB!B:O,11,FALSE)</f>
        <v>2.3266689600000001</v>
      </c>
      <c r="M27" s="57">
        <f>VLOOKUP(TableQBRanks3040[[#This Row],[Player]],QB!B:O,13,FALSE)</f>
        <v>258.71409293844147</v>
      </c>
      <c r="N27" s="125">
        <f>IF(VLOOKUP(TableQBRanks3040[[#This Row],[RK]],'Ranks w Proj'!$A:$N,14,FALSE)&lt;0,0,VLOOKUP(TableQBRanks3040[[#This Row],[RK]],'Ranks w Proj'!$A:$N,14,FALSE))</f>
        <v>0</v>
      </c>
      <c r="P27">
        <v>26</v>
      </c>
      <c r="Q27" t="str">
        <f>VLOOKUP(TableRBRanks3141[[#This Row],[RK]],Rankings!A:T,8,FALSE)</f>
        <v>Zack Moss</v>
      </c>
      <c r="R27" t="str">
        <f>IFERROR(INDEX(TableRBCalcPts[TM],MATCH(TableRBRanks3141[[#This Row],[Player]],TableRBCalcPts[PLAYER],0)),"")</f>
        <v>CIN</v>
      </c>
      <c r="S27">
        <f>IFERROR(INDEX(TableRBCalcPts[BYE],MATCH(TableRBRanks3141[[#This Row],[Player]],TableRBCalcPts[PLAYER],0)),"")</f>
        <v>12</v>
      </c>
      <c r="T27" s="83">
        <f>VLOOKUP(TableRBRanks3141[[#This Row],[Player]],RB!B:O,4,FALSE)</f>
        <v>203.52836196000001</v>
      </c>
      <c r="U27" s="83">
        <f>VLOOKUP(TableRBRanks3141[[#This Row],[Player]],RB!B:O,5,FALSE)</f>
        <v>862.96025471040014</v>
      </c>
      <c r="V27" s="83">
        <f>VLOOKUP(TableRBRanks3141[[#This Row],[Player]],RB!B:O,6,FALSE)</f>
        <v>7.6119607373040008</v>
      </c>
      <c r="W27" s="83">
        <f>VLOOKUP(TableRBRanks3141[[#This Row],[Player]],RB!B:O,7,FALSE)</f>
        <v>40.531927800000005</v>
      </c>
      <c r="X27" s="83">
        <f>VLOOKUP(TableRBRanks3141[[#This Row],[Player]],RB!B:O,8,FALSE)</f>
        <v>32.101286817599998</v>
      </c>
      <c r="Y27" s="83">
        <f>VLOOKUP(TableRBRanks3141[[#This Row],[Player]],RB!B:O,9,FALSE)</f>
        <v>216.25152106147826</v>
      </c>
      <c r="Z27" s="83">
        <f>VLOOKUP(TableRBRanks3141[[#This Row],[Player]],RB!B:O,10,FALSE)</f>
        <v>1.4124566199743998</v>
      </c>
      <c r="AA27" s="57">
        <f>VLOOKUP(TableRBRanks3141[[#This Row],[Player]],RB!B:O,14,FALSE)</f>
        <v>178.11832512965827</v>
      </c>
      <c r="AB27" s="125">
        <f>IF(VLOOKUP(TableRBRanks3141[[#This Row],[RK]],'Ranks w Proj'!$P:$AB,13,FALSE)&lt;0,0,VLOOKUP(TableRBRanks3141[[#This Row],[RK]],'Ranks w Proj'!$P:$AB,13,FALSE))</f>
        <v>20.101430648866906</v>
      </c>
      <c r="AD27">
        <v>26</v>
      </c>
      <c r="AE27" t="str">
        <f>VLOOKUP(TableWRRanks3242[[#This Row],[RK]],Rankings!A:T,13,FALSE)</f>
        <v>Stefon Diggs</v>
      </c>
      <c r="AF27" t="str">
        <f>IFERROR(INDEX(TableWRCalcPts[TM],MATCH(TableWRRanks3242[[#This Row],[Player]],TableWRCalcPts[PLAYER],0)),"")</f>
        <v>HOU</v>
      </c>
      <c r="AG27">
        <f>IFERROR(INDEX(TableWRCalcPts[BYE],MATCH(TableWRRanks3242[[#This Row],[Player]],TableWRCalcPts[PLAYER],0)),"")</f>
        <v>14</v>
      </c>
      <c r="AH27" s="83">
        <f>VLOOKUP(TableWRRanks3242[[#This Row],[Player]],WR!B:O,4,FALSE)</f>
        <v>21.335321279999999</v>
      </c>
      <c r="AI27" s="83">
        <f>VLOOKUP(TableWRRanks3242[[#This Row],[Player]],WR!B:O,5,FALSE)</f>
        <v>2.1230708481496999E-2</v>
      </c>
      <c r="AJ27" s="83">
        <f>VLOOKUP(TableWRRanks3242[[#This Row],[Player]],WR!B:O,6,FALSE)</f>
        <v>124.78065599999998</v>
      </c>
      <c r="AK27" s="83">
        <f>VLOOKUP(TableWRRanks3242[[#This Row],[Player]],WR!B:O,7,FALSE)</f>
        <v>83.603039519999996</v>
      </c>
      <c r="AL27" s="83">
        <f>VLOOKUP(TableWRRanks3242[[#This Row],[Player]],WR!B:O,8,FALSE)</f>
        <v>1014.1048693776</v>
      </c>
      <c r="AM27" s="83">
        <f>VLOOKUP(TableWRRanks3242[[#This Row],[Player]],WR!B:O,9,FALSE)</f>
        <v>6.6169173018700276</v>
      </c>
      <c r="AN27" s="57">
        <f>VLOOKUP(TableWRRanks3242[[#This Row],[Player]],WR!B:O,13,FALSE)</f>
        <v>185.17442688786917</v>
      </c>
      <c r="AO27" s="125">
        <f>IF(VLOOKUP(TableWRRanks3242[[#This Row],[RK]],'Ranks w Proj'!AD:AO,12,FALSE)&lt;0,0,VLOOKUP(TableWRRanks3242[[#This Row],[RK]],'Ranks w Proj'!AD:AO,12,FALSE))</f>
        <v>17.870890807527793</v>
      </c>
      <c r="AQ27">
        <v>26</v>
      </c>
      <c r="AR27" t="str">
        <f>VLOOKUP(TableTERanks3343[[#This Row],[RK]],Rankings!A:T,18,FALSE)</f>
        <v>Isaiah Likely</v>
      </c>
      <c r="AS27" t="str">
        <f>IFERROR(INDEX(TableTECalcPts[TM],MATCH(TableTERanks3343[[#This Row],[Player]],TableTECalcPts[PLAYER],0)),"")</f>
        <v>BAL</v>
      </c>
      <c r="AT27">
        <f>IFERROR(INDEX(TableTECalcPts[BYE],MATCH(TableTERanks3343[[#This Row],[Player]],TableTECalcPts[PLAYER],0)),"")</f>
        <v>14</v>
      </c>
      <c r="AU27" s="83">
        <f>VLOOKUP(TableTERanks3343[[#This Row],[Player]],TE!B:O,4,FALSE)</f>
        <v>48.700104320000001</v>
      </c>
      <c r="AV27" s="83">
        <f>VLOOKUP(TableTERanks3343[[#This Row],[Player]],TE!B:O,5,FALSE)</f>
        <v>34.333573545599997</v>
      </c>
      <c r="AW27" s="83">
        <f>VLOOKUP(TableTERanks3343[[#This Row],[Player]],TE!B:O,6,FALSE)</f>
        <v>409.8781154720719</v>
      </c>
      <c r="AX27" s="83">
        <f>VLOOKUP(TableTERanks3343[[#This Row],[Player]],TE!B:O,7,FALSE)</f>
        <v>3.6736923693791996</v>
      </c>
      <c r="AY27" s="57">
        <f>VLOOKUP(TableTERanks3343[[#This Row],[Player]],TE!B:O,11,FALSE)</f>
        <v>80.196752536282389</v>
      </c>
      <c r="AZ27" s="125">
        <f>IF(VLOOKUP(TableTERanks3343[[#This Row],[RK]],'Ranks w Proj'!AQ:AZ,10,FALSE)&lt;0,0,VLOOKUP(TableTERanks3343[[#This Row],[RK]],'Ranks w Proj'!AQ:AZ,10,FALSE))</f>
        <v>0</v>
      </c>
    </row>
    <row r="28" spans="1:52" x14ac:dyDescent="0.2">
      <c r="A28">
        <v>27</v>
      </c>
      <c r="B28" t="str">
        <f>VLOOKUP(TableQBRanks3040[[#This Row],[RK]],Rankings!A:T,3,FALSE)</f>
        <v>Geno Smith</v>
      </c>
      <c r="C28" t="str">
        <f>IFERROR(INDEX(TableQBCalcPts[TM],MATCH(TableQBRanks3040[[#This Row],[Player]],TableQBCalcPts[PLAYER],0)),"")</f>
        <v>SEA</v>
      </c>
      <c r="D28">
        <f>IFERROR(INDEX(TableQBCalcPts[BYE],MATCH(TableQBRanks3040[[#This Row],[Player]],TableQBCalcPts[PLAYER],0)),"")</f>
        <v>10</v>
      </c>
      <c r="E28" s="83">
        <f>VLOOKUP(TableQBRanks3040[[#This Row],[Player]],QB!B:O,4,FALSE)</f>
        <v>533.09609999999998</v>
      </c>
      <c r="F28" s="83">
        <f>VLOOKUP(TableQBRanks3040[[#This Row],[Player]],QB!B:O,5,FALSE)</f>
        <v>351.78113362458947</v>
      </c>
      <c r="G28" s="83">
        <f>VLOOKUP(TableQBRanks3040[[#This Row],[Player]],QB!B:O,6,FALSE)</f>
        <v>3905.2688817822068</v>
      </c>
      <c r="H28" s="83">
        <f>VLOOKUP(TableQBRanks3040[[#This Row],[Player]],QB!B:O,7,FALSE)</f>
        <v>24.547322032075023</v>
      </c>
      <c r="I28" s="83">
        <f>VLOOKUP(TableQBRanks3040[[#This Row],[Player]],QB!B:O,8,FALSE)</f>
        <v>6.9770339945520314</v>
      </c>
      <c r="J28" s="83">
        <f>VLOOKUP(TableQBRanks3040[[#This Row],[Player]],QB!B:O,9,FALSE)</f>
        <v>39.133084619999998</v>
      </c>
      <c r="K28" s="83">
        <f>VLOOKUP(TableQBRanks3040[[#This Row],[Player]],QB!B:O,10,FALSE)</f>
        <v>171.10632306721794</v>
      </c>
      <c r="L28" s="83">
        <f>VLOOKUP(TableQBRanks3040[[#This Row],[Player]],QB!B:O,11,FALSE)</f>
        <v>1.2131256232199998</v>
      </c>
      <c r="M28" s="57">
        <f>VLOOKUP(TableQBRanks3040[[#This Row],[Player]],QB!B:O,13,FALSE)</f>
        <v>264.83536145652607</v>
      </c>
      <c r="N28" s="125">
        <f>IF(VLOOKUP(TableQBRanks3040[[#This Row],[RK]],'Ranks w Proj'!$A:$N,14,FALSE)&lt;0,0,VLOOKUP(TableQBRanks3040[[#This Row],[RK]],'Ranks w Proj'!$A:$N,14,FALSE))</f>
        <v>0</v>
      </c>
      <c r="P28">
        <v>27</v>
      </c>
      <c r="Q28" t="str">
        <f>VLOOKUP(TableRBRanks3141[[#This Row],[RK]],Rankings!A:T,8,FALSE)</f>
        <v>David Montgomery</v>
      </c>
      <c r="R28" t="str">
        <f>IFERROR(INDEX(TableRBCalcPts[TM],MATCH(TableRBRanks3141[[#This Row],[Player]],TableRBCalcPts[PLAYER],0)),"")</f>
        <v>DET</v>
      </c>
      <c r="S28">
        <f>IFERROR(INDEX(TableRBCalcPts[BYE],MATCH(TableRBRanks3141[[#This Row],[Player]],TableRBCalcPts[PLAYER],0)),"")</f>
        <v>5</v>
      </c>
      <c r="T28" s="83">
        <f>VLOOKUP(TableRBRanks3141[[#This Row],[Player]],RB!B:O,4,FALSE)</f>
        <v>200.30321920000003</v>
      </c>
      <c r="U28" s="83">
        <f>VLOOKUP(TableRBRanks3141[[#This Row],[Player]],RB!B:O,5,FALSE)</f>
        <v>889.34629324800017</v>
      </c>
      <c r="V28" s="83">
        <f>VLOOKUP(TableRBRanks3141[[#This Row],[Player]],RB!B:O,6,FALSE)</f>
        <v>10.135342891520001</v>
      </c>
      <c r="W28" s="83">
        <f>VLOOKUP(TableRBRanks3141[[#This Row],[Player]],RB!B:O,7,FALSE)</f>
        <v>23.706983999999999</v>
      </c>
      <c r="X28" s="83">
        <f>VLOOKUP(TableRBRanks3141[[#This Row],[Player]],RB!B:O,8,FALSE)</f>
        <v>17.377219271999998</v>
      </c>
      <c r="Y28" s="83">
        <f>VLOOKUP(TableRBRanks3141[[#This Row],[Player]],RB!B:O,9,FALSE)</f>
        <v>129.2344336827511</v>
      </c>
      <c r="Z28" s="83">
        <f>VLOOKUP(TableRBRanks3141[[#This Row],[Player]],RB!B:O,10,FALSE)</f>
        <v>0.69508877087999987</v>
      </c>
      <c r="AA28" s="57">
        <f>VLOOKUP(TableRBRanks3141[[#This Row],[Player]],RB!B:O,14,FALSE)</f>
        <v>175.52927230347515</v>
      </c>
      <c r="AB28" s="125">
        <f>IF(VLOOKUP(TableRBRanks3141[[#This Row],[RK]],'Ranks w Proj'!$P:$AB,13,FALSE)&lt;0,0,VLOOKUP(TableRBRanks3141[[#This Row],[RK]],'Ranks w Proj'!$P:$AB,13,FALSE))</f>
        <v>19.83369485904398</v>
      </c>
      <c r="AD28">
        <v>27</v>
      </c>
      <c r="AE28" t="str">
        <f>VLOOKUP(TableWRRanks3242[[#This Row],[RK]],Rankings!A:T,13,FALSE)</f>
        <v>Malik Nabers</v>
      </c>
      <c r="AF28" t="str">
        <f>IFERROR(INDEX(TableWRCalcPts[TM],MATCH(TableWRRanks3242[[#This Row],[Player]],TableWRCalcPts[PLAYER],0)),"")</f>
        <v>NYG</v>
      </c>
      <c r="AG28">
        <f>IFERROR(INDEX(TableWRCalcPts[BYE],MATCH(TableWRRanks3242[[#This Row],[Player]],TableWRCalcPts[PLAYER],0)),"")</f>
        <v>11</v>
      </c>
      <c r="AH28" s="83">
        <f>VLOOKUP(TableWRRanks3242[[#This Row],[Player]],WR!B:O,4,FALSE)</f>
        <v>0</v>
      </c>
      <c r="AI28" s="83">
        <f>VLOOKUP(TableWRRanks3242[[#This Row],[Player]],WR!B:O,5,FALSE)</f>
        <v>0</v>
      </c>
      <c r="AJ28" s="83">
        <f>VLOOKUP(TableWRRanks3242[[#This Row],[Player]],WR!B:O,6,FALSE)</f>
        <v>133.58811983999996</v>
      </c>
      <c r="AK28" s="83">
        <f>VLOOKUP(TableWRRanks3242[[#This Row],[Player]],WR!B:O,7,FALSE)</f>
        <v>85.897161057119959</v>
      </c>
      <c r="AL28" s="83">
        <f>VLOOKUP(TableWRRanks3242[[#This Row],[Player]],WR!B:O,8,FALSE)</f>
        <v>1100.3426331417068</v>
      </c>
      <c r="AM28" s="83">
        <f>VLOOKUP(TableWRRanks3242[[#This Row],[Player]],WR!B:O,9,FALSE)</f>
        <v>5.8753658163070055</v>
      </c>
      <c r="AN28" s="57">
        <f>VLOOKUP(TableWRRanks3242[[#This Row],[Player]],WR!B:O,13,FALSE)</f>
        <v>188.23503874057269</v>
      </c>
      <c r="AO28" s="125">
        <f>IF(VLOOKUP(TableWRRanks3242[[#This Row],[RK]],'Ranks w Proj'!AD:AO,12,FALSE)&lt;0,0,VLOOKUP(TableWRRanks3242[[#This Row],[RK]],'Ranks w Proj'!AD:AO,12,FALSE))</f>
        <v>16.71301975947781</v>
      </c>
      <c r="AQ28">
        <v>27</v>
      </c>
      <c r="AR28" t="str">
        <f>VLOOKUP(TableTERanks3343[[#This Row],[RK]],Rankings!A:T,18,FALSE)</f>
        <v>Ben Sinnott</v>
      </c>
      <c r="AS28" t="str">
        <f>IFERROR(INDEX(TableTECalcPts[TM],MATCH(TableTERanks3343[[#This Row],[Player]],TableTECalcPts[PLAYER],0)),"")</f>
        <v>WSH</v>
      </c>
      <c r="AT28">
        <f>IFERROR(INDEX(TableTECalcPts[BYE],MATCH(TableTERanks3343[[#This Row],[Player]],TableTECalcPts[PLAYER],0)),"")</f>
        <v>14</v>
      </c>
      <c r="AU28" s="83">
        <f>VLOOKUP(TableTERanks3343[[#This Row],[Player]],TE!B:O,4,FALSE)</f>
        <v>60.057183200000011</v>
      </c>
      <c r="AV28" s="83">
        <f>VLOOKUP(TableTERanks3343[[#This Row],[Player]],TE!B:O,5,FALSE)</f>
        <v>39.157283446400008</v>
      </c>
      <c r="AW28" s="83">
        <f>VLOOKUP(TableTERanks3343[[#This Row],[Player]],TE!B:O,6,FALSE)</f>
        <v>411.1514761872001</v>
      </c>
      <c r="AX28" s="83">
        <f>VLOOKUP(TableTERanks3343[[#This Row],[Player]],TE!B:O,7,FALSE)</f>
        <v>3.1325826757120008</v>
      </c>
      <c r="AY28" s="57">
        <f>VLOOKUP(TableTERanks3343[[#This Row],[Player]],TE!B:O,11,FALSE)</f>
        <v>79.489285396192031</v>
      </c>
      <c r="AZ28" s="125">
        <f>IF(VLOOKUP(TableTERanks3343[[#This Row],[RK]],'Ranks w Proj'!AQ:AZ,10,FALSE)&lt;0,0,VLOOKUP(TableTERanks3343[[#This Row],[RK]],'Ranks w Proj'!AQ:AZ,10,FALSE))</f>
        <v>0</v>
      </c>
    </row>
    <row r="29" spans="1:52" x14ac:dyDescent="0.2">
      <c r="A29">
        <v>28</v>
      </c>
      <c r="B29" t="str">
        <f>VLOOKUP(TableQBRanks3040[[#This Row],[RK]],Rankings!A:T,3,FALSE)</f>
        <v>Daniel Jones</v>
      </c>
      <c r="C29" t="str">
        <f>IFERROR(INDEX(TableQBCalcPts[TM],MATCH(TableQBRanks3040[[#This Row],[Player]],TableQBCalcPts[PLAYER],0)),"")</f>
        <v>NYG</v>
      </c>
      <c r="D29">
        <f>IFERROR(INDEX(TableQBCalcPts[BYE],MATCH(TableQBRanks3040[[#This Row],[Player]],TableQBCalcPts[PLAYER],0)),"")</f>
        <v>11</v>
      </c>
      <c r="E29" s="83">
        <f>VLOOKUP(TableQBRanks3040[[#This Row],[Player]],QB!B:O,4,FALSE)</f>
        <v>450.37799999999993</v>
      </c>
      <c r="F29" s="83">
        <f>VLOOKUP(TableQBRanks3040[[#This Row],[Player]],QB!B:O,5,FALSE)</f>
        <v>295.49875556346564</v>
      </c>
      <c r="G29" s="83">
        <f>VLOOKUP(TableQBRanks3040[[#This Row],[Player]],QB!B:O,6,FALSE)</f>
        <v>3022.9522694142538</v>
      </c>
      <c r="H29" s="83">
        <f>VLOOKUP(TableQBRanks3040[[#This Row],[Player]],QB!B:O,7,FALSE)</f>
        <v>15.248493414589323</v>
      </c>
      <c r="I29" s="83">
        <f>VLOOKUP(TableQBRanks3040[[#This Row],[Player]],QB!B:O,8,FALSE)</f>
        <v>5.8884208901017745</v>
      </c>
      <c r="J29" s="83">
        <f>VLOOKUP(TableQBRanks3040[[#This Row],[Player]],QB!B:O,9,FALSE)</f>
        <v>65.781912000000005</v>
      </c>
      <c r="K29" s="83">
        <f>VLOOKUP(TableQBRanks3040[[#This Row],[Player]],QB!B:O,10,FALSE)</f>
        <v>334.76764807714903</v>
      </c>
      <c r="L29" s="83">
        <f>VLOOKUP(TableQBRanks3040[[#This Row],[Player]],QB!B:O,11,FALSE)</f>
        <v>3.2233136880000002</v>
      </c>
      <c r="M29" s="57">
        <f>VLOOKUP(TableQBRanks3040[[#This Row],[Player]],QB!B:O,13,FALSE)</f>
        <v>222.95186959043883</v>
      </c>
      <c r="N29" s="125">
        <f>IF(VLOOKUP(TableQBRanks3040[[#This Row],[RK]],'Ranks w Proj'!$A:$N,14,FALSE)&lt;0,0,VLOOKUP(TableQBRanks3040[[#This Row],[RK]],'Ranks w Proj'!$A:$N,14,FALSE))</f>
        <v>0</v>
      </c>
      <c r="P29">
        <v>28</v>
      </c>
      <c r="Q29" t="str">
        <f>VLOOKUP(TableRBRanks3141[[#This Row],[RK]],Rankings!A:T,8,FALSE)</f>
        <v>Devin Singletary</v>
      </c>
      <c r="R29" t="str">
        <f>IFERROR(INDEX(TableRBCalcPts[TM],MATCH(TableRBRanks3141[[#This Row],[Player]],TableRBCalcPts[PLAYER],0)),"")</f>
        <v>NYG</v>
      </c>
      <c r="S29">
        <f>IFERROR(INDEX(TableRBCalcPts[BYE],MATCH(TableRBRanks3141[[#This Row],[Player]],TableRBCalcPts[PLAYER],0)),"")</f>
        <v>11</v>
      </c>
      <c r="T29" s="83">
        <f>VLOOKUP(TableRBRanks3141[[#This Row],[Player]],RB!B:O,4,FALSE)</f>
        <v>235.49924496000006</v>
      </c>
      <c r="U29" s="83">
        <f>VLOOKUP(TableRBRanks3141[[#This Row],[Player]],RB!B:O,5,FALSE)</f>
        <v>992.98233536136365</v>
      </c>
      <c r="V29" s="83">
        <f>VLOOKUP(TableRBRanks3141[[#This Row],[Player]],RB!B:O,6,FALSE)</f>
        <v>6.5939788588800017</v>
      </c>
      <c r="W29" s="83">
        <f>VLOOKUP(TableRBRanks3141[[#This Row],[Player]],RB!B:O,7,FALSE)</f>
        <v>44.725537919999987</v>
      </c>
      <c r="X29" s="83">
        <f>VLOOKUP(TableRBRanks3141[[#This Row],[Player]],RB!B:O,8,FALSE)</f>
        <v>32.739093757439989</v>
      </c>
      <c r="Y29" s="83">
        <f>VLOOKUP(TableRBRanks3141[[#This Row],[Player]],RB!B:O,9,FALSE)</f>
        <v>215.11835732454028</v>
      </c>
      <c r="Z29" s="83">
        <f>VLOOKUP(TableRBRanks3141[[#This Row],[Player]],RB!B:O,10,FALSE)</f>
        <v>0.83764048718697603</v>
      </c>
      <c r="AA29" s="57">
        <f>VLOOKUP(TableRBRanks3141[[#This Row],[Player]],RB!B:O,14,FALSE)</f>
        <v>181.76933222371224</v>
      </c>
      <c r="AB29" s="125">
        <f>IF(VLOOKUP(TableRBRanks3141[[#This Row],[RK]],'Ranks w Proj'!$P:$AB,13,FALSE)&lt;0,0,VLOOKUP(TableRBRanks3141[[#This Row],[RK]],'Ranks w Proj'!$P:$AB,13,FALSE))</f>
        <v>19.709883004274634</v>
      </c>
      <c r="AD29">
        <v>28</v>
      </c>
      <c r="AE29" t="str">
        <f>VLOOKUP(TableWRRanks3242[[#This Row],[RK]],Rankings!A:T,13,FALSE)</f>
        <v>Christian Kirk</v>
      </c>
      <c r="AF29" t="str">
        <f>IFERROR(INDEX(TableWRCalcPts[TM],MATCH(TableWRRanks3242[[#This Row],[Player]],TableWRCalcPts[PLAYER],0)),"")</f>
        <v>JAX</v>
      </c>
      <c r="AG29">
        <f>IFERROR(INDEX(TableWRCalcPts[BYE],MATCH(TableWRRanks3242[[#This Row],[Player]],TableWRCalcPts[PLAYER],0)),"")</f>
        <v>12</v>
      </c>
      <c r="AH29" s="83">
        <f>VLOOKUP(TableWRRanks3242[[#This Row],[Player]],WR!B:O,4,FALSE)</f>
        <v>20.158053551999998</v>
      </c>
      <c r="AI29" s="83">
        <f>VLOOKUP(TableWRRanks3242[[#This Row],[Player]],WR!B:O,5,FALSE)</f>
        <v>1.9425730309908129E-2</v>
      </c>
      <c r="AJ29" s="83">
        <f>VLOOKUP(TableWRRanks3242[[#This Row],[Player]],WR!B:O,6,FALSE)</f>
        <v>132.48231919999998</v>
      </c>
      <c r="AK29" s="83">
        <f>VLOOKUP(TableWRRanks3242[[#This Row],[Player]],WR!B:O,7,FALSE)</f>
        <v>86.24598979919999</v>
      </c>
      <c r="AL29" s="83">
        <f>VLOOKUP(TableWRRanks3242[[#This Row],[Player]],WR!B:O,8,FALSE)</f>
        <v>1066.8628938161039</v>
      </c>
      <c r="AM29" s="83">
        <f>VLOOKUP(TableWRRanks3242[[#This Row],[Player]],WR!B:O,9,FALSE)</f>
        <v>5.6059893369479994</v>
      </c>
      <c r="AN29" s="57">
        <f>VLOOKUP(TableWRRanks3242[[#This Row],[Player]],WR!B:O,13,FALSE)</f>
        <v>185.57758003995784</v>
      </c>
      <c r="AO29" s="125">
        <f>IF(VLOOKUP(TableWRRanks3242[[#This Row],[RK]],'Ranks w Proj'!AD:AO,12,FALSE)&lt;0,0,VLOOKUP(TableWRRanks3242[[#This Row],[RK]],'Ranks w Proj'!AD:AO,12,FALSE))</f>
        <v>16.537363459485057</v>
      </c>
      <c r="AQ29">
        <v>28</v>
      </c>
      <c r="AR29" t="str">
        <f>VLOOKUP(TableTERanks3343[[#This Row],[RK]],Rankings!A:T,18,FALSE)</f>
        <v>Chigoziem Okonkwo</v>
      </c>
      <c r="AS29" t="str">
        <f>IFERROR(INDEX(TableTECalcPts[TM],MATCH(TableTERanks3343[[#This Row],[Player]],TableTECalcPts[PLAYER],0)),"")</f>
        <v>TEN</v>
      </c>
      <c r="AT29">
        <f>IFERROR(INDEX(TableTECalcPts[BYE],MATCH(TableTERanks3343[[#This Row],[Player]],TableTECalcPts[PLAYER],0)),"")</f>
        <v>5</v>
      </c>
      <c r="AU29" s="83">
        <f>VLOOKUP(TableTERanks3343[[#This Row],[Player]],TE!B:O,4,FALSE)</f>
        <v>82.720577939999984</v>
      </c>
      <c r="AV29" s="83">
        <f>VLOOKUP(TableTERanks3343[[#This Row],[Player]],TE!B:O,5,FALSE)</f>
        <v>54.595581440399975</v>
      </c>
      <c r="AW29" s="83">
        <f>VLOOKUP(TableTERanks3343[[#This Row],[Player]],TE!B:O,6,FALSE)</f>
        <v>601.64330747320776</v>
      </c>
      <c r="AX29" s="83">
        <f>VLOOKUP(TableTERanks3343[[#This Row],[Player]],TE!B:O,7,FALSE)</f>
        <v>3.8216907008279986</v>
      </c>
      <c r="AY29" s="57">
        <f>VLOOKUP(TableTERanks3343[[#This Row],[Player]],TE!B:O,11,FALSE)</f>
        <v>110.39226567248875</v>
      </c>
      <c r="AZ29" s="125">
        <f>IF(VLOOKUP(TableTERanks3343[[#This Row],[RK]],'Ranks w Proj'!AQ:AZ,10,FALSE)&lt;0,0,VLOOKUP(TableTERanks3343[[#This Row],[RK]],'Ranks w Proj'!AQ:AZ,10,FALSE))</f>
        <v>0</v>
      </c>
    </row>
    <row r="30" spans="1:52" x14ac:dyDescent="0.2">
      <c r="A30">
        <v>29</v>
      </c>
      <c r="B30" t="str">
        <f>VLOOKUP(TableQBRanks3040[[#This Row],[RK]],Rankings!A:T,3,FALSE)</f>
        <v>Derek Carr</v>
      </c>
      <c r="C30" t="str">
        <f>IFERROR(INDEX(TableQBCalcPts[TM],MATCH(TableQBRanks3040[[#This Row],[Player]],TableQBCalcPts[PLAYER],0)),"")</f>
        <v>NO</v>
      </c>
      <c r="D30">
        <f>IFERROR(INDEX(TableQBCalcPts[BYE],MATCH(TableQBRanks3040[[#This Row],[Player]],TableQBCalcPts[PLAYER],0)),"")</f>
        <v>12</v>
      </c>
      <c r="E30" s="83">
        <f>VLOOKUP(TableQBRanks3040[[#This Row],[Player]],QB!B:O,4,FALSE)</f>
        <v>555.98179999999991</v>
      </c>
      <c r="F30" s="83">
        <f>VLOOKUP(TableQBRanks3040[[#This Row],[Player]],QB!B:O,5,FALSE)</f>
        <v>370.27865528890595</v>
      </c>
      <c r="G30" s="83">
        <f>VLOOKUP(TableQBRanks3040[[#This Row],[Player]],QB!B:O,6,FALSE)</f>
        <v>4006.9905147315835</v>
      </c>
      <c r="H30" s="83">
        <f>VLOOKUP(TableQBRanks3040[[#This Row],[Player]],QB!B:O,7,FALSE)</f>
        <v>25.274877634063259</v>
      </c>
      <c r="I30" s="83">
        <f>VLOOKUP(TableQBRanks3040[[#This Row],[Player]],QB!B:O,8,FALSE)</f>
        <v>6.4497544319124875</v>
      </c>
      <c r="J30" s="83">
        <f>VLOOKUP(TableQBRanks3040[[#This Row],[Player]],QB!B:O,9,FALSE)</f>
        <v>21.989044000000003</v>
      </c>
      <c r="K30" s="83">
        <f>VLOOKUP(TableQBRanks3040[[#This Row],[Player]],QB!B:O,10,FALSE)</f>
        <v>62.031989982224346</v>
      </c>
      <c r="L30" s="83">
        <f>VLOOKUP(TableQBRanks3040[[#This Row],[Player]],QB!B:O,11,FALSE)</f>
        <v>0.21989044000000005</v>
      </c>
      <c r="M30" s="57">
        <f>VLOOKUP(TableQBRanks3040[[#This Row],[Player]],QB!B:O,13,FALSE)</f>
        <v>256.00216389991385</v>
      </c>
      <c r="N30" s="125">
        <f>IF(VLOOKUP(TableQBRanks3040[[#This Row],[RK]],'Ranks w Proj'!$A:$N,14,FALSE)&lt;0,0,VLOOKUP(TableQBRanks3040[[#This Row],[RK]],'Ranks w Proj'!$A:$N,14,FALSE))</f>
        <v>0</v>
      </c>
      <c r="P30">
        <v>29</v>
      </c>
      <c r="Q30" t="str">
        <f>VLOOKUP(TableRBRanks3141[[#This Row],[RK]],Rankings!A:T,8,FALSE)</f>
        <v>Tony Pollard</v>
      </c>
      <c r="R30" t="str">
        <f>IFERROR(INDEX(TableRBCalcPts[TM],MATCH(TableRBRanks3141[[#This Row],[Player]],TableRBCalcPts[PLAYER],0)),"")</f>
        <v>TEN</v>
      </c>
      <c r="S30">
        <f>IFERROR(INDEX(TableRBCalcPts[BYE],MATCH(TableRBRanks3141[[#This Row],[Player]],TableRBCalcPts[PLAYER],0)),"")</f>
        <v>5</v>
      </c>
      <c r="T30" s="83">
        <f>VLOOKUP(TableRBRanks3141[[#This Row],[Player]],RB!B:O,4,FALSE)</f>
        <v>206.10016812000001</v>
      </c>
      <c r="U30" s="83">
        <f>VLOOKUP(TableRBRanks3141[[#This Row],[Player]],RB!B:O,5,FALSE)</f>
        <v>867.00173278565296</v>
      </c>
      <c r="V30" s="83">
        <f>VLOOKUP(TableRBRanks3141[[#This Row],[Player]],RB!B:O,6,FALSE)</f>
        <v>6.3891052117200005</v>
      </c>
      <c r="W30" s="83">
        <f>VLOOKUP(TableRBRanks3141[[#This Row],[Player]],RB!B:O,7,FALSE)</f>
        <v>43.384918499999998</v>
      </c>
      <c r="X30" s="83">
        <f>VLOOKUP(TableRBRanks3141[[#This Row],[Player]],RB!B:O,8,FALSE)</f>
        <v>33.276232489499996</v>
      </c>
      <c r="Y30" s="83">
        <f>VLOOKUP(TableRBRanks3141[[#This Row],[Player]],RB!B:O,9,FALSE)</f>
        <v>251.23555529572496</v>
      </c>
      <c r="Z30" s="83">
        <f>VLOOKUP(TableRBRanks3141[[#This Row],[Player]],RB!B:O,10,FALSE)</f>
        <v>1.397601764559</v>
      </c>
      <c r="AA30" s="57">
        <f>VLOOKUP(TableRBRanks3141[[#This Row],[Player]],RB!B:O,14,FALSE)</f>
        <v>175.18208691056179</v>
      </c>
      <c r="AB30" s="125">
        <f>IF(VLOOKUP(TableRBRanks3141[[#This Row],[RK]],'Ranks w Proj'!$P:$AB,13,FALSE)&lt;0,0,VLOOKUP(TableRBRanks3141[[#This Row],[RK]],'Ranks w Proj'!$P:$AB,13,FALSE))</f>
        <v>19.28869291384563</v>
      </c>
      <c r="AD30">
        <v>29</v>
      </c>
      <c r="AE30" t="str">
        <f>VLOOKUP(TableWRRanks3242[[#This Row],[RK]],Rankings!A:T,13,FALSE)</f>
        <v>Michael Pittman</v>
      </c>
      <c r="AF30" t="str">
        <f>IFERROR(INDEX(TableWRCalcPts[TM],MATCH(TableWRRanks3242[[#This Row],[Player]],TableWRCalcPts[PLAYER],0)),"")</f>
        <v>IND</v>
      </c>
      <c r="AG30">
        <f>IFERROR(INDEX(TableWRCalcPts[BYE],MATCH(TableWRRanks3242[[#This Row],[Player]],TableWRCalcPts[PLAYER],0)),"")</f>
        <v>14</v>
      </c>
      <c r="AH30" s="83">
        <f>VLOOKUP(TableWRRanks3242[[#This Row],[Player]],WR!B:O,4,FALSE)</f>
        <v>0</v>
      </c>
      <c r="AI30" s="83">
        <f>VLOOKUP(TableWRRanks3242[[#This Row],[Player]],WR!B:O,5,FALSE)</f>
        <v>0</v>
      </c>
      <c r="AJ30" s="83">
        <f>VLOOKUP(TableWRRanks3242[[#This Row],[Player]],WR!B:O,6,FALSE)</f>
        <v>133.08384320000002</v>
      </c>
      <c r="AK30" s="83">
        <f>VLOOKUP(TableWRRanks3242[[#This Row],[Player]],WR!B:O,7,FALSE)</f>
        <v>84.242072745599998</v>
      </c>
      <c r="AL30" s="83">
        <f>VLOOKUP(TableWRRanks3242[[#This Row],[Player]],WR!B:O,8,FALSE)</f>
        <v>963.72931220966393</v>
      </c>
      <c r="AM30" s="83">
        <f>VLOOKUP(TableWRRanks3242[[#This Row],[Player]],WR!B:O,9,FALSE)</f>
        <v>5.8127030194464</v>
      </c>
      <c r="AN30" s="57">
        <f>VLOOKUP(TableWRRanks3242[[#This Row],[Player]],WR!B:O,13,FALSE)</f>
        <v>173.37018571044479</v>
      </c>
      <c r="AO30" s="125">
        <f>IF(VLOOKUP(TableWRRanks3242[[#This Row],[RK]],'Ranks w Proj'!AD:AO,12,FALSE)&lt;0,0,VLOOKUP(TableWRRanks3242[[#This Row],[RK]],'Ranks w Proj'!AD:AO,12,FALSE))</f>
        <v>15.837201254197881</v>
      </c>
      <c r="AQ30">
        <v>29</v>
      </c>
      <c r="AR30" t="str">
        <f>VLOOKUP(TableTERanks3343[[#This Row],[RK]],Rankings!A:T,18,FALSE)</f>
        <v>Colby Parkinson</v>
      </c>
      <c r="AS30" t="str">
        <f>IFERROR(INDEX(TableTECalcPts[TM],MATCH(TableTERanks3343[[#This Row],[Player]],TableTECalcPts[PLAYER],0)),"")</f>
        <v>LAR</v>
      </c>
      <c r="AT30">
        <f>IFERROR(INDEX(TableTECalcPts[BYE],MATCH(TableTERanks3343[[#This Row],[Player]],TableTECalcPts[PLAYER],0)),"")</f>
        <v>6</v>
      </c>
      <c r="AU30" s="83">
        <f>VLOOKUP(TableTERanks3343[[#This Row],[Player]],TE!B:O,4,FALSE)</f>
        <v>62.792300479999994</v>
      </c>
      <c r="AV30" s="83">
        <f>VLOOKUP(TableTERanks3343[[#This Row],[Player]],TE!B:O,5,FALSE)</f>
        <v>41.56850291776</v>
      </c>
      <c r="AW30" s="83">
        <f>VLOOKUP(TableTERanks3343[[#This Row],[Player]],TE!B:O,6,FALSE)</f>
        <v>422.57731804449213</v>
      </c>
      <c r="AX30" s="83">
        <f>VLOOKUP(TableTERanks3343[[#This Row],[Player]],TE!B:O,7,FALSE)</f>
        <v>3.0222667348114851</v>
      </c>
      <c r="AY30" s="57">
        <f>VLOOKUP(TableTERanks3343[[#This Row],[Player]],TE!B:O,11,FALSE)</f>
        <v>81.17558367219813</v>
      </c>
      <c r="AZ30" s="125">
        <f>IF(VLOOKUP(TableTERanks3343[[#This Row],[RK]],'Ranks w Proj'!AQ:AZ,10,FALSE)&lt;0,0,VLOOKUP(TableTERanks3343[[#This Row],[RK]],'Ranks w Proj'!AQ:AZ,10,FALSE))</f>
        <v>0</v>
      </c>
    </row>
    <row r="31" spans="1:52" x14ac:dyDescent="0.2">
      <c r="A31">
        <v>30</v>
      </c>
      <c r="B31" t="str">
        <f>VLOOKUP(TableQBRanks3040[[#This Row],[RK]],Rankings!A:T,3,FALSE)</f>
        <v>Gardner Minshew</v>
      </c>
      <c r="C31" t="str">
        <f>IFERROR(INDEX(TableQBCalcPts[TM],MATCH(TableQBRanks3040[[#This Row],[Player]],TableQBCalcPts[PLAYER],0)),"")</f>
        <v>LV</v>
      </c>
      <c r="D31">
        <f>IFERROR(INDEX(TableQBCalcPts[BYE],MATCH(TableQBRanks3040[[#This Row],[Player]],TableQBCalcPts[PLAYER],0)),"")</f>
        <v>10</v>
      </c>
      <c r="E31" s="83">
        <f>VLOOKUP(TableQBRanks3040[[#This Row],[Player]],QB!B:O,4,FALSE)</f>
        <v>356.7</v>
      </c>
      <c r="F31" s="83">
        <f>VLOOKUP(TableQBRanks3040[[#This Row],[Player]],QB!B:O,5,FALSE)</f>
        <v>225.75824425507463</v>
      </c>
      <c r="G31" s="83">
        <f>VLOOKUP(TableQBRanks3040[[#This Row],[Player]],QB!B:O,6,FALSE)</f>
        <v>2490.1134341334732</v>
      </c>
      <c r="H31" s="83">
        <f>VLOOKUP(TableQBRanks3040[[#This Row],[Player]],QB!B:O,7,FALSE)</f>
        <v>14.151877824588276</v>
      </c>
      <c r="I31" s="83">
        <f>VLOOKUP(TableQBRanks3040[[#This Row],[Player]],QB!B:O,8,FALSE)</f>
        <v>4.5128046263222679</v>
      </c>
      <c r="J31" s="83">
        <f>VLOOKUP(TableQBRanks3040[[#This Row],[Player]],QB!B:O,9,FALSE)</f>
        <v>16.875600000000002</v>
      </c>
      <c r="K31" s="83">
        <f>VLOOKUP(TableQBRanks3040[[#This Row],[Player]],QB!B:O,10,FALSE)</f>
        <v>54.293457007236555</v>
      </c>
      <c r="L31" s="83">
        <f>VLOOKUP(TableQBRanks3040[[#This Row],[Player]],QB!B:O,11,FALSE)</f>
        <v>0.7363239903512705</v>
      </c>
      <c r="M31" s="57">
        <f>VLOOKUP(TableQBRanks3040[[#This Row],[Player]],QB!B:O,13,FALSE)</f>
        <v>157.03372905387877</v>
      </c>
      <c r="N31" s="125">
        <f>IF(VLOOKUP(TableQBRanks3040[[#This Row],[RK]],'Ranks w Proj'!$A:$N,14,FALSE)&lt;0,0,VLOOKUP(TableQBRanks3040[[#This Row],[RK]],'Ranks w Proj'!$A:$N,14,FALSE))</f>
        <v>0</v>
      </c>
      <c r="P31">
        <v>30</v>
      </c>
      <c r="Q31" t="str">
        <f>VLOOKUP(TableRBRanks3141[[#This Row],[RK]],Rankings!A:T,8,FALSE)</f>
        <v>Najee Harris</v>
      </c>
      <c r="R31" t="str">
        <f>IFERROR(INDEX(TableRBCalcPts[TM],MATCH(TableRBRanks3141[[#This Row],[Player]],TableRBCalcPts[PLAYER],0)),"")</f>
        <v>PIT</v>
      </c>
      <c r="S31">
        <f>IFERROR(INDEX(TableRBCalcPts[BYE],MATCH(TableRBRanks3141[[#This Row],[Player]],TableRBCalcPts[PLAYER],0)),"")</f>
        <v>9</v>
      </c>
      <c r="T31" s="83">
        <f>VLOOKUP(TableRBRanks3141[[#This Row],[Player]],RB!B:O,4,FALSE)</f>
        <v>210.5334</v>
      </c>
      <c r="U31" s="83">
        <f>VLOOKUP(TableRBRanks3141[[#This Row],[Player]],RB!B:O,5,FALSE)</f>
        <v>871.60827599999993</v>
      </c>
      <c r="V31" s="83">
        <f>VLOOKUP(TableRBRanks3141[[#This Row],[Player]],RB!B:O,6,FALSE)</f>
        <v>6.5265354000000002</v>
      </c>
      <c r="W31" s="83">
        <f>VLOOKUP(TableRBRanks3141[[#This Row],[Player]],RB!B:O,7,FALSE)</f>
        <v>31.379355</v>
      </c>
      <c r="X31" s="83">
        <f>VLOOKUP(TableRBRanks3141[[#This Row],[Player]],RB!B:O,8,FALSE)</f>
        <v>22.812791085000001</v>
      </c>
      <c r="Y31" s="83">
        <f>VLOOKUP(TableRBRanks3141[[#This Row],[Player]],RB!B:O,9,FALSE)</f>
        <v>146.68624667654998</v>
      </c>
      <c r="Z31" s="83">
        <f>VLOOKUP(TableRBRanks3141[[#This Row],[Player]],RB!B:O,10,FALSE)</f>
        <v>0.93532443448500002</v>
      </c>
      <c r="AA31" s="57">
        <f>VLOOKUP(TableRBRanks3141[[#This Row],[Player]],RB!B:O,14,FALSE)</f>
        <v>158.00700681706502</v>
      </c>
      <c r="AB31" s="125">
        <f>IF(VLOOKUP(TableRBRanks3141[[#This Row],[RK]],'Ranks w Proj'!$P:$AB,13,FALSE)&lt;0,0,VLOOKUP(TableRBRanks3141[[#This Row],[RK]],'Ranks w Proj'!$P:$AB,13,FALSE))</f>
        <v>17.589856165658606</v>
      </c>
      <c r="AD31">
        <v>30</v>
      </c>
      <c r="AE31" t="str">
        <f>VLOOKUP(TableWRRanks3242[[#This Row],[RK]],Rankings!A:T,13,FALSE)</f>
        <v>Diontae Johnson</v>
      </c>
      <c r="AF31" t="str">
        <f>IFERROR(INDEX(TableWRCalcPts[TM],MATCH(TableWRRanks3242[[#This Row],[Player]],TableWRCalcPts[PLAYER],0)),"")</f>
        <v>CAR</v>
      </c>
      <c r="AG31">
        <f>IFERROR(INDEX(TableWRCalcPts[BYE],MATCH(TableWRRanks3242[[#This Row],[Player]],TableWRCalcPts[PLAYER],0)),"")</f>
        <v>11</v>
      </c>
      <c r="AH31" s="83">
        <f>VLOOKUP(TableWRRanks3242[[#This Row],[Player]],WR!B:O,4,FALSE)</f>
        <v>0</v>
      </c>
      <c r="AI31" s="83">
        <f>VLOOKUP(TableWRRanks3242[[#This Row],[Player]],WR!B:O,5,FALSE)</f>
        <v>0</v>
      </c>
      <c r="AJ31" s="83">
        <f>VLOOKUP(TableWRRanks3242[[#This Row],[Player]],WR!B:O,6,FALSE)</f>
        <v>127.41744399999997</v>
      </c>
      <c r="AK31" s="83">
        <f>VLOOKUP(TableWRRanks3242[[#This Row],[Player]],WR!B:O,7,FALSE)</f>
        <v>76.832718732000004</v>
      </c>
      <c r="AL31" s="83">
        <f>VLOOKUP(TableWRRanks3242[[#This Row],[Player]],WR!B:O,8,FALSE)</f>
        <v>975.77552789640004</v>
      </c>
      <c r="AM31" s="83">
        <f>VLOOKUP(TableWRRanks3242[[#This Row],[Player]],WR!B:O,9,FALSE)</f>
        <v>5.9161193423640004</v>
      </c>
      <c r="AN31" s="57">
        <f>VLOOKUP(TableWRRanks3242[[#This Row],[Player]],WR!B:O,13,FALSE)</f>
        <v>171.49062820982402</v>
      </c>
      <c r="AO31" s="125">
        <f>IF(VLOOKUP(TableWRRanks3242[[#This Row],[RK]],'Ranks w Proj'!AD:AO,12,FALSE)&lt;0,0,VLOOKUP(TableWRRanks3242[[#This Row],[RK]],'Ranks w Proj'!AD:AO,12,FALSE))</f>
        <v>15.55217423420951</v>
      </c>
      <c r="AQ31">
        <v>30</v>
      </c>
      <c r="AR31" t="str">
        <f>VLOOKUP(TableTERanks3343[[#This Row],[RK]],Rankings!A:T,18,FALSE)</f>
        <v>Noah Fant</v>
      </c>
      <c r="AS31" t="str">
        <f>IFERROR(INDEX(TableTECalcPts[TM],MATCH(TableTERanks3343[[#This Row],[Player]],TableTECalcPts[PLAYER],0)),"")</f>
        <v>SEA</v>
      </c>
      <c r="AT31">
        <f>IFERROR(INDEX(TableTECalcPts[BYE],MATCH(TableTERanks3343[[#This Row],[Player]],TableTECalcPts[PLAYER],0)),"")</f>
        <v>10</v>
      </c>
      <c r="AU31" s="83">
        <f>VLOOKUP(TableTERanks3343[[#This Row],[Player]],TE!B:O,4,FALSE)</f>
        <v>56.887277159999996</v>
      </c>
      <c r="AV31" s="83">
        <f>VLOOKUP(TableTERanks3343[[#This Row],[Player]],TE!B:O,5,FALSE)</f>
        <v>39.422883071879994</v>
      </c>
      <c r="AW31" s="83">
        <f>VLOOKUP(TableTERanks3343[[#This Row],[Player]],TE!B:O,6,FALSE)</f>
        <v>424.1451221671137</v>
      </c>
      <c r="AX31" s="83">
        <f>VLOOKUP(TableTERanks3343[[#This Row],[Player]],TE!B:O,7,FALSE)</f>
        <v>2.3773813994617345</v>
      </c>
      <c r="AY31" s="57">
        <f>VLOOKUP(TableTERanks3343[[#This Row],[Player]],TE!B:O,11,FALSE)</f>
        <v>76.39024214942178</v>
      </c>
      <c r="AZ31" s="125">
        <f>IF(VLOOKUP(TableTERanks3343[[#This Row],[RK]],'Ranks w Proj'!AQ:AZ,10,FALSE)&lt;0,0,VLOOKUP(TableTERanks3343[[#This Row],[RK]],'Ranks w Proj'!AQ:AZ,10,FALSE))</f>
        <v>0</v>
      </c>
    </row>
    <row r="32" spans="1:52" x14ac:dyDescent="0.2">
      <c r="A32">
        <v>31</v>
      </c>
      <c r="B32" t="str">
        <f>VLOOKUP(TableQBRanks3040[[#This Row],[RK]],Rankings!A:T,3,FALSE)</f>
        <v>Drake Maye</v>
      </c>
      <c r="C32" t="str">
        <f>IFERROR(INDEX(TableQBCalcPts[TM],MATCH(TableQBRanks3040[[#This Row],[Player]],TableQBCalcPts[PLAYER],0)),"")</f>
        <v>NE</v>
      </c>
      <c r="D32">
        <f>IFERROR(INDEX(TableQBCalcPts[BYE],MATCH(TableQBRanks3040[[#This Row],[Player]],TableQBCalcPts[PLAYER],0)),"")</f>
        <v>14</v>
      </c>
      <c r="E32" s="83">
        <f>VLOOKUP(TableQBRanks3040[[#This Row],[Player]],QB!B:O,4,FALSE)</f>
        <v>390.45510000000002</v>
      </c>
      <c r="F32" s="83">
        <f>VLOOKUP(TableQBRanks3040[[#This Row],[Player]],QB!B:O,5,FALSE)</f>
        <v>244.39298900204221</v>
      </c>
      <c r="G32" s="83">
        <f>VLOOKUP(TableQBRanks3040[[#This Row],[Player]],QB!B:O,6,FALSE)</f>
        <v>2671.2153697923213</v>
      </c>
      <c r="H32" s="83">
        <f>VLOOKUP(TableQBRanks3040[[#This Row],[Player]],QB!B:O,7,FALSE)</f>
        <v>14.49670943766038</v>
      </c>
      <c r="I32" s="83">
        <f>VLOOKUP(TableQBRanks3040[[#This Row],[Player]],QB!B:O,8,FALSE)</f>
        <v>5.0295265899631598</v>
      </c>
      <c r="J32" s="83">
        <f>VLOOKUP(TableQBRanks3040[[#This Row],[Player]],QB!B:O,9,FALSE)</f>
        <v>60.854785600000014</v>
      </c>
      <c r="K32" s="83">
        <f>VLOOKUP(TableQBRanks3040[[#This Row],[Player]],QB!B:O,10,FALSE)</f>
        <v>283.10063132322045</v>
      </c>
      <c r="L32" s="83">
        <f>VLOOKUP(TableQBRanks3040[[#This Row],[Player]],QB!B:O,11,FALSE)</f>
        <v>2.3124818528000004</v>
      </c>
      <c r="M32" s="57">
        <f>VLOOKUP(TableQBRanks3040[[#This Row],[Player]],QB!B:O,13,FALSE)</f>
        <v>196.96135361153011</v>
      </c>
      <c r="N32" s="125">
        <f>IF(VLOOKUP(TableQBRanks3040[[#This Row],[RK]],'Ranks w Proj'!$A:$N,14,FALSE)&lt;0,0,VLOOKUP(TableQBRanks3040[[#This Row],[RK]],'Ranks w Proj'!$A:$N,14,FALSE))</f>
        <v>0</v>
      </c>
      <c r="P32">
        <v>31</v>
      </c>
      <c r="Q32" t="str">
        <f>VLOOKUP(TableRBRanks3141[[#This Row],[RK]],Rankings!A:T,8,FALSE)</f>
        <v>Jonathon Brooks</v>
      </c>
      <c r="R32" t="str">
        <f>IFERROR(INDEX(TableRBCalcPts[TM],MATCH(TableRBRanks3141[[#This Row],[Player]],TableRBCalcPts[PLAYER],0)),"")</f>
        <v>CAR</v>
      </c>
      <c r="S32">
        <f>IFERROR(INDEX(TableRBCalcPts[BYE],MATCH(TableRBRanks3141[[#This Row],[Player]],TableRBCalcPts[PLAYER],0)),"")</f>
        <v>11</v>
      </c>
      <c r="T32" s="83">
        <f>VLOOKUP(TableRBRanks3141[[#This Row],[Player]],RB!B:O,4,FALSE)</f>
        <v>180.59346900000003</v>
      </c>
      <c r="U32" s="83">
        <f>VLOOKUP(TableRBRanks3141[[#This Row],[Player]],RB!B:O,5,FALSE)</f>
        <v>785.58159015000001</v>
      </c>
      <c r="V32" s="83">
        <f>VLOOKUP(TableRBRanks3141[[#This Row],[Player]],RB!B:O,6,FALSE)</f>
        <v>6.1401779460000014</v>
      </c>
      <c r="W32" s="83">
        <f>VLOOKUP(TableRBRanks3141[[#This Row],[Player]],RB!B:O,7,FALSE)</f>
        <v>23.166807999999996</v>
      </c>
      <c r="X32" s="83">
        <f>VLOOKUP(TableRBRanks3141[[#This Row],[Player]],RB!B:O,8,FALSE)</f>
        <v>17.027603879999997</v>
      </c>
      <c r="Y32" s="83">
        <f>VLOOKUP(TableRBRanks3141[[#This Row],[Player]],RB!B:O,9,FALSE)</f>
        <v>132.13420610879999</v>
      </c>
      <c r="Z32" s="83">
        <f>VLOOKUP(TableRBRanks3141[[#This Row],[Player]],RB!B:O,10,FALSE)</f>
        <v>0.61181323087015183</v>
      </c>
      <c r="AA32" s="57">
        <f>VLOOKUP(TableRBRanks3141[[#This Row],[Player]],RB!B:O,14,FALSE)</f>
        <v>140.79732862710091</v>
      </c>
      <c r="AB32" s="125">
        <f>IF(VLOOKUP(TableRBRanks3141[[#This Row],[RK]],'Ranks w Proj'!$P:$AB,13,FALSE)&lt;0,0,VLOOKUP(TableRBRanks3141[[#This Row],[RK]],'Ranks w Proj'!$P:$AB,13,FALSE))</f>
        <v>17.395340847562203</v>
      </c>
      <c r="AD32">
        <v>31</v>
      </c>
      <c r="AE32" t="str">
        <f>VLOOKUP(TableWRRanks3242[[#This Row],[RK]],Rankings!A:T,13,FALSE)</f>
        <v>Amari Cooper</v>
      </c>
      <c r="AF32" t="str">
        <f>IFERROR(INDEX(TableWRCalcPts[TM],MATCH(TableWRRanks3242[[#This Row],[Player]],TableWRCalcPts[PLAYER],0)),"")</f>
        <v>CLE</v>
      </c>
      <c r="AG32">
        <f>IFERROR(INDEX(TableWRCalcPts[BYE],MATCH(TableWRRanks3242[[#This Row],[Player]],TableWRCalcPts[PLAYER],0)),"")</f>
        <v>10</v>
      </c>
      <c r="AH32" s="83">
        <f>VLOOKUP(TableWRRanks3242[[#This Row],[Player]],WR!B:O,4,FALSE)</f>
        <v>0</v>
      </c>
      <c r="AI32" s="83">
        <f>VLOOKUP(TableWRRanks3242[[#This Row],[Player]],WR!B:O,5,FALSE)</f>
        <v>0</v>
      </c>
      <c r="AJ32" s="83">
        <f>VLOOKUP(TableWRRanks3242[[#This Row],[Player]],WR!B:O,6,FALSE)</f>
        <v>129.03659999999996</v>
      </c>
      <c r="AK32" s="83">
        <f>VLOOKUP(TableWRRanks3242[[#This Row],[Player]],WR!B:O,7,FALSE)</f>
        <v>77.42195999999997</v>
      </c>
      <c r="AL32" s="83">
        <f>VLOOKUP(TableWRRanks3242[[#This Row],[Player]],WR!B:O,8,FALSE)</f>
        <v>1072.2941459999995</v>
      </c>
      <c r="AM32" s="83">
        <f>VLOOKUP(TableWRRanks3242[[#This Row],[Player]],WR!B:O,9,FALSE)</f>
        <v>6.271178759999998</v>
      </c>
      <c r="AN32" s="57">
        <f>VLOOKUP(TableWRRanks3242[[#This Row],[Player]],WR!B:O,13,FALSE)</f>
        <v>183.56746715999992</v>
      </c>
      <c r="AO32" s="125">
        <f>IF(VLOOKUP(TableWRRanks3242[[#This Row],[RK]],'Ranks w Proj'!AD:AO,12,FALSE)&lt;0,0,VLOOKUP(TableWRRanks3242[[#This Row],[RK]],'Ranks w Proj'!AD:AO,12,FALSE))</f>
        <v>15.095762392657312</v>
      </c>
      <c r="AQ32">
        <v>31</v>
      </c>
      <c r="AR32" t="str">
        <f>VLOOKUP(TableTERanks3343[[#This Row],[RK]],Rankings!A:T,18,FALSE)</f>
        <v>Greg Dulcich</v>
      </c>
      <c r="AS32" t="str">
        <f>IFERROR(INDEX(TableTECalcPts[TM],MATCH(TableTERanks3343[[#This Row],[Player]],TableTECalcPts[PLAYER],0)),"")</f>
        <v>DEN</v>
      </c>
      <c r="AT32">
        <f>IFERROR(INDEX(TableTECalcPts[BYE],MATCH(TableTERanks3343[[#This Row],[Player]],TableTECalcPts[PLAYER],0)),"")</f>
        <v>14</v>
      </c>
      <c r="AU32" s="83">
        <f>VLOOKUP(TableTERanks3343[[#This Row],[Player]],TE!B:O,4,FALSE)</f>
        <v>60.242003517587932</v>
      </c>
      <c r="AV32" s="83">
        <f>VLOOKUP(TableTERanks3343[[#This Row],[Player]],TE!B:O,5,FALSE)</f>
        <v>37.229558173869336</v>
      </c>
      <c r="AW32" s="83">
        <f>VLOOKUP(TableTERanks3343[[#This Row],[Player]],TE!B:O,6,FALSE)</f>
        <v>401.33463711431142</v>
      </c>
      <c r="AX32" s="83">
        <f>VLOOKUP(TableTERanks3343[[#This Row],[Player]],TE!B:O,7,FALSE)</f>
        <v>2.3082326067798986</v>
      </c>
      <c r="AY32" s="57">
        <f>VLOOKUP(TableTERanks3343[[#This Row],[Player]],TE!B:O,11,FALSE)</f>
        <v>72.597638439045213</v>
      </c>
      <c r="AZ32" s="125">
        <f>IF(VLOOKUP(TableTERanks3343[[#This Row],[RK]],'Ranks w Proj'!AQ:AZ,10,FALSE)&lt;0,0,VLOOKUP(TableTERanks3343[[#This Row],[RK]],'Ranks w Proj'!AQ:AZ,10,FALSE))</f>
        <v>0</v>
      </c>
    </row>
    <row r="33" spans="1:52" x14ac:dyDescent="0.2">
      <c r="A33">
        <v>32</v>
      </c>
      <c r="B33" t="str">
        <f>VLOOKUP(TableQBRanks3040[[#This Row],[RK]],Rankings!A:T,3,FALSE)</f>
        <v>Russell Wilson</v>
      </c>
      <c r="C33" t="str">
        <f>IFERROR(INDEX(TableQBCalcPts[TM],MATCH(TableQBRanks3040[[#This Row],[Player]],TableQBCalcPts[PLAYER],0)),"")</f>
        <v>PIT</v>
      </c>
      <c r="D33">
        <f>IFERROR(INDEX(TableQBCalcPts[BYE],MATCH(TableQBRanks3040[[#This Row],[Player]],TableQBCalcPts[PLAYER],0)),"")</f>
        <v>9</v>
      </c>
      <c r="E33" s="83">
        <f>VLOOKUP(TableQBRanks3040[[#This Row],[Player]],QB!B:O,4,FALSE)</f>
        <v>421.3125</v>
      </c>
      <c r="F33" s="83">
        <f>VLOOKUP(TableQBRanks3040[[#This Row],[Player]],QB!B:O,5,FALSE)</f>
        <v>271.46074052052955</v>
      </c>
      <c r="G33" s="83">
        <f>VLOOKUP(TableQBRanks3040[[#This Row],[Player]],QB!B:O,6,FALSE)</f>
        <v>2933.1413931963207</v>
      </c>
      <c r="H33" s="83">
        <f>VLOOKUP(TableQBRanks3040[[#This Row],[Player]],QB!B:O,7,FALSE)</f>
        <v>18.038640733677362</v>
      </c>
      <c r="I33" s="83">
        <f>VLOOKUP(TableQBRanks3040[[#This Row],[Player]],QB!B:O,8,FALSE)</f>
        <v>4.9216194853696491</v>
      </c>
      <c r="J33" s="83">
        <f>VLOOKUP(TableQBRanks3040[[#This Row],[Player]],QB!B:O,9,FALSE)</f>
        <v>43.063650000000003</v>
      </c>
      <c r="K33" s="83">
        <f>VLOOKUP(TableQBRanks3040[[#This Row],[Player]],QB!B:O,10,FALSE)</f>
        <v>197.74346573314693</v>
      </c>
      <c r="L33" s="83">
        <f>VLOOKUP(TableQBRanks3040[[#This Row],[Player]],QB!B:O,11,FALSE)</f>
        <v>1.6176543938223806</v>
      </c>
      <c r="M33" s="57">
        <f>VLOOKUP(TableQBRanks3040[[#This Row],[Player]],QB!B:O,13,FALSE)</f>
        <v>209.11725262807195</v>
      </c>
      <c r="N33" s="125">
        <f>IF(VLOOKUP(TableQBRanks3040[[#This Row],[RK]],'Ranks w Proj'!$A:$N,14,FALSE)&lt;0,0,VLOOKUP(TableQBRanks3040[[#This Row],[RK]],'Ranks w Proj'!$A:$N,14,FALSE))</f>
        <v>0</v>
      </c>
      <c r="P33">
        <v>32</v>
      </c>
      <c r="Q33" t="str">
        <f>VLOOKUP(TableRBRanks3141[[#This Row],[RK]],Rankings!A:T,8,FALSE)</f>
        <v>Gus Edwards</v>
      </c>
      <c r="R33" t="str">
        <f>IFERROR(INDEX(TableRBCalcPts[TM],MATCH(TableRBRanks3141[[#This Row],[Player]],TableRBCalcPts[PLAYER],0)),"")</f>
        <v>LAC</v>
      </c>
      <c r="S33">
        <f>IFERROR(INDEX(TableRBCalcPts[BYE],MATCH(TableRBRanks3141[[#This Row],[Player]],TableRBCalcPts[PLAYER],0)),"")</f>
        <v>5</v>
      </c>
      <c r="T33" s="83">
        <f>VLOOKUP(TableRBRanks3141[[#This Row],[Player]],RB!B:O,4,FALSE)</f>
        <v>212.78681787999997</v>
      </c>
      <c r="U33" s="83">
        <f>VLOOKUP(TableRBRanks3141[[#This Row],[Player]],RB!B:O,5,FALSE)</f>
        <v>900.12899906563632</v>
      </c>
      <c r="V33" s="83">
        <f>VLOOKUP(TableRBRanks3141[[#This Row],[Player]],RB!B:O,6,FALSE)</f>
        <v>8.4263579880480002</v>
      </c>
      <c r="W33" s="83">
        <f>VLOOKUP(TableRBRanks3141[[#This Row],[Player]],RB!B:O,7,FALSE)</f>
        <v>16.750855800000004</v>
      </c>
      <c r="X33" s="83">
        <f>VLOOKUP(TableRBRanks3141[[#This Row],[Player]],RB!B:O,8,FALSE)</f>
        <v>13.216425226200004</v>
      </c>
      <c r="Y33" s="83">
        <f>VLOOKUP(TableRBRanks3141[[#This Row],[Player]],RB!B:O,9,FALSE)</f>
        <v>94.893933124116018</v>
      </c>
      <c r="Z33" s="83">
        <f>VLOOKUP(TableRBRanks3141[[#This Row],[Player]],RB!B:O,10,FALSE)</f>
        <v>0.41680217789813334</v>
      </c>
      <c r="AA33" s="57">
        <f>VLOOKUP(TableRBRanks3141[[#This Row],[Player]],RB!B:O,14,FALSE)</f>
        <v>159.16946682775205</v>
      </c>
      <c r="AB33" s="125">
        <f>IF(VLOOKUP(TableRBRanks3141[[#This Row],[RK]],'Ranks w Proj'!$P:$AB,13,FALSE)&lt;0,0,VLOOKUP(TableRBRanks3141[[#This Row],[RK]],'Ranks w Proj'!$P:$AB,13,FALSE))</f>
        <v>13.999527002447419</v>
      </c>
      <c r="AD33">
        <v>32</v>
      </c>
      <c r="AE33" t="str">
        <f>VLOOKUP(TableWRRanks3242[[#This Row],[RK]],Rankings!A:T,13,FALSE)</f>
        <v>Calvin Ridley</v>
      </c>
      <c r="AF33" t="str">
        <f>IFERROR(INDEX(TableWRCalcPts[TM],MATCH(TableWRRanks3242[[#This Row],[Player]],TableWRCalcPts[PLAYER],0)),"")</f>
        <v>TEN</v>
      </c>
      <c r="AG33">
        <f>IFERROR(INDEX(TableWRCalcPts[BYE],MATCH(TableWRRanks3242[[#This Row],[Player]],TableWRCalcPts[PLAYER],0)),"")</f>
        <v>5</v>
      </c>
      <c r="AH33" s="83">
        <f>VLOOKUP(TableWRRanks3242[[#This Row],[Player]],WR!B:O,4,FALSE)</f>
        <v>0</v>
      </c>
      <c r="AI33" s="83">
        <f>VLOOKUP(TableWRRanks3242[[#This Row],[Player]],WR!B:O,5,FALSE)</f>
        <v>0</v>
      </c>
      <c r="AJ33" s="83">
        <f>VLOOKUP(TableWRRanks3242[[#This Row],[Player]],WR!B:O,6,FALSE)</f>
        <v>130.73322107999999</v>
      </c>
      <c r="AK33" s="83">
        <f>VLOOKUP(TableWRRanks3242[[#This Row],[Player]],WR!B:O,7,FALSE)</f>
        <v>73.341337025880009</v>
      </c>
      <c r="AL33" s="83">
        <f>VLOOKUP(TableWRRanks3242[[#This Row],[Player]],WR!B:O,8,FALSE)</f>
        <v>1039.9801590269785</v>
      </c>
      <c r="AM33" s="83">
        <f>VLOOKUP(TableWRRanks3242[[#This Row],[Player]],WR!B:O,9,FALSE)</f>
        <v>7.0407683544844808</v>
      </c>
      <c r="AN33" s="57">
        <f>VLOOKUP(TableWRRanks3242[[#This Row],[Player]],WR!B:O,13,FALSE)</f>
        <v>182.91329454254475</v>
      </c>
      <c r="AO33" s="125">
        <f>IF(VLOOKUP(TableWRRanks3242[[#This Row],[RK]],'Ranks w Proj'!AD:AO,12,FALSE)&lt;0,0,VLOOKUP(TableWRRanks3242[[#This Row],[RK]],'Ranks w Proj'!AD:AO,12,FALSE))</f>
        <v>14.784552049777814</v>
      </c>
      <c r="AQ33">
        <v>32</v>
      </c>
      <c r="AR33" t="str">
        <f>VLOOKUP(TableTERanks3343[[#This Row],[RK]],Rankings!A:T,18,FALSE)</f>
        <v>Tucker Kraft</v>
      </c>
      <c r="AS33" t="str">
        <f>IFERROR(INDEX(TableTECalcPts[TM],MATCH(TableTERanks3343[[#This Row],[Player]],TableTECalcPts[PLAYER],0)),"")</f>
        <v>GB</v>
      </c>
      <c r="AT33">
        <f>IFERROR(INDEX(TableTECalcPts[BYE],MATCH(TableTERanks3343[[#This Row],[Player]],TableTECalcPts[PLAYER],0)),"")</f>
        <v>10</v>
      </c>
      <c r="AU33" s="83">
        <f>VLOOKUP(TableTERanks3343[[#This Row],[Player]],TE!B:O,4,FALSE)</f>
        <v>44.475849599999997</v>
      </c>
      <c r="AV33" s="83">
        <f>VLOOKUP(TableTERanks3343[[#This Row],[Player]],TE!B:O,5,FALSE)</f>
        <v>32.511846057600003</v>
      </c>
      <c r="AW33" s="83">
        <f>VLOOKUP(TableTERanks3343[[#This Row],[Player]],TE!B:O,6,FALSE)</f>
        <v>336.3689061118107</v>
      </c>
      <c r="AX33" s="83">
        <f>VLOOKUP(TableTERanks3343[[#This Row],[Player]],TE!B:O,7,FALSE)</f>
        <v>2.5390911281621866</v>
      </c>
      <c r="AY33" s="57">
        <f>VLOOKUP(TableTERanks3343[[#This Row],[Player]],TE!B:O,11,FALSE)</f>
        <v>65.127360408954189</v>
      </c>
      <c r="AZ33" s="125">
        <f>IF(VLOOKUP(TableTERanks3343[[#This Row],[RK]],'Ranks w Proj'!AQ:AZ,10,FALSE)&lt;0,0,VLOOKUP(TableTERanks3343[[#This Row],[RK]],'Ranks w Proj'!AQ:AZ,10,FALSE))</f>
        <v>0</v>
      </c>
    </row>
    <row r="34" spans="1:52" x14ac:dyDescent="0.2">
      <c r="A34">
        <v>33</v>
      </c>
      <c r="B34" t="str">
        <f>VLOOKUP(TableQBRanks3040[[#This Row],[RK]],Rankings!A:T,3,FALSE)</f>
        <v>Justin Fields</v>
      </c>
      <c r="C34" t="str">
        <f>IFERROR(INDEX(TableQBCalcPts[TM],MATCH(TableQBRanks3040[[#This Row],[Player]],TableQBCalcPts[PLAYER],0)),"")</f>
        <v>PIT</v>
      </c>
      <c r="D34">
        <f>IFERROR(INDEX(TableQBCalcPts[BYE],MATCH(TableQBRanks3040[[#This Row],[Player]],TableQBCalcPts[PLAYER],0)),"")</f>
        <v>9</v>
      </c>
      <c r="E34" s="83">
        <f>VLOOKUP(TableQBRanks3040[[#This Row],[Player]],QB!B:O,4,FALSE)</f>
        <v>140.4375</v>
      </c>
      <c r="F34" s="83">
        <f>VLOOKUP(TableQBRanks3040[[#This Row],[Player]],QB!B:O,5,FALSE)</f>
        <v>86.930812500000002</v>
      </c>
      <c r="G34" s="83">
        <f>VLOOKUP(TableQBRanks3040[[#This Row],[Player]],QB!B:O,6,FALSE)</f>
        <v>982.31818125000007</v>
      </c>
      <c r="H34" s="83">
        <f>VLOOKUP(TableQBRanks3040[[#This Row],[Player]],QB!B:O,7,FALSE)</f>
        <v>5.7579375000000006</v>
      </c>
      <c r="I34" s="83">
        <f>VLOOKUP(TableQBRanks3040[[#This Row],[Player]],QB!B:O,8,FALSE)</f>
        <v>2.3471319374999999</v>
      </c>
      <c r="J34" s="83">
        <f>VLOOKUP(TableQBRanks3040[[#This Row],[Player]],QB!B:O,9,FALSE)</f>
        <v>34.450920000000004</v>
      </c>
      <c r="K34" s="83">
        <f>VLOOKUP(TableQBRanks3040[[#This Row],[Player]],QB!B:O,10,FALSE)</f>
        <v>188.57125338129816</v>
      </c>
      <c r="L34" s="83">
        <f>VLOOKUP(TableQBRanks3040[[#This Row],[Player]],QB!B:O,11,FALSE)</f>
        <v>1.4124877200000001</v>
      </c>
      <c r="M34" s="57">
        <f>VLOOKUP(TableQBRanks3040[[#This Row],[Player]],QB!B:O,13,FALSE)</f>
        <v>84.962265033129825</v>
      </c>
      <c r="N34" s="125">
        <f>IF(VLOOKUP(TableQBRanks3040[[#This Row],[RK]],'Ranks w Proj'!$A:$N,14,FALSE)&lt;0,0,VLOOKUP(TableQBRanks3040[[#This Row],[RK]],'Ranks w Proj'!$A:$N,14,FALSE))</f>
        <v>0</v>
      </c>
      <c r="P34">
        <v>33</v>
      </c>
      <c r="Q34" t="str">
        <f>VLOOKUP(TableRBRanks3141[[#This Row],[RK]],Rankings!A:T,8,FALSE)</f>
        <v>Tyjae Spears</v>
      </c>
      <c r="R34" t="str">
        <f>IFERROR(INDEX(TableRBCalcPts[TM],MATCH(TableRBRanks3141[[#This Row],[Player]],TableRBCalcPts[PLAYER],0)),"")</f>
        <v>TEN</v>
      </c>
      <c r="S34">
        <f>IFERROR(INDEX(TableRBCalcPts[BYE],MATCH(TableRBRanks3141[[#This Row],[Player]],TableRBCalcPts[PLAYER],0)),"")</f>
        <v>5</v>
      </c>
      <c r="T34" s="83">
        <f>VLOOKUP(TableRBRanks3141[[#This Row],[Player]],RB!B:O,4,FALSE)</f>
        <v>162.84457728000001</v>
      </c>
      <c r="U34" s="83">
        <f>VLOOKUP(TableRBRanks3141[[#This Row],[Player]],RB!B:O,5,FALSE)</f>
        <v>704.62867835808731</v>
      </c>
      <c r="V34" s="83">
        <f>VLOOKUP(TableRBRanks3141[[#This Row],[Player]],RB!B:O,6,FALSE)</f>
        <v>5.2110264729600004</v>
      </c>
      <c r="W34" s="83">
        <f>VLOOKUP(TableRBRanks3141[[#This Row],[Player]],RB!B:O,7,FALSE)</f>
        <v>60.738885899999993</v>
      </c>
      <c r="X34" s="83">
        <f>VLOOKUP(TableRBRanks3141[[#This Row],[Player]],RB!B:O,8,FALSE)</f>
        <v>45.857858854500002</v>
      </c>
      <c r="Y34" s="83">
        <f>VLOOKUP(TableRBRanks3141[[#This Row],[Player]],RB!B:O,9,FALSE)</f>
        <v>372.36581389853995</v>
      </c>
      <c r="Z34" s="83">
        <f>VLOOKUP(TableRBRanks3141[[#This Row],[Player]],RB!B:O,10,FALSE)</f>
        <v>2.017745789598</v>
      </c>
      <c r="AA34" s="57">
        <f>VLOOKUP(TableRBRanks3141[[#This Row],[Player]],RB!B:O,14,FALSE)</f>
        <v>174.00101222826075</v>
      </c>
      <c r="AB34" s="125">
        <f>IF(VLOOKUP(TableRBRanks3141[[#This Row],[RK]],'Ranks w Proj'!$P:$AB,13,FALSE)&lt;0,0,VLOOKUP(TableRBRanks3141[[#This Row],[RK]],'Ranks w Proj'!$P:$AB,13,FALSE))</f>
        <v>13.58497520114433</v>
      </c>
      <c r="AD34">
        <v>33</v>
      </c>
      <c r="AE34" t="str">
        <f>VLOOKUP(TableWRRanks3242[[#This Row],[RK]],Rankings!A:T,13,FALSE)</f>
        <v>Zay Flowers</v>
      </c>
      <c r="AF34" t="str">
        <f>IFERROR(INDEX(TableWRCalcPts[TM],MATCH(TableWRRanks3242[[#This Row],[Player]],TableWRCalcPts[PLAYER],0)),"")</f>
        <v>BAL</v>
      </c>
      <c r="AG34">
        <f>IFERROR(INDEX(TableWRCalcPts[BYE],MATCH(TableWRRanks3242[[#This Row],[Player]],TableWRCalcPts[PLAYER],0)),"")</f>
        <v>14</v>
      </c>
      <c r="AH34" s="83">
        <f>VLOOKUP(TableWRRanks3242[[#This Row],[Player]],WR!B:O,4,FALSE)</f>
        <v>41.826687335999992</v>
      </c>
      <c r="AI34" s="83">
        <f>VLOOKUP(TableWRRanks3242[[#This Row],[Player]],WR!B:O,5,FALSE)</f>
        <v>0.39384828</v>
      </c>
      <c r="AJ34" s="83">
        <f>VLOOKUP(TableWRRanks3242[[#This Row],[Player]],WR!B:O,6,FALSE)</f>
        <v>113.81002640000001</v>
      </c>
      <c r="AK34" s="83">
        <f>VLOOKUP(TableWRRanks3242[[#This Row],[Player]],WR!B:O,7,FALSE)</f>
        <v>78.07367811040001</v>
      </c>
      <c r="AL34" s="83">
        <f>VLOOKUP(TableWRRanks3242[[#This Row],[Player]],WR!B:O,8,FALSE)</f>
        <v>944.681288460264</v>
      </c>
      <c r="AM34" s="83">
        <f>VLOOKUP(TableWRRanks3242[[#This Row],[Player]],WR!B:O,9,FALSE)</f>
        <v>6.0116732145008003</v>
      </c>
      <c r="AN34" s="57">
        <f>VLOOKUP(TableWRRanks3242[[#This Row],[Player]],WR!B:O,13,FALSE)</f>
        <v>176.12076560183124</v>
      </c>
      <c r="AO34" s="125">
        <f>IF(VLOOKUP(TableWRRanks3242[[#This Row],[RK]],'Ranks w Proj'!AD:AO,12,FALSE)&lt;0,0,VLOOKUP(TableWRRanks3242[[#This Row],[RK]],'Ranks w Proj'!AD:AO,12,FALSE))</f>
        <v>13.116969748630497</v>
      </c>
      <c r="AQ34">
        <v>33</v>
      </c>
      <c r="AR34" t="str">
        <f>VLOOKUP(TableTERanks3343[[#This Row],[RK]],Rankings!A:T,18,FALSE)</f>
        <v>Theo Johnson</v>
      </c>
      <c r="AS34" t="str">
        <f>IFERROR(INDEX(TableTECalcPts[TM],MATCH(TableTERanks3343[[#This Row],[Player]],TableTECalcPts[PLAYER],0)),"")</f>
        <v>NYG</v>
      </c>
      <c r="AT34">
        <f>IFERROR(INDEX(TableTECalcPts[BYE],MATCH(TableTERanks3343[[#This Row],[Player]],TableTECalcPts[PLAYER],0)),"")</f>
        <v>11</v>
      </c>
      <c r="AU34" s="83">
        <f>VLOOKUP(TableTERanks3343[[#This Row],[Player]],TE!B:O,4,FALSE)</f>
        <v>60.02637983999999</v>
      </c>
      <c r="AV34" s="83">
        <f>VLOOKUP(TableTERanks3343[[#This Row],[Player]],TE!B:O,5,FALSE)</f>
        <v>40.937991050879994</v>
      </c>
      <c r="AW34" s="83">
        <f>VLOOKUP(TableTERanks3343[[#This Row],[Player]],TE!B:O,6,FALSE)</f>
        <v>391.01696787087036</v>
      </c>
      <c r="AX34" s="83">
        <f>VLOOKUP(TableTERanks3343[[#This Row],[Player]],TE!B:O,7,FALSE)</f>
        <v>2.4562794630527995</v>
      </c>
      <c r="AY34" s="57">
        <f>VLOOKUP(TableTERanks3343[[#This Row],[Player]],TE!B:O,11,FALSE)</f>
        <v>74.308369090843826</v>
      </c>
      <c r="AZ34" s="125">
        <f>IF(VLOOKUP(TableTERanks3343[[#This Row],[RK]],'Ranks w Proj'!AQ:AZ,10,FALSE)&lt;0,0,VLOOKUP(TableTERanks3343[[#This Row],[RK]],'Ranks w Proj'!AQ:AZ,10,FALSE))</f>
        <v>0</v>
      </c>
    </row>
    <row r="35" spans="1:52" x14ac:dyDescent="0.2">
      <c r="A35">
        <v>34</v>
      </c>
      <c r="B35" t="str">
        <f>VLOOKUP(TableQBRanks3040[[#This Row],[RK]],Rankings!A:T,3,FALSE)</f>
        <v>Aidan O'Connell</v>
      </c>
      <c r="C35" t="str">
        <f>IFERROR(INDEX(TableQBCalcPts[TM],MATCH(TableQBRanks3040[[#This Row],[Player]],TableQBCalcPts[PLAYER],0)),"")</f>
        <v>LV</v>
      </c>
      <c r="D35">
        <f>IFERROR(INDEX(TableQBCalcPts[BYE],MATCH(TableQBRanks3040[[#This Row],[Player]],TableQBCalcPts[PLAYER],0)),"")</f>
        <v>10</v>
      </c>
      <c r="E35" s="83">
        <f>VLOOKUP(TableQBRanks3040[[#This Row],[Player]],QB!B:O,4,FALSE)</f>
        <v>237.8</v>
      </c>
      <c r="F35" s="83">
        <f>VLOOKUP(TableQBRanks3040[[#This Row],[Player]],QB!B:O,5,FALSE)</f>
        <v>149.6689612148231</v>
      </c>
      <c r="G35" s="83">
        <f>VLOOKUP(TableQBRanks3040[[#This Row],[Player]],QB!B:O,6,FALSE)</f>
        <v>1619.418160344386</v>
      </c>
      <c r="H35" s="83">
        <f>VLOOKUP(TableQBRanks3040[[#This Row],[Player]],QB!B:O,7,FALSE)</f>
        <v>9.0364000000000004</v>
      </c>
      <c r="I35" s="83">
        <f>VLOOKUP(TableQBRanks3040[[#This Row],[Player]],QB!B:O,8,FALSE)</f>
        <v>3.3550777682249509</v>
      </c>
      <c r="J35" s="83">
        <f>VLOOKUP(TableQBRanks3040[[#This Row],[Player]],QB!B:O,9,FALSE)</f>
        <v>4.2189000000000005</v>
      </c>
      <c r="K35" s="83">
        <f>VLOOKUP(TableQBRanks3040[[#This Row],[Player]],QB!B:O,10,FALSE)</f>
        <v>11.564294717776551</v>
      </c>
      <c r="L35" s="83">
        <f>VLOOKUP(TableQBRanks3040[[#This Row],[Player]],QB!B:O,11,FALSE)</f>
        <v>0.12144320779311012</v>
      </c>
      <c r="M35" s="57">
        <f>VLOOKUP(TableQBRanks3040[[#This Row],[Player]],QB!B:O,13,FALSE)</f>
        <v>96.097259595861857</v>
      </c>
      <c r="N35" s="125">
        <f>IF(VLOOKUP(TableQBRanks3040[[#This Row],[RK]],'Ranks w Proj'!$A:$N,14,FALSE)&lt;0,0,VLOOKUP(TableQBRanks3040[[#This Row],[RK]],'Ranks w Proj'!$A:$N,14,FALSE))</f>
        <v>0</v>
      </c>
      <c r="P35">
        <v>34</v>
      </c>
      <c r="Q35" t="str">
        <f>VLOOKUP(TableRBRanks3141[[#This Row],[RK]],Rankings!A:T,8,FALSE)</f>
        <v>Austin Ekeler</v>
      </c>
      <c r="R35" t="str">
        <f>IFERROR(INDEX(TableRBCalcPts[TM],MATCH(TableRBRanks3141[[#This Row],[Player]],TableRBCalcPts[PLAYER],0)),"")</f>
        <v>WSH</v>
      </c>
      <c r="S35">
        <f>IFERROR(INDEX(TableRBCalcPts[BYE],MATCH(TableRBRanks3141[[#This Row],[Player]],TableRBCalcPts[PLAYER],0)),"")</f>
        <v>14</v>
      </c>
      <c r="T35" s="83">
        <f>VLOOKUP(TableRBRanks3141[[#This Row],[Player]],RB!B:O,4,FALSE)</f>
        <v>107.484244</v>
      </c>
      <c r="U35" s="83">
        <f>VLOOKUP(TableRBRanks3141[[#This Row],[Player]],RB!B:O,5,FALSE)</f>
        <v>454.65835212000007</v>
      </c>
      <c r="V35" s="83">
        <f>VLOOKUP(TableRBRanks3141[[#This Row],[Player]],RB!B:O,6,FALSE)</f>
        <v>3.5469800520000003</v>
      </c>
      <c r="W35" s="83">
        <f>VLOOKUP(TableRBRanks3141[[#This Row],[Player]],RB!B:O,7,FALSE)</f>
        <v>67.989264000000006</v>
      </c>
      <c r="X35" s="83">
        <f>VLOOKUP(TableRBRanks3141[[#This Row],[Player]],RB!B:O,8,FALSE)</f>
        <v>51.263905055999999</v>
      </c>
      <c r="Y35" s="83">
        <f>VLOOKUP(TableRBRanks3141[[#This Row],[Player]],RB!B:O,9,FALSE)</f>
        <v>431.64208057152001</v>
      </c>
      <c r="Z35" s="83">
        <f>VLOOKUP(TableRBRanks3141[[#This Row],[Player]],RB!B:O,10,FALSE)</f>
        <v>2.5631952527999999</v>
      </c>
      <c r="AA35" s="57">
        <f>VLOOKUP(TableRBRanks3141[[#This Row],[Player]],RB!B:O,14,FALSE)</f>
        <v>150.92304762595202</v>
      </c>
      <c r="AB35" s="125">
        <f>IF(VLOOKUP(TableRBRanks3141[[#This Row],[RK]],'Ranks w Proj'!$P:$AB,13,FALSE)&lt;0,0,VLOOKUP(TableRBRanks3141[[#This Row],[RK]],'Ranks w Proj'!$P:$AB,13,FALSE))</f>
        <v>11.058722241012083</v>
      </c>
      <c r="AD35">
        <v>34</v>
      </c>
      <c r="AE35" t="str">
        <f>VLOOKUP(TableWRRanks3242[[#This Row],[RK]],Rankings!A:T,13,FALSE)</f>
        <v>Brian Thomas</v>
      </c>
      <c r="AF35" t="str">
        <f>IFERROR(INDEX(TableWRCalcPts[TM],MATCH(TableWRRanks3242[[#This Row],[Player]],TableWRCalcPts[PLAYER],0)),"")</f>
        <v>JAX</v>
      </c>
      <c r="AG35">
        <f>IFERROR(INDEX(TableWRCalcPts[BYE],MATCH(TableWRRanks3242[[#This Row],[Player]],TableWRCalcPts[PLAYER],0)),"")</f>
        <v>12</v>
      </c>
      <c r="AH35" s="83">
        <f>VLOOKUP(TableWRRanks3242[[#This Row],[Player]],WR!B:O,4,FALSE)</f>
        <v>0</v>
      </c>
      <c r="AI35" s="83">
        <f>VLOOKUP(TableWRRanks3242[[#This Row],[Player]],WR!B:O,5,FALSE)</f>
        <v>0</v>
      </c>
      <c r="AJ35" s="83">
        <f>VLOOKUP(TableWRRanks3242[[#This Row],[Player]],WR!B:O,6,FALSE)</f>
        <v>125.25601087999999</v>
      </c>
      <c r="AK35" s="83">
        <f>VLOOKUP(TableWRRanks3242[[#This Row],[Player]],WR!B:O,7,FALSE)</f>
        <v>78.285006799999991</v>
      </c>
      <c r="AL35" s="83">
        <f>VLOOKUP(TableWRRanks3242[[#This Row],[Player]],WR!B:O,8,FALSE)</f>
        <v>1025.53358908</v>
      </c>
      <c r="AM35" s="83">
        <f>VLOOKUP(TableWRRanks3242[[#This Row],[Player]],WR!B:O,9,FALSE)</f>
        <v>6.5759405711999994</v>
      </c>
      <c r="AN35" s="57">
        <f>VLOOKUP(TableWRRanks3242[[#This Row],[Player]],WR!B:O,13,FALSE)</f>
        <v>181.1515057352</v>
      </c>
      <c r="AO35" s="125">
        <f>IF(VLOOKUP(TableWRRanks3242[[#This Row],[RK]],'Ranks w Proj'!AD:AO,12,FALSE)&lt;0,0,VLOOKUP(TableWRRanks3242[[#This Row],[RK]],'Ranks w Proj'!AD:AO,12,FALSE))</f>
        <v>12.592627731502199</v>
      </c>
      <c r="AQ35">
        <v>34</v>
      </c>
      <c r="AR35" t="str">
        <f>VLOOKUP(TableTERanks3343[[#This Row],[RK]],Rankings!A:T,18,FALSE)</f>
        <v>Michael Mayer</v>
      </c>
      <c r="AS35" t="str">
        <f>IFERROR(INDEX(TableTECalcPts[TM],MATCH(TableTERanks3343[[#This Row],[Player]],TableTECalcPts[PLAYER],0)),"")</f>
        <v>LV</v>
      </c>
      <c r="AT35">
        <f>IFERROR(INDEX(TableTECalcPts[BYE],MATCH(TableTERanks3343[[#This Row],[Player]],TableTECalcPts[PLAYER],0)),"")</f>
        <v>10</v>
      </c>
      <c r="AU35" s="83">
        <f>VLOOKUP(TableTERanks3343[[#This Row],[Player]],TE!B:O,4,FALSE)</f>
        <v>48.356630000000003</v>
      </c>
      <c r="AV35" s="83">
        <f>VLOOKUP(TableTERanks3343[[#This Row],[Player]],TE!B:O,5,FALSE)</f>
        <v>32.398942099999999</v>
      </c>
      <c r="AW35" s="83">
        <f>VLOOKUP(TableTERanks3343[[#This Row],[Player]],TE!B:O,6,FALSE)</f>
        <v>351.20453236399999</v>
      </c>
      <c r="AX35" s="83">
        <f>VLOOKUP(TableTERanks3343[[#This Row],[Player]],TE!B:O,7,FALSE)</f>
        <v>2.0368929904691835</v>
      </c>
      <c r="AY35" s="57">
        <f>VLOOKUP(TableTERanks3343[[#This Row],[Player]],TE!B:O,11,FALSE)</f>
        <v>63.541282229215099</v>
      </c>
      <c r="AZ35" s="125">
        <f>IF(VLOOKUP(TableTERanks3343[[#This Row],[RK]],'Ranks w Proj'!AQ:AZ,10,FALSE)&lt;0,0,VLOOKUP(TableTERanks3343[[#This Row],[RK]],'Ranks w Proj'!AQ:AZ,10,FALSE))</f>
        <v>0</v>
      </c>
    </row>
    <row r="36" spans="1:52" x14ac:dyDescent="0.2">
      <c r="A36">
        <v>35</v>
      </c>
      <c r="B36" t="str">
        <f>VLOOKUP(TableQBRanks3040[[#This Row],[RK]],Rankings!A:T,3,FALSE)</f>
        <v>Jacoby Brissett</v>
      </c>
      <c r="C36" t="str">
        <f>IFERROR(INDEX(TableQBCalcPts[TM],MATCH(TableQBRanks3040[[#This Row],[Player]],TableQBCalcPts[PLAYER],0)),"")</f>
        <v>NE</v>
      </c>
      <c r="D36">
        <f>IFERROR(INDEX(TableQBCalcPts[BYE],MATCH(TableQBRanks3040[[#This Row],[Player]],TableQBCalcPts[PLAYER],0)),"")</f>
        <v>14</v>
      </c>
      <c r="E36" s="83">
        <f>VLOOKUP(TableQBRanks3040[[#This Row],[Player]],QB!B:O,4,FALSE)</f>
        <v>187.99690000000001</v>
      </c>
      <c r="F36" s="83">
        <f>VLOOKUP(TableQBRanks3040[[#This Row],[Player]],QB!B:O,5,FALSE)</f>
        <v>120.23684050871024</v>
      </c>
      <c r="G36" s="83">
        <f>VLOOKUP(TableQBRanks3040[[#This Row],[Player]],QB!B:O,6,FALSE)</f>
        <v>1260.8779406569522</v>
      </c>
      <c r="H36" s="83">
        <f>VLOOKUP(TableQBRanks3040[[#This Row],[Player]],QB!B:O,7,FALSE)</f>
        <v>6.5798915000000013</v>
      </c>
      <c r="I36" s="83">
        <f>VLOOKUP(TableQBRanks3040[[#This Row],[Player]],QB!B:O,8,FALSE)</f>
        <v>2.4981379886509005</v>
      </c>
      <c r="J36" s="83">
        <f>VLOOKUP(TableQBRanks3040[[#This Row],[Player]],QB!B:O,9,FALSE)</f>
        <v>0</v>
      </c>
      <c r="K36" s="83">
        <f>VLOOKUP(TableQBRanks3040[[#This Row],[Player]],QB!B:O,10,FALSE)</f>
        <v>0</v>
      </c>
      <c r="L36" s="83">
        <f>VLOOKUP(TableQBRanks3040[[#This Row],[Player]],QB!B:O,11,FALSE)</f>
        <v>0</v>
      </c>
      <c r="M36" s="57">
        <f>VLOOKUP(TableQBRanks3040[[#This Row],[Player]],QB!B:O,13,FALSE)</f>
        <v>71.758407648976288</v>
      </c>
      <c r="N36" s="125">
        <f>IF(VLOOKUP(TableQBRanks3040[[#This Row],[RK]],'Ranks w Proj'!$A:$N,14,FALSE)&lt;0,0,VLOOKUP(TableQBRanks3040[[#This Row],[RK]],'Ranks w Proj'!$A:$N,14,FALSE))</f>
        <v>0</v>
      </c>
      <c r="P36">
        <v>35</v>
      </c>
      <c r="Q36" t="str">
        <f>VLOOKUP(TableRBRanks3141[[#This Row],[RK]],Rankings!A:T,8,FALSE)</f>
        <v>Jerome Ford</v>
      </c>
      <c r="R36" t="str">
        <f>IFERROR(INDEX(TableRBCalcPts[TM],MATCH(TableRBRanks3141[[#This Row],[Player]],TableRBCalcPts[PLAYER],0)),"")</f>
        <v>CLE</v>
      </c>
      <c r="S36">
        <f>IFERROR(INDEX(TableRBCalcPts[BYE],MATCH(TableRBRanks3141[[#This Row],[Player]],TableRBCalcPts[PLAYER],0)),"")</f>
        <v>10</v>
      </c>
      <c r="T36" s="83">
        <f>VLOOKUP(TableRBRanks3141[[#This Row],[Player]],RB!B:O,4,FALSE)</f>
        <v>211.60466250000002</v>
      </c>
      <c r="U36" s="83">
        <f>VLOOKUP(TableRBRanks3141[[#This Row],[Player]],RB!B:O,5,FALSE)</f>
        <v>931.06051500000012</v>
      </c>
      <c r="V36" s="83">
        <f>VLOOKUP(TableRBRanks3141[[#This Row],[Player]],RB!B:O,6,FALSE)</f>
        <v>7.7024097150000008</v>
      </c>
      <c r="W36" s="83">
        <f>VLOOKUP(TableRBRanks3141[[#This Row],[Player]],RB!B:O,7,FALSE)</f>
        <v>26.882624999999994</v>
      </c>
      <c r="X36" s="83">
        <f>VLOOKUP(TableRBRanks3141[[#This Row],[Player]],RB!B:O,8,FALSE)</f>
        <v>19.489903124999998</v>
      </c>
      <c r="Y36" s="83">
        <f>VLOOKUP(TableRBRanks3141[[#This Row],[Player]],RB!B:O,9,FALSE)</f>
        <v>143.64058603125</v>
      </c>
      <c r="Z36" s="83">
        <f>VLOOKUP(TableRBRanks3141[[#This Row],[Player]],RB!B:O,10,FALSE)</f>
        <v>0.8770456406249999</v>
      </c>
      <c r="AA36" s="57">
        <f>VLOOKUP(TableRBRanks3141[[#This Row],[Player]],RB!B:O,14,FALSE)</f>
        <v>168.69179379937501</v>
      </c>
      <c r="AB36" s="125">
        <f>IF(VLOOKUP(TableRBRanks3141[[#This Row],[RK]],'Ranks w Proj'!$P:$AB,13,FALSE)&lt;0,0,VLOOKUP(TableRBRanks3141[[#This Row],[RK]],'Ranks w Proj'!$P:$AB,13,FALSE))</f>
        <v>10.437503070212292</v>
      </c>
      <c r="AD36">
        <v>35</v>
      </c>
      <c r="AE36" t="str">
        <f>VLOOKUP(TableWRRanks3242[[#This Row],[RK]],Rankings!A:T,13,FALSE)</f>
        <v>Keenan Allen</v>
      </c>
      <c r="AF36" t="str">
        <f>IFERROR(INDEX(TableWRCalcPts[TM],MATCH(TableWRRanks3242[[#This Row],[Player]],TableWRCalcPts[PLAYER],0)),"")</f>
        <v>CHI</v>
      </c>
      <c r="AG36">
        <f>IFERROR(INDEX(TableWRCalcPts[BYE],MATCH(TableWRRanks3242[[#This Row],[Player]],TableWRCalcPts[PLAYER],0)),"")</f>
        <v>7</v>
      </c>
      <c r="AH36" s="83">
        <f>VLOOKUP(TableWRRanks3242[[#This Row],[Player]],WR!B:O,4,FALSE)</f>
        <v>0</v>
      </c>
      <c r="AI36" s="83">
        <f>VLOOKUP(TableWRRanks3242[[#This Row],[Player]],WR!B:O,5,FALSE)</f>
        <v>0</v>
      </c>
      <c r="AJ36" s="83">
        <f>VLOOKUP(TableWRRanks3242[[#This Row],[Player]],WR!B:O,6,FALSE)</f>
        <v>117.89616383999999</v>
      </c>
      <c r="AK36" s="83">
        <f>VLOOKUP(TableWRRanks3242[[#This Row],[Player]],WR!B:O,7,FALSE)</f>
        <v>76.632506495999991</v>
      </c>
      <c r="AL36" s="83">
        <f>VLOOKUP(TableWRRanks3242[[#This Row],[Player]],WR!B:O,8,FALSE)</f>
        <v>859.61397974057593</v>
      </c>
      <c r="AM36" s="83">
        <f>VLOOKUP(TableWRRanks3242[[#This Row],[Player]],WR!B:O,9,FALSE)</f>
        <v>5.4409079612159985</v>
      </c>
      <c r="AN36" s="57">
        <f>VLOOKUP(TableWRRanks3242[[#This Row],[Player]],WR!B:O,13,FALSE)</f>
        <v>156.9230989893536</v>
      </c>
      <c r="AO36" s="125">
        <f>IF(VLOOKUP(TableWRRanks3242[[#This Row],[RK]],'Ranks w Proj'!AD:AO,12,FALSE)&lt;0,0,VLOOKUP(TableWRRanks3242[[#This Row],[RK]],'Ranks w Proj'!AD:AO,12,FALSE))</f>
        <v>11.474409524387598</v>
      </c>
      <c r="AQ36">
        <v>35</v>
      </c>
      <c r="AR36" t="str">
        <f>VLOOKUP(TableTERanks3343[[#This Row],[RK]],Rankings!A:T,18,FALSE)</f>
        <v>Tommy Tremble</v>
      </c>
      <c r="AS36" t="str">
        <f>IFERROR(INDEX(TableTECalcPts[TM],MATCH(TableTERanks3343[[#This Row],[Player]],TableTECalcPts[PLAYER],0)),"")</f>
        <v>CAR</v>
      </c>
      <c r="AT36">
        <f>IFERROR(INDEX(TableTECalcPts[BYE],MATCH(TableTERanks3343[[#This Row],[Player]],TableTECalcPts[PLAYER],0)),"")</f>
        <v>11</v>
      </c>
      <c r="AU36" s="83">
        <f>VLOOKUP(TableTERanks3343[[#This Row],[Player]],TE!B:O,4,FALSE)</f>
        <v>48.071126599999999</v>
      </c>
      <c r="AV36" s="83">
        <f>VLOOKUP(TableTERanks3343[[#This Row],[Player]],TE!B:O,5,FALSE)</f>
        <v>30.188667504799994</v>
      </c>
      <c r="AW36" s="83">
        <f>VLOOKUP(TableTERanks3343[[#This Row],[Player]],TE!B:O,6,FALSE)</f>
        <v>298.56592162247199</v>
      </c>
      <c r="AX36" s="83">
        <f>VLOOKUP(TableTERanks3343[[#This Row],[Player]],TE!B:O,7,FALSE)</f>
        <v>2.4150934003839994</v>
      </c>
      <c r="AY36" s="57">
        <f>VLOOKUP(TableTERanks3343[[#This Row],[Player]],TE!B:O,11,FALSE)</f>
        <v>59.441486316951199</v>
      </c>
      <c r="AZ36" s="125">
        <f>IF(VLOOKUP(TableTERanks3343[[#This Row],[RK]],'Ranks w Proj'!AQ:AZ,10,FALSE)&lt;0,0,VLOOKUP(TableTERanks3343[[#This Row],[RK]],'Ranks w Proj'!AQ:AZ,10,FALSE))</f>
        <v>0</v>
      </c>
    </row>
    <row r="37" spans="1:52" x14ac:dyDescent="0.2">
      <c r="A37">
        <v>36</v>
      </c>
      <c r="B37" t="str">
        <f>VLOOKUP(TableQBRanks3040[[#This Row],[RK]],Rankings!A:T,3,FALSE)</f>
        <v>Drew Lock</v>
      </c>
      <c r="C37" t="str">
        <f>IFERROR(INDEX(TableQBCalcPts[TM],MATCH(TableQBRanks3040[[#This Row],[Player]],TableQBCalcPts[PLAYER],0)),"")</f>
        <v>NYG</v>
      </c>
      <c r="D37">
        <f>IFERROR(INDEX(TableQBCalcPts[BYE],MATCH(TableQBRanks3040[[#This Row],[Player]],TableQBCalcPts[PLAYER],0)),"")</f>
        <v>11</v>
      </c>
      <c r="E37" s="83">
        <f>VLOOKUP(TableQBRanks3040[[#This Row],[Player]],QB!B:O,4,FALSE)</f>
        <v>150.12599999999998</v>
      </c>
      <c r="F37" s="83">
        <f>VLOOKUP(TableQBRanks3040[[#This Row],[Player]],QB!B:O,5,FALSE)</f>
        <v>92.927993999999984</v>
      </c>
      <c r="G37" s="83">
        <f>VLOOKUP(TableQBRanks3040[[#This Row],[Player]],QB!B:O,6,FALSE)</f>
        <v>1032.7073406171248</v>
      </c>
      <c r="H37" s="83">
        <f>VLOOKUP(TableQBRanks3040[[#This Row],[Player]],QB!B:O,7,FALSE)</f>
        <v>5.6997721937945549</v>
      </c>
      <c r="I37" s="83">
        <f>VLOOKUP(TableQBRanks3040[[#This Row],[Player]],QB!B:O,8,FALSE)</f>
        <v>1.5225259845351338</v>
      </c>
      <c r="J37" s="83">
        <f>VLOOKUP(TableQBRanks3040[[#This Row],[Player]],QB!B:O,9,FALSE)</f>
        <v>8.7709216000000012</v>
      </c>
      <c r="K37" s="83">
        <f>VLOOKUP(TableQBRanks3040[[#This Row],[Player]],QB!B:O,10,FALSE)</f>
        <v>32.349426792818555</v>
      </c>
      <c r="L37" s="83">
        <f>VLOOKUP(TableQBRanks3040[[#This Row],[Player]],QB!B:O,11,FALSE)</f>
        <v>0.30698225600000006</v>
      </c>
      <c r="M37" s="57">
        <f>VLOOKUP(TableQBRanks3040[[#This Row],[Player]],QB!B:O,13,FALSE)</f>
        <v>66.139166646074798</v>
      </c>
      <c r="N37" s="125">
        <f>IF(VLOOKUP(TableQBRanks3040[[#This Row],[RK]],'Ranks w Proj'!$A:$N,14,FALSE)&lt;0,0,VLOOKUP(TableQBRanks3040[[#This Row],[RK]],'Ranks w Proj'!$A:$N,14,FALSE))</f>
        <v>0</v>
      </c>
      <c r="P37">
        <v>36</v>
      </c>
      <c r="Q37" t="str">
        <f>VLOOKUP(TableRBRanks3141[[#This Row],[RK]],Rankings!A:T,8,FALSE)</f>
        <v>Chuba Hubbard</v>
      </c>
      <c r="R37" t="str">
        <f>IFERROR(INDEX(TableRBCalcPts[TM],MATCH(TableRBRanks3141[[#This Row],[Player]],TableRBCalcPts[PLAYER],0)),"")</f>
        <v>CAR</v>
      </c>
      <c r="S37">
        <f>IFERROR(INDEX(TableRBCalcPts[BYE],MATCH(TableRBRanks3141[[#This Row],[Player]],TableRBCalcPts[PLAYER],0)),"")</f>
        <v>11</v>
      </c>
      <c r="T37" s="83">
        <f>VLOOKUP(TableRBRanks3141[[#This Row],[Player]],RB!B:O,4,FALSE)</f>
        <v>160.52752800000002</v>
      </c>
      <c r="U37" s="83">
        <f>VLOOKUP(TableRBRanks3141[[#This Row],[Player]],RB!B:O,5,FALSE)</f>
        <v>662.97869064000008</v>
      </c>
      <c r="V37" s="83">
        <f>VLOOKUP(TableRBRanks3141[[#This Row],[Player]],RB!B:O,6,FALSE)</f>
        <v>5.136880896000001</v>
      </c>
      <c r="W37" s="83">
        <f>VLOOKUP(TableRBRanks3141[[#This Row],[Player]],RB!B:O,7,FALSE)</f>
        <v>46.333615999999992</v>
      </c>
      <c r="X37" s="83">
        <f>VLOOKUP(TableRBRanks3141[[#This Row],[Player]],RB!B:O,8,FALSE)</f>
        <v>35.445216239999993</v>
      </c>
      <c r="Y37" s="83">
        <f>VLOOKUP(TableRBRanks3141[[#This Row],[Player]],RB!B:O,9,FALSE)</f>
        <v>262.29460017599996</v>
      </c>
      <c r="Z37" s="83">
        <f>VLOOKUP(TableRBRanks3141[[#This Row],[Player]],RB!B:O,10,FALSE)</f>
        <v>0.91127208415161154</v>
      </c>
      <c r="AA37" s="57">
        <f>VLOOKUP(TableRBRanks3141[[#This Row],[Player]],RB!B:O,14,FALSE)</f>
        <v>146.53885508250966</v>
      </c>
      <c r="AB37" s="125">
        <f>IF(VLOOKUP(TableRBRanks3141[[#This Row],[RK]],'Ranks w Proj'!$P:$AB,13,FALSE)&lt;0,0,VLOOKUP(TableRBRanks3141[[#This Row],[RK]],'Ranks w Proj'!$P:$AB,13,FALSE))</f>
        <v>9.4952491757584614</v>
      </c>
      <c r="AD37">
        <v>36</v>
      </c>
      <c r="AE37" t="str">
        <f>VLOOKUP(TableWRRanks3242[[#This Row],[RK]],Rankings!A:T,13,FALSE)</f>
        <v>Chris Godwin</v>
      </c>
      <c r="AF37" t="str">
        <f>IFERROR(INDEX(TableWRCalcPts[TM],MATCH(TableWRRanks3242[[#This Row],[Player]],TableWRCalcPts[PLAYER],0)),"")</f>
        <v>TB</v>
      </c>
      <c r="AG37">
        <f>IFERROR(INDEX(TableWRCalcPts[BYE],MATCH(TableWRRanks3242[[#This Row],[Player]],TableWRCalcPts[PLAYER],0)),"")</f>
        <v>11</v>
      </c>
      <c r="AH37" s="83">
        <f>VLOOKUP(TableWRRanks3242[[#This Row],[Player]],WR!B:O,4,FALSE)</f>
        <v>21.251872907999999</v>
      </c>
      <c r="AI37" s="83">
        <f>VLOOKUP(TableWRRanks3242[[#This Row],[Player]],WR!B:O,5,FALSE)</f>
        <v>4.793562356510904E-2</v>
      </c>
      <c r="AJ37" s="83">
        <f>VLOOKUP(TableWRRanks3242[[#This Row],[Player]],WR!B:O,6,FALSE)</f>
        <v>124.54069319999999</v>
      </c>
      <c r="AK37" s="83">
        <f>VLOOKUP(TableWRRanks3242[[#This Row],[Player]],WR!B:O,7,FALSE)</f>
        <v>78.211555329599989</v>
      </c>
      <c r="AL37" s="83">
        <f>VLOOKUP(TableWRRanks3242[[#This Row],[Player]],WR!B:O,8,FALSE)</f>
        <v>954.11667382665075</v>
      </c>
      <c r="AM37" s="83">
        <f>VLOOKUP(TableWRRanks3242[[#This Row],[Player]],WR!B:O,9,FALSE)</f>
        <v>5.0603068112553515</v>
      </c>
      <c r="AN37" s="57">
        <f>VLOOKUP(TableWRRanks3242[[#This Row],[Player]],WR!B:O,13,FALSE)</f>
        <v>167.29208694718784</v>
      </c>
      <c r="AO37" s="125">
        <f>IF(VLOOKUP(TableWRRanks3242[[#This Row],[RK]],'Ranks w Proj'!AD:AO,12,FALSE)&lt;0,0,VLOOKUP(TableWRRanks3242[[#This Row],[RK]],'Ranks w Proj'!AD:AO,12,FALSE))</f>
        <v>11.394183209731089</v>
      </c>
      <c r="AQ37">
        <v>36</v>
      </c>
      <c r="AR37" t="str">
        <f>VLOOKUP(TableTERanks3343[[#This Row],[RK]],Rankings!A:T,18,FALSE)</f>
        <v>Ja'Tavion Sanders</v>
      </c>
      <c r="AS37" t="str">
        <f>IFERROR(INDEX(TableTECalcPts[TM],MATCH(TableTERanks3343[[#This Row],[Player]],TableTECalcPts[PLAYER],0)),"")</f>
        <v>CAR</v>
      </c>
      <c r="AT37">
        <f>IFERROR(INDEX(TableTECalcPts[BYE],MATCH(TableTERanks3343[[#This Row],[Player]],TableTECalcPts[PLAYER],0)),"")</f>
        <v>11</v>
      </c>
      <c r="AU37" s="83">
        <f>VLOOKUP(TableTERanks3343[[#This Row],[Player]],TE!B:O,4,FALSE)</f>
        <v>46.912786199999992</v>
      </c>
      <c r="AV37" s="83">
        <f>VLOOKUP(TableTERanks3343[[#This Row],[Player]],TE!B:O,5,FALSE)</f>
        <v>29.695793664599996</v>
      </c>
      <c r="AW37" s="83">
        <f>VLOOKUP(TableTERanks3343[[#This Row],[Player]],TE!B:O,6,FALSE)</f>
        <v>312.88245187448638</v>
      </c>
      <c r="AX37" s="83">
        <f>VLOOKUP(TableTERanks3343[[#This Row],[Player]],TE!B:O,7,FALSE)</f>
        <v>2.1794191658372144</v>
      </c>
      <c r="AY37" s="57">
        <f>VLOOKUP(TableTERanks3343[[#This Row],[Player]],TE!B:O,11,FALSE)</f>
        <v>59.212657014771921</v>
      </c>
      <c r="AZ37" s="125">
        <f>IF(VLOOKUP(TableTERanks3343[[#This Row],[RK]],'Ranks w Proj'!AQ:AZ,10,FALSE)&lt;0,0,VLOOKUP(TableTERanks3343[[#This Row],[RK]],'Ranks w Proj'!AQ:AZ,10,FALSE))</f>
        <v>0</v>
      </c>
    </row>
    <row r="38" spans="1:52" x14ac:dyDescent="0.2">
      <c r="A38">
        <v>37</v>
      </c>
      <c r="B38" t="str">
        <f>VLOOKUP(TableQBRanks3040[[#This Row],[RK]],Rankings!A:T,3,FALSE)</f>
        <v>Sam Howell</v>
      </c>
      <c r="C38" t="str">
        <f>IFERROR(INDEX(TableQBCalcPts[TM],MATCH(TableQBRanks3040[[#This Row],[Player]],TableQBCalcPts[PLAYER],0)),"")</f>
        <v>SEA</v>
      </c>
      <c r="D38">
        <f>IFERROR(INDEX(TableQBCalcPts[BYE],MATCH(TableQBRanks3040[[#This Row],[Player]],TableQBCalcPts[PLAYER],0)),"")</f>
        <v>10</v>
      </c>
      <c r="E38" s="83">
        <f>VLOOKUP(TableQBRanks3040[[#This Row],[Player]],QB!B:O,4,FALSE)</f>
        <v>59.232900000000001</v>
      </c>
      <c r="F38" s="83">
        <f>VLOOKUP(TableQBRanks3040[[#This Row],[Player]],QB!B:O,5,FALSE)</f>
        <v>37.896985495522486</v>
      </c>
      <c r="G38" s="83">
        <f>VLOOKUP(TableQBRanks3040[[#This Row],[Player]],QB!B:O,6,FALSE)</f>
        <v>410.07288672727765</v>
      </c>
      <c r="H38" s="83">
        <f>VLOOKUP(TableQBRanks3040[[#This Row],[Player]],QB!B:O,7,FALSE)</f>
        <v>2.5049663933148976</v>
      </c>
      <c r="I38" s="83">
        <f>VLOOKUP(TableQBRanks3040[[#This Row],[Player]],QB!B:O,8,FALSE)</f>
        <v>1.0350363508504383</v>
      </c>
      <c r="J38" s="83">
        <f>VLOOKUP(TableQBRanks3040[[#This Row],[Player]],QB!B:O,9,FALSE)</f>
        <v>5.2763709600000004</v>
      </c>
      <c r="K38" s="83">
        <f>VLOOKUP(TableQBRanks3040[[#This Row],[Player]],QB!B:O,10,FALSE)</f>
        <v>25.781551494869269</v>
      </c>
      <c r="L38" s="83">
        <f>VLOOKUP(TableQBRanks3040[[#This Row],[Player]],QB!B:O,11,FALSE)</f>
        <v>0.12622213791413409</v>
      </c>
      <c r="M38" s="57">
        <f>VLOOKUP(TableQBRanks3040[[#This Row],[Player]],QB!B:O,13,FALSE)</f>
        <v>27.688196317621554</v>
      </c>
      <c r="N38" s="125">
        <f>IF(VLOOKUP(TableQBRanks3040[[#This Row],[RK]],'Ranks w Proj'!$A:$N,14,FALSE)&lt;0,0,VLOOKUP(TableQBRanks3040[[#This Row],[RK]],'Ranks w Proj'!$A:$N,14,FALSE))</f>
        <v>0</v>
      </c>
      <c r="P38">
        <v>37</v>
      </c>
      <c r="Q38" t="str">
        <f>VLOOKUP(TableRBRanks3141[[#This Row],[RK]],Rankings!A:T,8,FALSE)</f>
        <v>Blake Corum</v>
      </c>
      <c r="R38" t="str">
        <f>IFERROR(INDEX(TableRBCalcPts[TM],MATCH(TableRBRanks3141[[#This Row],[Player]],TableRBCalcPts[PLAYER],0)),"")</f>
        <v>LAR</v>
      </c>
      <c r="S38">
        <f>IFERROR(INDEX(TableRBCalcPts[BYE],MATCH(TableRBRanks3141[[#This Row],[Player]],TableRBCalcPts[PLAYER],0)),"")</f>
        <v>6</v>
      </c>
      <c r="T38" s="83">
        <f>VLOOKUP(TableRBRanks3141[[#This Row],[Player]],RB!B:O,4,FALSE)</f>
        <v>150.40691316000002</v>
      </c>
      <c r="U38" s="83">
        <f>VLOOKUP(TableRBRanks3141[[#This Row],[Player]],RB!B:O,5,FALSE)</f>
        <v>646.59073959269938</v>
      </c>
      <c r="V38" s="83">
        <f>VLOOKUP(TableRBRanks3141[[#This Row],[Player]],RB!B:O,6,FALSE)</f>
        <v>6.1666834395600008</v>
      </c>
      <c r="W38" s="83">
        <f>VLOOKUP(TableRBRanks3141[[#This Row],[Player]],RB!B:O,7,FALSE)</f>
        <v>18.113163599999996</v>
      </c>
      <c r="X38" s="83">
        <f>VLOOKUP(TableRBRanks3141[[#This Row],[Player]],RB!B:O,8,FALSE)</f>
        <v>12.570535538399996</v>
      </c>
      <c r="Y38" s="83">
        <f>VLOOKUP(TableRBRanks3141[[#This Row],[Player]],RB!B:O,9,FALSE)</f>
        <v>95.748526766904803</v>
      </c>
      <c r="Z38" s="83">
        <f>VLOOKUP(TableRBRanks3141[[#This Row],[Player]],RB!B:O,10,FALSE)</f>
        <v>0.4467674951301272</v>
      </c>
      <c r="AA38" s="57">
        <f>VLOOKUP(TableRBRanks3141[[#This Row],[Player]],RB!B:O,14,FALSE)</f>
        <v>120.1999000133012</v>
      </c>
      <c r="AB38" s="125">
        <f>IF(VLOOKUP(TableRBRanks3141[[#This Row],[RK]],'Ranks w Proj'!$P:$AB,13,FALSE)&lt;0,0,VLOOKUP(TableRBRanks3141[[#This Row],[RK]],'Ranks w Proj'!$P:$AB,13,FALSE))</f>
        <v>7.5265646893476443</v>
      </c>
      <c r="AD38">
        <v>37</v>
      </c>
      <c r="AE38" t="str">
        <f>VLOOKUP(TableWRRanks3242[[#This Row],[RK]],Rankings!A:T,13,FALSE)</f>
        <v>DeAndre Hopkins</v>
      </c>
      <c r="AF38" t="str">
        <f>IFERROR(INDEX(TableWRCalcPts[TM],MATCH(TableWRRanks3242[[#This Row],[Player]],TableWRCalcPts[PLAYER],0)),"")</f>
        <v>TEN</v>
      </c>
      <c r="AG38">
        <f>IFERROR(INDEX(TableWRCalcPts[BYE],MATCH(TableWRRanks3242[[#This Row],[Player]],TableWRCalcPts[PLAYER],0)),"")</f>
        <v>5</v>
      </c>
      <c r="AH38" s="83">
        <f>VLOOKUP(TableWRRanks3242[[#This Row],[Player]],WR!B:O,4,FALSE)</f>
        <v>0</v>
      </c>
      <c r="AI38" s="83">
        <f>VLOOKUP(TableWRRanks3242[[#This Row],[Player]],WR!B:O,5,FALSE)</f>
        <v>0</v>
      </c>
      <c r="AJ38" s="83">
        <f>VLOOKUP(TableWRRanks3242[[#This Row],[Player]],WR!B:O,6,FALSE)</f>
        <v>123.21316853999998</v>
      </c>
      <c r="AK38" s="83">
        <f>VLOOKUP(TableWRRanks3242[[#This Row],[Player]],WR!B:O,7,FALSE)</f>
        <v>71.956490427359981</v>
      </c>
      <c r="AL38" s="83">
        <f>VLOOKUP(TableWRRanks3242[[#This Row],[Player]],WR!B:O,8,FALSE)</f>
        <v>978.60826981209573</v>
      </c>
      <c r="AM38" s="83">
        <f>VLOOKUP(TableWRRanks3242[[#This Row],[Player]],WR!B:O,9,FALSE)</f>
        <v>6.0596069195461588</v>
      </c>
      <c r="AN38" s="57">
        <f>VLOOKUP(TableWRRanks3242[[#This Row],[Player]],WR!B:O,13,FALSE)</f>
        <v>170.19671371216654</v>
      </c>
      <c r="AO38" s="125">
        <f>IF(VLOOKUP(TableWRRanks3242[[#This Row],[RK]],'Ranks w Proj'!AD:AO,12,FALSE)&lt;0,0,VLOOKUP(TableWRRanks3242[[#This Row],[RK]],'Ranks w Proj'!AD:AO,12,FALSE))</f>
        <v>11.123699389754146</v>
      </c>
      <c r="AQ38">
        <v>37</v>
      </c>
      <c r="AR38" t="str">
        <f>VLOOKUP(TableTERanks3343[[#This Row],[RK]],Rankings!A:T,18,FALSE)</f>
        <v>Kylen Granson</v>
      </c>
      <c r="AS38" t="str">
        <f>IFERROR(INDEX(TableTECalcPts[TM],MATCH(TableTERanks3343[[#This Row],[Player]],TableTECalcPts[PLAYER],0)),"")</f>
        <v>IND</v>
      </c>
      <c r="AT38">
        <f>IFERROR(INDEX(TableTECalcPts[BYE],MATCH(TableTERanks3343[[#This Row],[Player]],TableTECalcPts[PLAYER],0)),"")</f>
        <v>14</v>
      </c>
      <c r="AU38" s="83">
        <f>VLOOKUP(TableTERanks3343[[#This Row],[Player]],TE!B:O,4,FALSE)</f>
        <v>40.247129999999999</v>
      </c>
      <c r="AV38" s="83">
        <f>VLOOKUP(TableTERanks3343[[#This Row],[Player]],TE!B:O,5,FALSE)</f>
        <v>24.832479209999999</v>
      </c>
      <c r="AW38" s="83">
        <f>VLOOKUP(TableTERanks3343[[#This Row],[Player]],TE!B:O,6,FALSE)</f>
        <v>276.35942204912243</v>
      </c>
      <c r="AX38" s="83">
        <f>VLOOKUP(TableTERanks3343[[#This Row],[Player]],TE!B:O,7,FALSE)</f>
        <v>1.9865983368</v>
      </c>
      <c r="AY38" s="57">
        <f>VLOOKUP(TableTERanks3343[[#This Row],[Player]],TE!B:O,11,FALSE)</f>
        <v>51.971771830712242</v>
      </c>
      <c r="AZ38" s="125">
        <f>IF(VLOOKUP(TableTERanks3343[[#This Row],[RK]],'Ranks w Proj'!AQ:AZ,10,FALSE)&lt;0,0,VLOOKUP(TableTERanks3343[[#This Row],[RK]],'Ranks w Proj'!AQ:AZ,10,FALSE))</f>
        <v>0</v>
      </c>
    </row>
    <row r="39" spans="1:52" x14ac:dyDescent="0.2">
      <c r="A39">
        <v>38</v>
      </c>
      <c r="B39" t="str">
        <f>VLOOKUP(TableQBRanks3040[[#This Row],[RK]],Rankings!A:T,3,FALSE)</f>
        <v>Jake Browning</v>
      </c>
      <c r="C39" t="str">
        <f>IFERROR(INDEX(TableQBCalcPts[TM],MATCH(TableQBRanks3040[[#This Row],[Player]],TableQBCalcPts[PLAYER],0)),"")</f>
        <v>CIN</v>
      </c>
      <c r="D39">
        <f>IFERROR(INDEX(TableQBCalcPts[BYE],MATCH(TableQBRanks3040[[#This Row],[Player]],TableQBCalcPts[PLAYER],0)),"")</f>
        <v>12</v>
      </c>
      <c r="E39" s="83">
        <f>VLOOKUP(TableQBRanks3040[[#This Row],[Player]],QB!B:O,4,FALSE)</f>
        <v>31.814700000000027</v>
      </c>
      <c r="F39" s="83">
        <f>VLOOKUP(TableQBRanks3040[[#This Row],[Player]],QB!B:O,5,FALSE)</f>
        <v>20.291968340903775</v>
      </c>
      <c r="G39" s="83">
        <f>VLOOKUP(TableQBRanks3040[[#This Row],[Player]],QB!B:O,6,FALSE)</f>
        <v>221.75122917517385</v>
      </c>
      <c r="H39" s="83">
        <f>VLOOKUP(TableQBRanks3040[[#This Row],[Player]],QB!B:O,7,FALSE)</f>
        <v>1.4634762000000012</v>
      </c>
      <c r="I39" s="83">
        <f>VLOOKUP(TableQBRanks3040[[#This Row],[Player]],QB!B:O,8,FALSE)</f>
        <v>0.45624839654329369</v>
      </c>
      <c r="J39" s="83">
        <f>VLOOKUP(TableQBRanks3040[[#This Row],[Player]],QB!B:O,9,FALSE)</f>
        <v>0</v>
      </c>
      <c r="K39" s="83">
        <f>VLOOKUP(TableQBRanks3040[[#This Row],[Player]],QB!B:O,10,FALSE)</f>
        <v>0</v>
      </c>
      <c r="L39" s="83">
        <f>VLOOKUP(TableQBRanks3040[[#This Row],[Player]],QB!B:O,11,FALSE)</f>
        <v>0</v>
      </c>
      <c r="M39" s="57">
        <f>VLOOKUP(TableQBRanks3040[[#This Row],[Player]],QB!B:O,13,FALSE)</f>
        <v>13.811457173920372</v>
      </c>
      <c r="N39" s="125">
        <f>IF(VLOOKUP(TableQBRanks3040[[#This Row],[RK]],'Ranks w Proj'!$A:$N,14,FALSE)&lt;0,0,VLOOKUP(TableQBRanks3040[[#This Row],[RK]],'Ranks w Proj'!$A:$N,14,FALSE))</f>
        <v>0</v>
      </c>
      <c r="P39">
        <v>38</v>
      </c>
      <c r="Q39" t="str">
        <f>VLOOKUP(TableRBRanks3141[[#This Row],[RK]],Rankings!A:T,8,FALSE)</f>
        <v>Jaylen Warren</v>
      </c>
      <c r="R39" t="str">
        <f>IFERROR(INDEX(TableRBCalcPts[TM],MATCH(TableRBRanks3141[[#This Row],[Player]],TableRBCalcPts[PLAYER],0)),"")</f>
        <v>PIT</v>
      </c>
      <c r="S39">
        <f>IFERROR(INDEX(TableRBCalcPts[BYE],MATCH(TableRBRanks3141[[#This Row],[Player]],TableRBCalcPts[PLAYER],0)),"")</f>
        <v>9</v>
      </c>
      <c r="T39" s="83">
        <f>VLOOKUP(TableRBRanks3141[[#This Row],[Player]],RB!B:O,4,FALSE)</f>
        <v>145.45944</v>
      </c>
      <c r="U39" s="83">
        <f>VLOOKUP(TableRBRanks3141[[#This Row],[Player]],RB!B:O,5,FALSE)</f>
        <v>674.93180159999997</v>
      </c>
      <c r="V39" s="83">
        <f>VLOOKUP(TableRBRanks3141[[#This Row],[Player]],RB!B:O,6,FALSE)</f>
        <v>4.8001615200000005</v>
      </c>
      <c r="W39" s="83">
        <f>VLOOKUP(TableRBRanks3141[[#This Row],[Player]],RB!B:O,7,FALSE)</f>
        <v>35.232959999999999</v>
      </c>
      <c r="X39" s="83">
        <f>VLOOKUP(TableRBRanks3141[[#This Row],[Player]],RB!B:O,8,FALSE)</f>
        <v>27.904504320000001</v>
      </c>
      <c r="Y39" s="83">
        <f>VLOOKUP(TableRBRanks3141[[#This Row],[Player]],RB!B:O,9,FALSE)</f>
        <v>196.44771041280001</v>
      </c>
      <c r="Z39" s="83">
        <f>VLOOKUP(TableRBRanks3141[[#This Row],[Player]],RB!B:O,10,FALSE)</f>
        <v>1.1719891814400001</v>
      </c>
      <c r="AA39" s="57">
        <f>VLOOKUP(TableRBRanks3141[[#This Row],[Player]],RB!B:O,14,FALSE)</f>
        <v>136.92310756992001</v>
      </c>
      <c r="AB39" s="125">
        <f>IF(VLOOKUP(TableRBRanks3141[[#This Row],[RK]],'Ranks w Proj'!$P:$AB,13,FALSE)&lt;0,0,VLOOKUP(TableRBRanks3141[[#This Row],[RK]],'Ranks w Proj'!$P:$AB,13,FALSE))</f>
        <v>7.5051616587394898</v>
      </c>
      <c r="AD39">
        <v>38</v>
      </c>
      <c r="AE39" t="str">
        <f>VLOOKUP(TableWRRanks3242[[#This Row],[RK]],Rankings!A:T,13,FALSE)</f>
        <v>Tank Dell</v>
      </c>
      <c r="AF39" t="str">
        <f>IFERROR(INDEX(TableWRCalcPts[TM],MATCH(TableWRRanks3242[[#This Row],[Player]],TableWRCalcPts[PLAYER],0)),"")</f>
        <v>HOU</v>
      </c>
      <c r="AG39">
        <f>IFERROR(INDEX(TableWRCalcPts[BYE],MATCH(TableWRRanks3242[[#This Row],[Player]],TableWRCalcPts[PLAYER],0)),"")</f>
        <v>14</v>
      </c>
      <c r="AH39" s="83">
        <f>VLOOKUP(TableWRRanks3242[[#This Row],[Player]],WR!B:O,4,FALSE)</f>
        <v>106.20909936000001</v>
      </c>
      <c r="AI39" s="83">
        <f>VLOOKUP(TableWRRanks3242[[#This Row],[Player]],WR!B:O,5,FALSE)</f>
        <v>9.8735493019248236E-2</v>
      </c>
      <c r="AJ39" s="83">
        <f>VLOOKUP(TableWRRanks3242[[#This Row],[Player]],WR!B:O,6,FALSE)</f>
        <v>109.33162239999997</v>
      </c>
      <c r="AK39" s="83">
        <f>VLOOKUP(TableWRRanks3242[[#This Row],[Player]],WR!B:O,7,FALSE)</f>
        <v>67.238947775999989</v>
      </c>
      <c r="AL39" s="83">
        <f>VLOOKUP(TableWRRanks3242[[#This Row],[Player]],WR!B:O,8,FALSE)</f>
        <v>970.93040588543977</v>
      </c>
      <c r="AM39" s="83">
        <f>VLOOKUP(TableWRRanks3242[[#This Row],[Player]],WR!B:O,9,FALSE)</f>
        <v>6.6566558298239995</v>
      </c>
      <c r="AN39" s="57">
        <f>VLOOKUP(TableWRRanks3242[[#This Row],[Player]],WR!B:O,13,FALSE)</f>
        <v>181.86577234960347</v>
      </c>
      <c r="AO39" s="125">
        <f>IF(VLOOKUP(TableWRRanks3242[[#This Row],[RK]],'Ranks w Proj'!AD:AO,12,FALSE)&lt;0,0,VLOOKUP(TableWRRanks3242[[#This Row],[RK]],'Ranks w Proj'!AD:AO,12,FALSE))</f>
        <v>10.575248483629629</v>
      </c>
      <c r="AQ39">
        <v>38</v>
      </c>
      <c r="AR39" t="str">
        <f>VLOOKUP(TableTERanks3343[[#This Row],[RK]],Rankings!A:T,18,FALSE)</f>
        <v>Dawson Knox</v>
      </c>
      <c r="AS39" t="str">
        <f>IFERROR(INDEX(TableTECalcPts[TM],MATCH(TableTERanks3343[[#This Row],[Player]],TableTECalcPts[PLAYER],0)),"")</f>
        <v>BUF</v>
      </c>
      <c r="AT39">
        <f>IFERROR(INDEX(TableTECalcPts[BYE],MATCH(TableTERanks3343[[#This Row],[Player]],TableTECalcPts[PLAYER],0)),"")</f>
        <v>12</v>
      </c>
      <c r="AU39" s="83">
        <f>VLOOKUP(TableTERanks3343[[#This Row],[Player]],TE!B:O,4,FALSE)</f>
        <v>43.124014079999988</v>
      </c>
      <c r="AV39" s="83">
        <f>VLOOKUP(TableTERanks3343[[#This Row],[Player]],TE!B:O,5,FALSE)</f>
        <v>26.736888729599993</v>
      </c>
      <c r="AW39" s="83">
        <f>VLOOKUP(TableTERanks3343[[#This Row],[Player]],TE!B:O,6,FALSE)</f>
        <v>277.76425325555408</v>
      </c>
      <c r="AX39" s="83">
        <f>VLOOKUP(TableTERanks3343[[#This Row],[Player]],TE!B:O,7,FALSE)</f>
        <v>2.8341102053375993</v>
      </c>
      <c r="AY39" s="57">
        <f>VLOOKUP(TableTERanks3343[[#This Row],[Player]],TE!B:O,11,FALSE)</f>
        <v>58.149530922381004</v>
      </c>
      <c r="AZ39" s="125">
        <f>IF(VLOOKUP(TableTERanks3343[[#This Row],[RK]],'Ranks w Proj'!AQ:AZ,10,FALSE)&lt;0,0,VLOOKUP(TableTERanks3343[[#This Row],[RK]],'Ranks w Proj'!AQ:AZ,10,FALSE))</f>
        <v>0</v>
      </c>
    </row>
    <row r="40" spans="1:52" x14ac:dyDescent="0.2">
      <c r="A40">
        <v>39</v>
      </c>
      <c r="B40" t="str">
        <f>VLOOKUP(TableQBRanks3040[[#This Row],[RK]],Rankings!A:T,3,FALSE)</f>
        <v>Nick Mullens</v>
      </c>
      <c r="C40" t="str">
        <f>IFERROR(INDEX(TableQBCalcPts[TM],MATCH(TableQBRanks3040[[#This Row],[Player]],TableQBCalcPts[PLAYER],0)),"")</f>
        <v>MIN</v>
      </c>
      <c r="D40">
        <f>IFERROR(INDEX(TableQBCalcPts[BYE],MATCH(TableQBRanks3040[[#This Row],[Player]],TableQBCalcPts[PLAYER],0)),"")</f>
        <v>6</v>
      </c>
      <c r="E40" s="83">
        <f>VLOOKUP(TableQBRanks3040[[#This Row],[Player]],QB!B:O,4,FALSE)</f>
        <v>76.175999999999988</v>
      </c>
      <c r="F40" s="83">
        <f>VLOOKUP(TableQBRanks3040[[#This Row],[Player]],QB!B:O,5,FALSE)</f>
        <v>47.229119999999995</v>
      </c>
      <c r="G40" s="83">
        <f>VLOOKUP(TableQBRanks3040[[#This Row],[Player]],QB!B:O,6,FALSE)</f>
        <v>571.47235199999989</v>
      </c>
      <c r="H40" s="83">
        <f>VLOOKUP(TableQBRanks3040[[#This Row],[Player]],QB!B:O,7,FALSE)</f>
        <v>2.9708639999999997</v>
      </c>
      <c r="I40" s="83">
        <f>VLOOKUP(TableQBRanks3040[[#This Row],[Player]],QB!B:O,8,FALSE)</f>
        <v>1.4641027199999999</v>
      </c>
      <c r="J40" s="83">
        <f>VLOOKUP(TableQBRanks3040[[#This Row],[Player]],QB!B:O,9,FALSE)</f>
        <v>4.1473599999999999</v>
      </c>
      <c r="K40" s="83">
        <f>VLOOKUP(TableQBRanks3040[[#This Row],[Player]],QB!B:O,10,FALSE)</f>
        <v>10.783136000000001</v>
      </c>
      <c r="L40" s="83">
        <f>VLOOKUP(TableQBRanks3040[[#This Row],[Player]],QB!B:O,11,FALSE)</f>
        <v>8.2947199999999999E-2</v>
      </c>
      <c r="M40" s="57">
        <f>VLOOKUP(TableQBRanks3040[[#This Row],[Player]],QB!B:O,13,FALSE)</f>
        <v>33.390141439999994</v>
      </c>
      <c r="N40" s="125">
        <f>IF(VLOOKUP(TableQBRanks3040[[#This Row],[RK]],'Ranks w Proj'!$A:$N,14,FALSE)&lt;0,0,VLOOKUP(TableQBRanks3040[[#This Row],[RK]],'Ranks w Proj'!$A:$N,14,FALSE))</f>
        <v>0</v>
      </c>
      <c r="P40">
        <v>39</v>
      </c>
      <c r="Q40" t="str">
        <f>VLOOKUP(TableRBRanks3141[[#This Row],[RK]],Rankings!A:T,8,FALSE)</f>
        <v>Zach Charbonnet</v>
      </c>
      <c r="R40" t="str">
        <f>IFERROR(INDEX(TableRBCalcPts[TM],MATCH(TableRBRanks3141[[#This Row],[Player]],TableRBCalcPts[PLAYER],0)),"")</f>
        <v>SEA</v>
      </c>
      <c r="S40">
        <f>IFERROR(INDEX(TableRBCalcPts[BYE],MATCH(TableRBRanks3141[[#This Row],[Player]],TableRBCalcPts[PLAYER],0)),"")</f>
        <v>10</v>
      </c>
      <c r="T40" s="83">
        <f>VLOOKUP(TableRBRanks3141[[#This Row],[Player]],RB!B:O,4,FALSE)</f>
        <v>139.38413286000002</v>
      </c>
      <c r="U40" s="83">
        <f>VLOOKUP(TableRBRanks3141[[#This Row],[Player]],RB!B:O,5,FALSE)</f>
        <v>599.51784552252548</v>
      </c>
      <c r="V40" s="83">
        <f>VLOOKUP(TableRBRanks3141[[#This Row],[Player]],RB!B:O,6,FALSE)</f>
        <v>4.3209081186600002</v>
      </c>
      <c r="W40" s="83">
        <f>VLOOKUP(TableRBRanks3141[[#This Row],[Player]],RB!B:O,7,FALSE)</f>
        <v>50.501970539999988</v>
      </c>
      <c r="X40" s="83">
        <f>VLOOKUP(TableRBRanks3141[[#This Row],[Player]],RB!B:O,8,FALSE)</f>
        <v>40.149066579299991</v>
      </c>
      <c r="Y40" s="83">
        <f>VLOOKUP(TableRBRanks3141[[#This Row],[Player]],RB!B:O,9,FALSE)</f>
        <v>282.01774910547431</v>
      </c>
      <c r="Z40" s="83">
        <f>VLOOKUP(TableRBRanks3141[[#This Row],[Player]],RB!B:O,10,FALSE)</f>
        <v>1.1341392900789073</v>
      </c>
      <c r="AA40" s="57">
        <f>VLOOKUP(TableRBRanks3141[[#This Row],[Player]],RB!B:O,14,FALSE)</f>
        <v>140.95837720488342</v>
      </c>
      <c r="AB40" s="125">
        <f>IF(VLOOKUP(TableRBRanks3141[[#This Row],[RK]],'Ranks w Proj'!$P:$AB,13,FALSE)&lt;0,0,VLOOKUP(TableRBRanks3141[[#This Row],[RK]],'Ranks w Proj'!$P:$AB,13,FALSE))</f>
        <v>7.4477291643712897</v>
      </c>
      <c r="AD40">
        <v>39</v>
      </c>
      <c r="AE40" t="str">
        <f>VLOOKUP(TableWRRanks3242[[#This Row],[RK]],Rankings!A:T,13,FALSE)</f>
        <v>Joshua Palmer</v>
      </c>
      <c r="AF40" t="str">
        <f>IFERROR(INDEX(TableWRCalcPts[TM],MATCH(TableWRRanks3242[[#This Row],[Player]],TableWRCalcPts[PLAYER],0)),"")</f>
        <v>LAC</v>
      </c>
      <c r="AG40">
        <f>IFERROR(INDEX(TableWRCalcPts[BYE],MATCH(TableWRRanks3242[[#This Row],[Player]],TableWRCalcPts[PLAYER],0)),"")</f>
        <v>5</v>
      </c>
      <c r="AH40" s="83">
        <f>VLOOKUP(TableWRRanks3242[[#This Row],[Player]],WR!B:O,4,FALSE)</f>
        <v>0</v>
      </c>
      <c r="AI40" s="83">
        <f>VLOOKUP(TableWRRanks3242[[#This Row],[Player]],WR!B:O,5,FALSE)</f>
        <v>0</v>
      </c>
      <c r="AJ40" s="83">
        <f>VLOOKUP(TableWRRanks3242[[#This Row],[Player]],WR!B:O,6,FALSE)</f>
        <v>120.60616176000003</v>
      </c>
      <c r="AK40" s="83">
        <f>VLOOKUP(TableWRRanks3242[[#This Row],[Player]],WR!B:O,7,FALSE)</f>
        <v>78.273398982240039</v>
      </c>
      <c r="AL40" s="83">
        <f>VLOOKUP(TableWRRanks3242[[#This Row],[Player]],WR!B:O,8,FALSE)</f>
        <v>979.20022126782283</v>
      </c>
      <c r="AM40" s="83">
        <f>VLOOKUP(TableWRRanks3242[[#This Row],[Player]],WR!B:O,9,FALSE)</f>
        <v>5.9487783226502424</v>
      </c>
      <c r="AN40" s="57">
        <f>VLOOKUP(TableWRRanks3242[[#This Row],[Player]],WR!B:O,13,FALSE)</f>
        <v>172.74939155380375</v>
      </c>
      <c r="AO40" s="125">
        <f>IF(VLOOKUP(TableWRRanks3242[[#This Row],[RK]],'Ranks w Proj'!AD:AO,12,FALSE)&lt;0,0,VLOOKUP(TableWRRanks3242[[#This Row],[RK]],'Ranks w Proj'!AD:AO,12,FALSE))</f>
        <v>10.011482004345076</v>
      </c>
      <c r="AQ40">
        <v>39</v>
      </c>
      <c r="AR40" t="str">
        <f>VLOOKUP(TableTERanks3343[[#This Row],[RK]],Rankings!A:T,18,FALSE)</f>
        <v>Zach Ertz</v>
      </c>
      <c r="AS40" t="str">
        <f>IFERROR(INDEX(TableTECalcPts[TM],MATCH(TableTERanks3343[[#This Row],[Player]],TableTECalcPts[PLAYER],0)),"")</f>
        <v>WSH</v>
      </c>
      <c r="AT40">
        <f>IFERROR(INDEX(TableTECalcPts[BYE],MATCH(TableTERanks3343[[#This Row],[Player]],TableTECalcPts[PLAYER],0)),"")</f>
        <v>14</v>
      </c>
      <c r="AU40" s="83">
        <f>VLOOKUP(TableTERanks3343[[#This Row],[Player]],TE!B:O,4,FALSE)</f>
        <v>45.892753200000008</v>
      </c>
      <c r="AV40" s="83">
        <f>VLOOKUP(TableTERanks3343[[#This Row],[Player]],TE!B:O,5,FALSE)</f>
        <v>29.784396826800005</v>
      </c>
      <c r="AW40" s="83">
        <f>VLOOKUP(TableTERanks3343[[#This Row],[Player]],TE!B:O,6,FALSE)</f>
        <v>287.41942937862007</v>
      </c>
      <c r="AX40" s="83">
        <f>VLOOKUP(TableTERanks3343[[#This Row],[Player]],TE!B:O,7,FALSE)</f>
        <v>2.0849077778760008</v>
      </c>
      <c r="AY40" s="57">
        <f>VLOOKUP(TableTERanks3343[[#This Row],[Player]],TE!B:O,11,FALSE)</f>
        <v>56.143588018518017</v>
      </c>
      <c r="AZ40" s="125">
        <f>IF(VLOOKUP(TableTERanks3343[[#This Row],[RK]],'Ranks w Proj'!AQ:AZ,10,FALSE)&lt;0,0,VLOOKUP(TableTERanks3343[[#This Row],[RK]],'Ranks w Proj'!AQ:AZ,10,FALSE))</f>
        <v>0</v>
      </c>
    </row>
    <row r="41" spans="1:52" x14ac:dyDescent="0.2">
      <c r="A41">
        <v>40</v>
      </c>
      <c r="B41" t="str">
        <f>VLOOKUP(TableQBRanks3040[[#This Row],[RK]],Rankings!A:T,3,FALSE)</f>
        <v>Easton Stick</v>
      </c>
      <c r="C41" t="str">
        <f>IFERROR(INDEX(TableQBCalcPts[TM],MATCH(TableQBRanks3040[[#This Row],[Player]],TableQBCalcPts[PLAYER],0)),"")</f>
        <v>LAC</v>
      </c>
      <c r="D41">
        <f>IFERROR(INDEX(TableQBCalcPts[BYE],MATCH(TableQBRanks3040[[#This Row],[Player]],TableQBCalcPts[PLAYER],0)),"")</f>
        <v>5</v>
      </c>
      <c r="E41" s="83">
        <f>VLOOKUP(TableQBRanks3040[[#This Row],[Player]],QB!B:O,4,FALSE)</f>
        <v>56.97570000000001</v>
      </c>
      <c r="F41" s="83">
        <f>VLOOKUP(TableQBRanks3040[[#This Row],[Player]],QB!B:O,5,FALSE)</f>
        <v>35.210982600000008</v>
      </c>
      <c r="G41" s="83">
        <f>VLOOKUP(TableQBRanks3040[[#This Row],[Player]],QB!B:O,6,FALSE)</f>
        <v>383.0954906880001</v>
      </c>
      <c r="H41" s="83">
        <f>VLOOKUP(TableQBRanks3040[[#This Row],[Player]],QB!B:O,7,FALSE)</f>
        <v>2.5944222342420766</v>
      </c>
      <c r="I41" s="83">
        <f>VLOOKUP(TableQBRanks3040[[#This Row],[Player]],QB!B:O,8,FALSE)</f>
        <v>0.63816084401494966</v>
      </c>
      <c r="J41" s="83">
        <f>VLOOKUP(TableQBRanks3040[[#This Row],[Player]],QB!B:O,9,FALSE)</f>
        <v>0</v>
      </c>
      <c r="K41" s="83">
        <f>VLOOKUP(TableQBRanks3040[[#This Row],[Player]],QB!B:O,10,FALSE)</f>
        <v>0</v>
      </c>
      <c r="L41" s="83">
        <f>VLOOKUP(TableQBRanks3040[[#This Row],[Player]],QB!B:O,11,FALSE)</f>
        <v>0</v>
      </c>
      <c r="M41" s="57">
        <f>VLOOKUP(TableQBRanks3040[[#This Row],[Player]],QB!B:O,13,FALSE)</f>
        <v>24.425186876458412</v>
      </c>
      <c r="N41" s="125">
        <f>IF(VLOOKUP(TableQBRanks3040[[#This Row],[RK]],'Ranks w Proj'!$A:$N,14,FALSE)&lt;0,0,VLOOKUP(TableQBRanks3040[[#This Row],[RK]],'Ranks w Proj'!$A:$N,14,FALSE))</f>
        <v>0</v>
      </c>
      <c r="P41">
        <v>40</v>
      </c>
      <c r="Q41" t="str">
        <f>VLOOKUP(TableRBRanks3141[[#This Row],[RK]],Rankings!A:T,8,FALSE)</f>
        <v>Tyler Allgeier</v>
      </c>
      <c r="R41" t="str">
        <f>IFERROR(INDEX(TableRBCalcPts[TM],MATCH(TableRBRanks3141[[#This Row],[Player]],TableRBCalcPts[PLAYER],0)),"")</f>
        <v>ATL</v>
      </c>
      <c r="S41">
        <f>IFERROR(INDEX(TableRBCalcPts[BYE],MATCH(TableRBRanks3141[[#This Row],[Player]],TableRBCalcPts[PLAYER],0)),"")</f>
        <v>12</v>
      </c>
      <c r="T41" s="83">
        <f>VLOOKUP(TableRBRanks3141[[#This Row],[Player]],RB!B:O,4,FALSE)</f>
        <v>116.19326880000001</v>
      </c>
      <c r="U41" s="83">
        <f>VLOOKUP(TableRBRanks3141[[#This Row],[Player]],RB!B:O,5,FALSE)</f>
        <v>493.82139240000004</v>
      </c>
      <c r="V41" s="83">
        <f>VLOOKUP(TableRBRanks3141[[#This Row],[Player]],RB!B:O,6,FALSE)</f>
        <v>4.0667644080000009</v>
      </c>
      <c r="W41" s="83">
        <f>VLOOKUP(TableRBRanks3141[[#This Row],[Player]],RB!B:O,7,FALSE)</f>
        <v>32.782669919999996</v>
      </c>
      <c r="X41" s="83">
        <f>VLOOKUP(TableRBRanks3141[[#This Row],[Player]],RB!B:O,8,FALSE)</f>
        <v>26.193353266079999</v>
      </c>
      <c r="Y41" s="83">
        <f>VLOOKUP(TableRBRanks3141[[#This Row],[Player]],RB!B:O,9,FALSE)</f>
        <v>210.51857801746371</v>
      </c>
      <c r="Z41" s="83">
        <f>VLOOKUP(TableRBRanks3141[[#This Row],[Player]],RB!B:O,10,FALSE)</f>
        <v>1.3485057381283587</v>
      </c>
      <c r="AA41" s="57">
        <f>VLOOKUP(TableRBRanks3141[[#This Row],[Player]],RB!B:O,14,FALSE)</f>
        <v>116.02229455155656</v>
      </c>
      <c r="AB41" s="125">
        <f>IF(VLOOKUP(TableRBRanks3141[[#This Row],[RK]],'Ranks w Proj'!$P:$AB,13,FALSE)&lt;0,0,VLOOKUP(TableRBRanks3141[[#This Row],[RK]],'Ranks w Proj'!$P:$AB,13,FALSE))</f>
        <v>7.3917002905693314</v>
      </c>
      <c r="AD41">
        <v>40</v>
      </c>
      <c r="AE41" t="str">
        <f>VLOOKUP(TableWRRanks3242[[#This Row],[RK]],Rankings!A:T,13,FALSE)</f>
        <v>Courtland Sutton</v>
      </c>
      <c r="AF41" t="str">
        <f>IFERROR(INDEX(TableWRCalcPts[TM],MATCH(TableWRRanks3242[[#This Row],[Player]],TableWRCalcPts[PLAYER],0)),"")</f>
        <v>DEN</v>
      </c>
      <c r="AG41">
        <f>IFERROR(INDEX(TableWRCalcPts[BYE],MATCH(TableWRRanks3242[[#This Row],[Player]],TableWRCalcPts[PLAYER],0)),"")</f>
        <v>14</v>
      </c>
      <c r="AH41" s="83">
        <f>VLOOKUP(TableWRRanks3242[[#This Row],[Player]],WR!B:O,4,FALSE)</f>
        <v>0</v>
      </c>
      <c r="AI41" s="83">
        <f>VLOOKUP(TableWRRanks3242[[#This Row],[Player]],WR!B:O,5,FALSE)</f>
        <v>0</v>
      </c>
      <c r="AJ41" s="83">
        <f>VLOOKUP(TableWRRanks3242[[#This Row],[Player]],WR!B:O,6,FALSE)</f>
        <v>121.05774040201003</v>
      </c>
      <c r="AK41" s="83">
        <f>VLOOKUP(TableWRRanks3242[[#This Row],[Player]],WR!B:O,7,FALSE)</f>
        <v>73.239932943216047</v>
      </c>
      <c r="AL41" s="83">
        <f>VLOOKUP(TableWRRanks3242[[#This Row],[Player]],WR!B:O,8,FALSE)</f>
        <v>920.62595709622576</v>
      </c>
      <c r="AM41" s="83">
        <f>VLOOKUP(TableWRRanks3242[[#This Row],[Player]],WR!B:O,9,FALSE)</f>
        <v>6.152154367230148</v>
      </c>
      <c r="AN41" s="57">
        <f>VLOOKUP(TableWRRanks3242[[#This Row],[Player]],WR!B:O,13,FALSE)</f>
        <v>165.59548838461149</v>
      </c>
      <c r="AO41" s="125">
        <f>IF(VLOOKUP(TableWRRanks3242[[#This Row],[RK]],'Ranks w Proj'!AD:AO,12,FALSE)&lt;0,0,VLOOKUP(TableWRRanks3242[[#This Row],[RK]],'Ranks w Proj'!AD:AO,12,FALSE))</f>
        <v>9.7439886200629626</v>
      </c>
      <c r="AQ41">
        <v>40</v>
      </c>
      <c r="AR41" t="str">
        <f>VLOOKUP(TableTERanks3343[[#This Row],[RK]],Rankings!A:T,18,FALSE)</f>
        <v>Daniel Bellinger</v>
      </c>
      <c r="AS41" t="str">
        <f>IFERROR(INDEX(TableTECalcPts[TM],MATCH(TableTERanks3343[[#This Row],[Player]],TableTECalcPts[PLAYER],0)),"")</f>
        <v>NYG</v>
      </c>
      <c r="AT41">
        <f>IFERROR(INDEX(TableTECalcPts[BYE],MATCH(TableTERanks3343[[#This Row],[Player]],TableTECalcPts[PLAYER],0)),"")</f>
        <v>11</v>
      </c>
      <c r="AU41" s="83">
        <f>VLOOKUP(TableTERanks3343[[#This Row],[Player]],TE!B:O,4,FALSE)</f>
        <v>45.314031839999991</v>
      </c>
      <c r="AV41" s="83">
        <f>VLOOKUP(TableTERanks3343[[#This Row],[Player]],TE!B:O,5,FALSE)</f>
        <v>31.447938096959991</v>
      </c>
      <c r="AW41" s="83">
        <f>VLOOKUP(TableTERanks3343[[#This Row],[Player]],TE!B:O,6,FALSE)</f>
        <v>274.52286199733612</v>
      </c>
      <c r="AX41" s="83">
        <f>VLOOKUP(TableTERanks3343[[#This Row],[Player]],TE!B:O,7,FALSE)</f>
        <v>1.6352927810419196</v>
      </c>
      <c r="AY41" s="57">
        <f>VLOOKUP(TableTERanks3343[[#This Row],[Player]],TE!B:O,11,FALSE)</f>
        <v>52.988011934465121</v>
      </c>
      <c r="AZ41" s="125">
        <f>IF(VLOOKUP(TableTERanks3343[[#This Row],[RK]],'Ranks w Proj'!AQ:AZ,10,FALSE)&lt;0,0,VLOOKUP(TableTERanks3343[[#This Row],[RK]],'Ranks w Proj'!AQ:AZ,10,FALSE))</f>
        <v>0</v>
      </c>
    </row>
    <row r="42" spans="1:52" x14ac:dyDescent="0.2">
      <c r="A42">
        <v>41</v>
      </c>
      <c r="B42">
        <f>VLOOKUP(TableQBRanks3040[[#This Row],[RK]],Rankings!A:T,3,FALSE)</f>
        <v>0</v>
      </c>
      <c r="C42" t="str">
        <f>IFERROR(INDEX(TableQBCalcPts[TM],MATCH(TableQBRanks3040[[#This Row],[Player]],TableQBCalcPts[PLAYER],0)),"")</f>
        <v/>
      </c>
      <c r="D42" t="str">
        <f>IFERROR(INDEX(TableQBCalcPts[BYE],MATCH(TableQBRanks3040[[#This Row],[Player]],TableQBCalcPts[PLAYER],0)),"")</f>
        <v/>
      </c>
      <c r="E42" s="83">
        <f>VLOOKUP(TableQBRanks3040[[#This Row],[Player]],QB!B:O,4,FALSE)</f>
        <v>0</v>
      </c>
      <c r="F42" s="83">
        <f>VLOOKUP(TableQBRanks3040[[#This Row],[Player]],QB!B:O,5,FALSE)</f>
        <v>0</v>
      </c>
      <c r="G42" s="83">
        <f>VLOOKUP(TableQBRanks3040[[#This Row],[Player]],QB!B:O,6,FALSE)</f>
        <v>0</v>
      </c>
      <c r="H42" s="83">
        <f>VLOOKUP(TableQBRanks3040[[#This Row],[Player]],QB!B:O,7,FALSE)</f>
        <v>0</v>
      </c>
      <c r="I42" s="83">
        <f>VLOOKUP(TableQBRanks3040[[#This Row],[Player]],QB!B:O,8,FALSE)</f>
        <v>0</v>
      </c>
      <c r="J42" s="83">
        <f>VLOOKUP(TableQBRanks3040[[#This Row],[Player]],QB!B:O,9,FALSE)</f>
        <v>0</v>
      </c>
      <c r="K42" s="83">
        <f>VLOOKUP(TableQBRanks3040[[#This Row],[Player]],QB!B:O,10,FALSE)</f>
        <v>0</v>
      </c>
      <c r="L42" s="83">
        <f>VLOOKUP(TableQBRanks3040[[#This Row],[Player]],QB!B:O,11,FALSE)</f>
        <v>0</v>
      </c>
      <c r="M42" s="57">
        <f>VLOOKUP(TableQBRanks3040[[#This Row],[Player]],QB!B:O,13,FALSE)</f>
        <v>0</v>
      </c>
      <c r="N42" s="125">
        <f>IF(VLOOKUP(TableQBRanks3040[[#This Row],[RK]],'Ranks w Proj'!$A:$N,14,FALSE)&lt;0,0,VLOOKUP(TableQBRanks3040[[#This Row],[RK]],'Ranks w Proj'!$A:$N,14,FALSE))</f>
        <v>0</v>
      </c>
      <c r="P42">
        <v>41</v>
      </c>
      <c r="Q42" t="str">
        <f>VLOOKUP(TableRBRanks3141[[#This Row],[RK]],Rankings!A:T,8,FALSE)</f>
        <v>Nick Chubb</v>
      </c>
      <c r="R42" t="str">
        <f>IFERROR(INDEX(TableRBCalcPts[TM],MATCH(TableRBRanks3141[[#This Row],[Player]],TableRBCalcPts[PLAYER],0)),"")</f>
        <v>CLE</v>
      </c>
      <c r="S42">
        <f>IFERROR(INDEX(TableRBCalcPts[BYE],MATCH(TableRBRanks3141[[#This Row],[Player]],TableRBCalcPts[PLAYER],0)),"")</f>
        <v>10</v>
      </c>
      <c r="T42" s="83">
        <f>VLOOKUP(TableRBRanks3141[[#This Row],[Player]],RB!B:O,4,FALSE)</f>
        <v>170.25662499999999</v>
      </c>
      <c r="U42" s="83">
        <f>VLOOKUP(TableRBRanks3141[[#This Row],[Player]],RB!B:O,5,FALSE)</f>
        <v>783.18047499999989</v>
      </c>
      <c r="V42" s="83">
        <f>VLOOKUP(TableRBRanks3141[[#This Row],[Player]],RB!B:O,6,FALSE)</f>
        <v>6.9805216249999997</v>
      </c>
      <c r="W42" s="83">
        <f>VLOOKUP(TableRBRanks3141[[#This Row],[Player]],RB!B:O,7,FALSE)</f>
        <v>25.26966749999999</v>
      </c>
      <c r="X42" s="83">
        <f>VLOOKUP(TableRBRanks3141[[#This Row],[Player]],RB!B:O,8,FALSE)</f>
        <v>19.634531647499994</v>
      </c>
      <c r="Y42" s="83">
        <f>VLOOKUP(TableRBRanks3141[[#This Row],[Player]],RB!B:O,9,FALSE)</f>
        <v>149.22244052099995</v>
      </c>
      <c r="Z42" s="83">
        <f>VLOOKUP(TableRBRanks3141[[#This Row],[Player]],RB!B:O,10,FALSE)</f>
        <v>0.70672948145814851</v>
      </c>
      <c r="AA42" s="57">
        <f>VLOOKUP(TableRBRanks3141[[#This Row],[Player]],RB!B:O,14,FALSE)</f>
        <v>149.18106401459886</v>
      </c>
      <c r="AB42" s="125">
        <f>IF(VLOOKUP(TableRBRanks3141[[#This Row],[RK]],'Ranks w Proj'!$P:$AB,13,FALSE)&lt;0,0,VLOOKUP(TableRBRanks3141[[#This Row],[RK]],'Ranks w Proj'!$P:$AB,13,FALSE))</f>
        <v>6.0661200740495529</v>
      </c>
      <c r="AD42">
        <v>41</v>
      </c>
      <c r="AE42" t="str">
        <f>VLOOKUP(TableWRRanks3242[[#This Row],[RK]],Rankings!A:T,13,FALSE)</f>
        <v>Christian Watson</v>
      </c>
      <c r="AF42" t="str">
        <f>IFERROR(INDEX(TableWRCalcPts[TM],MATCH(TableWRRanks3242[[#This Row],[Player]],TableWRCalcPts[PLAYER],0)),"")</f>
        <v>GB</v>
      </c>
      <c r="AG42">
        <f>IFERROR(INDEX(TableWRCalcPts[BYE],MATCH(TableWRRanks3242[[#This Row],[Player]],TableWRCalcPts[PLAYER],0)),"")</f>
        <v>10</v>
      </c>
      <c r="AH42" s="83">
        <f>VLOOKUP(TableWRRanks3242[[#This Row],[Player]],WR!B:O,4,FALSE)</f>
        <v>29.210695359999999</v>
      </c>
      <c r="AI42" s="83">
        <f>VLOOKUP(TableWRRanks3242[[#This Row],[Player]],WR!B:O,5,FALSE)</f>
        <v>5.0365375419039952E-2</v>
      </c>
      <c r="AJ42" s="83">
        <f>VLOOKUP(TableWRRanks3242[[#This Row],[Player]],WR!B:O,6,FALSE)</f>
        <v>100.92596639999999</v>
      </c>
      <c r="AK42" s="83">
        <f>VLOOKUP(TableWRRanks3242[[#This Row],[Player]],WR!B:O,7,FALSE)</f>
        <v>58.839838411199977</v>
      </c>
      <c r="AL42" s="83">
        <f>VLOOKUP(TableWRRanks3242[[#This Row],[Player]],WR!B:O,8,FALSE)</f>
        <v>850.23566504183964</v>
      </c>
      <c r="AM42" s="83">
        <f>VLOOKUP(TableWRRanks3242[[#This Row],[Player]],WR!B:O,9,FALSE)</f>
        <v>6.3664705160918382</v>
      </c>
      <c r="AN42" s="57">
        <f>VLOOKUP(TableWRRanks3242[[#This Row],[Player]],WR!B:O,13,FALSE)</f>
        <v>155.86557059484923</v>
      </c>
      <c r="AO42" s="125">
        <f>IF(VLOOKUP(TableWRRanks3242[[#This Row],[RK]],'Ranks w Proj'!AD:AO,12,FALSE)&lt;0,0,VLOOKUP(TableWRRanks3242[[#This Row],[RK]],'Ranks w Proj'!AD:AO,12,FALSE))</f>
        <v>8.7459183153282769</v>
      </c>
      <c r="AQ42">
        <v>41</v>
      </c>
      <c r="AR42" t="str">
        <f>VLOOKUP(TableTERanks3343[[#This Row],[RK]],Rankings!A:T,18,FALSE)</f>
        <v>Will Dissly</v>
      </c>
      <c r="AS42" t="str">
        <f>IFERROR(INDEX(TableTECalcPts[TM],MATCH(TableTERanks3343[[#This Row],[Player]],TableTECalcPts[PLAYER],0)),"")</f>
        <v>LAC</v>
      </c>
      <c r="AT42">
        <f>IFERROR(INDEX(TableTECalcPts[BYE],MATCH(TableTERanks3343[[#This Row],[Player]],TableTECalcPts[PLAYER],0)),"")</f>
        <v>5</v>
      </c>
      <c r="AU42" s="83">
        <f>VLOOKUP(TableTERanks3343[[#This Row],[Player]],TE!B:O,4,FALSE)</f>
        <v>34.060073460000012</v>
      </c>
      <c r="AV42" s="83">
        <f>VLOOKUP(TableTERanks3343[[#This Row],[Player]],TE!B:O,5,FALSE)</f>
        <v>24.489192817740005</v>
      </c>
      <c r="AW42" s="83">
        <f>VLOOKUP(TableTERanks3343[[#This Row],[Player]],TE!B:O,6,FALSE)</f>
        <v>242.13702387302234</v>
      </c>
      <c r="AX42" s="83">
        <f>VLOOKUP(TableTERanks3343[[#This Row],[Player]],TE!B:O,7,FALSE)</f>
        <v>2.5713652458627005</v>
      </c>
      <c r="AY42" s="57">
        <f>VLOOKUP(TableTERanks3343[[#This Row],[Player]],TE!B:O,11,FALSE)</f>
        <v>51.886490271348435</v>
      </c>
      <c r="AZ42" s="125">
        <f>IF(VLOOKUP(TableTERanks3343[[#This Row],[RK]],'Ranks w Proj'!AQ:AZ,10,FALSE)&lt;0,0,VLOOKUP(TableTERanks3343[[#This Row],[RK]],'Ranks w Proj'!AQ:AZ,10,FALSE))</f>
        <v>0</v>
      </c>
    </row>
    <row r="43" spans="1:52" x14ac:dyDescent="0.2">
      <c r="A43">
        <v>42</v>
      </c>
      <c r="B43">
        <f>VLOOKUP(TableQBRanks3040[[#This Row],[RK]],Rankings!A:T,3,FALSE)</f>
        <v>0</v>
      </c>
      <c r="C43" t="str">
        <f>IFERROR(INDEX(TableQBCalcPts[TM],MATCH(TableQBRanks3040[[#This Row],[Player]],TableQBCalcPts[PLAYER],0)),"")</f>
        <v/>
      </c>
      <c r="D43" t="str">
        <f>IFERROR(INDEX(TableQBCalcPts[BYE],MATCH(TableQBRanks3040[[#This Row],[Player]],TableQBCalcPts[PLAYER],0)),"")</f>
        <v/>
      </c>
      <c r="E43" s="83">
        <f>VLOOKUP(TableQBRanks3040[[#This Row],[Player]],QB!B:O,4,FALSE)</f>
        <v>0</v>
      </c>
      <c r="F43" s="83">
        <f>VLOOKUP(TableQBRanks3040[[#This Row],[Player]],QB!B:O,5,FALSE)</f>
        <v>0</v>
      </c>
      <c r="G43" s="83">
        <f>VLOOKUP(TableQBRanks3040[[#This Row],[Player]],QB!B:O,6,FALSE)</f>
        <v>0</v>
      </c>
      <c r="H43" s="83">
        <f>VLOOKUP(TableQBRanks3040[[#This Row],[Player]],QB!B:O,7,FALSE)</f>
        <v>0</v>
      </c>
      <c r="I43" s="83">
        <f>VLOOKUP(TableQBRanks3040[[#This Row],[Player]],QB!B:O,8,FALSE)</f>
        <v>0</v>
      </c>
      <c r="J43" s="83">
        <f>VLOOKUP(TableQBRanks3040[[#This Row],[Player]],QB!B:O,9,FALSE)</f>
        <v>0</v>
      </c>
      <c r="K43" s="83">
        <f>VLOOKUP(TableQBRanks3040[[#This Row],[Player]],QB!B:O,10,FALSE)</f>
        <v>0</v>
      </c>
      <c r="L43" s="83">
        <f>VLOOKUP(TableQBRanks3040[[#This Row],[Player]],QB!B:O,11,FALSE)</f>
        <v>0</v>
      </c>
      <c r="M43" s="57">
        <f>VLOOKUP(TableQBRanks3040[[#This Row],[Player]],QB!B:O,13,FALSE)</f>
        <v>0</v>
      </c>
      <c r="N43" s="125">
        <f>IF(VLOOKUP(TableQBRanks3040[[#This Row],[RK]],'Ranks w Proj'!$A:$N,14,FALSE)&lt;0,0,VLOOKUP(TableQBRanks3040[[#This Row],[RK]],'Ranks w Proj'!$A:$N,14,FALSE))</f>
        <v>0</v>
      </c>
      <c r="P43">
        <v>42</v>
      </c>
      <c r="Q43" t="str">
        <f>VLOOKUP(TableRBRanks3141[[#This Row],[RK]],Rankings!A:T,8,FALSE)</f>
        <v>J.K. Dobbins</v>
      </c>
      <c r="R43" t="str">
        <f>IFERROR(INDEX(TableRBCalcPts[TM],MATCH(TableRBRanks3141[[#This Row],[Player]],TableRBCalcPts[PLAYER],0)),"")</f>
        <v>LAC</v>
      </c>
      <c r="S43">
        <f>IFERROR(INDEX(TableRBCalcPts[BYE],MATCH(TableRBRanks3141[[#This Row],[Player]],TableRBCalcPts[PLAYER],0)),"")</f>
        <v>5</v>
      </c>
      <c r="T43" s="83">
        <f>VLOOKUP(TableRBRanks3141[[#This Row],[Player]],RB!B:O,4,FALSE)</f>
        <v>154.53522293999998</v>
      </c>
      <c r="U43" s="83">
        <f>VLOOKUP(TableRBRanks3141[[#This Row],[Player]],RB!B:O,5,FALSE)</f>
        <v>696.49226956733742</v>
      </c>
      <c r="V43" s="83">
        <f>VLOOKUP(TableRBRanks3141[[#This Row],[Player]],RB!B:O,6,FALSE)</f>
        <v>5.2541975799599996</v>
      </c>
      <c r="W43" s="83">
        <f>VLOOKUP(TableRBRanks3141[[#This Row],[Player]],RB!B:O,7,FALSE)</f>
        <v>35.176797180000008</v>
      </c>
      <c r="X43" s="83">
        <f>VLOOKUP(TableRBRanks3141[[#This Row],[Player]],RB!B:O,8,FALSE)</f>
        <v>25.5031779555</v>
      </c>
      <c r="Y43" s="83">
        <f>VLOOKUP(TableRBRanks3141[[#This Row],[Player]],RB!B:O,9,FALSE)</f>
        <v>188.8264622042818</v>
      </c>
      <c r="Z43" s="83">
        <f>VLOOKUP(TableRBRanks3141[[#This Row],[Player]],RB!B:O,10,FALSE)</f>
        <v>1.3682910997514572</v>
      </c>
      <c r="AA43" s="57">
        <f>VLOOKUP(TableRBRanks3141[[#This Row],[Player]],RB!B:O,14,FALSE)</f>
        <v>141.01839423318069</v>
      </c>
      <c r="AB43" s="125">
        <f>IF(VLOOKUP(TableRBRanks3141[[#This Row],[RK]],'Ranks w Proj'!$P:$AB,13,FALSE)&lt;0,0,VLOOKUP(TableRBRanks3141[[#This Row],[RK]],'Ranks w Proj'!$P:$AB,13,FALSE))</f>
        <v>2.4273756384905765</v>
      </c>
      <c r="AD43">
        <v>42</v>
      </c>
      <c r="AE43" t="str">
        <f>VLOOKUP(TableWRRanks3242[[#This Row],[RK]],Rankings!A:T,13,FALSE)</f>
        <v>Romeo Doubs</v>
      </c>
      <c r="AF43" t="str">
        <f>IFERROR(INDEX(TableWRCalcPts[TM],MATCH(TableWRRanks3242[[#This Row],[Player]],TableWRCalcPts[PLAYER],0)),"")</f>
        <v>GB</v>
      </c>
      <c r="AG43">
        <f>IFERROR(INDEX(TableWRCalcPts[BYE],MATCH(TableWRRanks3242[[#This Row],[Player]],TableWRCalcPts[PLAYER],0)),"")</f>
        <v>10</v>
      </c>
      <c r="AH43" s="83">
        <f>VLOOKUP(TableWRRanks3242[[#This Row],[Player]],WR!B:O,4,FALSE)</f>
        <v>0</v>
      </c>
      <c r="AI43" s="83">
        <f>VLOOKUP(TableWRRanks3242[[#This Row],[Player]],WR!B:O,5,FALSE)</f>
        <v>0</v>
      </c>
      <c r="AJ43" s="83">
        <f>VLOOKUP(TableWRRanks3242[[#This Row],[Player]],WR!B:O,6,FALSE)</f>
        <v>108.90881120000002</v>
      </c>
      <c r="AK43" s="83">
        <f>VLOOKUP(TableWRRanks3242[[#This Row],[Player]],WR!B:O,7,FALSE)</f>
        <v>68.939277489600016</v>
      </c>
      <c r="AL43" s="83">
        <f>VLOOKUP(TableWRRanks3242[[#This Row],[Player]],WR!B:O,8,FALSE)</f>
        <v>818.99861657644828</v>
      </c>
      <c r="AM43" s="83">
        <f>VLOOKUP(TableWRRanks3242[[#This Row],[Player]],WR!B:O,9,FALSE)</f>
        <v>7.1758097393709663</v>
      </c>
      <c r="AN43" s="57">
        <f>VLOOKUP(TableWRRanks3242[[#This Row],[Player]],WR!B:O,13,FALSE)</f>
        <v>159.42435883867063</v>
      </c>
      <c r="AO43" s="125">
        <f>IF(VLOOKUP(TableWRRanks3242[[#This Row],[RK]],'Ranks w Proj'!AD:AO,12,FALSE)&lt;0,0,VLOOKUP(TableWRRanks3242[[#This Row],[RK]],'Ranks w Proj'!AD:AO,12,FALSE))</f>
        <v>8.0066999202067031</v>
      </c>
      <c r="AQ43">
        <v>42</v>
      </c>
      <c r="AR43" t="str">
        <f>VLOOKUP(TableTERanks3343[[#This Row],[RK]],Rankings!A:T,18,FALSE)</f>
        <v>Mo Alie-Cox</v>
      </c>
      <c r="AS43" t="str">
        <f>IFERROR(INDEX(TableTECalcPts[TM],MATCH(TableTERanks3343[[#This Row],[Player]],TableTECalcPts[PLAYER],0)),"")</f>
        <v>IND</v>
      </c>
      <c r="AT43">
        <f>IFERROR(INDEX(TableTECalcPts[BYE],MATCH(TableTERanks3343[[#This Row],[Player]],TableTECalcPts[PLAYER],0)),"")</f>
        <v>14</v>
      </c>
      <c r="AU43" s="83">
        <f>VLOOKUP(TableTERanks3343[[#This Row],[Player]],TE!B:O,4,FALSE)</f>
        <v>33.270960800000005</v>
      </c>
      <c r="AV43" s="83">
        <f>VLOOKUP(TableTERanks3343[[#This Row],[Player]],TE!B:O,5,FALSE)</f>
        <v>20.395098970400003</v>
      </c>
      <c r="AW43" s="83">
        <f>VLOOKUP(TableTERanks3343[[#This Row],[Player]],TE!B:O,6,FALSE)</f>
        <v>237.34846304434652</v>
      </c>
      <c r="AX43" s="83">
        <f>VLOOKUP(TableTERanks3343[[#This Row],[Player]],TE!B:O,7,FALSE)</f>
        <v>2.3046461836552004</v>
      </c>
      <c r="AY43" s="57">
        <f>VLOOKUP(TableTERanks3343[[#This Row],[Player]],TE!B:O,11,FALSE)</f>
        <v>47.760272891565855</v>
      </c>
      <c r="AZ43" s="125">
        <f>IF(VLOOKUP(TableTERanks3343[[#This Row],[RK]],'Ranks w Proj'!AQ:AZ,10,FALSE)&lt;0,0,VLOOKUP(TableTERanks3343[[#This Row],[RK]],'Ranks w Proj'!AQ:AZ,10,FALSE))</f>
        <v>0</v>
      </c>
    </row>
    <row r="44" spans="1:52" x14ac:dyDescent="0.2">
      <c r="A44">
        <v>43</v>
      </c>
      <c r="B44">
        <f>VLOOKUP(TableQBRanks3040[[#This Row],[RK]],Rankings!A:T,3,FALSE)</f>
        <v>0</v>
      </c>
      <c r="C44" t="str">
        <f>IFERROR(INDEX(TableQBCalcPts[TM],MATCH(TableQBRanks3040[[#This Row],[Player]],TableQBCalcPts[PLAYER],0)),"")</f>
        <v/>
      </c>
      <c r="D44" t="str">
        <f>IFERROR(INDEX(TableQBCalcPts[BYE],MATCH(TableQBRanks3040[[#This Row],[Player]],TableQBCalcPts[PLAYER],0)),"")</f>
        <v/>
      </c>
      <c r="E44" s="83">
        <f>VLOOKUP(TableQBRanks3040[[#This Row],[Player]],QB!B:O,4,FALSE)</f>
        <v>0</v>
      </c>
      <c r="F44" s="83">
        <f>VLOOKUP(TableQBRanks3040[[#This Row],[Player]],QB!B:O,5,FALSE)</f>
        <v>0</v>
      </c>
      <c r="G44" s="83">
        <f>VLOOKUP(TableQBRanks3040[[#This Row],[Player]],QB!B:O,6,FALSE)</f>
        <v>0</v>
      </c>
      <c r="H44" s="83">
        <f>VLOOKUP(TableQBRanks3040[[#This Row],[Player]],QB!B:O,7,FALSE)</f>
        <v>0</v>
      </c>
      <c r="I44" s="83">
        <f>VLOOKUP(TableQBRanks3040[[#This Row],[Player]],QB!B:O,8,FALSE)</f>
        <v>0</v>
      </c>
      <c r="J44" s="83">
        <f>VLOOKUP(TableQBRanks3040[[#This Row],[Player]],QB!B:O,9,FALSE)</f>
        <v>0</v>
      </c>
      <c r="K44" s="83">
        <f>VLOOKUP(TableQBRanks3040[[#This Row],[Player]],QB!B:O,10,FALSE)</f>
        <v>0</v>
      </c>
      <c r="L44" s="83">
        <f>VLOOKUP(TableQBRanks3040[[#This Row],[Player]],QB!B:O,11,FALSE)</f>
        <v>0</v>
      </c>
      <c r="M44" s="57">
        <f>VLOOKUP(TableQBRanks3040[[#This Row],[Player]],QB!B:O,13,FALSE)</f>
        <v>0</v>
      </c>
      <c r="N44" s="125">
        <f>IF(VLOOKUP(TableQBRanks3040[[#This Row],[RK]],'Ranks w Proj'!$A:$N,14,FALSE)&lt;0,0,VLOOKUP(TableQBRanks3040[[#This Row],[RK]],'Ranks w Proj'!$A:$N,14,FALSE))</f>
        <v>0</v>
      </c>
      <c r="P44">
        <v>43</v>
      </c>
      <c r="Q44" t="str">
        <f>VLOOKUP(TableRBRanks3141[[#This Row],[RK]],Rankings!A:T,8,FALSE)</f>
        <v>Jordan Mason</v>
      </c>
      <c r="R44" t="str">
        <f>IFERROR(INDEX(TableRBCalcPts[TM],MATCH(TableRBRanks3141[[#This Row],[Player]],TableRBCalcPts[PLAYER],0)),"")</f>
        <v>SF</v>
      </c>
      <c r="S44">
        <f>IFERROR(INDEX(TableRBCalcPts[BYE],MATCH(TableRBRanks3141[[#This Row],[Player]],TableRBCalcPts[PLAYER],0)),"")</f>
        <v>9</v>
      </c>
      <c r="T44" s="83">
        <f>VLOOKUP(TableRBRanks3141[[#This Row],[Player]],RB!B:O,4,FALSE)</f>
        <v>119.96092584</v>
      </c>
      <c r="U44" s="83">
        <f>VLOOKUP(TableRBRanks3141[[#This Row],[Player]],RB!B:O,5,FALSE)</f>
        <v>537.42494776320007</v>
      </c>
      <c r="V44" s="83">
        <f>VLOOKUP(TableRBRanks3141[[#This Row],[Player]],RB!B:O,6,FALSE)</f>
        <v>5.2782807369599993</v>
      </c>
      <c r="W44" s="83">
        <f>VLOOKUP(TableRBRanks3141[[#This Row],[Player]],RB!B:O,7,FALSE)</f>
        <v>12.248281079999996</v>
      </c>
      <c r="X44" s="83">
        <f>VLOOKUP(TableRBRanks3141[[#This Row],[Player]],RB!B:O,8,FALSE)</f>
        <v>8.5737967559999984</v>
      </c>
      <c r="Y44" s="83">
        <f>VLOOKUP(TableRBRanks3141[[#This Row],[Player]],RB!B:O,9,FALSE)</f>
        <v>67.539494398241672</v>
      </c>
      <c r="Z44" s="83">
        <f>VLOOKUP(TableRBRanks3141[[#This Row],[Player]],RB!B:O,10,FALSE)</f>
        <v>0.3403670258823181</v>
      </c>
      <c r="AA44" s="57">
        <f>VLOOKUP(TableRBRanks3141[[#This Row],[Player]],RB!B:O,14,FALSE)</f>
        <v>98.495229171198076</v>
      </c>
      <c r="AB44" s="125">
        <f>IF(VLOOKUP(TableRBRanks3141[[#This Row],[RK]],'Ranks w Proj'!$P:$AB,13,FALSE)&lt;0,0,VLOOKUP(TableRBRanks3141[[#This Row],[RK]],'Ranks w Proj'!$P:$AB,13,FALSE))</f>
        <v>0.10235723281040771</v>
      </c>
      <c r="AD44">
        <v>43</v>
      </c>
      <c r="AE44" t="str">
        <f>VLOOKUP(TableWRRanks3242[[#This Row],[RK]],Rankings!A:T,13,FALSE)</f>
        <v>Rome Odunze</v>
      </c>
      <c r="AF44" t="str">
        <f>IFERROR(INDEX(TableWRCalcPts[TM],MATCH(TableWRRanks3242[[#This Row],[Player]],TableWRCalcPts[PLAYER],0)),"")</f>
        <v>CHI</v>
      </c>
      <c r="AG44">
        <f>IFERROR(INDEX(TableWRCalcPts[BYE],MATCH(TableWRRanks3242[[#This Row],[Player]],TableWRCalcPts[PLAYER],0)),"")</f>
        <v>7</v>
      </c>
      <c r="AH44" s="83">
        <f>VLOOKUP(TableWRRanks3242[[#This Row],[Player]],WR!B:O,4,FALSE)</f>
        <v>0</v>
      </c>
      <c r="AI44" s="83">
        <f>VLOOKUP(TableWRRanks3242[[#This Row],[Player]],WR!B:O,5,FALSE)</f>
        <v>0</v>
      </c>
      <c r="AJ44" s="83">
        <f>VLOOKUP(TableWRRanks3242[[#This Row],[Player]],WR!B:O,6,FALSE)</f>
        <v>104.29276031999999</v>
      </c>
      <c r="AK44" s="83">
        <f>VLOOKUP(TableWRRanks3242[[#This Row],[Player]],WR!B:O,7,FALSE)</f>
        <v>63.618583795199974</v>
      </c>
      <c r="AL44" s="83">
        <f>VLOOKUP(TableWRRanks3242[[#This Row],[Player]],WR!B:O,8,FALSE)</f>
        <v>863.94036793881571</v>
      </c>
      <c r="AM44" s="83">
        <f>VLOOKUP(TableWRRanks3242[[#This Row],[Player]],WR!B:O,9,FALSE)</f>
        <v>5.4726278311605565</v>
      </c>
      <c r="AN44" s="57">
        <f>VLOOKUP(TableWRRanks3242[[#This Row],[Player]],WR!B:O,13,FALSE)</f>
        <v>151.03909567844491</v>
      </c>
      <c r="AO44" s="125">
        <f>IF(VLOOKUP(TableWRRanks3242[[#This Row],[RK]],'Ranks w Proj'!AD:AO,12,FALSE)&lt;0,0,VLOOKUP(TableWRRanks3242[[#This Row],[RK]],'Ranks w Proj'!AD:AO,12,FALSE))</f>
        <v>7.7031544596110546</v>
      </c>
      <c r="AQ44">
        <v>43</v>
      </c>
      <c r="AR44" t="str">
        <f>VLOOKUP(TableTERanks3343[[#This Row],[RK]],Rankings!A:T,18,FALSE)</f>
        <v>Tyler Higbee</v>
      </c>
      <c r="AS44" t="str">
        <f>IFERROR(INDEX(TableTECalcPts[TM],MATCH(TableTERanks3343[[#This Row],[Player]],TableTECalcPts[PLAYER],0)),"")</f>
        <v>LAR</v>
      </c>
      <c r="AT44">
        <f>IFERROR(INDEX(TableTECalcPts[BYE],MATCH(TableTERanks3343[[#This Row],[Player]],TableTECalcPts[PLAYER],0)),"")</f>
        <v>6</v>
      </c>
      <c r="AU44" s="83">
        <f>VLOOKUP(TableTERanks3343[[#This Row],[Player]],TE!B:O,4,FALSE)</f>
        <v>31.999922359999996</v>
      </c>
      <c r="AV44" s="83">
        <f>VLOOKUP(TableTERanks3343[[#This Row],[Player]],TE!B:O,5,FALSE)</f>
        <v>21.663947437719994</v>
      </c>
      <c r="AW44" s="83">
        <f>VLOOKUP(TableTERanks3343[[#This Row],[Player]],TE!B:O,6,FALSE)</f>
        <v>221.43123881704204</v>
      </c>
      <c r="AX44" s="83">
        <f>VLOOKUP(TableTERanks3343[[#This Row],[Player]],TE!B:O,7,FALSE)</f>
        <v>1.3037944325522695</v>
      </c>
      <c r="AY44" s="57">
        <f>VLOOKUP(TableTERanks3343[[#This Row],[Player]],TE!B:O,11,FALSE)</f>
        <v>40.797864195877821</v>
      </c>
      <c r="AZ44" s="125">
        <f>IF(VLOOKUP(TableTERanks3343[[#This Row],[RK]],'Ranks w Proj'!AQ:AZ,10,FALSE)&lt;0,0,VLOOKUP(TableTERanks3343[[#This Row],[RK]],'Ranks w Proj'!AQ:AZ,10,FALSE))</f>
        <v>0</v>
      </c>
    </row>
    <row r="45" spans="1:52" x14ac:dyDescent="0.2">
      <c r="A45">
        <v>44</v>
      </c>
      <c r="B45">
        <f>VLOOKUP(TableQBRanks3040[[#This Row],[RK]],Rankings!A:T,3,FALSE)</f>
        <v>0</v>
      </c>
      <c r="C45" t="str">
        <f>IFERROR(INDEX(TableQBCalcPts[TM],MATCH(TableQBRanks3040[[#This Row],[Player]],TableQBCalcPts[PLAYER],0)),"")</f>
        <v/>
      </c>
      <c r="D45" t="str">
        <f>IFERROR(INDEX(TableQBCalcPts[BYE],MATCH(TableQBRanks3040[[#This Row],[Player]],TableQBCalcPts[PLAYER],0)),"")</f>
        <v/>
      </c>
      <c r="E45" s="83">
        <f>VLOOKUP(TableQBRanks3040[[#This Row],[Player]],QB!B:O,4,FALSE)</f>
        <v>0</v>
      </c>
      <c r="F45" s="83">
        <f>VLOOKUP(TableQBRanks3040[[#This Row],[Player]],QB!B:O,5,FALSE)</f>
        <v>0</v>
      </c>
      <c r="G45" s="83">
        <f>VLOOKUP(TableQBRanks3040[[#This Row],[Player]],QB!B:O,6,FALSE)</f>
        <v>0</v>
      </c>
      <c r="H45" s="83">
        <f>VLOOKUP(TableQBRanks3040[[#This Row],[Player]],QB!B:O,7,FALSE)</f>
        <v>0</v>
      </c>
      <c r="I45" s="83">
        <f>VLOOKUP(TableQBRanks3040[[#This Row],[Player]],QB!B:O,8,FALSE)</f>
        <v>0</v>
      </c>
      <c r="J45" s="83">
        <f>VLOOKUP(TableQBRanks3040[[#This Row],[Player]],QB!B:O,9,FALSE)</f>
        <v>0</v>
      </c>
      <c r="K45" s="83">
        <f>VLOOKUP(TableQBRanks3040[[#This Row],[Player]],QB!B:O,10,FALSE)</f>
        <v>0</v>
      </c>
      <c r="L45" s="83">
        <f>VLOOKUP(TableQBRanks3040[[#This Row],[Player]],QB!B:O,11,FALSE)</f>
        <v>0</v>
      </c>
      <c r="M45" s="57">
        <f>VLOOKUP(TableQBRanks3040[[#This Row],[Player]],QB!B:O,13,FALSE)</f>
        <v>0</v>
      </c>
      <c r="N45" s="125">
        <f>IF(VLOOKUP(TableQBRanks3040[[#This Row],[RK]],'Ranks w Proj'!$A:$N,14,FALSE)&lt;0,0,VLOOKUP(TableQBRanks3040[[#This Row],[RK]],'Ranks w Proj'!$A:$N,14,FALSE))</f>
        <v>0</v>
      </c>
      <c r="P45">
        <v>44</v>
      </c>
      <c r="Q45" t="str">
        <f>VLOOKUP(TableRBRanks3141[[#This Row],[RK]],Rankings!A:T,8,FALSE)</f>
        <v>Samaje Perine</v>
      </c>
      <c r="R45" t="str">
        <f>IFERROR(INDEX(TableRBCalcPts[TM],MATCH(TableRBRanks3141[[#This Row],[Player]],TableRBCalcPts[PLAYER],0)),"")</f>
        <v>KC</v>
      </c>
      <c r="S45">
        <f>IFERROR(INDEX(TableRBCalcPts[BYE],MATCH(TableRBRanks3141[[#This Row],[Player]],TableRBCalcPts[PLAYER],0)),"")</f>
        <v>6</v>
      </c>
      <c r="T45" s="83">
        <f>VLOOKUP(TableRBRanks3141[[#This Row],[Player]],RB!B:O,4,FALSE)</f>
        <v>71.438079999999999</v>
      </c>
      <c r="U45" s="83">
        <f>VLOOKUP(TableRBRanks3141[[#This Row],[Player]],RB!B:O,5,FALSE)</f>
        <v>307.18374399999999</v>
      </c>
      <c r="V45" s="83">
        <f>VLOOKUP(TableRBRanks3141[[#This Row],[Player]],RB!B:O,6,FALSE)</f>
        <v>2.3574566400000001</v>
      </c>
      <c r="W45" s="83">
        <f>VLOOKUP(TableRBRanks3141[[#This Row],[Player]],RB!B:O,7,FALSE)</f>
        <v>20.170751999999997</v>
      </c>
      <c r="X45" s="83">
        <f>VLOOKUP(TableRBRanks3141[[#This Row],[Player]],RB!B:O,8,FALSE)</f>
        <v>17.084626943999996</v>
      </c>
      <c r="Y45" s="83">
        <f>VLOOKUP(TableRBRanks3141[[#This Row],[Player]],RB!B:O,9,FALSE)</f>
        <v>133.26009016319998</v>
      </c>
      <c r="Z45" s="83">
        <f>VLOOKUP(TableRBRanks3141[[#This Row],[Player]],RB!B:O,10,FALSE)</f>
        <v>0.82006209331199986</v>
      </c>
      <c r="AA45" s="57">
        <f>VLOOKUP(TableRBRanks3141[[#This Row],[Player]],RB!B:O,14,FALSE)</f>
        <v>71.651809288191984</v>
      </c>
      <c r="AB45" s="125">
        <f>IF(VLOOKUP(TableRBRanks3141[[#This Row],[RK]],'Ranks w Proj'!$P:$AB,13,FALSE)&lt;0,0,VLOOKUP(TableRBRanks3141[[#This Row],[RK]],'Ranks w Proj'!$P:$AB,13,FALSE))</f>
        <v>0</v>
      </c>
      <c r="AD45">
        <v>44</v>
      </c>
      <c r="AE45" t="str">
        <f>VLOOKUP(TableWRRanks3242[[#This Row],[RK]],Rankings!A:T,13,FALSE)</f>
        <v>Mike Williams</v>
      </c>
      <c r="AF45" t="str">
        <f>IFERROR(INDEX(TableWRCalcPts[TM],MATCH(TableWRRanks3242[[#This Row],[Player]],TableWRCalcPts[PLAYER],0)),"")</f>
        <v>NYJ</v>
      </c>
      <c r="AG45">
        <f>IFERROR(INDEX(TableWRCalcPts[BYE],MATCH(TableWRRanks3242[[#This Row],[Player]],TableWRCalcPts[PLAYER],0)),"")</f>
        <v>12</v>
      </c>
      <c r="AH45" s="83">
        <f>VLOOKUP(TableWRRanks3242[[#This Row],[Player]],WR!B:O,4,FALSE)</f>
        <v>0</v>
      </c>
      <c r="AI45" s="83">
        <f>VLOOKUP(TableWRRanks3242[[#This Row],[Player]],WR!B:O,5,FALSE)</f>
        <v>0</v>
      </c>
      <c r="AJ45" s="83">
        <f>VLOOKUP(TableWRRanks3242[[#This Row],[Player]],WR!B:O,6,FALSE)</f>
        <v>109.02219327999998</v>
      </c>
      <c r="AK45" s="83">
        <f>VLOOKUP(TableWRRanks3242[[#This Row],[Player]],WR!B:O,7,FALSE)</f>
        <v>64.323094035199972</v>
      </c>
      <c r="AL45" s="83">
        <f>VLOOKUP(TableWRRanks3242[[#This Row],[Player]],WR!B:O,8,FALSE)</f>
        <v>896.90368514187469</v>
      </c>
      <c r="AM45" s="83">
        <f>VLOOKUP(TableWRRanks3242[[#This Row],[Player]],WR!B:O,9,FALSE)</f>
        <v>6.1360858732534407</v>
      </c>
      <c r="AN45" s="57">
        <f>VLOOKUP(TableWRRanks3242[[#This Row],[Player]],WR!B:O,13,FALSE)</f>
        <v>158.6684307713081</v>
      </c>
      <c r="AO45" s="125">
        <f>IF(VLOOKUP(TableWRRanks3242[[#This Row],[RK]],'Ranks w Proj'!AD:AO,12,FALSE)&lt;0,0,VLOOKUP(TableWRRanks3242[[#This Row],[RK]],'Ranks w Proj'!AD:AO,12,FALSE))</f>
        <v>7.244149032535856</v>
      </c>
      <c r="AQ45">
        <v>44</v>
      </c>
      <c r="AR45" t="str">
        <f>VLOOKUP(TableTERanks3343[[#This Row],[RK]],Rankings!A:T,18,FALSE)</f>
        <v>Josh Oliver</v>
      </c>
      <c r="AS45" t="str">
        <f>IFERROR(INDEX(TableTECalcPts[TM],MATCH(TableTERanks3343[[#This Row],[Player]],TableTECalcPts[PLAYER],0)),"")</f>
        <v>MIN</v>
      </c>
      <c r="AT45">
        <f>IFERROR(INDEX(TableTECalcPts[BYE],MATCH(TableTERanks3343[[#This Row],[Player]],TableTECalcPts[PLAYER],0)),"")</f>
        <v>6</v>
      </c>
      <c r="AU45" s="83">
        <f>VLOOKUP(TableTERanks3343[[#This Row],[Player]],TE!B:O,4,FALSE)</f>
        <v>36.082031999999998</v>
      </c>
      <c r="AV45" s="83">
        <f>VLOOKUP(TableTERanks3343[[#This Row],[Player]],TE!B:O,5,FALSE)</f>
        <v>23.200746576</v>
      </c>
      <c r="AW45" s="83">
        <f>VLOOKUP(TableTERanks3343[[#This Row],[Player]],TE!B:O,6,FALSE)</f>
        <v>220.66166838756078</v>
      </c>
      <c r="AX45" s="83">
        <f>VLOOKUP(TableTERanks3343[[#This Row],[Player]],TE!B:O,7,FALSE)</f>
        <v>1.5776507671680002</v>
      </c>
      <c r="AY45" s="57">
        <f>VLOOKUP(TableTERanks3343[[#This Row],[Player]],TE!B:O,11,FALSE)</f>
        <v>43.132444729764075</v>
      </c>
      <c r="AZ45" s="125">
        <f>IF(VLOOKUP(TableTERanks3343[[#This Row],[RK]],'Ranks w Proj'!AQ:AZ,10,FALSE)&lt;0,0,VLOOKUP(TableTERanks3343[[#This Row],[RK]],'Ranks w Proj'!AQ:AZ,10,FALSE))</f>
        <v>0</v>
      </c>
    </row>
    <row r="46" spans="1:52" x14ac:dyDescent="0.2">
      <c r="A46">
        <v>45</v>
      </c>
      <c r="B46">
        <f>VLOOKUP(TableQBRanks3040[[#This Row],[RK]],Rankings!A:T,3,FALSE)</f>
        <v>0</v>
      </c>
      <c r="C46" t="str">
        <f>IFERROR(INDEX(TableQBCalcPts[TM],MATCH(TableQBRanks3040[[#This Row],[Player]],TableQBCalcPts[PLAYER],0)),"")</f>
        <v/>
      </c>
      <c r="D46" t="str">
        <f>IFERROR(INDEX(TableQBCalcPts[BYE],MATCH(TableQBRanks3040[[#This Row],[Player]],TableQBCalcPts[PLAYER],0)),"")</f>
        <v/>
      </c>
      <c r="E46" s="83">
        <f>VLOOKUP(TableQBRanks3040[[#This Row],[Player]],QB!B:O,4,FALSE)</f>
        <v>0</v>
      </c>
      <c r="F46" s="83">
        <f>VLOOKUP(TableQBRanks3040[[#This Row],[Player]],QB!B:O,5,FALSE)</f>
        <v>0</v>
      </c>
      <c r="G46" s="83">
        <f>VLOOKUP(TableQBRanks3040[[#This Row],[Player]],QB!B:O,6,FALSE)</f>
        <v>0</v>
      </c>
      <c r="H46" s="83">
        <f>VLOOKUP(TableQBRanks3040[[#This Row],[Player]],QB!B:O,7,FALSE)</f>
        <v>0</v>
      </c>
      <c r="I46" s="83">
        <f>VLOOKUP(TableQBRanks3040[[#This Row],[Player]],QB!B:O,8,FALSE)</f>
        <v>0</v>
      </c>
      <c r="J46" s="83">
        <f>VLOOKUP(TableQBRanks3040[[#This Row],[Player]],QB!B:O,9,FALSE)</f>
        <v>0</v>
      </c>
      <c r="K46" s="83">
        <f>VLOOKUP(TableQBRanks3040[[#This Row],[Player]],QB!B:O,10,FALSE)</f>
        <v>0</v>
      </c>
      <c r="L46" s="83">
        <f>VLOOKUP(TableQBRanks3040[[#This Row],[Player]],QB!B:O,11,FALSE)</f>
        <v>0</v>
      </c>
      <c r="M46" s="57">
        <f>VLOOKUP(TableQBRanks3040[[#This Row],[Player]],QB!B:O,13,FALSE)</f>
        <v>0</v>
      </c>
      <c r="N46" s="125">
        <f>IF(VLOOKUP(TableQBRanks3040[[#This Row],[RK]],'Ranks w Proj'!$A:$N,14,FALSE)&lt;0,0,VLOOKUP(TableQBRanks3040[[#This Row],[RK]],'Ranks w Proj'!$A:$N,14,FALSE))</f>
        <v>0</v>
      </c>
      <c r="P46">
        <v>45</v>
      </c>
      <c r="Q46" t="str">
        <f>VLOOKUP(TableRBRanks3141[[#This Row],[RK]],Rankings!A:T,8,FALSE)</f>
        <v>Ezekiel Elliott</v>
      </c>
      <c r="R46" t="str">
        <f>IFERROR(INDEX(TableRBCalcPts[TM],MATCH(TableRBRanks3141[[#This Row],[Player]],TableRBCalcPts[PLAYER],0)),"")</f>
        <v>DAL</v>
      </c>
      <c r="S46">
        <f>IFERROR(INDEX(TableRBCalcPts[BYE],MATCH(TableRBRanks3141[[#This Row],[Player]],TableRBCalcPts[PLAYER],0)),"")</f>
        <v>7</v>
      </c>
      <c r="T46" s="83">
        <f>VLOOKUP(TableRBRanks3141[[#This Row],[Player]],RB!B:O,4,FALSE)</f>
        <v>157.23885576000001</v>
      </c>
      <c r="U46" s="83">
        <f>VLOOKUP(TableRBRanks3141[[#This Row],[Player]],RB!B:O,5,FALSE)</f>
        <v>638.38975438559999</v>
      </c>
      <c r="V46" s="83">
        <f>VLOOKUP(TableRBRanks3141[[#This Row],[Player]],RB!B:O,6,FALSE)</f>
        <v>5.8178376631199997</v>
      </c>
      <c r="W46" s="83">
        <f>VLOOKUP(TableRBRanks3141[[#This Row],[Player]],RB!B:O,7,FALSE)</f>
        <v>38.419443719999983</v>
      </c>
      <c r="X46" s="83">
        <f>VLOOKUP(TableRBRanks3141[[#This Row],[Player]],RB!B:O,8,FALSE)</f>
        <v>29.006680008599986</v>
      </c>
      <c r="Y46" s="83">
        <f>VLOOKUP(TableRBRanks3141[[#This Row],[Player]],RB!B:O,9,FALSE)</f>
        <v>203.59727080790125</v>
      </c>
      <c r="Z46" s="83">
        <f>VLOOKUP(TableRBRanks3141[[#This Row],[Player]],RB!B:O,10,FALSE)</f>
        <v>1.1718579151996169</v>
      </c>
      <c r="AA46" s="57">
        <f>VLOOKUP(TableRBRanks3141[[#This Row],[Player]],RB!B:O,14,FALSE)</f>
        <v>140.64021599356784</v>
      </c>
      <c r="AB46" s="125">
        <f>IF(VLOOKUP(TableRBRanks3141[[#This Row],[RK]],'Ranks w Proj'!$P:$AB,13,FALSE)&lt;0,0,VLOOKUP(TableRBRanks3141[[#This Row],[RK]],'Ranks w Proj'!$P:$AB,13,FALSE))</f>
        <v>0</v>
      </c>
      <c r="AD46">
        <v>45</v>
      </c>
      <c r="AE46" t="str">
        <f>VLOOKUP(TableWRRanks3242[[#This Row],[RK]],Rankings!A:T,13,FALSE)</f>
        <v>Khalil Shakir</v>
      </c>
      <c r="AF46" t="str">
        <f>IFERROR(INDEX(TableWRCalcPts[TM],MATCH(TableWRRanks3242[[#This Row],[Player]],TableWRCalcPts[PLAYER],0)),"")</f>
        <v>BUF</v>
      </c>
      <c r="AG46">
        <f>IFERROR(INDEX(TableWRCalcPts[BYE],MATCH(TableWRRanks3242[[#This Row],[Player]],TableWRCalcPts[PLAYER],0)),"")</f>
        <v>12</v>
      </c>
      <c r="AH46" s="83">
        <f>VLOOKUP(TableWRRanks3242[[#This Row],[Player]],WR!B:O,4,FALSE)</f>
        <v>0</v>
      </c>
      <c r="AI46" s="83">
        <f>VLOOKUP(TableWRRanks3242[[#This Row],[Player]],WR!B:O,5,FALSE)</f>
        <v>0</v>
      </c>
      <c r="AJ46" s="83">
        <f>VLOOKUP(TableWRRanks3242[[#This Row],[Player]],WR!B:O,6,FALSE)</f>
        <v>120.86871551999999</v>
      </c>
      <c r="AK46" s="83">
        <f>VLOOKUP(TableWRRanks3242[[#This Row],[Player]],WR!B:O,7,FALSE)</f>
        <v>79.410746096639983</v>
      </c>
      <c r="AL46" s="83">
        <f>VLOOKUP(TableWRRanks3242[[#This Row],[Player]],WR!B:O,8,FALSE)</f>
        <v>1028.3691619514877</v>
      </c>
      <c r="AM46" s="83">
        <f>VLOOKUP(TableWRRanks3242[[#This Row],[Player]],WR!B:O,9,FALSE)</f>
        <v>5.7969844650547184</v>
      </c>
      <c r="AN46" s="57">
        <f>VLOOKUP(TableWRRanks3242[[#This Row],[Player]],WR!B:O,13,FALSE)</f>
        <v>177.32419603379708</v>
      </c>
      <c r="AO46" s="125">
        <f>IF(VLOOKUP(TableWRRanks3242[[#This Row],[RK]],'Ranks w Proj'!AD:AO,12,FALSE)&lt;0,0,VLOOKUP(TableWRRanks3242[[#This Row],[RK]],'Ranks w Proj'!AD:AO,12,FALSE))</f>
        <v>7.0645344502637197</v>
      </c>
      <c r="AQ46">
        <v>45</v>
      </c>
      <c r="AR46" t="str">
        <f>VLOOKUP(TableTERanks3343[[#This Row],[RK]],Rankings!A:T,18,FALSE)</f>
        <v>Darnell Washington</v>
      </c>
      <c r="AS46" t="str">
        <f>IFERROR(INDEX(TableTECalcPts[TM],MATCH(TableTERanks3343[[#This Row],[Player]],TableTECalcPts[PLAYER],0)),"")</f>
        <v>PIT</v>
      </c>
      <c r="AT46">
        <f>IFERROR(INDEX(TableTECalcPts[BYE],MATCH(TableTERanks3343[[#This Row],[Player]],TableTECalcPts[PLAYER],0)),"")</f>
        <v>9</v>
      </c>
      <c r="AU46" s="83">
        <f>VLOOKUP(TableTERanks3343[[#This Row],[Player]],TE!B:O,4,FALSE)</f>
        <v>34.682445000000001</v>
      </c>
      <c r="AV46" s="83">
        <f>VLOOKUP(TableTERanks3343[[#This Row],[Player]],TE!B:O,5,FALSE)</f>
        <v>23.410650374999999</v>
      </c>
      <c r="AW46" s="83">
        <f>VLOOKUP(TableTERanks3343[[#This Row],[Player]],TE!B:O,6,FALSE)</f>
        <v>226.06959061951173</v>
      </c>
      <c r="AX46" s="83">
        <f>VLOOKUP(TableTERanks3343[[#This Row],[Player]],TE!B:O,7,FALSE)</f>
        <v>1.802620078875</v>
      </c>
      <c r="AY46" s="57">
        <f>VLOOKUP(TableTERanks3343[[#This Row],[Player]],TE!B:O,11,FALSE)</f>
        <v>45.128004722701178</v>
      </c>
      <c r="AZ46" s="125">
        <f>IF(VLOOKUP(TableTERanks3343[[#This Row],[RK]],'Ranks w Proj'!AQ:AZ,10,FALSE)&lt;0,0,VLOOKUP(TableTERanks3343[[#This Row],[RK]],'Ranks w Proj'!AQ:AZ,10,FALSE))</f>
        <v>0</v>
      </c>
    </row>
    <row r="47" spans="1:52" x14ac:dyDescent="0.2">
      <c r="A47">
        <v>46</v>
      </c>
      <c r="B47">
        <f>VLOOKUP(TableQBRanks3040[[#This Row],[RK]],Rankings!A:T,3,FALSE)</f>
        <v>0</v>
      </c>
      <c r="C47" t="str">
        <f>IFERROR(INDEX(TableQBCalcPts[TM],MATCH(TableQBRanks3040[[#This Row],[Player]],TableQBCalcPts[PLAYER],0)),"")</f>
        <v/>
      </c>
      <c r="D47" t="str">
        <f>IFERROR(INDEX(TableQBCalcPts[BYE],MATCH(TableQBRanks3040[[#This Row],[Player]],TableQBCalcPts[PLAYER],0)),"")</f>
        <v/>
      </c>
      <c r="E47" s="83">
        <f>VLOOKUP(TableQBRanks3040[[#This Row],[Player]],QB!B:O,4,FALSE)</f>
        <v>0</v>
      </c>
      <c r="F47" s="83">
        <f>VLOOKUP(TableQBRanks3040[[#This Row],[Player]],QB!B:O,5,FALSE)</f>
        <v>0</v>
      </c>
      <c r="G47" s="83">
        <f>VLOOKUP(TableQBRanks3040[[#This Row],[Player]],QB!B:O,6,FALSE)</f>
        <v>0</v>
      </c>
      <c r="H47" s="83">
        <f>VLOOKUP(TableQBRanks3040[[#This Row],[Player]],QB!B:O,7,FALSE)</f>
        <v>0</v>
      </c>
      <c r="I47" s="83">
        <f>VLOOKUP(TableQBRanks3040[[#This Row],[Player]],QB!B:O,8,FALSE)</f>
        <v>0</v>
      </c>
      <c r="J47" s="83">
        <f>VLOOKUP(TableQBRanks3040[[#This Row],[Player]],QB!B:O,9,FALSE)</f>
        <v>0</v>
      </c>
      <c r="K47" s="83">
        <f>VLOOKUP(TableQBRanks3040[[#This Row],[Player]],QB!B:O,10,FALSE)</f>
        <v>0</v>
      </c>
      <c r="L47" s="83">
        <f>VLOOKUP(TableQBRanks3040[[#This Row],[Player]],QB!B:O,11,FALSE)</f>
        <v>0</v>
      </c>
      <c r="M47" s="57">
        <f>VLOOKUP(TableQBRanks3040[[#This Row],[Player]],QB!B:O,13,FALSE)</f>
        <v>0</v>
      </c>
      <c r="N47" s="125">
        <f>IF(VLOOKUP(TableQBRanks3040[[#This Row],[RK]],'Ranks w Proj'!$A:$N,14,FALSE)&lt;0,0,VLOOKUP(TableQBRanks3040[[#This Row],[RK]],'Ranks w Proj'!$A:$N,14,FALSE))</f>
        <v>0</v>
      </c>
      <c r="P47">
        <v>46</v>
      </c>
      <c r="Q47" t="str">
        <f>VLOOKUP(TableRBRanks3141[[#This Row],[RK]],Rankings!A:T,8,FALSE)</f>
        <v>Bucky Irving</v>
      </c>
      <c r="R47" t="str">
        <f>IFERROR(INDEX(TableRBCalcPts[TM],MATCH(TableRBRanks3141[[#This Row],[Player]],TableRBCalcPts[PLAYER],0)),"")</f>
        <v>TB</v>
      </c>
      <c r="S47">
        <f>IFERROR(INDEX(TableRBCalcPts[BYE],MATCH(TableRBRanks3141[[#This Row],[Player]],TableRBCalcPts[PLAYER],0)),"")</f>
        <v>11</v>
      </c>
      <c r="T47" s="83">
        <f>VLOOKUP(TableRBRanks3141[[#This Row],[Player]],RB!B:O,4,FALSE)</f>
        <v>100.10862288000001</v>
      </c>
      <c r="U47" s="83">
        <f>VLOOKUP(TableRBRanks3141[[#This Row],[Player]],RB!B:O,5,FALSE)</f>
        <v>414.44969872320002</v>
      </c>
      <c r="V47" s="83">
        <f>VLOOKUP(TableRBRanks3141[[#This Row],[Player]],RB!B:O,6,FALSE)</f>
        <v>3.2034759321600004</v>
      </c>
      <c r="W47" s="83">
        <f>VLOOKUP(TableRBRanks3141[[#This Row],[Player]],RB!B:O,7,FALSE)</f>
        <v>38.548309800000006</v>
      </c>
      <c r="X47" s="83">
        <f>VLOOKUP(TableRBRanks3141[[#This Row],[Player]],RB!B:O,8,FALSE)</f>
        <v>31.069937698800008</v>
      </c>
      <c r="Y47" s="83">
        <f>VLOOKUP(TableRBRanks3141[[#This Row],[Player]],RB!B:O,9,FALSE)</f>
        <v>251.80779797119325</v>
      </c>
      <c r="Z47" s="83">
        <f>VLOOKUP(TableRBRanks3141[[#This Row],[Player]],RB!B:O,10,FALSE)</f>
        <v>1.1185177571568001</v>
      </c>
      <c r="AA47" s="57">
        <f>VLOOKUP(TableRBRanks3141[[#This Row],[Player]],RB!B:O,14,FALSE)</f>
        <v>108.09268065474014</v>
      </c>
      <c r="AB47" s="125">
        <f>IF(VLOOKUP(TableRBRanks3141[[#This Row],[RK]],'Ranks w Proj'!$P:$AB,13,FALSE)&lt;0,0,VLOOKUP(TableRBRanks3141[[#This Row],[RK]],'Ranks w Proj'!$P:$AB,13,FALSE))</f>
        <v>0</v>
      </c>
      <c r="AD47">
        <v>46</v>
      </c>
      <c r="AE47" t="str">
        <f>VLOOKUP(TableWRRanks3242[[#This Row],[RK]],Rankings!A:T,13,FALSE)</f>
        <v>Jordan Addison</v>
      </c>
      <c r="AF47" t="str">
        <f>IFERROR(INDEX(TableWRCalcPts[TM],MATCH(TableWRRanks3242[[#This Row],[Player]],TableWRCalcPts[PLAYER],0)),"")</f>
        <v>MIN</v>
      </c>
      <c r="AG47">
        <f>IFERROR(INDEX(TableWRCalcPts[BYE],MATCH(TableWRRanks3242[[#This Row],[Player]],TableWRCalcPts[PLAYER],0)),"")</f>
        <v>6</v>
      </c>
      <c r="AH47" s="83">
        <f>VLOOKUP(TableWRRanks3242[[#This Row],[Player]],WR!B:O,4,FALSE)</f>
        <v>0</v>
      </c>
      <c r="AI47" s="83">
        <f>VLOOKUP(TableWRRanks3242[[#This Row],[Player]],WR!B:O,5,FALSE)</f>
        <v>0</v>
      </c>
      <c r="AJ47" s="83">
        <f>VLOOKUP(TableWRRanks3242[[#This Row],[Player]],WR!B:O,6,FALSE)</f>
        <v>129.39763199999999</v>
      </c>
      <c r="AK47" s="83">
        <f>VLOOKUP(TableWRRanks3242[[#This Row],[Player]],WR!B:O,7,FALSE)</f>
        <v>78.673760255999994</v>
      </c>
      <c r="AL47" s="83">
        <f>VLOOKUP(TableWRRanks3242[[#This Row],[Player]],WR!B:O,8,FALSE)</f>
        <v>1002.3037056614399</v>
      </c>
      <c r="AM47" s="83">
        <f>VLOOKUP(TableWRRanks3242[[#This Row],[Player]],WR!B:O,9,FALSE)</f>
        <v>5.664510738431999</v>
      </c>
      <c r="AN47" s="57">
        <f>VLOOKUP(TableWRRanks3242[[#This Row],[Player]],WR!B:O,13,FALSE)</f>
        <v>173.55431512473601</v>
      </c>
      <c r="AO47" s="125">
        <f>IF(VLOOKUP(TableWRRanks3242[[#This Row],[RK]],'Ranks w Proj'!AD:AO,12,FALSE)&lt;0,0,VLOOKUP(TableWRRanks3242[[#This Row],[RK]],'Ranks w Proj'!AD:AO,12,FALSE))</f>
        <v>7.0060310847797984</v>
      </c>
      <c r="AQ47">
        <v>46</v>
      </c>
      <c r="AR47" t="str">
        <f>VLOOKUP(TableTERanks3343[[#This Row],[RK]],Rankings!A:T,18,FALSE)</f>
        <v>Gerald Everett</v>
      </c>
      <c r="AS47" t="str">
        <f>IFERROR(INDEX(TableTECalcPts[TM],MATCH(TableTERanks3343[[#This Row],[Player]],TableTECalcPts[PLAYER],0)),"")</f>
        <v>CHI</v>
      </c>
      <c r="AT47">
        <f>IFERROR(INDEX(TableTECalcPts[BYE],MATCH(TableTERanks3343[[#This Row],[Player]],TableTECalcPts[PLAYER],0)),"")</f>
        <v>7</v>
      </c>
      <c r="AU47" s="83">
        <f>VLOOKUP(TableTERanks3343[[#This Row],[Player]],TE!B:O,4,FALSE)</f>
        <v>22.6723392</v>
      </c>
      <c r="AV47" s="83">
        <f>VLOOKUP(TableTERanks3343[[#This Row],[Player]],TE!B:O,5,FALSE)</f>
        <v>14.737020479999998</v>
      </c>
      <c r="AW47" s="83">
        <f>VLOOKUP(TableTERanks3343[[#This Row],[Player]],TE!B:O,6,FALSE)</f>
        <v>140.20428061375699</v>
      </c>
      <c r="AX47" s="83">
        <f>VLOOKUP(TableTERanks3343[[#This Row],[Player]],TE!B:O,7,FALSE)</f>
        <v>1.128424237287815</v>
      </c>
      <c r="AY47" s="57">
        <f>VLOOKUP(TableTERanks3343[[#This Row],[Player]],TE!B:O,11,FALSE)</f>
        <v>28.159483725102589</v>
      </c>
      <c r="AZ47" s="125">
        <f>IF(VLOOKUP(TableTERanks3343[[#This Row],[RK]],'Ranks w Proj'!AQ:AZ,10,FALSE)&lt;0,0,VLOOKUP(TableTERanks3343[[#This Row],[RK]],'Ranks w Proj'!AQ:AZ,10,FALSE))</f>
        <v>0</v>
      </c>
    </row>
    <row r="48" spans="1:52" x14ac:dyDescent="0.2">
      <c r="A48">
        <v>47</v>
      </c>
      <c r="B48">
        <f>VLOOKUP(TableQBRanks3040[[#This Row],[RK]],Rankings!A:T,3,FALSE)</f>
        <v>0</v>
      </c>
      <c r="C48" t="str">
        <f>IFERROR(INDEX(TableQBCalcPts[TM],MATCH(TableQBRanks3040[[#This Row],[Player]],TableQBCalcPts[PLAYER],0)),"")</f>
        <v/>
      </c>
      <c r="D48" t="str">
        <f>IFERROR(INDEX(TableQBCalcPts[BYE],MATCH(TableQBRanks3040[[#This Row],[Player]],TableQBCalcPts[PLAYER],0)),"")</f>
        <v/>
      </c>
      <c r="E48" s="83">
        <f>VLOOKUP(TableQBRanks3040[[#This Row],[Player]],QB!B:O,4,FALSE)</f>
        <v>0</v>
      </c>
      <c r="F48" s="83">
        <f>VLOOKUP(TableQBRanks3040[[#This Row],[Player]],QB!B:O,5,FALSE)</f>
        <v>0</v>
      </c>
      <c r="G48" s="83">
        <f>VLOOKUP(TableQBRanks3040[[#This Row],[Player]],QB!B:O,6,FALSE)</f>
        <v>0</v>
      </c>
      <c r="H48" s="83">
        <f>VLOOKUP(TableQBRanks3040[[#This Row],[Player]],QB!B:O,7,FALSE)</f>
        <v>0</v>
      </c>
      <c r="I48" s="83">
        <f>VLOOKUP(TableQBRanks3040[[#This Row],[Player]],QB!B:O,8,FALSE)</f>
        <v>0</v>
      </c>
      <c r="J48" s="83">
        <f>VLOOKUP(TableQBRanks3040[[#This Row],[Player]],QB!B:O,9,FALSE)</f>
        <v>0</v>
      </c>
      <c r="K48" s="83">
        <f>VLOOKUP(TableQBRanks3040[[#This Row],[Player]],QB!B:O,10,FALSE)</f>
        <v>0</v>
      </c>
      <c r="L48" s="83">
        <f>VLOOKUP(TableQBRanks3040[[#This Row],[Player]],QB!B:O,11,FALSE)</f>
        <v>0</v>
      </c>
      <c r="M48" s="57">
        <f>VLOOKUP(TableQBRanks3040[[#This Row],[Player]],QB!B:O,13,FALSE)</f>
        <v>0</v>
      </c>
      <c r="N48" s="125">
        <f>IF(VLOOKUP(TableQBRanks3040[[#This Row],[RK]],'Ranks w Proj'!$A:$N,14,FALSE)&lt;0,0,VLOOKUP(TableQBRanks3040[[#This Row],[RK]],'Ranks w Proj'!$A:$N,14,FALSE))</f>
        <v>0</v>
      </c>
      <c r="P48">
        <v>47</v>
      </c>
      <c r="Q48" t="str">
        <f>VLOOKUP(TableRBRanks3141[[#This Row],[RK]],Rankings!A:T,8,FALSE)</f>
        <v>Chase Brown</v>
      </c>
      <c r="R48" t="str">
        <f>IFERROR(INDEX(TableRBCalcPts[TM],MATCH(TableRBRanks3141[[#This Row],[Player]],TableRBCalcPts[PLAYER],0)),"")</f>
        <v>CIN</v>
      </c>
      <c r="S48">
        <f>IFERROR(INDEX(TableRBCalcPts[BYE],MATCH(TableRBRanks3141[[#This Row],[Player]],TableRBCalcPts[PLAYER],0)),"")</f>
        <v>12</v>
      </c>
      <c r="T48" s="83">
        <f>VLOOKUP(TableRBRanks3141[[#This Row],[Player]],RB!B:O,4,FALSE)</f>
        <v>121.64461091999999</v>
      </c>
      <c r="U48" s="83">
        <f>VLOOKUP(TableRBRanks3141[[#This Row],[Player]],RB!B:O,5,FALSE)</f>
        <v>533.71801245632651</v>
      </c>
      <c r="V48" s="83">
        <f>VLOOKUP(TableRBRanks3141[[#This Row],[Player]],RB!B:O,6,FALSE)</f>
        <v>4.3913704542119998</v>
      </c>
      <c r="W48" s="83">
        <f>VLOOKUP(TableRBRanks3141[[#This Row],[Player]],RB!B:O,7,FALSE)</f>
        <v>24.942724799999997</v>
      </c>
      <c r="X48" s="83">
        <f>VLOOKUP(TableRBRanks3141[[#This Row],[Player]],RB!B:O,8,FALSE)</f>
        <v>19.629924417599998</v>
      </c>
      <c r="Y48" s="83">
        <f>VLOOKUP(TableRBRanks3141[[#This Row],[Player]],RB!B:O,9,FALSE)</f>
        <v>148.00963010870399</v>
      </c>
      <c r="Z48" s="83">
        <f>VLOOKUP(TableRBRanks3141[[#This Row],[Player]],RB!B:O,10,FALSE)</f>
        <v>0.90297652320959987</v>
      </c>
      <c r="AA48" s="57">
        <f>VLOOKUP(TableRBRanks3141[[#This Row],[Player]],RB!B:O,14,FALSE)</f>
        <v>109.75380832983265</v>
      </c>
      <c r="AB48" s="125">
        <f>IF(VLOOKUP(TableRBRanks3141[[#This Row],[RK]],'Ranks w Proj'!$P:$AB,13,FALSE)&lt;0,0,VLOOKUP(TableRBRanks3141[[#This Row],[RK]],'Ranks w Proj'!$P:$AB,13,FALSE))</f>
        <v>0</v>
      </c>
      <c r="AD48">
        <v>47</v>
      </c>
      <c r="AE48" t="str">
        <f>VLOOKUP(TableWRRanks3242[[#This Row],[RK]],Rankings!A:T,13,FALSE)</f>
        <v>Marquise Brown</v>
      </c>
      <c r="AF48" t="str">
        <f>IFERROR(INDEX(TableWRCalcPts[TM],MATCH(TableWRRanks3242[[#This Row],[Player]],TableWRCalcPts[PLAYER],0)),"")</f>
        <v>KC</v>
      </c>
      <c r="AG48">
        <f>IFERROR(INDEX(TableWRCalcPts[BYE],MATCH(TableWRRanks3242[[#This Row],[Player]],TableWRCalcPts[PLAYER],0)),"")</f>
        <v>6</v>
      </c>
      <c r="AH48" s="83">
        <f>VLOOKUP(TableWRRanks3242[[#This Row],[Player]],WR!B:O,4,FALSE)</f>
        <v>21.095244799999996</v>
      </c>
      <c r="AI48" s="83">
        <f>VLOOKUP(TableWRRanks3242[[#This Row],[Player]],WR!B:O,5,FALSE)</f>
        <v>9.9597622528370192E-3</v>
      </c>
      <c r="AJ48" s="83">
        <f>VLOOKUP(TableWRRanks3242[[#This Row],[Player]],WR!B:O,6,FALSE)</f>
        <v>115.98182399999997</v>
      </c>
      <c r="AK48" s="83">
        <f>VLOOKUP(TableWRRanks3242[[#This Row],[Player]],WR!B:O,7,FALSE)</f>
        <v>70.400967167999966</v>
      </c>
      <c r="AL48" s="83">
        <f>VLOOKUP(TableWRRanks3242[[#This Row],[Player]],WR!B:O,8,FALSE)</f>
        <v>916.62059252735958</v>
      </c>
      <c r="AM48" s="83">
        <f>VLOOKUP(TableWRRanks3242[[#This Row],[Player]],WR!B:O,9,FALSE)</f>
        <v>6.7584928481279967</v>
      </c>
      <c r="AN48" s="57">
        <f>VLOOKUP(TableWRRanks3242[[#This Row],[Player]],WR!B:O,13,FALSE)</f>
        <v>169.58278297902092</v>
      </c>
      <c r="AO48" s="125">
        <f>IF(VLOOKUP(TableWRRanks3242[[#This Row],[RK]],'Ranks w Proj'!AD:AO,12,FALSE)&lt;0,0,VLOOKUP(TableWRRanks3242[[#This Row],[RK]],'Ranks w Proj'!AD:AO,12,FALSE))</f>
        <v>6.5773425016510556</v>
      </c>
      <c r="AQ48">
        <v>47</v>
      </c>
      <c r="AR48" t="str">
        <f>VLOOKUP(TableTERanks3343[[#This Row],[RK]],Rankings!A:T,18,FALSE)</f>
        <v>Jeremy Ruckert</v>
      </c>
      <c r="AS48" t="str">
        <f>IFERROR(INDEX(TableTECalcPts[TM],MATCH(TableTERanks3343[[#This Row],[Player]],TableTECalcPts[PLAYER],0)),"")</f>
        <v>NYJ</v>
      </c>
      <c r="AT48">
        <f>IFERROR(INDEX(TableTECalcPts[BYE],MATCH(TableTERanks3343[[#This Row],[Player]],TableTECalcPts[PLAYER],0)),"")</f>
        <v>12</v>
      </c>
      <c r="AU48" s="83">
        <f>VLOOKUP(TableTERanks3343[[#This Row],[Player]],TE!B:O,4,FALSE)</f>
        <v>30.218107919999987</v>
      </c>
      <c r="AV48" s="83">
        <f>VLOOKUP(TableTERanks3343[[#This Row],[Player]],TE!B:O,5,FALSE)</f>
        <v>20.699403925199992</v>
      </c>
      <c r="AW48" s="83">
        <f>VLOOKUP(TableTERanks3343[[#This Row],[Player]],TE!B:O,6,FALSE)</f>
        <v>207.80391532112876</v>
      </c>
      <c r="AX48" s="83">
        <f>VLOOKUP(TableTERanks3343[[#This Row],[Player]],TE!B:O,7,FALSE)</f>
        <v>1.4903570826143993</v>
      </c>
      <c r="AY48" s="57">
        <f>VLOOKUP(TableTERanks3343[[#This Row],[Player]],TE!B:O,11,FALSE)</f>
        <v>40.072235990399271</v>
      </c>
      <c r="AZ48" s="125">
        <f>IF(VLOOKUP(TableTERanks3343[[#This Row],[RK]],'Ranks w Proj'!AQ:AZ,10,FALSE)&lt;0,0,VLOOKUP(TableTERanks3343[[#This Row],[RK]],'Ranks w Proj'!AQ:AZ,10,FALSE))</f>
        <v>0</v>
      </c>
    </row>
    <row r="49" spans="1:52" x14ac:dyDescent="0.2">
      <c r="A49">
        <v>48</v>
      </c>
      <c r="B49">
        <f>VLOOKUP(TableQBRanks3040[[#This Row],[RK]],Rankings!A:T,3,FALSE)</f>
        <v>0</v>
      </c>
      <c r="C49" t="str">
        <f>IFERROR(INDEX(TableQBCalcPts[TM],MATCH(TableQBRanks3040[[#This Row],[Player]],TableQBCalcPts[PLAYER],0)),"")</f>
        <v/>
      </c>
      <c r="D49" t="str">
        <f>IFERROR(INDEX(TableQBCalcPts[BYE],MATCH(TableQBRanks3040[[#This Row],[Player]],TableQBCalcPts[PLAYER],0)),"")</f>
        <v/>
      </c>
      <c r="E49" s="83">
        <f>VLOOKUP(TableQBRanks3040[[#This Row],[Player]],QB!B:O,4,FALSE)</f>
        <v>0</v>
      </c>
      <c r="F49" s="83">
        <f>VLOOKUP(TableQBRanks3040[[#This Row],[Player]],QB!B:O,5,FALSE)</f>
        <v>0</v>
      </c>
      <c r="G49" s="83">
        <f>VLOOKUP(TableQBRanks3040[[#This Row],[Player]],QB!B:O,6,FALSE)</f>
        <v>0</v>
      </c>
      <c r="H49" s="83">
        <f>VLOOKUP(TableQBRanks3040[[#This Row],[Player]],QB!B:O,7,FALSE)</f>
        <v>0</v>
      </c>
      <c r="I49" s="83">
        <f>VLOOKUP(TableQBRanks3040[[#This Row],[Player]],QB!B:O,8,FALSE)</f>
        <v>0</v>
      </c>
      <c r="J49" s="83">
        <f>VLOOKUP(TableQBRanks3040[[#This Row],[Player]],QB!B:O,9,FALSE)</f>
        <v>0</v>
      </c>
      <c r="K49" s="83">
        <f>VLOOKUP(TableQBRanks3040[[#This Row],[Player]],QB!B:O,10,FALSE)</f>
        <v>0</v>
      </c>
      <c r="L49" s="83">
        <f>VLOOKUP(TableQBRanks3040[[#This Row],[Player]],QB!B:O,11,FALSE)</f>
        <v>0</v>
      </c>
      <c r="M49" s="57">
        <f>VLOOKUP(TableQBRanks3040[[#This Row],[Player]],QB!B:O,13,FALSE)</f>
        <v>0</v>
      </c>
      <c r="N49" s="125">
        <f>IF(VLOOKUP(TableQBRanks3040[[#This Row],[RK]],'Ranks w Proj'!$A:$N,14,FALSE)&lt;0,0,VLOOKUP(TableQBRanks3040[[#This Row],[RK]],'Ranks w Proj'!$A:$N,14,FALSE))</f>
        <v>0</v>
      </c>
      <c r="P49">
        <v>48</v>
      </c>
      <c r="Q49" t="str">
        <f>VLOOKUP(TableRBRanks3141[[#This Row],[RK]],Rankings!A:T,8,FALSE)</f>
        <v>Trey Benson</v>
      </c>
      <c r="R49" t="str">
        <f>IFERROR(INDEX(TableRBCalcPts[TM],MATCH(TableRBRanks3141[[#This Row],[Player]],TableRBCalcPts[PLAYER],0)),"")</f>
        <v>ARI</v>
      </c>
      <c r="S49">
        <f>IFERROR(INDEX(TableRBCalcPts[BYE],MATCH(TableRBRanks3141[[#This Row],[Player]],TableRBCalcPts[PLAYER],0)),"")</f>
        <v>11</v>
      </c>
      <c r="T49" s="83">
        <f>VLOOKUP(TableRBRanks3141[[#This Row],[Player]],RB!B:O,4,FALSE)</f>
        <v>147.09907800000002</v>
      </c>
      <c r="U49" s="83">
        <f>VLOOKUP(TableRBRanks3141[[#This Row],[Player]],RB!B:O,5,FALSE)</f>
        <v>647.23594320000018</v>
      </c>
      <c r="V49" s="83">
        <f>VLOOKUP(TableRBRanks3141[[#This Row],[Player]],RB!B:O,6,FALSE)</f>
        <v>4.898399297400001</v>
      </c>
      <c r="W49" s="83">
        <f>VLOOKUP(TableRBRanks3141[[#This Row],[Player]],RB!B:O,7,FALSE)</f>
        <v>23.587620000000001</v>
      </c>
      <c r="X49" s="83">
        <f>VLOOKUP(TableRBRanks3141[[#This Row],[Player]],RB!B:O,8,FALSE)</f>
        <v>17.619952140000002</v>
      </c>
      <c r="Y49" s="83">
        <f>VLOOKUP(TableRBRanks3141[[#This Row],[Player]],RB!B:O,9,FALSE)</f>
        <v>128.09008415144487</v>
      </c>
      <c r="Z49" s="83">
        <f>VLOOKUP(TableRBRanks3141[[#This Row],[Player]],RB!B:O,10,FALSE)</f>
        <v>0.69665028805866713</v>
      </c>
      <c r="AA49" s="57">
        <f>VLOOKUP(TableRBRanks3141[[#This Row],[Player]],RB!B:O,14,FALSE)</f>
        <v>119.91287631789652</v>
      </c>
      <c r="AB49" s="125">
        <f>IF(VLOOKUP(TableRBRanks3141[[#This Row],[RK]],'Ranks w Proj'!$P:$AB,13,FALSE)&lt;0,0,VLOOKUP(TableRBRanks3141[[#This Row],[RK]],'Ranks w Proj'!$P:$AB,13,FALSE))</f>
        <v>0</v>
      </c>
      <c r="AD49">
        <v>48</v>
      </c>
      <c r="AE49" t="str">
        <f>VLOOKUP(TableWRRanks3242[[#This Row],[RK]],Rankings!A:T,13,FALSE)</f>
        <v>Jaxon Smith-Njigba</v>
      </c>
      <c r="AF49" t="str">
        <f>IFERROR(INDEX(TableWRCalcPts[TM],MATCH(TableWRRanks3242[[#This Row],[Player]],TableWRCalcPts[PLAYER],0)),"")</f>
        <v>SEA</v>
      </c>
      <c r="AG49">
        <f>IFERROR(INDEX(TableWRCalcPts[BYE],MATCH(TableWRRanks3242[[#This Row],[Player]],TableWRCalcPts[PLAYER],0)),"")</f>
        <v>10</v>
      </c>
      <c r="AH49" s="83">
        <f>VLOOKUP(TableWRRanks3242[[#This Row],[Player]],WR!B:O,4,FALSE)</f>
        <v>0</v>
      </c>
      <c r="AI49" s="83">
        <f>VLOOKUP(TableWRRanks3242[[#This Row],[Player]],WR!B:O,5,FALSE)</f>
        <v>0</v>
      </c>
      <c r="AJ49" s="83">
        <f>VLOOKUP(TableWRRanks3242[[#This Row],[Player]],WR!B:O,6,FALSE)</f>
        <v>120.15986093999999</v>
      </c>
      <c r="AK49" s="83">
        <f>VLOOKUP(TableWRRanks3242[[#This Row],[Player]],WR!B:O,7,FALSE)</f>
        <v>79.786147664159998</v>
      </c>
      <c r="AL49" s="83">
        <f>VLOOKUP(TableWRRanks3242[[#This Row],[Player]],WR!B:O,8,FALSE)</f>
        <v>899.63366099845041</v>
      </c>
      <c r="AM49" s="83">
        <f>VLOOKUP(TableWRRanks3242[[#This Row],[Player]],WR!B:O,9,FALSE)</f>
        <v>5.6648164841553594</v>
      </c>
      <c r="AN49" s="57">
        <f>VLOOKUP(TableWRRanks3242[[#This Row],[Player]],WR!B:O,13,FALSE)</f>
        <v>163.8453388368572</v>
      </c>
      <c r="AO49" s="125">
        <f>IF(VLOOKUP(TableWRRanks3242[[#This Row],[RK]],'Ranks w Proj'!AD:AO,12,FALSE)&lt;0,0,VLOOKUP(TableWRRanks3242[[#This Row],[RK]],'Ranks w Proj'!AD:AO,12,FALSE))</f>
        <v>5.3585077913441621</v>
      </c>
      <c r="AQ49">
        <v>48</v>
      </c>
      <c r="AR49" t="str">
        <f>VLOOKUP(TableTERanks3343[[#This Row],[RK]],Rankings!A:T,18,FALSE)</f>
        <v>Austin Hooper</v>
      </c>
      <c r="AS49" t="str">
        <f>IFERROR(INDEX(TableTECalcPts[TM],MATCH(TableTERanks3343[[#This Row],[Player]],TableTECalcPts[PLAYER],0)),"")</f>
        <v>NE</v>
      </c>
      <c r="AT49">
        <f>IFERROR(INDEX(TableTECalcPts[BYE],MATCH(TableTERanks3343[[#This Row],[Player]],TableTECalcPts[PLAYER],0)),"")</f>
        <v>14</v>
      </c>
      <c r="AU49" s="83">
        <f>VLOOKUP(TableTERanks3343[[#This Row],[Player]],TE!B:O,4,FALSE)</f>
        <v>30.611679840000001</v>
      </c>
      <c r="AV49" s="83">
        <f>VLOOKUP(TableTERanks3343[[#This Row],[Player]],TE!B:O,5,FALSE)</f>
        <v>19.866980216160002</v>
      </c>
      <c r="AW49" s="83">
        <f>VLOOKUP(TableTERanks3343[[#This Row],[Player]],TE!B:O,6,FALSE)</f>
        <v>187.84907374737665</v>
      </c>
      <c r="AX49" s="83">
        <f>VLOOKUP(TableTERanks3343[[#This Row],[Player]],TE!B:O,7,FALSE)</f>
        <v>1.1920188129696001</v>
      </c>
      <c r="AY49" s="57">
        <f>VLOOKUP(TableTERanks3343[[#This Row],[Player]],TE!B:O,11,FALSE)</f>
        <v>35.870510360635265</v>
      </c>
      <c r="AZ49" s="125">
        <f>IF(VLOOKUP(TableTERanks3343[[#This Row],[RK]],'Ranks w Proj'!AQ:AZ,10,FALSE)&lt;0,0,VLOOKUP(TableTERanks3343[[#This Row],[RK]],'Ranks w Proj'!AQ:AZ,10,FALSE))</f>
        <v>0</v>
      </c>
    </row>
    <row r="50" spans="1:52" x14ac:dyDescent="0.2">
      <c r="A50">
        <v>49</v>
      </c>
      <c r="B50">
        <f>VLOOKUP(TableQBRanks3040[[#This Row],[RK]],Rankings!A:T,3,FALSE)</f>
        <v>0</v>
      </c>
      <c r="C50" t="str">
        <f>IFERROR(INDEX(TableQBCalcPts[TM],MATCH(TableQBRanks3040[[#This Row],[Player]],TableQBCalcPts[PLAYER],0)),"")</f>
        <v/>
      </c>
      <c r="D50" t="str">
        <f>IFERROR(INDEX(TableQBCalcPts[BYE],MATCH(TableQBRanks3040[[#This Row],[Player]],TableQBCalcPts[PLAYER],0)),"")</f>
        <v/>
      </c>
      <c r="E50" s="83">
        <f>VLOOKUP(TableQBRanks3040[[#This Row],[Player]],QB!B:O,4,FALSE)</f>
        <v>0</v>
      </c>
      <c r="F50" s="83">
        <f>VLOOKUP(TableQBRanks3040[[#This Row],[Player]],QB!B:O,5,FALSE)</f>
        <v>0</v>
      </c>
      <c r="G50" s="83">
        <f>VLOOKUP(TableQBRanks3040[[#This Row],[Player]],QB!B:O,6,FALSE)</f>
        <v>0</v>
      </c>
      <c r="H50" s="83">
        <f>VLOOKUP(TableQBRanks3040[[#This Row],[Player]],QB!B:O,7,FALSE)</f>
        <v>0</v>
      </c>
      <c r="I50" s="83">
        <f>VLOOKUP(TableQBRanks3040[[#This Row],[Player]],QB!B:O,8,FALSE)</f>
        <v>0</v>
      </c>
      <c r="J50" s="83">
        <f>VLOOKUP(TableQBRanks3040[[#This Row],[Player]],QB!B:O,9,FALSE)</f>
        <v>0</v>
      </c>
      <c r="K50" s="83">
        <f>VLOOKUP(TableQBRanks3040[[#This Row],[Player]],QB!B:O,10,FALSE)</f>
        <v>0</v>
      </c>
      <c r="L50" s="83">
        <f>VLOOKUP(TableQBRanks3040[[#This Row],[Player]],QB!B:O,11,FALSE)</f>
        <v>0</v>
      </c>
      <c r="M50" s="57">
        <f>VLOOKUP(TableQBRanks3040[[#This Row],[Player]],QB!B:O,13,FALSE)</f>
        <v>0</v>
      </c>
      <c r="N50" s="125">
        <f>IF(VLOOKUP(TableQBRanks3040[[#This Row],[RK]],'Ranks w Proj'!$A:$N,14,FALSE)&lt;0,0,VLOOKUP(TableQBRanks3040[[#This Row],[RK]],'Ranks w Proj'!$A:$N,14,FALSE))</f>
        <v>0</v>
      </c>
      <c r="P50">
        <v>49</v>
      </c>
      <c r="Q50" t="str">
        <f>VLOOKUP(TableRBRanks3141[[#This Row],[RK]],Rankings!A:T,8,FALSE)</f>
        <v>Antonio Gibson</v>
      </c>
      <c r="R50" t="str">
        <f>IFERROR(INDEX(TableRBCalcPts[TM],MATCH(TableRBRanks3141[[#This Row],[Player]],TableRBCalcPts[PLAYER],0)),"")</f>
        <v>NE</v>
      </c>
      <c r="S50">
        <f>IFERROR(INDEX(TableRBCalcPts[BYE],MATCH(TableRBRanks3141[[#This Row],[Player]],TableRBCalcPts[PLAYER],0)),"")</f>
        <v>14</v>
      </c>
      <c r="T50" s="83">
        <f>VLOOKUP(TableRBRanks3141[[#This Row],[Player]],RB!B:O,4,FALSE)</f>
        <v>119.10150896000003</v>
      </c>
      <c r="U50" s="83">
        <f>VLOOKUP(TableRBRanks3141[[#This Row],[Player]],RB!B:O,5,FALSE)</f>
        <v>500.22633763200014</v>
      </c>
      <c r="V50" s="83">
        <f>VLOOKUP(TableRBRanks3141[[#This Row],[Player]],RB!B:O,6,FALSE)</f>
        <v>3.2157407419200008</v>
      </c>
      <c r="W50" s="83">
        <f>VLOOKUP(TableRBRanks3141[[#This Row],[Player]],RB!B:O,7,FALSE)</f>
        <v>52.153232319999994</v>
      </c>
      <c r="X50" s="83">
        <f>VLOOKUP(TableRBRanks3141[[#This Row],[Player]],RB!B:O,8,FALSE)</f>
        <v>39.219230704639997</v>
      </c>
      <c r="Y50" s="83">
        <f>VLOOKUP(TableRBRanks3141[[#This Row],[Player]],RB!B:O,9,FALSE)</f>
        <v>297.9215333019979</v>
      </c>
      <c r="Z50" s="83">
        <f>VLOOKUP(TableRBRanks3141[[#This Row],[Player]],RB!B:O,10,FALSE)</f>
        <v>1.3334538439577601</v>
      </c>
      <c r="AA50" s="57">
        <f>VLOOKUP(TableRBRanks3141[[#This Row],[Player]],RB!B:O,14,FALSE)</f>
        <v>126.71956996098638</v>
      </c>
      <c r="AB50" s="125">
        <f>IF(VLOOKUP(TableRBRanks3141[[#This Row],[RK]],'Ranks w Proj'!$P:$AB,13,FALSE)&lt;0,0,VLOOKUP(TableRBRanks3141[[#This Row],[RK]],'Ranks w Proj'!$P:$AB,13,FALSE))</f>
        <v>0</v>
      </c>
      <c r="AD50">
        <v>49</v>
      </c>
      <c r="AE50" t="str">
        <f>VLOOKUP(TableWRRanks3242[[#This Row],[RK]],Rankings!A:T,13,FALSE)</f>
        <v>Jameson Williams</v>
      </c>
      <c r="AF50" t="str">
        <f>IFERROR(INDEX(TableWRCalcPts[TM],MATCH(TableWRRanks3242[[#This Row],[Player]],TableWRCalcPts[PLAYER],0)),"")</f>
        <v>DET</v>
      </c>
      <c r="AG50">
        <f>IFERROR(INDEX(TableWRCalcPts[BYE],MATCH(TableWRRanks3242[[#This Row],[Player]],TableWRCalcPts[PLAYER],0)),"")</f>
        <v>5</v>
      </c>
      <c r="AH50" s="83">
        <f>VLOOKUP(TableWRRanks3242[[#This Row],[Player]],WR!B:O,4,FALSE)</f>
        <v>0</v>
      </c>
      <c r="AI50" s="83">
        <f>VLOOKUP(TableWRRanks3242[[#This Row],[Player]],WR!B:O,5,FALSE)</f>
        <v>0</v>
      </c>
      <c r="AJ50" s="83">
        <f>VLOOKUP(TableWRRanks3242[[#This Row],[Player]],WR!B:O,6,FALSE)</f>
        <v>109.05212639999999</v>
      </c>
      <c r="AK50" s="83">
        <f>VLOOKUP(TableWRRanks3242[[#This Row],[Player]],WR!B:O,7,FALSE)</f>
        <v>65.21317158719998</v>
      </c>
      <c r="AL50" s="83">
        <f>VLOOKUP(TableWRRanks3242[[#This Row],[Player]],WR!B:O,8,FALSE)</f>
        <v>945.59098801439973</v>
      </c>
      <c r="AM50" s="83">
        <f>VLOOKUP(TableWRRanks3242[[#This Row],[Player]],WR!B:O,9,FALSE)</f>
        <v>6.288854839588943</v>
      </c>
      <c r="AN50" s="57">
        <f>VLOOKUP(TableWRRanks3242[[#This Row],[Player]],WR!B:O,13,FALSE)</f>
        <v>164.89881363257362</v>
      </c>
      <c r="AO50" s="125">
        <f>IF(VLOOKUP(TableWRRanks3242[[#This Row],[RK]],'Ranks w Proj'!AD:AO,12,FALSE)&lt;0,0,VLOOKUP(TableWRRanks3242[[#This Row],[RK]],'Ranks w Proj'!AD:AO,12,FALSE))</f>
        <v>5.3179009434408355</v>
      </c>
      <c r="AQ50">
        <v>49</v>
      </c>
      <c r="AR50" t="str">
        <f>VLOOKUP(TableTERanks3343[[#This Row],[RK]],Rankings!A:T,18,FALSE)</f>
        <v>Cade Stover</v>
      </c>
      <c r="AS50" t="str">
        <f>IFERROR(INDEX(TableTECalcPts[TM],MATCH(TableTERanks3343[[#This Row],[Player]],TableTECalcPts[PLAYER],0)),"")</f>
        <v>HOU</v>
      </c>
      <c r="AT50">
        <f>IFERROR(INDEX(TableTECalcPts[BYE],MATCH(TableTERanks3343[[#This Row],[Player]],TableTECalcPts[PLAYER],0)),"")</f>
        <v>14</v>
      </c>
      <c r="AU50" s="83">
        <f>VLOOKUP(TableTERanks3343[[#This Row],[Player]],TE!B:O,4,FALSE)</f>
        <v>23.767743999999997</v>
      </c>
      <c r="AV50" s="83">
        <f>VLOOKUP(TableTERanks3343[[#This Row],[Player]],TE!B:O,5,FALSE)</f>
        <v>15.995691711999999</v>
      </c>
      <c r="AW50" s="83">
        <f>VLOOKUP(TableTERanks3343[[#This Row],[Player]],TE!B:O,6,FALSE)</f>
        <v>168.91197013890178</v>
      </c>
      <c r="AX50" s="83">
        <f>VLOOKUP(TableTERanks3343[[#This Row],[Player]],TE!B:O,7,FALSE)</f>
        <v>1.2972052419868549</v>
      </c>
      <c r="AY50" s="57">
        <f>VLOOKUP(TableTERanks3343[[#This Row],[Player]],TE!B:O,11,FALSE)</f>
        <v>32.672274321811308</v>
      </c>
      <c r="AZ50" s="125">
        <f>IF(VLOOKUP(TableTERanks3343[[#This Row],[RK]],'Ranks w Proj'!AQ:AZ,10,FALSE)&lt;0,0,VLOOKUP(TableTERanks3343[[#This Row],[RK]],'Ranks w Proj'!AQ:AZ,10,FALSE))</f>
        <v>0</v>
      </c>
    </row>
    <row r="51" spans="1:52" x14ac:dyDescent="0.2">
      <c r="A51">
        <v>50</v>
      </c>
      <c r="B51">
        <f>VLOOKUP(TableQBRanks3040[[#This Row],[RK]],Rankings!A:T,3,FALSE)</f>
        <v>0</v>
      </c>
      <c r="C51" t="str">
        <f>IFERROR(INDEX(TableQBCalcPts[TM],MATCH(TableQBRanks3040[[#This Row],[Player]],TableQBCalcPts[PLAYER],0)),"")</f>
        <v/>
      </c>
      <c r="D51" t="str">
        <f>IFERROR(INDEX(TableQBCalcPts[BYE],MATCH(TableQBRanks3040[[#This Row],[Player]],TableQBCalcPts[PLAYER],0)),"")</f>
        <v/>
      </c>
      <c r="E51" s="83">
        <f>VLOOKUP(TableQBRanks3040[[#This Row],[Player]],QB!B:O,4,FALSE)</f>
        <v>0</v>
      </c>
      <c r="F51" s="83">
        <f>VLOOKUP(TableQBRanks3040[[#This Row],[Player]],QB!B:O,5,FALSE)</f>
        <v>0</v>
      </c>
      <c r="G51" s="83">
        <f>VLOOKUP(TableQBRanks3040[[#This Row],[Player]],QB!B:O,6,FALSE)</f>
        <v>0</v>
      </c>
      <c r="H51" s="83">
        <f>VLOOKUP(TableQBRanks3040[[#This Row],[Player]],QB!B:O,7,FALSE)</f>
        <v>0</v>
      </c>
      <c r="I51" s="83">
        <f>VLOOKUP(TableQBRanks3040[[#This Row],[Player]],QB!B:O,8,FALSE)</f>
        <v>0</v>
      </c>
      <c r="J51" s="83">
        <f>VLOOKUP(TableQBRanks3040[[#This Row],[Player]],QB!B:O,9,FALSE)</f>
        <v>0</v>
      </c>
      <c r="K51" s="83">
        <f>VLOOKUP(TableQBRanks3040[[#This Row],[Player]],QB!B:O,10,FALSE)</f>
        <v>0</v>
      </c>
      <c r="L51" s="83">
        <f>VLOOKUP(TableQBRanks3040[[#This Row],[Player]],QB!B:O,11,FALSE)</f>
        <v>0</v>
      </c>
      <c r="M51" s="57">
        <f>VLOOKUP(TableQBRanks3040[[#This Row],[Player]],QB!B:O,13,FALSE)</f>
        <v>0</v>
      </c>
      <c r="N51" s="125">
        <f>IF(VLOOKUP(TableQBRanks3040[[#This Row],[RK]],'Ranks w Proj'!$A:$N,14,FALSE)&lt;0,0,VLOOKUP(TableQBRanks3040[[#This Row],[RK]],'Ranks w Proj'!$A:$N,14,FALSE))</f>
        <v>0</v>
      </c>
      <c r="P51">
        <v>50</v>
      </c>
      <c r="Q51" t="str">
        <f>VLOOKUP(TableRBRanks3141[[#This Row],[RK]],Rankings!A:T,8,FALSE)</f>
        <v>Jaleel McLaughlin</v>
      </c>
      <c r="R51" t="str">
        <f>IFERROR(INDEX(TableRBCalcPts[TM],MATCH(TableRBRanks3141[[#This Row],[Player]],TableRBCalcPts[PLAYER],0)),"")</f>
        <v>DEN</v>
      </c>
      <c r="S51">
        <f>IFERROR(INDEX(TableRBCalcPts[BYE],MATCH(TableRBRanks3141[[#This Row],[Player]],TableRBCalcPts[PLAYER],0)),"")</f>
        <v>14</v>
      </c>
      <c r="T51" s="83">
        <f>VLOOKUP(TableRBRanks3141[[#This Row],[Player]],RB!B:O,4,FALSE)</f>
        <v>69.003902100000005</v>
      </c>
      <c r="U51" s="83">
        <f>VLOOKUP(TableRBRanks3141[[#This Row],[Player]],RB!B:O,5,FALSE)</f>
        <v>308.44744238700002</v>
      </c>
      <c r="V51" s="83">
        <f>VLOOKUP(TableRBRanks3141[[#This Row],[Player]],RB!B:O,6,FALSE)</f>
        <v>2.1391209651</v>
      </c>
      <c r="W51" s="83">
        <f>VLOOKUP(TableRBRanks3141[[#This Row],[Player]],RB!B:O,7,FALSE)</f>
        <v>52.209736381909536</v>
      </c>
      <c r="X51" s="83">
        <f>VLOOKUP(TableRBRanks3141[[#This Row],[Player]],RB!B:O,8,FALSE)</f>
        <v>39.679399650251241</v>
      </c>
      <c r="Y51" s="83">
        <f>VLOOKUP(TableRBRanks3141[[#This Row],[Player]],RB!B:O,9,FALSE)</f>
        <v>298.78587936639184</v>
      </c>
      <c r="Z51" s="83">
        <f>VLOOKUP(TableRBRanks3141[[#This Row],[Player]],RB!B:O,10,FALSE)</f>
        <v>1.4284583874090446</v>
      </c>
      <c r="AA51" s="57">
        <f>VLOOKUP(TableRBRanks3141[[#This Row],[Player]],RB!B:O,14,FALSE)</f>
        <v>101.96850811551907</v>
      </c>
      <c r="AB51" s="125">
        <f>IF(VLOOKUP(TableRBRanks3141[[#This Row],[RK]],'Ranks w Proj'!$P:$AB,13,FALSE)&lt;0,0,VLOOKUP(TableRBRanks3141[[#This Row],[RK]],'Ranks w Proj'!$P:$AB,13,FALSE))</f>
        <v>0</v>
      </c>
      <c r="AD51">
        <v>50</v>
      </c>
      <c r="AE51" t="str">
        <f>VLOOKUP(TableWRRanks3242[[#This Row],[RK]],Rankings!A:T,13,FALSE)</f>
        <v>Adonai Mitchell</v>
      </c>
      <c r="AF51" t="str">
        <f>IFERROR(INDEX(TableWRCalcPts[TM],MATCH(TableWRRanks3242[[#This Row],[Player]],TableWRCalcPts[PLAYER],0)),"")</f>
        <v>IND</v>
      </c>
      <c r="AG51">
        <f>IFERROR(INDEX(TableWRCalcPts[BYE],MATCH(TableWRRanks3242[[#This Row],[Player]],TableWRCalcPts[PLAYER],0)),"")</f>
        <v>14</v>
      </c>
      <c r="AH51" s="83">
        <f>VLOOKUP(TableWRRanks3242[[#This Row],[Player]],WR!B:O,4,FALSE)</f>
        <v>0</v>
      </c>
      <c r="AI51" s="83">
        <f>VLOOKUP(TableWRRanks3242[[#This Row],[Player]],WR!B:O,5,FALSE)</f>
        <v>0</v>
      </c>
      <c r="AJ51" s="83">
        <f>VLOOKUP(TableWRRanks3242[[#This Row],[Player]],WR!B:O,6,FALSE)</f>
        <v>109.4721936</v>
      </c>
      <c r="AK51" s="83">
        <f>VLOOKUP(TableWRRanks3242[[#This Row],[Player]],WR!B:O,7,FALSE)</f>
        <v>65.68331615999999</v>
      </c>
      <c r="AL51" s="83">
        <f>VLOOKUP(TableWRRanks3242[[#This Row],[Player]],WR!B:O,8,FALSE)</f>
        <v>891.97943345279987</v>
      </c>
      <c r="AM51" s="83">
        <f>VLOOKUP(TableWRRanks3242[[#This Row],[Player]],WR!B:O,9,FALSE)</f>
        <v>4.991932028159999</v>
      </c>
      <c r="AN51" s="57">
        <f>VLOOKUP(TableWRRanks3242[[#This Row],[Player]],WR!B:O,13,FALSE)</f>
        <v>151.99119359423997</v>
      </c>
      <c r="AO51" s="125">
        <f>IF(VLOOKUP(TableWRRanks3242[[#This Row],[RK]],'Ranks w Proj'!AD:AO,12,FALSE)&lt;0,0,VLOOKUP(TableWRRanks3242[[#This Row],[RK]],'Ranks w Proj'!AD:AO,12,FALSE))</f>
        <v>4.988538450091478</v>
      </c>
      <c r="AQ51">
        <v>50</v>
      </c>
      <c r="AR51" t="str">
        <f>VLOOKUP(TableTERanks3343[[#This Row],[RK]],Rankings!A:T,18,FALSE)</f>
        <v>Jared Wiley</v>
      </c>
      <c r="AS51" t="str">
        <f>IFERROR(INDEX(TableTECalcPts[TM],MATCH(TableTERanks3343[[#This Row],[Player]],TableTECalcPts[PLAYER],0)),"")</f>
        <v>KC</v>
      </c>
      <c r="AT51">
        <f>IFERROR(INDEX(TableTECalcPts[BYE],MATCH(TableTERanks3343[[#This Row],[Player]],TableTECalcPts[PLAYER],0)),"")</f>
        <v>6</v>
      </c>
      <c r="AU51" s="83">
        <f>VLOOKUP(TableTERanks3343[[#This Row],[Player]],TE!B:O,4,FALSE)</f>
        <v>18.910079999999997</v>
      </c>
      <c r="AV51" s="83">
        <f>VLOOKUP(TableTERanks3343[[#This Row],[Player]],TE!B:O,5,FALSE)</f>
        <v>13.142505599999996</v>
      </c>
      <c r="AW51" s="83">
        <f>VLOOKUP(TableTERanks3343[[#This Row],[Player]],TE!B:O,6,FALSE)</f>
        <v>131.95075622399995</v>
      </c>
      <c r="AX51" s="83">
        <f>VLOOKUP(TableTERanks3343[[#This Row],[Player]],TE!B:O,7,FALSE)</f>
        <v>1.0119532691757369</v>
      </c>
      <c r="AY51" s="57">
        <f>VLOOKUP(TableTERanks3343[[#This Row],[Player]],TE!B:O,11,FALSE)</f>
        <v>25.838048037454413</v>
      </c>
      <c r="AZ51" s="125">
        <f>IF(VLOOKUP(TableTERanks3343[[#This Row],[RK]],'Ranks w Proj'!AQ:AZ,10,FALSE)&lt;0,0,VLOOKUP(TableTERanks3343[[#This Row],[RK]],'Ranks w Proj'!AQ:AZ,10,FALSE))</f>
        <v>0</v>
      </c>
    </row>
    <row r="52" spans="1:52" x14ac:dyDescent="0.2">
      <c r="A52">
        <v>51</v>
      </c>
      <c r="B52">
        <f>VLOOKUP(TableQBRanks3040[[#This Row],[RK]],Rankings!A:T,3,FALSE)</f>
        <v>0</v>
      </c>
      <c r="C52" t="str">
        <f>IFERROR(INDEX(TableQBCalcPts[TM],MATCH(TableQBRanks3040[[#This Row],[Player]],TableQBCalcPts[PLAYER],0)),"")</f>
        <v/>
      </c>
      <c r="D52" t="str">
        <f>IFERROR(INDEX(TableQBCalcPts[BYE],MATCH(TableQBRanks3040[[#This Row],[Player]],TableQBCalcPts[PLAYER],0)),"")</f>
        <v/>
      </c>
      <c r="E52" s="83">
        <f>VLOOKUP(TableQBRanks3040[[#This Row],[Player]],QB!B:O,4,FALSE)</f>
        <v>0</v>
      </c>
      <c r="F52" s="83">
        <f>VLOOKUP(TableQBRanks3040[[#This Row],[Player]],QB!B:O,5,FALSE)</f>
        <v>0</v>
      </c>
      <c r="G52" s="83">
        <f>VLOOKUP(TableQBRanks3040[[#This Row],[Player]],QB!B:O,6,FALSE)</f>
        <v>0</v>
      </c>
      <c r="H52" s="83">
        <f>VLOOKUP(TableQBRanks3040[[#This Row],[Player]],QB!B:O,7,FALSE)</f>
        <v>0</v>
      </c>
      <c r="I52" s="83">
        <f>VLOOKUP(TableQBRanks3040[[#This Row],[Player]],QB!B:O,8,FALSE)</f>
        <v>0</v>
      </c>
      <c r="J52" s="83">
        <f>VLOOKUP(TableQBRanks3040[[#This Row],[Player]],QB!B:O,9,FALSE)</f>
        <v>0</v>
      </c>
      <c r="K52" s="83">
        <f>VLOOKUP(TableQBRanks3040[[#This Row],[Player]],QB!B:O,10,FALSE)</f>
        <v>0</v>
      </c>
      <c r="L52" s="83">
        <f>VLOOKUP(TableQBRanks3040[[#This Row],[Player]],QB!B:O,11,FALSE)</f>
        <v>0</v>
      </c>
      <c r="M52" s="57">
        <f>VLOOKUP(TableQBRanks3040[[#This Row],[Player]],QB!B:O,13,FALSE)</f>
        <v>0</v>
      </c>
      <c r="N52" s="125">
        <f>IF(VLOOKUP(TableQBRanks3040[[#This Row],[RK]],'Ranks w Proj'!$A:$N,14,FALSE)&lt;0,0,VLOOKUP(TableQBRanks3040[[#This Row],[RK]],'Ranks w Proj'!$A:$N,14,FALSE))</f>
        <v>0</v>
      </c>
      <c r="P52">
        <v>51</v>
      </c>
      <c r="Q52" t="str">
        <f>VLOOKUP(TableRBRanks3141[[#This Row],[RK]],Rankings!A:T,8,FALSE)</f>
        <v>Ray Davis</v>
      </c>
      <c r="R52" t="str">
        <f>IFERROR(INDEX(TableRBCalcPts[TM],MATCH(TableRBRanks3141[[#This Row],[Player]],TableRBCalcPts[PLAYER],0)),"")</f>
        <v>BUF</v>
      </c>
      <c r="S52">
        <f>IFERROR(INDEX(TableRBCalcPts[BYE],MATCH(TableRBRanks3141[[#This Row],[Player]],TableRBCalcPts[PLAYER],0)),"")</f>
        <v>12</v>
      </c>
      <c r="T52" s="83">
        <f>VLOOKUP(TableRBRanks3141[[#This Row],[Player]],RB!B:O,4,FALSE)</f>
        <v>91.20830208000001</v>
      </c>
      <c r="U52" s="83">
        <f>VLOOKUP(TableRBRanks3141[[#This Row],[Player]],RB!B:O,5,FALSE)</f>
        <v>388.19179678162135</v>
      </c>
      <c r="V52" s="83">
        <f>VLOOKUP(TableRBRanks3141[[#This Row],[Player]],RB!B:O,6,FALSE)</f>
        <v>3.1418739197821406</v>
      </c>
      <c r="W52" s="83">
        <f>VLOOKUP(TableRBRanks3141[[#This Row],[Player]],RB!B:O,7,FALSE)</f>
        <v>18.221414399999997</v>
      </c>
      <c r="X52" s="83">
        <f>VLOOKUP(TableRBRanks3141[[#This Row],[Player]],RB!B:O,8,FALSE)</f>
        <v>13.319853926399999</v>
      </c>
      <c r="Y52" s="83">
        <f>VLOOKUP(TableRBRanks3141[[#This Row],[Player]],RB!B:O,9,FALSE)</f>
        <v>109.47065962537322</v>
      </c>
      <c r="Z52" s="83">
        <f>VLOOKUP(TableRBRanks3141[[#This Row],[Player]],RB!B:O,10,FALSE)</f>
        <v>0.53279415705599997</v>
      </c>
      <c r="AA52" s="57">
        <f>VLOOKUP(TableRBRanks3141[[#This Row],[Player]],RB!B:O,14,FALSE)</f>
        <v>78.474181064928302</v>
      </c>
      <c r="AB52" s="125">
        <f>IF(VLOOKUP(TableRBRanks3141[[#This Row],[RK]],'Ranks w Proj'!$P:$AB,13,FALSE)&lt;0,0,VLOOKUP(TableRBRanks3141[[#This Row],[RK]],'Ranks w Proj'!$P:$AB,13,FALSE))</f>
        <v>0</v>
      </c>
      <c r="AD52">
        <v>51</v>
      </c>
      <c r="AE52" t="str">
        <f>VLOOKUP(TableWRRanks3242[[#This Row],[RK]],Rankings!A:T,13,FALSE)</f>
        <v>Keon Coleman</v>
      </c>
      <c r="AF52" t="str">
        <f>IFERROR(INDEX(TableWRCalcPts[TM],MATCH(TableWRRanks3242[[#This Row],[Player]],TableWRCalcPts[PLAYER],0)),"")</f>
        <v>BUF</v>
      </c>
      <c r="AG52">
        <f>IFERROR(INDEX(TableWRCalcPts[BYE],MATCH(TableWRRanks3242[[#This Row],[Player]],TableWRCalcPts[PLAYER],0)),"")</f>
        <v>12</v>
      </c>
      <c r="AH52" s="83">
        <f>VLOOKUP(TableWRRanks3242[[#This Row],[Player]],WR!B:O,4,FALSE)</f>
        <v>0</v>
      </c>
      <c r="AI52" s="83">
        <f>VLOOKUP(TableWRRanks3242[[#This Row],[Player]],WR!B:O,5,FALSE)</f>
        <v>0</v>
      </c>
      <c r="AJ52" s="83">
        <f>VLOOKUP(TableWRRanks3242[[#This Row],[Player]],WR!B:O,6,FALSE)</f>
        <v>106.29158399999999</v>
      </c>
      <c r="AK52" s="83">
        <f>VLOOKUP(TableWRRanks3242[[#This Row],[Player]],WR!B:O,7,FALSE)</f>
        <v>63.66865881599999</v>
      </c>
      <c r="AL52" s="83">
        <f>VLOOKUP(TableWRRanks3242[[#This Row],[Player]],WR!B:O,8,FALSE)</f>
        <v>832.78605731327991</v>
      </c>
      <c r="AM52" s="83">
        <f>VLOOKUP(TableWRRanks3242[[#This Row],[Player]],WR!B:O,9,FALSE)</f>
        <v>5.4430790493871664</v>
      </c>
      <c r="AN52" s="57">
        <f>VLOOKUP(TableWRRanks3242[[#This Row],[Player]],WR!B:O,13,FALSE)</f>
        <v>147.77140943565098</v>
      </c>
      <c r="AO52" s="125">
        <f>IF(VLOOKUP(TableWRRanks3242[[#This Row],[RK]],'Ranks w Proj'!AD:AO,12,FALSE)&lt;0,0,VLOOKUP(TableWRRanks3242[[#This Row],[RK]],'Ranks w Proj'!AD:AO,12,FALSE))</f>
        <v>4.228086692516082</v>
      </c>
      <c r="AQ52">
        <v>51</v>
      </c>
      <c r="AR52">
        <f>VLOOKUP(TableTERanks3343[[#This Row],[RK]],Rankings!A:T,18,FALSE)</f>
        <v>0</v>
      </c>
      <c r="AS52" t="str">
        <f>IFERROR(INDEX(TableTECalcPts[TM],MATCH(TableTERanks3343[[#This Row],[Player]],TableTECalcPts[PLAYER],0)),"")</f>
        <v/>
      </c>
      <c r="AT52" t="str">
        <f>IFERROR(INDEX(TableTECalcPts[BYE],MATCH(TableTERanks3343[[#This Row],[Player]],TableTECalcPts[PLAYER],0)),"")</f>
        <v/>
      </c>
      <c r="AU52" s="83">
        <f>VLOOKUP(TableTERanks3343[[#This Row],[Player]],TE!B:O,4,FALSE)</f>
        <v>0</v>
      </c>
      <c r="AV52" s="83">
        <f>VLOOKUP(TableTERanks3343[[#This Row],[Player]],TE!B:O,5,FALSE)</f>
        <v>0</v>
      </c>
      <c r="AW52" s="83">
        <f>VLOOKUP(TableTERanks3343[[#This Row],[Player]],TE!B:O,6,FALSE)</f>
        <v>0</v>
      </c>
      <c r="AX52" s="83">
        <f>VLOOKUP(TableTERanks3343[[#This Row],[Player]],TE!B:O,7,FALSE)</f>
        <v>0</v>
      </c>
      <c r="AY52" s="57">
        <f>VLOOKUP(TableTERanks3343[[#This Row],[Player]],TE!B:O,11,FALSE)</f>
        <v>0</v>
      </c>
      <c r="AZ52" s="125">
        <f>IF(VLOOKUP(TableTERanks3343[[#This Row],[RK]],'Ranks w Proj'!AQ:AZ,10,FALSE)&lt;0,0,VLOOKUP(TableTERanks3343[[#This Row],[RK]],'Ranks w Proj'!AQ:AZ,10,FALSE))</f>
        <v>0</v>
      </c>
    </row>
    <row r="53" spans="1:52" x14ac:dyDescent="0.2">
      <c r="A53">
        <v>52</v>
      </c>
      <c r="B53">
        <f>VLOOKUP(TableQBRanks3040[[#This Row],[RK]],Rankings!A:T,3,FALSE)</f>
        <v>0</v>
      </c>
      <c r="C53" t="str">
        <f>IFERROR(INDEX(TableQBCalcPts[TM],MATCH(TableQBRanks3040[[#This Row],[Player]],TableQBCalcPts[PLAYER],0)),"")</f>
        <v/>
      </c>
      <c r="D53" t="str">
        <f>IFERROR(INDEX(TableQBCalcPts[BYE],MATCH(TableQBRanks3040[[#This Row],[Player]],TableQBCalcPts[PLAYER],0)),"")</f>
        <v/>
      </c>
      <c r="E53" s="83">
        <f>VLOOKUP(TableQBRanks3040[[#This Row],[Player]],QB!B:O,4,FALSE)</f>
        <v>0</v>
      </c>
      <c r="F53" s="83">
        <f>VLOOKUP(TableQBRanks3040[[#This Row],[Player]],QB!B:O,5,FALSE)</f>
        <v>0</v>
      </c>
      <c r="G53" s="83">
        <f>VLOOKUP(TableQBRanks3040[[#This Row],[Player]],QB!B:O,6,FALSE)</f>
        <v>0</v>
      </c>
      <c r="H53" s="83">
        <f>VLOOKUP(TableQBRanks3040[[#This Row],[Player]],QB!B:O,7,FALSE)</f>
        <v>0</v>
      </c>
      <c r="I53" s="83">
        <f>VLOOKUP(TableQBRanks3040[[#This Row],[Player]],QB!B:O,8,FALSE)</f>
        <v>0</v>
      </c>
      <c r="J53" s="83">
        <f>VLOOKUP(TableQBRanks3040[[#This Row],[Player]],QB!B:O,9,FALSE)</f>
        <v>0</v>
      </c>
      <c r="K53" s="83">
        <f>VLOOKUP(TableQBRanks3040[[#This Row],[Player]],QB!B:O,10,FALSE)</f>
        <v>0</v>
      </c>
      <c r="L53" s="83">
        <f>VLOOKUP(TableQBRanks3040[[#This Row],[Player]],QB!B:O,11,FALSE)</f>
        <v>0</v>
      </c>
      <c r="M53" s="57">
        <f>VLOOKUP(TableQBRanks3040[[#This Row],[Player]],QB!B:O,13,FALSE)</f>
        <v>0</v>
      </c>
      <c r="N53" s="125">
        <f>IF(VLOOKUP(TableQBRanks3040[[#This Row],[RK]],'Ranks w Proj'!$A:$N,14,FALSE)&lt;0,0,VLOOKUP(TableQBRanks3040[[#This Row],[RK]],'Ranks w Proj'!$A:$N,14,FALSE))</f>
        <v>0</v>
      </c>
      <c r="P53">
        <v>52</v>
      </c>
      <c r="Q53" t="str">
        <f>VLOOKUP(TableRBRanks3141[[#This Row],[RK]],Rankings!A:T,8,FALSE)</f>
        <v>Ty Chandler</v>
      </c>
      <c r="R53" t="str">
        <f>IFERROR(INDEX(TableRBCalcPts[TM],MATCH(TableRBRanks3141[[#This Row],[Player]],TableRBCalcPts[PLAYER],0)),"")</f>
        <v>MIN</v>
      </c>
      <c r="S53">
        <f>IFERROR(INDEX(TableRBCalcPts[BYE],MATCH(TableRBRanks3141[[#This Row],[Player]],TableRBCalcPts[PLAYER],0)),"")</f>
        <v>6</v>
      </c>
      <c r="T53" s="83">
        <f>VLOOKUP(TableRBRanks3141[[#This Row],[Player]],RB!B:O,4,FALSE)</f>
        <v>145.57233600000001</v>
      </c>
      <c r="U53" s="83">
        <f>VLOOKUP(TableRBRanks3141[[#This Row],[Player]],RB!B:O,5,FALSE)</f>
        <v>627.07265185673066</v>
      </c>
      <c r="V53" s="83">
        <f>VLOOKUP(TableRBRanks3141[[#This Row],[Player]],RB!B:O,6,FALSE)</f>
        <v>4.6292002848000005</v>
      </c>
      <c r="W53" s="83">
        <f>VLOOKUP(TableRBRanks3141[[#This Row],[Player]],RB!B:O,7,FALSE)</f>
        <v>26.750471999999995</v>
      </c>
      <c r="X53" s="83">
        <f>VLOOKUP(TableRBRanks3141[[#This Row],[Player]],RB!B:O,8,FALSE)</f>
        <v>19.955852111999999</v>
      </c>
      <c r="Y53" s="83">
        <f>VLOOKUP(TableRBRanks3141[[#This Row],[Player]],RB!B:O,9,FALSE)</f>
        <v>146.23790344906081</v>
      </c>
      <c r="Z53" s="83">
        <f>VLOOKUP(TableRBRanks3141[[#This Row],[Player]],RB!B:O,10,FALSE)</f>
        <v>0.61863141547199996</v>
      </c>
      <c r="AA53" s="57">
        <f>VLOOKUP(TableRBRanks3141[[#This Row],[Player]],RB!B:O,14,FALSE)</f>
        <v>118.79597178821116</v>
      </c>
      <c r="AB53" s="125">
        <f>IF(VLOOKUP(TableRBRanks3141[[#This Row],[RK]],'Ranks w Proj'!$P:$AB,13,FALSE)&lt;0,0,VLOOKUP(TableRBRanks3141[[#This Row],[RK]],'Ranks w Proj'!$P:$AB,13,FALSE))</f>
        <v>0</v>
      </c>
      <c r="AD53">
        <v>52</v>
      </c>
      <c r="AE53" t="str">
        <f>VLOOKUP(TableWRRanks3242[[#This Row],[RK]],Rankings!A:T,13,FALSE)</f>
        <v>Xavier Worthy</v>
      </c>
      <c r="AF53" t="str">
        <f>IFERROR(INDEX(TableWRCalcPts[TM],MATCH(TableWRRanks3242[[#This Row],[Player]],TableWRCalcPts[PLAYER],0)),"")</f>
        <v>KC</v>
      </c>
      <c r="AG53">
        <f>IFERROR(INDEX(TableWRCalcPts[BYE],MATCH(TableWRRanks3242[[#This Row],[Player]],TableWRCalcPts[PLAYER],0)),"")</f>
        <v>6</v>
      </c>
      <c r="AH53" s="83">
        <f>VLOOKUP(TableWRRanks3242[[#This Row],[Player]],WR!B:O,4,FALSE)</f>
        <v>48.830028799999994</v>
      </c>
      <c r="AI53" s="83">
        <f>VLOOKUP(TableWRRanks3242[[#This Row],[Player]],WR!B:O,5,FALSE)</f>
        <v>4.0865895995797472E-2</v>
      </c>
      <c r="AJ53" s="83">
        <f>VLOOKUP(TableWRRanks3242[[#This Row],[Player]],WR!B:O,6,FALSE)</f>
        <v>100.22342399999998</v>
      </c>
      <c r="AK53" s="83">
        <f>VLOOKUP(TableWRRanks3242[[#This Row],[Player]],WR!B:O,7,FALSE)</f>
        <v>64.142991359999982</v>
      </c>
      <c r="AL53" s="83">
        <f>VLOOKUP(TableWRRanks3242[[#This Row],[Player]],WR!B:O,8,FALSE)</f>
        <v>885.17328076799981</v>
      </c>
      <c r="AM53" s="83">
        <f>VLOOKUP(TableWRRanks3242[[#This Row],[Player]],WR!B:O,9,FALSE)</f>
        <v>6.2860131532799981</v>
      </c>
      <c r="AN53" s="57">
        <f>VLOOKUP(TableWRRanks3242[[#This Row],[Player]],WR!B:O,13,FALSE)</f>
        <v>163.43310093245475</v>
      </c>
      <c r="AO53" s="125">
        <f>IF(VLOOKUP(TableWRRanks3242[[#This Row],[RK]],'Ranks w Proj'!AD:AO,12,FALSE)&lt;0,0,VLOOKUP(TableWRRanks3242[[#This Row],[RK]],'Ranks w Proj'!AD:AO,12,FALSE))</f>
        <v>3.7673150875974093</v>
      </c>
      <c r="AQ53">
        <v>52</v>
      </c>
      <c r="AR53">
        <f>VLOOKUP(TableTERanks3343[[#This Row],[RK]],Rankings!A:T,18,FALSE)</f>
        <v>0</v>
      </c>
      <c r="AS53" t="str">
        <f>IFERROR(INDEX(TableTECalcPts[TM],MATCH(TableTERanks3343[[#This Row],[Player]],TableTECalcPts[PLAYER],0)),"")</f>
        <v/>
      </c>
      <c r="AT53" t="str">
        <f>IFERROR(INDEX(TableTECalcPts[BYE],MATCH(TableTERanks3343[[#This Row],[Player]],TableTECalcPts[PLAYER],0)),"")</f>
        <v/>
      </c>
      <c r="AU53" s="83">
        <f>VLOOKUP(TableTERanks3343[[#This Row],[Player]],TE!B:O,4,FALSE)</f>
        <v>0</v>
      </c>
      <c r="AV53" s="83">
        <f>VLOOKUP(TableTERanks3343[[#This Row],[Player]],TE!B:O,5,FALSE)</f>
        <v>0</v>
      </c>
      <c r="AW53" s="83">
        <f>VLOOKUP(TableTERanks3343[[#This Row],[Player]],TE!B:O,6,FALSE)</f>
        <v>0</v>
      </c>
      <c r="AX53" s="83">
        <f>VLOOKUP(TableTERanks3343[[#This Row],[Player]],TE!B:O,7,FALSE)</f>
        <v>0</v>
      </c>
      <c r="AY53" s="57">
        <f>VLOOKUP(TableTERanks3343[[#This Row],[Player]],TE!B:O,11,FALSE)</f>
        <v>0</v>
      </c>
      <c r="AZ53" s="125">
        <f>IF(VLOOKUP(TableTERanks3343[[#This Row],[RK]],'Ranks w Proj'!AQ:AZ,10,FALSE)&lt;0,0,VLOOKUP(TableTERanks3343[[#This Row],[RK]],'Ranks w Proj'!AQ:AZ,10,FALSE))</f>
        <v>0</v>
      </c>
    </row>
    <row r="54" spans="1:52" x14ac:dyDescent="0.2">
      <c r="A54">
        <v>53</v>
      </c>
      <c r="B54">
        <f>VLOOKUP(TableQBRanks3040[[#This Row],[RK]],Rankings!A:T,3,FALSE)</f>
        <v>0</v>
      </c>
      <c r="C54" t="str">
        <f>IFERROR(INDEX(TableQBCalcPts[TM],MATCH(TableQBRanks3040[[#This Row],[Player]],TableQBCalcPts[PLAYER],0)),"")</f>
        <v/>
      </c>
      <c r="D54" t="str">
        <f>IFERROR(INDEX(TableQBCalcPts[BYE],MATCH(TableQBRanks3040[[#This Row],[Player]],TableQBCalcPts[PLAYER],0)),"")</f>
        <v/>
      </c>
      <c r="E54" s="83">
        <f>VLOOKUP(TableQBRanks3040[[#This Row],[Player]],QB!B:O,4,FALSE)</f>
        <v>0</v>
      </c>
      <c r="F54" s="83">
        <f>VLOOKUP(TableQBRanks3040[[#This Row],[Player]],QB!B:O,5,FALSE)</f>
        <v>0</v>
      </c>
      <c r="G54" s="83">
        <f>VLOOKUP(TableQBRanks3040[[#This Row],[Player]],QB!B:O,6,FALSE)</f>
        <v>0</v>
      </c>
      <c r="H54" s="83">
        <f>VLOOKUP(TableQBRanks3040[[#This Row],[Player]],QB!B:O,7,FALSE)</f>
        <v>0</v>
      </c>
      <c r="I54" s="83">
        <f>VLOOKUP(TableQBRanks3040[[#This Row],[Player]],QB!B:O,8,FALSE)</f>
        <v>0</v>
      </c>
      <c r="J54" s="83">
        <f>VLOOKUP(TableQBRanks3040[[#This Row],[Player]],QB!B:O,9,FALSE)</f>
        <v>0</v>
      </c>
      <c r="K54" s="83">
        <f>VLOOKUP(TableQBRanks3040[[#This Row],[Player]],QB!B:O,10,FALSE)</f>
        <v>0</v>
      </c>
      <c r="L54" s="83">
        <f>VLOOKUP(TableQBRanks3040[[#This Row],[Player]],QB!B:O,11,FALSE)</f>
        <v>0</v>
      </c>
      <c r="M54" s="57">
        <f>VLOOKUP(TableQBRanks3040[[#This Row],[Player]],QB!B:O,13,FALSE)</f>
        <v>0</v>
      </c>
      <c r="N54" s="125">
        <f>IF(VLOOKUP(TableQBRanks3040[[#This Row],[RK]],'Ranks w Proj'!$A:$N,14,FALSE)&lt;0,0,VLOOKUP(TableQBRanks3040[[#This Row],[RK]],'Ranks w Proj'!$A:$N,14,FALSE))</f>
        <v>0</v>
      </c>
      <c r="P54">
        <v>53</v>
      </c>
      <c r="Q54" t="str">
        <f>VLOOKUP(TableRBRanks3141[[#This Row],[RK]],Rankings!A:T,8,FALSE)</f>
        <v>Jaylen Wright</v>
      </c>
      <c r="R54" t="str">
        <f>IFERROR(INDEX(TableRBCalcPts[TM],MATCH(TableRBRanks3141[[#This Row],[Player]],TableRBCalcPts[PLAYER],0)),"")</f>
        <v>MIA</v>
      </c>
      <c r="S54">
        <f>IFERROR(INDEX(TableRBCalcPts[BYE],MATCH(TableRBRanks3141[[#This Row],[Player]],TableRBCalcPts[PLAYER],0)),"")</f>
        <v>6</v>
      </c>
      <c r="T54" s="83">
        <f>VLOOKUP(TableRBRanks3141[[#This Row],[Player]],RB!B:O,4,FALSE)</f>
        <v>51.796520160000007</v>
      </c>
      <c r="U54" s="83">
        <f>VLOOKUP(TableRBRanks3141[[#This Row],[Player]],RB!B:O,5,FALSE)</f>
        <v>242.49294226543481</v>
      </c>
      <c r="V54" s="83">
        <f>VLOOKUP(TableRBRanks3141[[#This Row],[Player]],RB!B:O,6,FALSE)</f>
        <v>2.3857305637087038</v>
      </c>
      <c r="W54" s="83">
        <f>VLOOKUP(TableRBRanks3141[[#This Row],[Player]],RB!B:O,7,FALSE)</f>
        <v>29.316503999999991</v>
      </c>
      <c r="X54" s="83">
        <f>VLOOKUP(TableRBRanks3141[[#This Row],[Player]],RB!B:O,8,FALSE)</f>
        <v>21.459680928000001</v>
      </c>
      <c r="Y54" s="83">
        <f>VLOOKUP(TableRBRanks3141[[#This Row],[Player]],RB!B:O,9,FALSE)</f>
        <v>180.37396931468604</v>
      </c>
      <c r="Z54" s="83">
        <f>VLOOKUP(TableRBRanks3141[[#This Row],[Player]],RB!B:O,10,FALSE)</f>
        <v>1.1729359641013992</v>
      </c>
      <c r="AA54" s="57">
        <f>VLOOKUP(TableRBRanks3141[[#This Row],[Player]],RB!B:O,14,FALSE)</f>
        <v>74.368530788872704</v>
      </c>
      <c r="AB54" s="125">
        <f>IF(VLOOKUP(TableRBRanks3141[[#This Row],[RK]],'Ranks w Proj'!$P:$AB,13,FALSE)&lt;0,0,VLOOKUP(TableRBRanks3141[[#This Row],[RK]],'Ranks w Proj'!$P:$AB,13,FALSE))</f>
        <v>0</v>
      </c>
      <c r="AD54">
        <v>53</v>
      </c>
      <c r="AE54" t="str">
        <f>VLOOKUP(TableWRRanks3242[[#This Row],[RK]],Rankings!A:T,13,FALSE)</f>
        <v>Jayden Reed</v>
      </c>
      <c r="AF54" t="str">
        <f>IFERROR(INDEX(TableWRCalcPts[TM],MATCH(TableWRRanks3242[[#This Row],[Player]],TableWRCalcPts[PLAYER],0)),"")</f>
        <v>GB</v>
      </c>
      <c r="AG54">
        <f>IFERROR(INDEX(TableWRCalcPts[BYE],MATCH(TableWRRanks3242[[#This Row],[Player]],TableWRCalcPts[PLAYER],0)),"")</f>
        <v>10</v>
      </c>
      <c r="AH54" s="83">
        <f>VLOOKUP(TableWRRanks3242[[#This Row],[Player]],WR!B:O,4,FALSE)</f>
        <v>137.09314079999999</v>
      </c>
      <c r="AI54" s="83">
        <f>VLOOKUP(TableWRRanks3242[[#This Row],[Player]],WR!B:O,5,FALSE)</f>
        <v>0.80643023999999985</v>
      </c>
      <c r="AJ54" s="83">
        <f>VLOOKUP(TableWRRanks3242[[#This Row],[Player]],WR!B:O,6,FALSE)</f>
        <v>82.679463999999996</v>
      </c>
      <c r="AK54" s="83">
        <f>VLOOKUP(TableWRRanks3242[[#This Row],[Player]],WR!B:O,7,FALSE)</f>
        <v>55.312561416000001</v>
      </c>
      <c r="AL54" s="83">
        <f>VLOOKUP(TableWRRanks3242[[#This Row],[Player]],WR!B:O,8,FALSE)</f>
        <v>680.89763103096004</v>
      </c>
      <c r="AM54" s="83">
        <f>VLOOKUP(TableWRRanks3242[[#This Row],[Player]],WR!B:O,9,FALSE)</f>
        <v>5.199380773104</v>
      </c>
      <c r="AN54" s="57">
        <f>VLOOKUP(TableWRRanks3242[[#This Row],[Player]],WR!B:O,13,FALSE)</f>
        <v>145.49022396972001</v>
      </c>
      <c r="AO54" s="125">
        <f>IF(VLOOKUP(TableWRRanks3242[[#This Row],[RK]],'Ranks w Proj'!AD:AO,12,FALSE)&lt;0,0,VLOOKUP(TableWRRanks3242[[#This Row],[RK]],'Ranks w Proj'!AD:AO,12,FALSE))</f>
        <v>2.2136595488608513</v>
      </c>
      <c r="AQ54">
        <v>53</v>
      </c>
      <c r="AR54">
        <f>VLOOKUP(TableTERanks3343[[#This Row],[RK]],Rankings!A:T,18,FALSE)</f>
        <v>0</v>
      </c>
      <c r="AS54" t="str">
        <f>IFERROR(INDEX(TableTECalcPts[TM],MATCH(TableTERanks3343[[#This Row],[Player]],TableTECalcPts[PLAYER],0)),"")</f>
        <v/>
      </c>
      <c r="AT54" t="str">
        <f>IFERROR(INDEX(TableTECalcPts[BYE],MATCH(TableTERanks3343[[#This Row],[Player]],TableTECalcPts[PLAYER],0)),"")</f>
        <v/>
      </c>
      <c r="AU54" s="83">
        <f>VLOOKUP(TableTERanks3343[[#This Row],[Player]],TE!B:O,4,FALSE)</f>
        <v>0</v>
      </c>
      <c r="AV54" s="83">
        <f>VLOOKUP(TableTERanks3343[[#This Row],[Player]],TE!B:O,5,FALSE)</f>
        <v>0</v>
      </c>
      <c r="AW54" s="83">
        <f>VLOOKUP(TableTERanks3343[[#This Row],[Player]],TE!B:O,6,FALSE)</f>
        <v>0</v>
      </c>
      <c r="AX54" s="83">
        <f>VLOOKUP(TableTERanks3343[[#This Row],[Player]],TE!B:O,7,FALSE)</f>
        <v>0</v>
      </c>
      <c r="AY54" s="57">
        <f>VLOOKUP(TableTERanks3343[[#This Row],[Player]],TE!B:O,11,FALSE)</f>
        <v>0</v>
      </c>
      <c r="AZ54" s="125">
        <f>IF(VLOOKUP(TableTERanks3343[[#This Row],[RK]],'Ranks w Proj'!AQ:AZ,10,FALSE)&lt;0,0,VLOOKUP(TableTERanks3343[[#This Row],[RK]],'Ranks w Proj'!AQ:AZ,10,FALSE))</f>
        <v>0</v>
      </c>
    </row>
    <row r="55" spans="1:52" x14ac:dyDescent="0.2">
      <c r="A55">
        <v>54</v>
      </c>
      <c r="B55">
        <f>VLOOKUP(TableQBRanks3040[[#This Row],[RK]],Rankings!A:T,3,FALSE)</f>
        <v>0</v>
      </c>
      <c r="C55" t="str">
        <f>IFERROR(INDEX(TableQBCalcPts[TM],MATCH(TableQBRanks3040[[#This Row],[Player]],TableQBCalcPts[PLAYER],0)),"")</f>
        <v/>
      </c>
      <c r="D55" t="str">
        <f>IFERROR(INDEX(TableQBCalcPts[BYE],MATCH(TableQBRanks3040[[#This Row],[Player]],TableQBCalcPts[PLAYER],0)),"")</f>
        <v/>
      </c>
      <c r="E55" s="83">
        <f>VLOOKUP(TableQBRanks3040[[#This Row],[Player]],QB!B:O,4,FALSE)</f>
        <v>0</v>
      </c>
      <c r="F55" s="83">
        <f>VLOOKUP(TableQBRanks3040[[#This Row],[Player]],QB!B:O,5,FALSE)</f>
        <v>0</v>
      </c>
      <c r="G55" s="83">
        <f>VLOOKUP(TableQBRanks3040[[#This Row],[Player]],QB!B:O,6,FALSE)</f>
        <v>0</v>
      </c>
      <c r="H55" s="83">
        <f>VLOOKUP(TableQBRanks3040[[#This Row],[Player]],QB!B:O,7,FALSE)</f>
        <v>0</v>
      </c>
      <c r="I55" s="83">
        <f>VLOOKUP(TableQBRanks3040[[#This Row],[Player]],QB!B:O,8,FALSE)</f>
        <v>0</v>
      </c>
      <c r="J55" s="83">
        <f>VLOOKUP(TableQBRanks3040[[#This Row],[Player]],QB!B:O,9,FALSE)</f>
        <v>0</v>
      </c>
      <c r="K55" s="83">
        <f>VLOOKUP(TableQBRanks3040[[#This Row],[Player]],QB!B:O,10,FALSE)</f>
        <v>0</v>
      </c>
      <c r="L55" s="83">
        <f>VLOOKUP(TableQBRanks3040[[#This Row],[Player]],QB!B:O,11,FALSE)</f>
        <v>0</v>
      </c>
      <c r="M55" s="57">
        <f>VLOOKUP(TableQBRanks3040[[#This Row],[Player]],QB!B:O,13,FALSE)</f>
        <v>0</v>
      </c>
      <c r="N55" s="125">
        <f>IF(VLOOKUP(TableQBRanks3040[[#This Row],[RK]],'Ranks w Proj'!$A:$N,14,FALSE)&lt;0,0,VLOOKUP(TableQBRanks3040[[#This Row],[RK]],'Ranks w Proj'!$A:$N,14,FALSE))</f>
        <v>0</v>
      </c>
      <c r="P55">
        <v>54</v>
      </c>
      <c r="Q55" t="str">
        <f>VLOOKUP(TableRBRanks3141[[#This Row],[RK]],Rankings!A:T,8,FALSE)</f>
        <v>Rico Dowdle</v>
      </c>
      <c r="R55" t="str">
        <f>IFERROR(INDEX(TableRBCalcPts[TM],MATCH(TableRBRanks3141[[#This Row],[Player]],TableRBCalcPts[PLAYER],0)),"")</f>
        <v>DAL</v>
      </c>
      <c r="S55">
        <f>IFERROR(INDEX(TableRBCalcPts[BYE],MATCH(TableRBRanks3141[[#This Row],[Player]],TableRBCalcPts[PLAYER],0)),"")</f>
        <v>7</v>
      </c>
      <c r="T55" s="83">
        <f>VLOOKUP(TableRBRanks3141[[#This Row],[Player]],RB!B:O,4,FALSE)</f>
        <v>109.52186196000001</v>
      </c>
      <c r="U55" s="83">
        <f>VLOOKUP(TableRBRanks3141[[#This Row],[Player]],RB!B:O,5,FALSE)</f>
        <v>463.27747609080006</v>
      </c>
      <c r="V55" s="83">
        <f>VLOOKUP(TableRBRanks3141[[#This Row],[Player]],RB!B:O,6,FALSE)</f>
        <v>3.8332651686000005</v>
      </c>
      <c r="W55" s="83">
        <f>VLOOKUP(TableRBRanks3141[[#This Row],[Player]],RB!B:O,7,FALSE)</f>
        <v>35.980113959999983</v>
      </c>
      <c r="X55" s="83">
        <f>VLOOKUP(TableRBRanks3141[[#This Row],[Player]],RB!B:O,8,FALSE)</f>
        <v>26.445383760599984</v>
      </c>
      <c r="Y55" s="83">
        <f>VLOOKUP(TableRBRanks3141[[#This Row],[Player]],RB!B:O,9,FALSE)</f>
        <v>206.27399333267988</v>
      </c>
      <c r="Z55" s="83">
        <f>VLOOKUP(TableRBRanks3141[[#This Row],[Player]],RB!B:O,10,FALSE)</f>
        <v>1.3222691880299993</v>
      </c>
      <c r="AA55" s="57">
        <f>VLOOKUP(TableRBRanks3141[[#This Row],[Player]],RB!B:O,14,FALSE)</f>
        <v>111.11104496242798</v>
      </c>
      <c r="AB55" s="125">
        <f>IF(VLOOKUP(TableRBRanks3141[[#This Row],[RK]],'Ranks w Proj'!$P:$AB,13,FALSE)&lt;0,0,VLOOKUP(TableRBRanks3141[[#This Row],[RK]],'Ranks w Proj'!$P:$AB,13,FALSE))</f>
        <v>0</v>
      </c>
      <c r="AD55">
        <v>54</v>
      </c>
      <c r="AE55" t="str">
        <f>VLOOKUP(TableWRRanks3242[[#This Row],[RK]],Rankings!A:T,13,FALSE)</f>
        <v>Ladd McConkey</v>
      </c>
      <c r="AF55" t="str">
        <f>IFERROR(INDEX(TableWRCalcPts[TM],MATCH(TableWRRanks3242[[#This Row],[Player]],TableWRCalcPts[PLAYER],0)),"")</f>
        <v>LAC</v>
      </c>
      <c r="AG55">
        <f>IFERROR(INDEX(TableWRCalcPts[BYE],MATCH(TableWRRanks3242[[#This Row],[Player]],TableWRCalcPts[PLAYER],0)),"")</f>
        <v>5</v>
      </c>
      <c r="AH55" s="83">
        <f>VLOOKUP(TableWRRanks3242[[#This Row],[Player]],WR!B:O,4,FALSE)</f>
        <v>0</v>
      </c>
      <c r="AI55" s="83">
        <f>VLOOKUP(TableWRRanks3242[[#This Row],[Player]],WR!B:O,5,FALSE)</f>
        <v>0</v>
      </c>
      <c r="AJ55" s="83">
        <f>VLOOKUP(TableWRRanks3242[[#This Row],[Player]],WR!B:O,6,FALSE)</f>
        <v>115.58090502000003</v>
      </c>
      <c r="AK55" s="83">
        <f>VLOOKUP(TableWRRanks3242[[#This Row],[Player]],WR!B:O,7,FALSE)</f>
        <v>76.63014002826003</v>
      </c>
      <c r="AL55" s="83">
        <f>VLOOKUP(TableWRRanks3242[[#This Row],[Player]],WR!B:O,8,FALSE)</f>
        <v>923.39318734053336</v>
      </c>
      <c r="AM55" s="83">
        <f>VLOOKUP(TableWRRanks3242[[#This Row],[Player]],WR!B:O,9,FALSE)</f>
        <v>5.4407399420064619</v>
      </c>
      <c r="AN55" s="57">
        <f>VLOOKUP(TableWRRanks3242[[#This Row],[Player]],WR!B:O,13,FALSE)</f>
        <v>163.29882840022213</v>
      </c>
      <c r="AO55" s="125">
        <f>IF(VLOOKUP(TableWRRanks3242[[#This Row],[RK]],'Ranks w Proj'!AD:AO,12,FALSE)&lt;0,0,VLOOKUP(TableWRRanks3242[[#This Row],[RK]],'Ranks w Proj'!AD:AO,12,FALSE))</f>
        <v>2.0792252756284539</v>
      </c>
      <c r="AQ55">
        <v>54</v>
      </c>
      <c r="AR55">
        <f>VLOOKUP(TableTERanks3343[[#This Row],[RK]],Rankings!A:T,18,FALSE)</f>
        <v>0</v>
      </c>
      <c r="AS55" t="str">
        <f>IFERROR(INDEX(TableTECalcPts[TM],MATCH(TableTERanks3343[[#This Row],[Player]],TableTECalcPts[PLAYER],0)),"")</f>
        <v/>
      </c>
      <c r="AT55" t="str">
        <f>IFERROR(INDEX(TableTECalcPts[BYE],MATCH(TableTERanks3343[[#This Row],[Player]],TableTECalcPts[PLAYER],0)),"")</f>
        <v/>
      </c>
      <c r="AU55" s="83">
        <f>VLOOKUP(TableTERanks3343[[#This Row],[Player]],TE!B:O,4,FALSE)</f>
        <v>0</v>
      </c>
      <c r="AV55" s="83">
        <f>VLOOKUP(TableTERanks3343[[#This Row],[Player]],TE!B:O,5,FALSE)</f>
        <v>0</v>
      </c>
      <c r="AW55" s="83">
        <f>VLOOKUP(TableTERanks3343[[#This Row],[Player]],TE!B:O,6,FALSE)</f>
        <v>0</v>
      </c>
      <c r="AX55" s="83">
        <f>VLOOKUP(TableTERanks3343[[#This Row],[Player]],TE!B:O,7,FALSE)</f>
        <v>0</v>
      </c>
      <c r="AY55" s="57">
        <f>VLOOKUP(TableTERanks3343[[#This Row],[Player]],TE!B:O,11,FALSE)</f>
        <v>0</v>
      </c>
      <c r="AZ55" s="125">
        <f>IF(VLOOKUP(TableTERanks3343[[#This Row],[RK]],'Ranks w Proj'!AQ:AZ,10,FALSE)&lt;0,0,VLOOKUP(TableTERanks3343[[#This Row],[RK]],'Ranks w Proj'!AQ:AZ,10,FALSE))</f>
        <v>0</v>
      </c>
    </row>
    <row r="56" spans="1:52" x14ac:dyDescent="0.2">
      <c r="A56">
        <v>55</v>
      </c>
      <c r="B56">
        <f>VLOOKUP(TableQBRanks3040[[#This Row],[RK]],Rankings!A:T,3,FALSE)</f>
        <v>0</v>
      </c>
      <c r="C56" t="str">
        <f>IFERROR(INDEX(TableQBCalcPts[TM],MATCH(TableQBRanks3040[[#This Row],[Player]],TableQBCalcPts[PLAYER],0)),"")</f>
        <v/>
      </c>
      <c r="D56" t="str">
        <f>IFERROR(INDEX(TableQBCalcPts[BYE],MATCH(TableQBRanks3040[[#This Row],[Player]],TableQBCalcPts[PLAYER],0)),"")</f>
        <v/>
      </c>
      <c r="E56" s="83">
        <f>VLOOKUP(TableQBRanks3040[[#This Row],[Player]],QB!B:O,4,FALSE)</f>
        <v>0</v>
      </c>
      <c r="F56" s="83">
        <f>VLOOKUP(TableQBRanks3040[[#This Row],[Player]],QB!B:O,5,FALSE)</f>
        <v>0</v>
      </c>
      <c r="G56" s="83">
        <f>VLOOKUP(TableQBRanks3040[[#This Row],[Player]],QB!B:O,6,FALSE)</f>
        <v>0</v>
      </c>
      <c r="H56" s="83">
        <f>VLOOKUP(TableQBRanks3040[[#This Row],[Player]],QB!B:O,7,FALSE)</f>
        <v>0</v>
      </c>
      <c r="I56" s="83">
        <f>VLOOKUP(TableQBRanks3040[[#This Row],[Player]],QB!B:O,8,FALSE)</f>
        <v>0</v>
      </c>
      <c r="J56" s="83">
        <f>VLOOKUP(TableQBRanks3040[[#This Row],[Player]],QB!B:O,9,FALSE)</f>
        <v>0</v>
      </c>
      <c r="K56" s="83">
        <f>VLOOKUP(TableQBRanks3040[[#This Row],[Player]],QB!B:O,10,FALSE)</f>
        <v>0</v>
      </c>
      <c r="L56" s="83">
        <f>VLOOKUP(TableQBRanks3040[[#This Row],[Player]],QB!B:O,11,FALSE)</f>
        <v>0</v>
      </c>
      <c r="M56" s="57">
        <f>VLOOKUP(TableQBRanks3040[[#This Row],[Player]],QB!B:O,13,FALSE)</f>
        <v>0</v>
      </c>
      <c r="N56" s="125">
        <f>IF(VLOOKUP(TableQBRanks3040[[#This Row],[RK]],'Ranks w Proj'!$A:$N,14,FALSE)&lt;0,0,VLOOKUP(TableQBRanks3040[[#This Row],[RK]],'Ranks w Proj'!$A:$N,14,FALSE))</f>
        <v>0</v>
      </c>
      <c r="P56">
        <v>55</v>
      </c>
      <c r="Q56" t="str">
        <f>VLOOKUP(TableRBRanks3141[[#This Row],[RK]],Rankings!A:T,8,FALSE)</f>
        <v>MarShawn Lloyd</v>
      </c>
      <c r="R56" t="str">
        <f>IFERROR(INDEX(TableRBCalcPts[TM],MATCH(TableRBRanks3141[[#This Row],[Player]],TableRBCalcPts[PLAYER],0)),"")</f>
        <v>GB</v>
      </c>
      <c r="S56">
        <f>IFERROR(INDEX(TableRBCalcPts[BYE],MATCH(TableRBRanks3141[[#This Row],[Player]],TableRBCalcPts[PLAYER],0)),"")</f>
        <v>10</v>
      </c>
      <c r="T56" s="83">
        <f>VLOOKUP(TableRBRanks3141[[#This Row],[Player]],RB!B:O,4,FALSE)</f>
        <v>122.75660320000001</v>
      </c>
      <c r="U56" s="83">
        <f>VLOOKUP(TableRBRanks3141[[#This Row],[Player]],RB!B:O,5,FALSE)</f>
        <v>522.74098110395937</v>
      </c>
      <c r="V56" s="83">
        <f>VLOOKUP(TableRBRanks3141[[#This Row],[Player]],RB!B:O,6,FALSE)</f>
        <v>4.1737245088000012</v>
      </c>
      <c r="W56" s="83">
        <f>VLOOKUP(TableRBRanks3141[[#This Row],[Player]],RB!B:O,7,FALSE)</f>
        <v>17.676299200000003</v>
      </c>
      <c r="X56" s="83">
        <f>VLOOKUP(TableRBRanks3141[[#This Row],[Player]],RB!B:O,8,FALSE)</f>
        <v>12.514819833600001</v>
      </c>
      <c r="Y56" s="83">
        <f>VLOOKUP(TableRBRanks3141[[#This Row],[Player]],RB!B:O,9,FALSE)</f>
        <v>99.611614967870196</v>
      </c>
      <c r="Z56" s="83">
        <f>VLOOKUP(TableRBRanks3141[[#This Row],[Player]],RB!B:O,10,FALSE)</f>
        <v>0.47556315367680002</v>
      </c>
      <c r="AA56" s="57">
        <f>VLOOKUP(TableRBRanks3141[[#This Row],[Player]],RB!B:O,14,FALSE)</f>
        <v>96.388395498843764</v>
      </c>
      <c r="AB56" s="125">
        <f>IF(VLOOKUP(TableRBRanks3141[[#This Row],[RK]],'Ranks w Proj'!$P:$AB,13,FALSE)&lt;0,0,VLOOKUP(TableRBRanks3141[[#This Row],[RK]],'Ranks w Proj'!$P:$AB,13,FALSE))</f>
        <v>0</v>
      </c>
      <c r="AD56">
        <v>55</v>
      </c>
      <c r="AE56" t="str">
        <f>VLOOKUP(TableWRRanks3242[[#This Row],[RK]],Rankings!A:T,13,FALSE)</f>
        <v>Tyler Lockett</v>
      </c>
      <c r="AF56" t="str">
        <f>IFERROR(INDEX(TableWRCalcPts[TM],MATCH(TableWRRanks3242[[#This Row],[Player]],TableWRCalcPts[PLAYER],0)),"")</f>
        <v>SEA</v>
      </c>
      <c r="AG56">
        <f>IFERROR(INDEX(TableWRCalcPts[BYE],MATCH(TableWRRanks3242[[#This Row],[Player]],TableWRCalcPts[PLAYER],0)),"")</f>
        <v>10</v>
      </c>
      <c r="AH56" s="83">
        <f>VLOOKUP(TableWRRanks3242[[#This Row],[Player]],WR!B:O,4,FALSE)</f>
        <v>0</v>
      </c>
      <c r="AI56" s="83">
        <f>VLOOKUP(TableWRRanks3242[[#This Row],[Player]],WR!B:O,5,FALSE)</f>
        <v>0</v>
      </c>
      <c r="AJ56" s="83">
        <f>VLOOKUP(TableWRRanks3242[[#This Row],[Player]],WR!B:O,6,FALSE)</f>
        <v>118.99889609999998</v>
      </c>
      <c r="AK56" s="83">
        <f>VLOOKUP(TableWRRanks3242[[#This Row],[Player]],WR!B:O,7,FALSE)</f>
        <v>77.587280257199993</v>
      </c>
      <c r="AL56" s="83">
        <f>VLOOKUP(TableWRRanks3242[[#This Row],[Player]],WR!B:O,8,FALSE)</f>
        <v>890.7254198585324</v>
      </c>
      <c r="AM56" s="83">
        <f>VLOOKUP(TableWRRanks3242[[#This Row],[Player]],WR!B:O,9,FALSE)</f>
        <v>5.7414587390327991</v>
      </c>
      <c r="AN56" s="57">
        <f>VLOOKUP(TableWRRanks3242[[#This Row],[Player]],WR!B:O,13,FALSE)</f>
        <v>162.31493454865003</v>
      </c>
      <c r="AO56" s="125">
        <f>IF(VLOOKUP(TableWRRanks3242[[#This Row],[RK]],'Ranks w Proj'!AD:AO,12,FALSE)&lt;0,0,VLOOKUP(TableWRRanks3242[[#This Row],[RK]],'Ranks w Proj'!AD:AO,12,FALSE))</f>
        <v>1.664390376650428</v>
      </c>
      <c r="AQ56">
        <v>55</v>
      </c>
      <c r="AR56">
        <f>VLOOKUP(TableTERanks3343[[#This Row],[RK]],Rankings!A:T,18,FALSE)</f>
        <v>0</v>
      </c>
      <c r="AS56" t="str">
        <f>IFERROR(INDEX(TableTECalcPts[TM],MATCH(TableTERanks3343[[#This Row],[Player]],TableTECalcPts[PLAYER],0)),"")</f>
        <v/>
      </c>
      <c r="AT56" t="str">
        <f>IFERROR(INDEX(TableTECalcPts[BYE],MATCH(TableTERanks3343[[#This Row],[Player]],TableTECalcPts[PLAYER],0)),"")</f>
        <v/>
      </c>
      <c r="AU56" s="83">
        <f>VLOOKUP(TableTERanks3343[[#This Row],[Player]],TE!B:O,4,FALSE)</f>
        <v>0</v>
      </c>
      <c r="AV56" s="83">
        <f>VLOOKUP(TableTERanks3343[[#This Row],[Player]],TE!B:O,5,FALSE)</f>
        <v>0</v>
      </c>
      <c r="AW56" s="83">
        <f>VLOOKUP(TableTERanks3343[[#This Row],[Player]],TE!B:O,6,FALSE)</f>
        <v>0</v>
      </c>
      <c r="AX56" s="83">
        <f>VLOOKUP(TableTERanks3343[[#This Row],[Player]],TE!B:O,7,FALSE)</f>
        <v>0</v>
      </c>
      <c r="AY56" s="57">
        <f>VLOOKUP(TableTERanks3343[[#This Row],[Player]],TE!B:O,11,FALSE)</f>
        <v>0</v>
      </c>
      <c r="AZ56" s="125">
        <f>IF(VLOOKUP(TableTERanks3343[[#This Row],[RK]],'Ranks w Proj'!AQ:AZ,10,FALSE)&lt;0,0,VLOOKUP(TableTERanks3343[[#This Row],[RK]],'Ranks w Proj'!AQ:AZ,10,FALSE))</f>
        <v>0</v>
      </c>
    </row>
    <row r="57" spans="1:52" x14ac:dyDescent="0.2">
      <c r="A57">
        <v>56</v>
      </c>
      <c r="B57">
        <f>VLOOKUP(TableQBRanks3040[[#This Row],[RK]],Rankings!A:T,3,FALSE)</f>
        <v>0</v>
      </c>
      <c r="C57" t="str">
        <f>IFERROR(INDEX(TableQBCalcPts[TM],MATCH(TableQBRanks3040[[#This Row],[Player]],TableQBCalcPts[PLAYER],0)),"")</f>
        <v/>
      </c>
      <c r="D57" t="str">
        <f>IFERROR(INDEX(TableQBCalcPts[BYE],MATCH(TableQBRanks3040[[#This Row],[Player]],TableQBCalcPts[PLAYER],0)),"")</f>
        <v/>
      </c>
      <c r="E57" s="83">
        <f>VLOOKUP(TableQBRanks3040[[#This Row],[Player]],QB!B:O,4,FALSE)</f>
        <v>0</v>
      </c>
      <c r="F57" s="83">
        <f>VLOOKUP(TableQBRanks3040[[#This Row],[Player]],QB!B:O,5,FALSE)</f>
        <v>0</v>
      </c>
      <c r="G57" s="83">
        <f>VLOOKUP(TableQBRanks3040[[#This Row],[Player]],QB!B:O,6,FALSE)</f>
        <v>0</v>
      </c>
      <c r="H57" s="83">
        <f>VLOOKUP(TableQBRanks3040[[#This Row],[Player]],QB!B:O,7,FALSE)</f>
        <v>0</v>
      </c>
      <c r="I57" s="83">
        <f>VLOOKUP(TableQBRanks3040[[#This Row],[Player]],QB!B:O,8,FALSE)</f>
        <v>0</v>
      </c>
      <c r="J57" s="83">
        <f>VLOOKUP(TableQBRanks3040[[#This Row],[Player]],QB!B:O,9,FALSE)</f>
        <v>0</v>
      </c>
      <c r="K57" s="83">
        <f>VLOOKUP(TableQBRanks3040[[#This Row],[Player]],QB!B:O,10,FALSE)</f>
        <v>0</v>
      </c>
      <c r="L57" s="83">
        <f>VLOOKUP(TableQBRanks3040[[#This Row],[Player]],QB!B:O,11,FALSE)</f>
        <v>0</v>
      </c>
      <c r="M57" s="57">
        <f>VLOOKUP(TableQBRanks3040[[#This Row],[Player]],QB!B:O,13,FALSE)</f>
        <v>0</v>
      </c>
      <c r="N57" s="125">
        <f>IF(VLOOKUP(TableQBRanks3040[[#This Row],[RK]],'Ranks w Proj'!$A:$N,14,FALSE)&lt;0,0,VLOOKUP(TableQBRanks3040[[#This Row],[RK]],'Ranks w Proj'!$A:$N,14,FALSE))</f>
        <v>0</v>
      </c>
      <c r="P57">
        <v>56</v>
      </c>
      <c r="Q57" t="str">
        <f>VLOOKUP(TableRBRanks3141[[#This Row],[RK]],Rankings!A:T,8,FALSE)</f>
        <v>Khalil Herbert</v>
      </c>
      <c r="R57" t="str">
        <f>IFERROR(INDEX(TableRBCalcPts[TM],MATCH(TableRBRanks3141[[#This Row],[Player]],TableRBCalcPts[PLAYER],0)),"")</f>
        <v>CHI</v>
      </c>
      <c r="S57">
        <f>IFERROR(INDEX(TableRBCalcPts[BYE],MATCH(TableRBRanks3141[[#This Row],[Player]],TableRBCalcPts[PLAYER],0)),"")</f>
        <v>7</v>
      </c>
      <c r="T57" s="83">
        <f>VLOOKUP(TableRBRanks3141[[#This Row],[Player]],RB!B:O,4,FALSE)</f>
        <v>87.611811839999987</v>
      </c>
      <c r="U57" s="83">
        <f>VLOOKUP(TableRBRanks3141[[#This Row],[Player]],RB!B:O,5,FALSE)</f>
        <v>391.75948324736351</v>
      </c>
      <c r="V57" s="83">
        <f>VLOOKUP(TableRBRanks3141[[#This Row],[Player]],RB!B:O,6,FALSE)</f>
        <v>2.9788016025599999</v>
      </c>
      <c r="W57" s="83">
        <f>VLOOKUP(TableRBRanks3141[[#This Row],[Player]],RB!B:O,7,FALSE)</f>
        <v>13.036595039999998</v>
      </c>
      <c r="X57" s="83">
        <f>VLOOKUP(TableRBRanks3141[[#This Row],[Player]],RB!B:O,8,FALSE)</f>
        <v>9.1907995031999974</v>
      </c>
      <c r="Y57" s="83">
        <f>VLOOKUP(TableRBRanks3141[[#This Row],[Player]],RB!B:O,9,FALSE)</f>
        <v>63.876056547239983</v>
      </c>
      <c r="Z57" s="83">
        <f>VLOOKUP(TableRBRanks3141[[#This Row],[Player]],RB!B:O,10,FALSE)</f>
        <v>0.38379518014963382</v>
      </c>
      <c r="AA57" s="57">
        <f>VLOOKUP(TableRBRanks3141[[#This Row],[Player]],RB!B:O,14,FALSE)</f>
        <v>70.334534427318147</v>
      </c>
      <c r="AB57" s="125">
        <f>IF(VLOOKUP(TableRBRanks3141[[#This Row],[RK]],'Ranks w Proj'!$P:$AB,13,FALSE)&lt;0,0,VLOOKUP(TableRBRanks3141[[#This Row],[RK]],'Ranks w Proj'!$P:$AB,13,FALSE))</f>
        <v>0</v>
      </c>
      <c r="AD57">
        <v>56</v>
      </c>
      <c r="AE57" t="str">
        <f>VLOOKUP(TableWRRanks3242[[#This Row],[RK]],Rankings!A:T,13,FALSE)</f>
        <v>Jakobi Meyers</v>
      </c>
      <c r="AF57" t="str">
        <f>IFERROR(INDEX(TableWRCalcPts[TM],MATCH(TableWRRanks3242[[#This Row],[Player]],TableWRCalcPts[PLAYER],0)),"")</f>
        <v>LV</v>
      </c>
      <c r="AG57">
        <f>IFERROR(INDEX(TableWRCalcPts[BYE],MATCH(TableWRRanks3242[[#This Row],[Player]],TableWRCalcPts[PLAYER],0)),"")</f>
        <v>10</v>
      </c>
      <c r="AH57" s="83">
        <f>VLOOKUP(TableWRRanks3242[[#This Row],[Player]],WR!B:O,4,FALSE)</f>
        <v>23.246139000000003</v>
      </c>
      <c r="AI57" s="83">
        <f>VLOOKUP(TableWRRanks3242[[#This Row],[Player]],WR!B:O,5,FALSE)</f>
        <v>6.2749530810861293E-2</v>
      </c>
      <c r="AJ57" s="83">
        <f>VLOOKUP(TableWRRanks3242[[#This Row],[Player]],WR!B:O,6,FALSE)</f>
        <v>118.26983</v>
      </c>
      <c r="AK57" s="83">
        <f>VLOOKUP(TableWRRanks3242[[#This Row],[Player]],WR!B:O,7,FALSE)</f>
        <v>75.692691199999985</v>
      </c>
      <c r="AL57" s="83">
        <f>VLOOKUP(TableWRRanks3242[[#This Row],[Player]],WR!B:O,8,FALSE)</f>
        <v>885.41638080094435</v>
      </c>
      <c r="AM57" s="83">
        <f>VLOOKUP(TableWRRanks3242[[#This Row],[Player]],WR!B:O,9,FALSE)</f>
        <v>5.0714103103999992</v>
      </c>
      <c r="AN57" s="57">
        <f>VLOOKUP(TableWRRanks3242[[#This Row],[Player]],WR!B:O,13,FALSE)</f>
        <v>159.5175566273596</v>
      </c>
      <c r="AO57" s="125">
        <f>IF(VLOOKUP(TableWRRanks3242[[#This Row],[RK]],'Ranks w Proj'!AD:AO,12,FALSE)&lt;0,0,VLOOKUP(TableWRRanks3242[[#This Row],[RK]],'Ranks w Proj'!AD:AO,12,FALSE))</f>
        <v>0.2406394473257609</v>
      </c>
      <c r="AQ57">
        <v>56</v>
      </c>
      <c r="AR57">
        <f>VLOOKUP(TableTERanks3343[[#This Row],[RK]],Rankings!A:T,18,FALSE)</f>
        <v>0</v>
      </c>
      <c r="AS57" t="str">
        <f>IFERROR(INDEX(TableTECalcPts[TM],MATCH(TableTERanks3343[[#This Row],[Player]],TableTECalcPts[PLAYER],0)),"")</f>
        <v/>
      </c>
      <c r="AT57" t="str">
        <f>IFERROR(INDEX(TableTECalcPts[BYE],MATCH(TableTERanks3343[[#This Row],[Player]],TableTECalcPts[PLAYER],0)),"")</f>
        <v/>
      </c>
      <c r="AU57" s="83">
        <f>VLOOKUP(TableTERanks3343[[#This Row],[Player]],TE!B:O,4,FALSE)</f>
        <v>0</v>
      </c>
      <c r="AV57" s="83">
        <f>VLOOKUP(TableTERanks3343[[#This Row],[Player]],TE!B:O,5,FALSE)</f>
        <v>0</v>
      </c>
      <c r="AW57" s="83">
        <f>VLOOKUP(TableTERanks3343[[#This Row],[Player]],TE!B:O,6,FALSE)</f>
        <v>0</v>
      </c>
      <c r="AX57" s="83">
        <f>VLOOKUP(TableTERanks3343[[#This Row],[Player]],TE!B:O,7,FALSE)</f>
        <v>0</v>
      </c>
      <c r="AY57" s="57">
        <f>VLOOKUP(TableTERanks3343[[#This Row],[Player]],TE!B:O,11,FALSE)</f>
        <v>0</v>
      </c>
      <c r="AZ57" s="125">
        <f>IF(VLOOKUP(TableTERanks3343[[#This Row],[RK]],'Ranks w Proj'!AQ:AZ,10,FALSE)&lt;0,0,VLOOKUP(TableTERanks3343[[#This Row],[RK]],'Ranks w Proj'!AQ:AZ,10,FALSE))</f>
        <v>0</v>
      </c>
    </row>
    <row r="58" spans="1:52" x14ac:dyDescent="0.2">
      <c r="A58">
        <v>57</v>
      </c>
      <c r="B58">
        <f>VLOOKUP(TableQBRanks3040[[#This Row],[RK]],Rankings!A:T,3,FALSE)</f>
        <v>0</v>
      </c>
      <c r="C58" t="str">
        <f>IFERROR(INDEX(TableQBCalcPts[TM],MATCH(TableQBRanks3040[[#This Row],[Player]],TableQBCalcPts[PLAYER],0)),"")</f>
        <v/>
      </c>
      <c r="D58" t="str">
        <f>IFERROR(INDEX(TableQBCalcPts[BYE],MATCH(TableQBRanks3040[[#This Row],[Player]],TableQBCalcPts[PLAYER],0)),"")</f>
        <v/>
      </c>
      <c r="E58" s="83">
        <f>VLOOKUP(TableQBRanks3040[[#This Row],[Player]],QB!B:O,4,FALSE)</f>
        <v>0</v>
      </c>
      <c r="F58" s="83">
        <f>VLOOKUP(TableQBRanks3040[[#This Row],[Player]],QB!B:O,5,FALSE)</f>
        <v>0</v>
      </c>
      <c r="G58" s="83">
        <f>VLOOKUP(TableQBRanks3040[[#This Row],[Player]],QB!B:O,6,FALSE)</f>
        <v>0</v>
      </c>
      <c r="H58" s="83">
        <f>VLOOKUP(TableQBRanks3040[[#This Row],[Player]],QB!B:O,7,FALSE)</f>
        <v>0</v>
      </c>
      <c r="I58" s="83">
        <f>VLOOKUP(TableQBRanks3040[[#This Row],[Player]],QB!B:O,8,FALSE)</f>
        <v>0</v>
      </c>
      <c r="J58" s="83">
        <f>VLOOKUP(TableQBRanks3040[[#This Row],[Player]],QB!B:O,9,FALSE)</f>
        <v>0</v>
      </c>
      <c r="K58" s="83">
        <f>VLOOKUP(TableQBRanks3040[[#This Row],[Player]],QB!B:O,10,FALSE)</f>
        <v>0</v>
      </c>
      <c r="L58" s="83">
        <f>VLOOKUP(TableQBRanks3040[[#This Row],[Player]],QB!B:O,11,FALSE)</f>
        <v>0</v>
      </c>
      <c r="M58" s="57">
        <f>VLOOKUP(TableQBRanks3040[[#This Row],[Player]],QB!B:O,13,FALSE)</f>
        <v>0</v>
      </c>
      <c r="N58" s="125">
        <f>IF(VLOOKUP(TableQBRanks3040[[#This Row],[RK]],'Ranks w Proj'!$A:$N,14,FALSE)&lt;0,0,VLOOKUP(TableQBRanks3040[[#This Row],[RK]],'Ranks w Proj'!$A:$N,14,FALSE))</f>
        <v>0</v>
      </c>
      <c r="P58">
        <v>57</v>
      </c>
      <c r="Q58" t="str">
        <f>VLOOKUP(TableRBRanks3141[[#This Row],[RK]],Rankings!A:T,8,FALSE)</f>
        <v>Dalvin Cook</v>
      </c>
      <c r="R58" t="str">
        <f>IFERROR(INDEX(TableRBCalcPts[TM],MATCH(TableRBRanks3141[[#This Row],[Player]],TableRBCalcPts[PLAYER],0)),"")</f>
        <v>DAL</v>
      </c>
      <c r="S58">
        <f>IFERROR(INDEX(TableRBCalcPts[BYE],MATCH(TableRBRanks3141[[#This Row],[Player]],TableRBCalcPts[PLAYER],0)),"")</f>
        <v>7</v>
      </c>
      <c r="T58" s="83">
        <f>VLOOKUP(TableRBRanks3141[[#This Row],[Player]],RB!B:O,4,FALSE)</f>
        <v>119.51970828000002</v>
      </c>
      <c r="U58" s="83">
        <f>VLOOKUP(TableRBRanks3141[[#This Row],[Player]],RB!B:O,5,FALSE)</f>
        <v>474.49324187160011</v>
      </c>
      <c r="V58" s="83">
        <f>VLOOKUP(TableRBRanks3141[[#This Row],[Player]],RB!B:O,6,FALSE)</f>
        <v>4.3027094980800005</v>
      </c>
      <c r="W58" s="83">
        <f>VLOOKUP(TableRBRanks3141[[#This Row],[Player]],RB!B:O,7,FALSE)</f>
        <v>10.976983919999995</v>
      </c>
      <c r="X58" s="83">
        <f>VLOOKUP(TableRBRanks3141[[#This Row],[Player]],RB!B:O,8,FALSE)</f>
        <v>8.2217609560799971</v>
      </c>
      <c r="Y58" s="83">
        <f>VLOOKUP(TableRBRanks3141[[#This Row],[Player]],RB!B:O,9,FALSE)</f>
        <v>58.950026055093581</v>
      </c>
      <c r="Z58" s="83">
        <f>VLOOKUP(TableRBRanks3141[[#This Row],[Player]],RB!B:O,10,FALSE)</f>
        <v>0.32887043824319989</v>
      </c>
      <c r="AA58" s="57">
        <f>VLOOKUP(TableRBRanks3141[[#This Row],[Player]],RB!B:O,14,FALSE)</f>
        <v>85.244686888648587</v>
      </c>
      <c r="AB58" s="125">
        <f>IF(VLOOKUP(TableRBRanks3141[[#This Row],[RK]],'Ranks w Proj'!$P:$AB,13,FALSE)&lt;0,0,VLOOKUP(TableRBRanks3141[[#This Row],[RK]],'Ranks w Proj'!$P:$AB,13,FALSE))</f>
        <v>0</v>
      </c>
      <c r="AD58">
        <v>57</v>
      </c>
      <c r="AE58" t="str">
        <f>VLOOKUP(TableWRRanks3242[[#This Row],[RK]],Rankings!A:T,13,FALSE)</f>
        <v>Curtis Samuel</v>
      </c>
      <c r="AF58" t="str">
        <f>IFERROR(INDEX(TableWRCalcPts[TM],MATCH(TableWRRanks3242[[#This Row],[Player]],TableWRCalcPts[PLAYER],0)),"")</f>
        <v>BUF</v>
      </c>
      <c r="AG58">
        <f>IFERROR(INDEX(TableWRCalcPts[BYE],MATCH(TableWRRanks3242[[#This Row],[Player]],TableWRCalcPts[PLAYER],0)),"")</f>
        <v>12</v>
      </c>
      <c r="AH58" s="83">
        <f>VLOOKUP(TableWRRanks3242[[#This Row],[Player]],WR!B:O,4,FALSE)</f>
        <v>72.430122240000003</v>
      </c>
      <c r="AI58" s="83">
        <f>VLOOKUP(TableWRRanks3242[[#This Row],[Player]],WR!B:O,5,FALSE)</f>
        <v>0.45604151040000007</v>
      </c>
      <c r="AJ58" s="83">
        <f>VLOOKUP(TableWRRanks3242[[#This Row],[Player]],WR!B:O,6,FALSE)</f>
        <v>105.68420351999998</v>
      </c>
      <c r="AK58" s="83">
        <f>VLOOKUP(TableWRRanks3242[[#This Row],[Player]],WR!B:O,7,FALSE)</f>
        <v>69.751574323199989</v>
      </c>
      <c r="AL58" s="83">
        <f>VLOOKUP(TableWRRanks3242[[#This Row],[Player]],WR!B:O,8,FALSE)</f>
        <v>759.22881980822569</v>
      </c>
      <c r="AM58" s="83">
        <f>VLOOKUP(TableWRRanks3242[[#This Row],[Player]],WR!B:O,9,FALSE)</f>
        <v>5.253634436081648</v>
      </c>
      <c r="AN58" s="57">
        <f>VLOOKUP(TableWRRanks3242[[#This Row],[Player]],WR!B:O,13,FALSE)</f>
        <v>152.29973704531247</v>
      </c>
      <c r="AO58" s="125">
        <f>IF(VLOOKUP(TableWRRanks3242[[#This Row],[RK]],'Ranks w Proj'!AD:AO,12,FALSE)&lt;0,0,VLOOKUP(TableWRRanks3242[[#This Row],[RK]],'Ranks w Proj'!AD:AO,12,FALSE))</f>
        <v>0</v>
      </c>
      <c r="AQ58">
        <v>57</v>
      </c>
      <c r="AR58">
        <f>VLOOKUP(TableTERanks3343[[#This Row],[RK]],Rankings!A:T,18,FALSE)</f>
        <v>0</v>
      </c>
      <c r="AS58" t="str">
        <f>IFERROR(INDEX(TableTECalcPts[TM],MATCH(TableTERanks3343[[#This Row],[Player]],TableTECalcPts[PLAYER],0)),"")</f>
        <v/>
      </c>
      <c r="AT58" t="str">
        <f>IFERROR(INDEX(TableTECalcPts[BYE],MATCH(TableTERanks3343[[#This Row],[Player]],TableTECalcPts[PLAYER],0)),"")</f>
        <v/>
      </c>
      <c r="AU58" s="83">
        <f>VLOOKUP(TableTERanks3343[[#This Row],[Player]],TE!B:O,4,FALSE)</f>
        <v>0</v>
      </c>
      <c r="AV58" s="83">
        <f>VLOOKUP(TableTERanks3343[[#This Row],[Player]],TE!B:O,5,FALSE)</f>
        <v>0</v>
      </c>
      <c r="AW58" s="83">
        <f>VLOOKUP(TableTERanks3343[[#This Row],[Player]],TE!B:O,6,FALSE)</f>
        <v>0</v>
      </c>
      <c r="AX58" s="83">
        <f>VLOOKUP(TableTERanks3343[[#This Row],[Player]],TE!B:O,7,FALSE)</f>
        <v>0</v>
      </c>
      <c r="AY58" s="57">
        <f>VLOOKUP(TableTERanks3343[[#This Row],[Player]],TE!B:O,11,FALSE)</f>
        <v>0</v>
      </c>
      <c r="AZ58" s="125">
        <f>IF(VLOOKUP(TableTERanks3343[[#This Row],[RK]],'Ranks w Proj'!AQ:AZ,10,FALSE)&lt;0,0,VLOOKUP(TableTERanks3343[[#This Row],[RK]],'Ranks w Proj'!AQ:AZ,10,FALSE))</f>
        <v>0</v>
      </c>
    </row>
    <row r="59" spans="1:52" x14ac:dyDescent="0.2">
      <c r="A59">
        <v>58</v>
      </c>
      <c r="B59">
        <f>VLOOKUP(TableQBRanks3040[[#This Row],[RK]],Rankings!A:T,3,FALSE)</f>
        <v>0</v>
      </c>
      <c r="C59" t="str">
        <f>IFERROR(INDEX(TableQBCalcPts[TM],MATCH(TableQBRanks3040[[#This Row],[Player]],TableQBCalcPts[PLAYER],0)),"")</f>
        <v/>
      </c>
      <c r="D59" t="str">
        <f>IFERROR(INDEX(TableQBCalcPts[BYE],MATCH(TableQBRanks3040[[#This Row],[Player]],TableQBCalcPts[PLAYER],0)),"")</f>
        <v/>
      </c>
      <c r="E59" s="83">
        <f>VLOOKUP(TableQBRanks3040[[#This Row],[Player]],QB!B:O,4,FALSE)</f>
        <v>0</v>
      </c>
      <c r="F59" s="83">
        <f>VLOOKUP(TableQBRanks3040[[#This Row],[Player]],QB!B:O,5,FALSE)</f>
        <v>0</v>
      </c>
      <c r="G59" s="83">
        <f>VLOOKUP(TableQBRanks3040[[#This Row],[Player]],QB!B:O,6,FALSE)</f>
        <v>0</v>
      </c>
      <c r="H59" s="83">
        <f>VLOOKUP(TableQBRanks3040[[#This Row],[Player]],QB!B:O,7,FALSE)</f>
        <v>0</v>
      </c>
      <c r="I59" s="83">
        <f>VLOOKUP(TableQBRanks3040[[#This Row],[Player]],QB!B:O,8,FALSE)</f>
        <v>0</v>
      </c>
      <c r="J59" s="83">
        <f>VLOOKUP(TableQBRanks3040[[#This Row],[Player]],QB!B:O,9,FALSE)</f>
        <v>0</v>
      </c>
      <c r="K59" s="83">
        <f>VLOOKUP(TableQBRanks3040[[#This Row],[Player]],QB!B:O,10,FALSE)</f>
        <v>0</v>
      </c>
      <c r="L59" s="83">
        <f>VLOOKUP(TableQBRanks3040[[#This Row],[Player]],QB!B:O,11,FALSE)</f>
        <v>0</v>
      </c>
      <c r="M59" s="57">
        <f>VLOOKUP(TableQBRanks3040[[#This Row],[Player]],QB!B:O,13,FALSE)</f>
        <v>0</v>
      </c>
      <c r="N59" s="125">
        <f>IF(VLOOKUP(TableQBRanks3040[[#This Row],[RK]],'Ranks w Proj'!$A:$N,14,FALSE)&lt;0,0,VLOOKUP(TableQBRanks3040[[#This Row],[RK]],'Ranks w Proj'!$A:$N,14,FALSE))</f>
        <v>0</v>
      </c>
      <c r="P59">
        <v>58</v>
      </c>
      <c r="Q59" t="str">
        <f>VLOOKUP(TableRBRanks3141[[#This Row],[RK]],Rankings!A:T,8,FALSE)</f>
        <v>Braelon Allen</v>
      </c>
      <c r="R59" t="str">
        <f>IFERROR(INDEX(TableRBCalcPts[TM],MATCH(TableRBRanks3141[[#This Row],[Player]],TableRBCalcPts[PLAYER],0)),"")</f>
        <v>NYJ</v>
      </c>
      <c r="S59">
        <f>IFERROR(INDEX(TableRBCalcPts[BYE],MATCH(TableRBRanks3141[[#This Row],[Player]],TableRBCalcPts[PLAYER],0)),"")</f>
        <v>12</v>
      </c>
      <c r="T59" s="83">
        <f>VLOOKUP(TableRBRanks3141[[#This Row],[Player]],RB!B:O,4,FALSE)</f>
        <v>97.536577600000015</v>
      </c>
      <c r="U59" s="83">
        <f>VLOOKUP(TableRBRanks3141[[#This Row],[Player]],RB!B:O,5,FALSE)</f>
        <v>416.60229871605276</v>
      </c>
      <c r="V59" s="83">
        <f>VLOOKUP(TableRBRanks3141[[#This Row],[Player]],RB!B:O,6,FALSE)</f>
        <v>3.6088533712000004</v>
      </c>
      <c r="W59" s="83">
        <f>VLOOKUP(TableRBRanks3141[[#This Row],[Player]],RB!B:O,7,FALSE)</f>
        <v>5.9251191999999984</v>
      </c>
      <c r="X59" s="83">
        <f>VLOOKUP(TableRBRanks3141[[#This Row],[Player]],RB!B:O,8,FALSE)</f>
        <v>4.337187254399999</v>
      </c>
      <c r="Y59" s="83">
        <f>VLOOKUP(TableRBRanks3141[[#This Row],[Player]],RB!B:O,9,FALSE)</f>
        <v>33.910559698509715</v>
      </c>
      <c r="Z59" s="83">
        <f>VLOOKUP(TableRBRanks3141[[#This Row],[Player]],RB!B:O,10,FALSE)</f>
        <v>0.22999599728590189</v>
      </c>
      <c r="AA59" s="57">
        <f>VLOOKUP(TableRBRanks3141[[#This Row],[Player]],RB!B:O,14,FALSE)</f>
        <v>70.252975679571662</v>
      </c>
      <c r="AB59" s="125">
        <f>IF(VLOOKUP(TableRBRanks3141[[#This Row],[RK]],'Ranks w Proj'!$P:$AB,13,FALSE)&lt;0,0,VLOOKUP(TableRBRanks3141[[#This Row],[RK]],'Ranks w Proj'!$P:$AB,13,FALSE))</f>
        <v>0</v>
      </c>
      <c r="AD59">
        <v>58</v>
      </c>
      <c r="AE59" t="str">
        <f>VLOOKUP(TableWRRanks3242[[#This Row],[RK]],Rankings!A:T,13,FALSE)</f>
        <v>Brandin Cooks</v>
      </c>
      <c r="AF59" t="str">
        <f>IFERROR(INDEX(TableWRCalcPts[TM],MATCH(TableWRRanks3242[[#This Row],[Player]],TableWRCalcPts[PLAYER],0)),"")</f>
        <v>DAL</v>
      </c>
      <c r="AG59">
        <f>IFERROR(INDEX(TableWRCalcPts[BYE],MATCH(TableWRRanks3242[[#This Row],[Player]],TableWRCalcPts[PLAYER],0)),"")</f>
        <v>7</v>
      </c>
      <c r="AH59" s="83">
        <f>VLOOKUP(TableWRRanks3242[[#This Row],[Player]],WR!B:O,4,FALSE)</f>
        <v>0</v>
      </c>
      <c r="AI59" s="83">
        <f>VLOOKUP(TableWRRanks3242[[#This Row],[Player]],WR!B:O,5,FALSE)</f>
        <v>0</v>
      </c>
      <c r="AJ59" s="83">
        <f>VLOOKUP(TableWRRanks3242[[#This Row],[Player]],WR!B:O,6,FALSE)</f>
        <v>98.183022839999964</v>
      </c>
      <c r="AK59" s="83">
        <f>VLOOKUP(TableWRRanks3242[[#This Row],[Player]],WR!B:O,7,FALSE)</f>
        <v>64.408062983039997</v>
      </c>
      <c r="AL59" s="83">
        <f>VLOOKUP(TableWRRanks3242[[#This Row],[Player]],WR!B:O,8,FALSE)</f>
        <v>774.18491705614076</v>
      </c>
      <c r="AM59" s="83">
        <f>VLOOKUP(TableWRRanks3242[[#This Row],[Player]],WR!B:O,9,FALSE)</f>
        <v>5.6035014795244793</v>
      </c>
      <c r="AN59" s="57">
        <f>VLOOKUP(TableWRRanks3242[[#This Row],[Player]],WR!B:O,13,FALSE)</f>
        <v>143.24353207428095</v>
      </c>
      <c r="AO59" s="125">
        <f>IF(VLOOKUP(TableWRRanks3242[[#This Row],[RK]],'Ranks w Proj'!AD:AO,12,FALSE)&lt;0,0,VLOOKUP(TableWRRanks3242[[#This Row],[RK]],'Ranks w Proj'!AD:AO,12,FALSE))</f>
        <v>0</v>
      </c>
      <c r="AQ59">
        <v>58</v>
      </c>
      <c r="AR59">
        <f>VLOOKUP(TableTERanks3343[[#This Row],[RK]],Rankings!A:T,18,FALSE)</f>
        <v>0</v>
      </c>
      <c r="AS59" t="str">
        <f>IFERROR(INDEX(TableTECalcPts[TM],MATCH(TableTERanks3343[[#This Row],[Player]],TableTECalcPts[PLAYER],0)),"")</f>
        <v/>
      </c>
      <c r="AT59" t="str">
        <f>IFERROR(INDEX(TableTECalcPts[BYE],MATCH(TableTERanks3343[[#This Row],[Player]],TableTECalcPts[PLAYER],0)),"")</f>
        <v/>
      </c>
      <c r="AU59" s="83">
        <f>VLOOKUP(TableTERanks3343[[#This Row],[Player]],TE!B:O,4,FALSE)</f>
        <v>0</v>
      </c>
      <c r="AV59" s="83">
        <f>VLOOKUP(TableTERanks3343[[#This Row],[Player]],TE!B:O,5,FALSE)</f>
        <v>0</v>
      </c>
      <c r="AW59" s="83">
        <f>VLOOKUP(TableTERanks3343[[#This Row],[Player]],TE!B:O,6,FALSE)</f>
        <v>0</v>
      </c>
      <c r="AX59" s="83">
        <f>VLOOKUP(TableTERanks3343[[#This Row],[Player]],TE!B:O,7,FALSE)</f>
        <v>0</v>
      </c>
      <c r="AY59" s="57">
        <f>VLOOKUP(TableTERanks3343[[#This Row],[Player]],TE!B:O,11,FALSE)</f>
        <v>0</v>
      </c>
      <c r="AZ59" s="125">
        <f>IF(VLOOKUP(TableTERanks3343[[#This Row],[RK]],'Ranks w Proj'!AQ:AZ,10,FALSE)&lt;0,0,VLOOKUP(TableTERanks3343[[#This Row],[RK]],'Ranks w Proj'!AQ:AZ,10,FALSE))</f>
        <v>0</v>
      </c>
    </row>
    <row r="60" spans="1:52" x14ac:dyDescent="0.2">
      <c r="A60">
        <v>59</v>
      </c>
      <c r="B60">
        <f>VLOOKUP(TableQBRanks3040[[#This Row],[RK]],Rankings!A:T,3,FALSE)</f>
        <v>0</v>
      </c>
      <c r="C60" t="str">
        <f>IFERROR(INDEX(TableQBCalcPts[TM],MATCH(TableQBRanks3040[[#This Row],[Player]],TableQBCalcPts[PLAYER],0)),"")</f>
        <v/>
      </c>
      <c r="D60" t="str">
        <f>IFERROR(INDEX(TableQBCalcPts[BYE],MATCH(TableQBRanks3040[[#This Row],[Player]],TableQBCalcPts[PLAYER],0)),"")</f>
        <v/>
      </c>
      <c r="E60" s="83">
        <f>VLOOKUP(TableQBRanks3040[[#This Row],[Player]],QB!B:O,4,FALSE)</f>
        <v>0</v>
      </c>
      <c r="F60" s="83">
        <f>VLOOKUP(TableQBRanks3040[[#This Row],[Player]],QB!B:O,5,FALSE)</f>
        <v>0</v>
      </c>
      <c r="G60" s="83">
        <f>VLOOKUP(TableQBRanks3040[[#This Row],[Player]],QB!B:O,6,FALSE)</f>
        <v>0</v>
      </c>
      <c r="H60" s="83">
        <f>VLOOKUP(TableQBRanks3040[[#This Row],[Player]],QB!B:O,7,FALSE)</f>
        <v>0</v>
      </c>
      <c r="I60" s="83">
        <f>VLOOKUP(TableQBRanks3040[[#This Row],[Player]],QB!B:O,8,FALSE)</f>
        <v>0</v>
      </c>
      <c r="J60" s="83">
        <f>VLOOKUP(TableQBRanks3040[[#This Row],[Player]],QB!B:O,9,FALSE)</f>
        <v>0</v>
      </c>
      <c r="K60" s="83">
        <f>VLOOKUP(TableQBRanks3040[[#This Row],[Player]],QB!B:O,10,FALSE)</f>
        <v>0</v>
      </c>
      <c r="L60" s="83">
        <f>VLOOKUP(TableQBRanks3040[[#This Row],[Player]],QB!B:O,11,FALSE)</f>
        <v>0</v>
      </c>
      <c r="M60" s="57">
        <f>VLOOKUP(TableQBRanks3040[[#This Row],[Player]],QB!B:O,13,FALSE)</f>
        <v>0</v>
      </c>
      <c r="N60" s="125">
        <f>IF(VLOOKUP(TableQBRanks3040[[#This Row],[RK]],'Ranks w Proj'!$A:$N,14,FALSE)&lt;0,0,VLOOKUP(TableQBRanks3040[[#This Row],[RK]],'Ranks w Proj'!$A:$N,14,FALSE))</f>
        <v>0</v>
      </c>
      <c r="P60">
        <v>59</v>
      </c>
      <c r="Q60" t="str">
        <f>VLOOKUP(TableRBRanks3141[[#This Row],[RK]],Rankings!A:T,8,FALSE)</f>
        <v>Roschon Johnson</v>
      </c>
      <c r="R60" t="str">
        <f>IFERROR(INDEX(TableRBCalcPts[TM],MATCH(TableRBRanks3141[[#This Row],[Player]],TableRBCalcPts[PLAYER],0)),"")</f>
        <v>CHI</v>
      </c>
      <c r="S60">
        <f>IFERROR(INDEX(TableRBCalcPts[BYE],MATCH(TableRBRanks3141[[#This Row],[Player]],TableRBCalcPts[PLAYER],0)),"")</f>
        <v>7</v>
      </c>
      <c r="T60" s="83">
        <f>VLOOKUP(TableRBRanks3141[[#This Row],[Player]],RB!B:O,4,FALSE)</f>
        <v>81.223450559999989</v>
      </c>
      <c r="U60" s="83">
        <f>VLOOKUP(TableRBRanks3141[[#This Row],[Player]],RB!B:O,5,FALSE)</f>
        <v>357.38318246399996</v>
      </c>
      <c r="V60" s="83">
        <f>VLOOKUP(TableRBRanks3141[[#This Row],[Player]],RB!B:O,6,FALSE)</f>
        <v>2.8428207695999999</v>
      </c>
      <c r="W60" s="83">
        <f>VLOOKUP(TableRBRanks3141[[#This Row],[Player]],RB!B:O,7,FALSE)</f>
        <v>28.340423999999999</v>
      </c>
      <c r="X60" s="83">
        <f>VLOOKUP(TableRBRanks3141[[#This Row],[Player]],RB!B:O,8,FALSE)</f>
        <v>20.971913759999996</v>
      </c>
      <c r="Y60" s="83">
        <f>VLOOKUP(TableRBRanks3141[[#This Row],[Player]],RB!B:O,9,FALSE)</f>
        <v>151.20749820959998</v>
      </c>
      <c r="Z60" s="83">
        <f>VLOOKUP(TableRBRanks3141[[#This Row],[Player]],RB!B:O,10,FALSE)</f>
        <v>0.7652672484924139</v>
      </c>
      <c r="AA60" s="57">
        <f>VLOOKUP(TableRBRanks3141[[#This Row],[Player]],RB!B:O,14,FALSE)</f>
        <v>82.993553055914475</v>
      </c>
      <c r="AB60" s="125">
        <f>IF(VLOOKUP(TableRBRanks3141[[#This Row],[RK]],'Ranks w Proj'!$P:$AB,13,FALSE)&lt;0,0,VLOOKUP(TableRBRanks3141[[#This Row],[RK]],'Ranks w Proj'!$P:$AB,13,FALSE))</f>
        <v>0</v>
      </c>
      <c r="AD60">
        <v>59</v>
      </c>
      <c r="AE60" t="str">
        <f>VLOOKUP(TableWRRanks3242[[#This Row],[RK]],Rankings!A:T,13,FALSE)</f>
        <v>Rashid Shaheed</v>
      </c>
      <c r="AF60" t="str">
        <f>IFERROR(INDEX(TableWRCalcPts[TM],MATCH(TableWRRanks3242[[#This Row],[Player]],TableWRCalcPts[PLAYER],0)),"")</f>
        <v>NO</v>
      </c>
      <c r="AG60">
        <f>IFERROR(INDEX(TableWRCalcPts[BYE],MATCH(TableWRRanks3242[[#This Row],[Player]],TableWRCalcPts[PLAYER],0)),"")</f>
        <v>12</v>
      </c>
      <c r="AH60" s="83">
        <f>VLOOKUP(TableWRRanks3242[[#This Row],[Player]],WR!B:O,4,FALSE)</f>
        <v>0</v>
      </c>
      <c r="AI60" s="83">
        <f>VLOOKUP(TableWRRanks3242[[#This Row],[Player]],WR!B:O,5,FALSE)</f>
        <v>0</v>
      </c>
      <c r="AJ60" s="83">
        <f>VLOOKUP(TableWRRanks3242[[#This Row],[Player]],WR!B:O,6,FALSE)</f>
        <v>99.583597405599974</v>
      </c>
      <c r="AK60" s="83">
        <f>VLOOKUP(TableWRRanks3242[[#This Row],[Player]],WR!B:O,7,FALSE)</f>
        <v>60.945161612227182</v>
      </c>
      <c r="AL60" s="83">
        <f>VLOOKUP(TableWRRanks3242[[#This Row],[Player]],WR!B:O,8,FALSE)</f>
        <v>862.98348842913686</v>
      </c>
      <c r="AM60" s="83">
        <f>VLOOKUP(TableWRRanks3242[[#This Row],[Player]],WR!B:O,9,FALSE)</f>
        <v>4.9733005590957413</v>
      </c>
      <c r="AN60" s="57">
        <f>VLOOKUP(TableWRRanks3242[[#This Row],[Player]],WR!B:O,13,FALSE)</f>
        <v>146.61073300360175</v>
      </c>
      <c r="AO60" s="125">
        <f>IF(VLOOKUP(TableWRRanks3242[[#This Row],[RK]],'Ranks w Proj'!AD:AO,12,FALSE)&lt;0,0,VLOOKUP(TableWRRanks3242[[#This Row],[RK]],'Ranks w Proj'!AD:AO,12,FALSE))</f>
        <v>0</v>
      </c>
      <c r="AQ60">
        <v>59</v>
      </c>
      <c r="AR60">
        <f>VLOOKUP(TableTERanks3343[[#This Row],[RK]],Rankings!A:T,18,FALSE)</f>
        <v>0</v>
      </c>
      <c r="AS60" t="str">
        <f>IFERROR(INDEX(TableTECalcPts[TM],MATCH(TableTERanks3343[[#This Row],[Player]],TableTECalcPts[PLAYER],0)),"")</f>
        <v/>
      </c>
      <c r="AT60" t="str">
        <f>IFERROR(INDEX(TableTECalcPts[BYE],MATCH(TableTERanks3343[[#This Row],[Player]],TableTECalcPts[PLAYER],0)),"")</f>
        <v/>
      </c>
      <c r="AU60" s="83">
        <f>VLOOKUP(TableTERanks3343[[#This Row],[Player]],TE!B:O,4,FALSE)</f>
        <v>0</v>
      </c>
      <c r="AV60" s="83">
        <f>VLOOKUP(TableTERanks3343[[#This Row],[Player]],TE!B:O,5,FALSE)</f>
        <v>0</v>
      </c>
      <c r="AW60" s="83">
        <f>VLOOKUP(TableTERanks3343[[#This Row],[Player]],TE!B:O,6,FALSE)</f>
        <v>0</v>
      </c>
      <c r="AX60" s="83">
        <f>VLOOKUP(TableTERanks3343[[#This Row],[Player]],TE!B:O,7,FALSE)</f>
        <v>0</v>
      </c>
      <c r="AY60" s="57">
        <f>VLOOKUP(TableTERanks3343[[#This Row],[Player]],TE!B:O,11,FALSE)</f>
        <v>0</v>
      </c>
      <c r="AZ60" s="125">
        <f>IF(VLOOKUP(TableTERanks3343[[#This Row],[RK]],'Ranks w Proj'!AQ:AZ,10,FALSE)&lt;0,0,VLOOKUP(TableTERanks3343[[#This Row],[RK]],'Ranks w Proj'!AQ:AZ,10,FALSE))</f>
        <v>0</v>
      </c>
    </row>
    <row r="61" spans="1:52" x14ac:dyDescent="0.2">
      <c r="A61">
        <v>60</v>
      </c>
      <c r="B61">
        <f>VLOOKUP(TableQBRanks3040[[#This Row],[RK]],Rankings!A:T,3,FALSE)</f>
        <v>0</v>
      </c>
      <c r="C61" t="str">
        <f>IFERROR(INDEX(TableQBCalcPts[TM],MATCH(TableQBRanks3040[[#This Row],[Player]],TableQBCalcPts[PLAYER],0)),"")</f>
        <v/>
      </c>
      <c r="D61" t="str">
        <f>IFERROR(INDEX(TableQBCalcPts[BYE],MATCH(TableQBRanks3040[[#This Row],[Player]],TableQBCalcPts[PLAYER],0)),"")</f>
        <v/>
      </c>
      <c r="E61" s="83">
        <f>VLOOKUP(TableQBRanks3040[[#This Row],[Player]],QB!B:O,4,FALSE)</f>
        <v>0</v>
      </c>
      <c r="F61" s="83">
        <f>VLOOKUP(TableQBRanks3040[[#This Row],[Player]],QB!B:O,5,FALSE)</f>
        <v>0</v>
      </c>
      <c r="G61" s="83">
        <f>VLOOKUP(TableQBRanks3040[[#This Row],[Player]],QB!B:O,6,FALSE)</f>
        <v>0</v>
      </c>
      <c r="H61" s="83">
        <f>VLOOKUP(TableQBRanks3040[[#This Row],[Player]],QB!B:O,7,FALSE)</f>
        <v>0</v>
      </c>
      <c r="I61" s="83">
        <f>VLOOKUP(TableQBRanks3040[[#This Row],[Player]],QB!B:O,8,FALSE)</f>
        <v>0</v>
      </c>
      <c r="J61" s="83">
        <f>VLOOKUP(TableQBRanks3040[[#This Row],[Player]],QB!B:O,9,FALSE)</f>
        <v>0</v>
      </c>
      <c r="K61" s="83">
        <f>VLOOKUP(TableQBRanks3040[[#This Row],[Player]],QB!B:O,10,FALSE)</f>
        <v>0</v>
      </c>
      <c r="L61" s="83">
        <f>VLOOKUP(TableQBRanks3040[[#This Row],[Player]],QB!B:O,11,FALSE)</f>
        <v>0</v>
      </c>
      <c r="M61" s="57">
        <f>VLOOKUP(TableQBRanks3040[[#This Row],[Player]],QB!B:O,13,FALSE)</f>
        <v>0</v>
      </c>
      <c r="N61" s="125">
        <f>IF(VLOOKUP(TableQBRanks3040[[#This Row],[RK]],'Ranks w Proj'!$A:$N,14,FALSE)&lt;0,0,VLOOKUP(TableQBRanks3040[[#This Row],[RK]],'Ranks w Proj'!$A:$N,14,FALSE))</f>
        <v>0</v>
      </c>
      <c r="P61">
        <v>60</v>
      </c>
      <c r="Q61" t="str">
        <f>VLOOKUP(TableRBRanks3141[[#This Row],[RK]],Rankings!A:T,8,FALSE)</f>
        <v>Alexander Mattison</v>
      </c>
      <c r="R61" t="str">
        <f>IFERROR(INDEX(TableRBCalcPts[TM],MATCH(TableRBRanks3141[[#This Row],[Player]],TableRBCalcPts[PLAYER],0)),"")</f>
        <v>LV</v>
      </c>
      <c r="S61">
        <f>IFERROR(INDEX(TableRBCalcPts[BYE],MATCH(TableRBRanks3141[[#This Row],[Player]],TableRBCalcPts[PLAYER],0)),"")</f>
        <v>10</v>
      </c>
      <c r="T61" s="83">
        <f>VLOOKUP(TableRBRanks3141[[#This Row],[Player]],RB!B:O,4,FALSE)</f>
        <v>97.034700000000015</v>
      </c>
      <c r="U61" s="83">
        <f>VLOOKUP(TableRBRanks3141[[#This Row],[Player]],RB!B:O,5,FALSE)</f>
        <v>384.91243466048115</v>
      </c>
      <c r="V61" s="83">
        <f>VLOOKUP(TableRBRanks3141[[#This Row],[Player]],RB!B:O,6,FALSE)</f>
        <v>2.6199369000000003</v>
      </c>
      <c r="W61" s="83">
        <f>VLOOKUP(TableRBRanks3141[[#This Row],[Player]],RB!B:O,7,FALSE)</f>
        <v>29.130500000000001</v>
      </c>
      <c r="X61" s="83">
        <f>VLOOKUP(TableRBRanks3141[[#This Row],[Player]],RB!B:O,8,FALSE)</f>
        <v>20.449611000000008</v>
      </c>
      <c r="Y61" s="83">
        <f>VLOOKUP(TableRBRanks3141[[#This Row],[Player]],RB!B:O,9,FALSE)</f>
        <v>142.84275470573382</v>
      </c>
      <c r="Z61" s="83">
        <f>VLOOKUP(TableRBRanks3141[[#This Row],[Player]],RB!B:O,10,FALSE)</f>
        <v>0.90727212057443829</v>
      </c>
      <c r="AA61" s="57">
        <f>VLOOKUP(TableRBRanks3141[[#This Row],[Player]],RB!B:O,14,FALSE)</f>
        <v>84.163578560068146</v>
      </c>
      <c r="AB61" s="125">
        <f>IF(VLOOKUP(TableRBRanks3141[[#This Row],[RK]],'Ranks w Proj'!$P:$AB,13,FALSE)&lt;0,0,VLOOKUP(TableRBRanks3141[[#This Row],[RK]],'Ranks w Proj'!$P:$AB,13,FALSE))</f>
        <v>0</v>
      </c>
      <c r="AD61">
        <v>60</v>
      </c>
      <c r="AE61" t="str">
        <f>VLOOKUP(TableWRRanks3242[[#This Row],[RK]],Rankings!A:T,13,FALSE)</f>
        <v>Darnell Mooney</v>
      </c>
      <c r="AF61" t="str">
        <f>IFERROR(INDEX(TableWRCalcPts[TM],MATCH(TableWRRanks3242[[#This Row],[Player]],TableWRCalcPts[PLAYER],0)),"")</f>
        <v>ATL</v>
      </c>
      <c r="AG61">
        <f>IFERROR(INDEX(TableWRCalcPts[BYE],MATCH(TableWRRanks3242[[#This Row],[Player]],TableWRCalcPts[PLAYER],0)),"")</f>
        <v>12</v>
      </c>
      <c r="AH61" s="83">
        <f>VLOOKUP(TableWRRanks3242[[#This Row],[Player]],WR!B:O,4,FALSE)</f>
        <v>0</v>
      </c>
      <c r="AI61" s="83">
        <f>VLOOKUP(TableWRRanks3242[[#This Row],[Player]],WR!B:O,5,FALSE)</f>
        <v>0</v>
      </c>
      <c r="AJ61" s="83">
        <f>VLOOKUP(TableWRRanks3242[[#This Row],[Player]],WR!B:O,6,FALSE)</f>
        <v>98.923144319999992</v>
      </c>
      <c r="AK61" s="83">
        <f>VLOOKUP(TableWRRanks3242[[#This Row],[Player]],WR!B:O,7,FALSE)</f>
        <v>59.74957916927999</v>
      </c>
      <c r="AL61" s="83">
        <f>VLOOKUP(TableWRRanks3242[[#This Row],[Player]],WR!B:O,8,FALSE)</f>
        <v>827.53167149452781</v>
      </c>
      <c r="AM61" s="83">
        <f>VLOOKUP(TableWRRanks3242[[#This Row],[Player]],WR!B:O,9,FALSE)</f>
        <v>5.7651925180693366</v>
      </c>
      <c r="AN61" s="57">
        <f>VLOOKUP(TableWRRanks3242[[#This Row],[Player]],WR!B:O,13,FALSE)</f>
        <v>147.21911184250882</v>
      </c>
      <c r="AO61" s="125">
        <f>IF(VLOOKUP(TableWRRanks3242[[#This Row],[RK]],'Ranks w Proj'!AD:AO,12,FALSE)&lt;0,0,VLOOKUP(TableWRRanks3242[[#This Row],[RK]],'Ranks w Proj'!AD:AO,12,FALSE))</f>
        <v>0</v>
      </c>
      <c r="AQ61">
        <v>60</v>
      </c>
      <c r="AR61">
        <f>VLOOKUP(TableTERanks3343[[#This Row],[RK]],Rankings!A:T,18,FALSE)</f>
        <v>0</v>
      </c>
      <c r="AS61" t="str">
        <f>IFERROR(INDEX(TableTECalcPts[TM],MATCH(TableTERanks3343[[#This Row],[Player]],TableTECalcPts[PLAYER],0)),"")</f>
        <v/>
      </c>
      <c r="AT61" t="str">
        <f>IFERROR(INDEX(TableTECalcPts[BYE],MATCH(TableTERanks3343[[#This Row],[Player]],TableTECalcPts[PLAYER],0)),"")</f>
        <v/>
      </c>
      <c r="AU61" s="83">
        <f>VLOOKUP(TableTERanks3343[[#This Row],[Player]],TE!B:O,4,FALSE)</f>
        <v>0</v>
      </c>
      <c r="AV61" s="83">
        <f>VLOOKUP(TableTERanks3343[[#This Row],[Player]],TE!B:O,5,FALSE)</f>
        <v>0</v>
      </c>
      <c r="AW61" s="83">
        <f>VLOOKUP(TableTERanks3343[[#This Row],[Player]],TE!B:O,6,FALSE)</f>
        <v>0</v>
      </c>
      <c r="AX61" s="83">
        <f>VLOOKUP(TableTERanks3343[[#This Row],[Player]],TE!B:O,7,FALSE)</f>
        <v>0</v>
      </c>
      <c r="AY61" s="57">
        <f>VLOOKUP(TableTERanks3343[[#This Row],[Player]],TE!B:O,11,FALSE)</f>
        <v>0</v>
      </c>
      <c r="AZ61" s="125">
        <f>IF(VLOOKUP(TableTERanks3343[[#This Row],[RK]],'Ranks w Proj'!AQ:AZ,10,FALSE)&lt;0,0,VLOOKUP(TableTERanks3343[[#This Row],[RK]],'Ranks w Proj'!AQ:AZ,10,FALSE))</f>
        <v>0</v>
      </c>
    </row>
    <row r="62" spans="1:52" x14ac:dyDescent="0.2">
      <c r="A62">
        <v>61</v>
      </c>
      <c r="B62">
        <f>VLOOKUP(TableQBRanks3040[[#This Row],[RK]],Rankings!A:T,3,FALSE)</f>
        <v>0</v>
      </c>
      <c r="C62" t="str">
        <f>IFERROR(INDEX(TableQBCalcPts[TM],MATCH(TableQBRanks3040[[#This Row],[Player]],TableQBCalcPts[PLAYER],0)),"")</f>
        <v/>
      </c>
      <c r="D62" t="str">
        <f>IFERROR(INDEX(TableQBCalcPts[BYE],MATCH(TableQBRanks3040[[#This Row],[Player]],TableQBCalcPts[PLAYER],0)),"")</f>
        <v/>
      </c>
      <c r="E62" s="83">
        <f>VLOOKUP(TableQBRanks3040[[#This Row],[Player]],QB!B:O,4,FALSE)</f>
        <v>0</v>
      </c>
      <c r="F62" s="83">
        <f>VLOOKUP(TableQBRanks3040[[#This Row],[Player]],QB!B:O,5,FALSE)</f>
        <v>0</v>
      </c>
      <c r="G62" s="83">
        <f>VLOOKUP(TableQBRanks3040[[#This Row],[Player]],QB!B:O,6,FALSE)</f>
        <v>0</v>
      </c>
      <c r="H62" s="83">
        <f>VLOOKUP(TableQBRanks3040[[#This Row],[Player]],QB!B:O,7,FALSE)</f>
        <v>0</v>
      </c>
      <c r="I62" s="83">
        <f>VLOOKUP(TableQBRanks3040[[#This Row],[Player]],QB!B:O,8,FALSE)</f>
        <v>0</v>
      </c>
      <c r="J62" s="83">
        <f>VLOOKUP(TableQBRanks3040[[#This Row],[Player]],QB!B:O,9,FALSE)</f>
        <v>0</v>
      </c>
      <c r="K62" s="83">
        <f>VLOOKUP(TableQBRanks3040[[#This Row],[Player]],QB!B:O,10,FALSE)</f>
        <v>0</v>
      </c>
      <c r="L62" s="83">
        <f>VLOOKUP(TableQBRanks3040[[#This Row],[Player]],QB!B:O,11,FALSE)</f>
        <v>0</v>
      </c>
      <c r="M62" s="57">
        <f>VLOOKUP(TableQBRanks3040[[#This Row],[Player]],QB!B:O,13,FALSE)</f>
        <v>0</v>
      </c>
      <c r="N62" s="125">
        <f>IF(VLOOKUP(TableQBRanks3040[[#This Row],[RK]],'Ranks w Proj'!$A:$N,14,FALSE)&lt;0,0,VLOOKUP(TableQBRanks3040[[#This Row],[RK]],'Ranks w Proj'!$A:$N,14,FALSE))</f>
        <v>0</v>
      </c>
      <c r="P62">
        <v>61</v>
      </c>
      <c r="Q62" t="str">
        <f>VLOOKUP(TableRBRanks3141[[#This Row],[RK]],Rankings!A:T,8,FALSE)</f>
        <v>Jamaal Williams</v>
      </c>
      <c r="R62" t="str">
        <f>IFERROR(INDEX(TableRBCalcPts[TM],MATCH(TableRBRanks3141[[#This Row],[Player]],TableRBCalcPts[PLAYER],0)),"")</f>
        <v>NO</v>
      </c>
      <c r="S62">
        <f>IFERROR(INDEX(TableRBCalcPts[BYE],MATCH(TableRBRanks3141[[#This Row],[Player]],TableRBCalcPts[PLAYER],0)),"")</f>
        <v>12</v>
      </c>
      <c r="T62" s="83">
        <f>VLOOKUP(TableRBRanks3141[[#This Row],[Player]],RB!B:O,4,FALSE)</f>
        <v>125.3375508</v>
      </c>
      <c r="U62" s="83">
        <f>VLOOKUP(TableRBRanks3141[[#This Row],[Player]],RB!B:O,5,FALSE)</f>
        <v>501.35020320000001</v>
      </c>
      <c r="V62" s="83">
        <f>VLOOKUP(TableRBRanks3141[[#This Row],[Player]],RB!B:O,6,FALSE)</f>
        <v>3.8854640748000002</v>
      </c>
      <c r="W62" s="83">
        <f>VLOOKUP(TableRBRanks3141[[#This Row],[Player]],RB!B:O,7,FALSE)</f>
        <v>8.3449941959999983</v>
      </c>
      <c r="X62" s="83">
        <f>VLOOKUP(TableRBRanks3141[[#This Row],[Player]],RB!B:O,8,FALSE)</f>
        <v>6.6175803974279992</v>
      </c>
      <c r="Y62" s="83">
        <f>VLOOKUP(TableRBRanks3141[[#This Row],[Player]],RB!B:O,9,FALSE)</f>
        <v>39.308427560722315</v>
      </c>
      <c r="Z62" s="83">
        <f>VLOOKUP(TableRBRanks3141[[#This Row],[Player]],RB!B:O,10,FALSE)</f>
        <v>0.19852741192283996</v>
      </c>
      <c r="AA62" s="57">
        <f>VLOOKUP(TableRBRanks3141[[#This Row],[Player]],RB!B:O,14,FALSE)</f>
        <v>81.878602195123278</v>
      </c>
      <c r="AB62" s="125">
        <f>IF(VLOOKUP(TableRBRanks3141[[#This Row],[RK]],'Ranks w Proj'!$P:$AB,13,FALSE)&lt;0,0,VLOOKUP(TableRBRanks3141[[#This Row],[RK]],'Ranks w Proj'!$P:$AB,13,FALSE))</f>
        <v>0</v>
      </c>
      <c r="AD62">
        <v>61</v>
      </c>
      <c r="AE62" t="str">
        <f>VLOOKUP(TableWRRanks3242[[#This Row],[RK]],Rankings!A:T,13,FALSE)</f>
        <v>Gabe Davis</v>
      </c>
      <c r="AF62" t="str">
        <f>IFERROR(INDEX(TableWRCalcPts[TM],MATCH(TableWRRanks3242[[#This Row],[Player]],TableWRCalcPts[PLAYER],0)),"")</f>
        <v>JAX</v>
      </c>
      <c r="AG62">
        <f>IFERROR(INDEX(TableWRCalcPts[BYE],MATCH(TableWRRanks3242[[#This Row],[Player]],TableWRCalcPts[PLAYER],0)),"")</f>
        <v>12</v>
      </c>
      <c r="AH62" s="83">
        <f>VLOOKUP(TableWRRanks3242[[#This Row],[Player]],WR!B:O,4,FALSE)</f>
        <v>0</v>
      </c>
      <c r="AI62" s="83">
        <f>VLOOKUP(TableWRRanks3242[[#This Row],[Player]],WR!B:O,5,FALSE)</f>
        <v>0</v>
      </c>
      <c r="AJ62" s="83">
        <f>VLOOKUP(TableWRRanks3242[[#This Row],[Player]],WR!B:O,6,FALSE)</f>
        <v>91.533238719999986</v>
      </c>
      <c r="AK62" s="83">
        <f>VLOOKUP(TableWRRanks3242[[#This Row],[Player]],WR!B:O,7,FALSE)</f>
        <v>53.089278457599988</v>
      </c>
      <c r="AL62" s="83">
        <f>VLOOKUP(TableWRRanks3242[[#This Row],[Player]],WR!B:O,8,FALSE)</f>
        <v>743.24989840639978</v>
      </c>
      <c r="AM62" s="83">
        <f>VLOOKUP(TableWRRanks3242[[#This Row],[Player]],WR!B:O,9,FALSE)</f>
        <v>5.2558385673023995</v>
      </c>
      <c r="AN62" s="57">
        <f>VLOOKUP(TableWRRanks3242[[#This Row],[Player]],WR!B:O,13,FALSE)</f>
        <v>132.40466047325438</v>
      </c>
      <c r="AO62" s="125">
        <f>IF(VLOOKUP(TableWRRanks3242[[#This Row],[RK]],'Ranks w Proj'!AD:AO,12,FALSE)&lt;0,0,VLOOKUP(TableWRRanks3242[[#This Row],[RK]],'Ranks w Proj'!AD:AO,12,FALSE))</f>
        <v>0</v>
      </c>
      <c r="AQ62">
        <v>61</v>
      </c>
      <c r="AR62">
        <f>VLOOKUP(TableTERanks3343[[#This Row],[RK]],Rankings!A:T,18,FALSE)</f>
        <v>0</v>
      </c>
      <c r="AS62" t="str">
        <f>IFERROR(INDEX(TableTECalcPts[TM],MATCH(TableTERanks3343[[#This Row],[Player]],TableTECalcPts[PLAYER],0)),"")</f>
        <v/>
      </c>
      <c r="AT62" t="str">
        <f>IFERROR(INDEX(TableTECalcPts[BYE],MATCH(TableTERanks3343[[#This Row],[Player]],TableTECalcPts[PLAYER],0)),"")</f>
        <v/>
      </c>
      <c r="AU62" s="83">
        <f>VLOOKUP(TableTERanks3343[[#This Row],[Player]],TE!B:O,4,FALSE)</f>
        <v>0</v>
      </c>
      <c r="AV62" s="83">
        <f>VLOOKUP(TableTERanks3343[[#This Row],[Player]],TE!B:O,5,FALSE)</f>
        <v>0</v>
      </c>
      <c r="AW62" s="83">
        <f>VLOOKUP(TableTERanks3343[[#This Row],[Player]],TE!B:O,6,FALSE)</f>
        <v>0</v>
      </c>
      <c r="AX62" s="83">
        <f>VLOOKUP(TableTERanks3343[[#This Row],[Player]],TE!B:O,7,FALSE)</f>
        <v>0</v>
      </c>
      <c r="AY62" s="57">
        <f>VLOOKUP(TableTERanks3343[[#This Row],[Player]],TE!B:O,11,FALSE)</f>
        <v>0</v>
      </c>
      <c r="AZ62" s="125">
        <f>IF(VLOOKUP(TableTERanks3343[[#This Row],[RK]],'Ranks w Proj'!AQ:AZ,10,FALSE)&lt;0,0,VLOOKUP(TableTERanks3343[[#This Row],[RK]],'Ranks w Proj'!AQ:AZ,10,FALSE))</f>
        <v>0</v>
      </c>
    </row>
    <row r="63" spans="1:52" x14ac:dyDescent="0.2">
      <c r="A63">
        <v>62</v>
      </c>
      <c r="B63">
        <f>VLOOKUP(TableQBRanks3040[[#This Row],[RK]],Rankings!A:T,3,FALSE)</f>
        <v>0</v>
      </c>
      <c r="C63" t="str">
        <f>IFERROR(INDEX(TableQBCalcPts[TM],MATCH(TableQBRanks3040[[#This Row],[Player]],TableQBCalcPts[PLAYER],0)),"")</f>
        <v/>
      </c>
      <c r="D63" t="str">
        <f>IFERROR(INDEX(TableQBCalcPts[BYE],MATCH(TableQBRanks3040[[#This Row],[Player]],TableQBCalcPts[PLAYER],0)),"")</f>
        <v/>
      </c>
      <c r="E63" s="83">
        <f>VLOOKUP(TableQBRanks3040[[#This Row],[Player]],QB!B:O,4,FALSE)</f>
        <v>0</v>
      </c>
      <c r="F63" s="83">
        <f>VLOOKUP(TableQBRanks3040[[#This Row],[Player]],QB!B:O,5,FALSE)</f>
        <v>0</v>
      </c>
      <c r="G63" s="83">
        <f>VLOOKUP(TableQBRanks3040[[#This Row],[Player]],QB!B:O,6,FALSE)</f>
        <v>0</v>
      </c>
      <c r="H63" s="83">
        <f>VLOOKUP(TableQBRanks3040[[#This Row],[Player]],QB!B:O,7,FALSE)</f>
        <v>0</v>
      </c>
      <c r="I63" s="83">
        <f>VLOOKUP(TableQBRanks3040[[#This Row],[Player]],QB!B:O,8,FALSE)</f>
        <v>0</v>
      </c>
      <c r="J63" s="83">
        <f>VLOOKUP(TableQBRanks3040[[#This Row],[Player]],QB!B:O,9,FALSE)</f>
        <v>0</v>
      </c>
      <c r="K63" s="83">
        <f>VLOOKUP(TableQBRanks3040[[#This Row],[Player]],QB!B:O,10,FALSE)</f>
        <v>0</v>
      </c>
      <c r="L63" s="83">
        <f>VLOOKUP(TableQBRanks3040[[#This Row],[Player]],QB!B:O,11,FALSE)</f>
        <v>0</v>
      </c>
      <c r="M63" s="57">
        <f>VLOOKUP(TableQBRanks3040[[#This Row],[Player]],QB!B:O,13,FALSE)</f>
        <v>0</v>
      </c>
      <c r="N63" s="125">
        <f>IF(VLOOKUP(TableQBRanks3040[[#This Row],[RK]],'Ranks w Proj'!$A:$N,14,FALSE)&lt;0,0,VLOOKUP(TableQBRanks3040[[#This Row],[RK]],'Ranks w Proj'!$A:$N,14,FALSE))</f>
        <v>0</v>
      </c>
      <c r="P63">
        <v>62</v>
      </c>
      <c r="Q63" t="str">
        <f>VLOOKUP(TableRBRanks3141[[#This Row],[RK]],Rankings!A:T,8,FALSE)</f>
        <v>Audric Estime</v>
      </c>
      <c r="R63" t="str">
        <f>IFERROR(INDEX(TableRBCalcPts[TM],MATCH(TableRBRanks3141[[#This Row],[Player]],TableRBCalcPts[PLAYER],0)),"")</f>
        <v>DEN</v>
      </c>
      <c r="S63">
        <f>IFERROR(INDEX(TableRBCalcPts[BYE],MATCH(TableRBRanks3141[[#This Row],[Player]],TableRBCalcPts[PLAYER],0)),"")</f>
        <v>14</v>
      </c>
      <c r="T63" s="83">
        <f>VLOOKUP(TableRBRanks3141[[#This Row],[Player]],RB!B:O,4,FALSE)</f>
        <v>93.616758900000008</v>
      </c>
      <c r="U63" s="83">
        <f>VLOOKUP(TableRBRanks3141[[#This Row],[Player]],RB!B:O,5,FALSE)</f>
        <v>401.77053929659263</v>
      </c>
      <c r="V63" s="83">
        <f>VLOOKUP(TableRBRanks3141[[#This Row],[Player]],RB!B:O,6,FALSE)</f>
        <v>2.9957362848000004</v>
      </c>
      <c r="W63" s="83">
        <f>VLOOKUP(TableRBRanks3141[[#This Row],[Player]],RB!B:O,7,FALSE)</f>
        <v>6.3110670351758786</v>
      </c>
      <c r="X63" s="83">
        <f>VLOOKUP(TableRBRanks3141[[#This Row],[Player]],RB!B:O,8,FALSE)</f>
        <v>4.6070789356783921</v>
      </c>
      <c r="Y63" s="83">
        <f>VLOOKUP(TableRBRanks3141[[#This Row],[Player]],RB!B:O,9,FALSE)</f>
        <v>31.512419920040202</v>
      </c>
      <c r="Z63" s="83">
        <f>VLOOKUP(TableRBRanks3141[[#This Row],[Player]],RB!B:O,10,FALSE)</f>
        <v>0.11978405232763818</v>
      </c>
      <c r="AA63" s="57">
        <f>VLOOKUP(TableRBRanks3141[[#This Row],[Player]],RB!B:O,14,FALSE)</f>
        <v>64.324957412268304</v>
      </c>
      <c r="AB63" s="125">
        <f>IF(VLOOKUP(TableRBRanks3141[[#This Row],[RK]],'Ranks w Proj'!$P:$AB,13,FALSE)&lt;0,0,VLOOKUP(TableRBRanks3141[[#This Row],[RK]],'Ranks w Proj'!$P:$AB,13,FALSE))</f>
        <v>0</v>
      </c>
      <c r="AD63">
        <v>62</v>
      </c>
      <c r="AE63" t="str">
        <f>VLOOKUP(TableWRRanks3242[[#This Row],[RK]],Rankings!A:T,13,FALSE)</f>
        <v>Dyami Brown</v>
      </c>
      <c r="AF63" t="str">
        <f>IFERROR(INDEX(TableWRCalcPts[TM],MATCH(TableWRRanks3242[[#This Row],[Player]],TableWRCalcPts[PLAYER],0)),"")</f>
        <v>WSH</v>
      </c>
      <c r="AG63">
        <f>IFERROR(INDEX(TableWRCalcPts[BYE],MATCH(TableWRRanks3242[[#This Row],[Player]],TableWRCalcPts[PLAYER],0)),"")</f>
        <v>14</v>
      </c>
      <c r="AH63" s="83">
        <f>VLOOKUP(TableWRRanks3242[[#This Row],[Player]],WR!B:O,4,FALSE)</f>
        <v>0</v>
      </c>
      <c r="AI63" s="83">
        <f>VLOOKUP(TableWRRanks3242[[#This Row],[Player]],WR!B:O,5,FALSE)</f>
        <v>0</v>
      </c>
      <c r="AJ63" s="83">
        <f>VLOOKUP(TableWRRanks3242[[#This Row],[Player]],WR!B:O,6,FALSE)</f>
        <v>75.921344800000014</v>
      </c>
      <c r="AK63" s="83">
        <f>VLOOKUP(TableWRRanks3242[[#This Row],[Player]],WR!B:O,7,FALSE)</f>
        <v>40.314234088799999</v>
      </c>
      <c r="AL63" s="83">
        <f>VLOOKUP(TableWRRanks3242[[#This Row],[Player]],WR!B:O,8,FALSE)</f>
        <v>566.01184660675199</v>
      </c>
      <c r="AM63" s="83">
        <f>VLOOKUP(TableWRRanks3242[[#This Row],[Player]],WR!B:O,9,FALSE)</f>
        <v>3.7492237702583999</v>
      </c>
      <c r="AN63" s="57">
        <f>VLOOKUP(TableWRRanks3242[[#This Row],[Player]],WR!B:O,13,FALSE)</f>
        <v>99.25364432662559</v>
      </c>
      <c r="AO63" s="125">
        <f>IF(VLOOKUP(TableWRRanks3242[[#This Row],[RK]],'Ranks w Proj'!AD:AO,12,FALSE)&lt;0,0,VLOOKUP(TableWRRanks3242[[#This Row],[RK]],'Ranks w Proj'!AD:AO,12,FALSE))</f>
        <v>0</v>
      </c>
      <c r="AQ63">
        <v>62</v>
      </c>
      <c r="AR63">
        <f>VLOOKUP(TableTERanks3343[[#This Row],[RK]],Rankings!A:T,18,FALSE)</f>
        <v>0</v>
      </c>
      <c r="AS63" t="str">
        <f>IFERROR(INDEX(TableTECalcPts[TM],MATCH(TableTERanks3343[[#This Row],[Player]],TableTECalcPts[PLAYER],0)),"")</f>
        <v/>
      </c>
      <c r="AT63" t="str">
        <f>IFERROR(INDEX(TableTECalcPts[BYE],MATCH(TableTERanks3343[[#This Row],[Player]],TableTECalcPts[PLAYER],0)),"")</f>
        <v/>
      </c>
      <c r="AU63" s="83">
        <f>VLOOKUP(TableTERanks3343[[#This Row],[Player]],TE!B:O,4,FALSE)</f>
        <v>0</v>
      </c>
      <c r="AV63" s="83">
        <f>VLOOKUP(TableTERanks3343[[#This Row],[Player]],TE!B:O,5,FALSE)</f>
        <v>0</v>
      </c>
      <c r="AW63" s="83">
        <f>VLOOKUP(TableTERanks3343[[#This Row],[Player]],TE!B:O,6,FALSE)</f>
        <v>0</v>
      </c>
      <c r="AX63" s="83">
        <f>VLOOKUP(TableTERanks3343[[#This Row],[Player]],TE!B:O,7,FALSE)</f>
        <v>0</v>
      </c>
      <c r="AY63" s="57">
        <f>VLOOKUP(TableTERanks3343[[#This Row],[Player]],TE!B:O,11,FALSE)</f>
        <v>0</v>
      </c>
      <c r="AZ63" s="125">
        <f>IF(VLOOKUP(TableTERanks3343[[#This Row],[RK]],'Ranks w Proj'!AQ:AZ,10,FALSE)&lt;0,0,VLOOKUP(TableTERanks3343[[#This Row],[RK]],'Ranks w Proj'!AQ:AZ,10,FALSE))</f>
        <v>0</v>
      </c>
    </row>
    <row r="64" spans="1:52" x14ac:dyDescent="0.2">
      <c r="A64">
        <v>63</v>
      </c>
      <c r="B64">
        <f>VLOOKUP(TableQBRanks3040[[#This Row],[RK]],Rankings!A:T,3,FALSE)</f>
        <v>0</v>
      </c>
      <c r="C64" t="str">
        <f>IFERROR(INDEX(TableQBCalcPts[TM],MATCH(TableQBRanks3040[[#This Row],[Player]],TableQBCalcPts[PLAYER],0)),"")</f>
        <v/>
      </c>
      <c r="D64" t="str">
        <f>IFERROR(INDEX(TableQBCalcPts[BYE],MATCH(TableQBRanks3040[[#This Row],[Player]],TableQBCalcPts[PLAYER],0)),"")</f>
        <v/>
      </c>
      <c r="E64" s="83">
        <f>VLOOKUP(TableQBRanks3040[[#This Row],[Player]],QB!B:O,4,FALSE)</f>
        <v>0</v>
      </c>
      <c r="F64" s="83">
        <f>VLOOKUP(TableQBRanks3040[[#This Row],[Player]],QB!B:O,5,FALSE)</f>
        <v>0</v>
      </c>
      <c r="G64" s="83">
        <f>VLOOKUP(TableQBRanks3040[[#This Row],[Player]],QB!B:O,6,FALSE)</f>
        <v>0</v>
      </c>
      <c r="H64" s="83">
        <f>VLOOKUP(TableQBRanks3040[[#This Row],[Player]],QB!B:O,7,FALSE)</f>
        <v>0</v>
      </c>
      <c r="I64" s="83">
        <f>VLOOKUP(TableQBRanks3040[[#This Row],[Player]],QB!B:O,8,FALSE)</f>
        <v>0</v>
      </c>
      <c r="J64" s="83">
        <f>VLOOKUP(TableQBRanks3040[[#This Row],[Player]],QB!B:O,9,FALSE)</f>
        <v>0</v>
      </c>
      <c r="K64" s="83">
        <f>VLOOKUP(TableQBRanks3040[[#This Row],[Player]],QB!B:O,10,FALSE)</f>
        <v>0</v>
      </c>
      <c r="L64" s="83">
        <f>VLOOKUP(TableQBRanks3040[[#This Row],[Player]],QB!B:O,11,FALSE)</f>
        <v>0</v>
      </c>
      <c r="M64" s="57">
        <f>VLOOKUP(TableQBRanks3040[[#This Row],[Player]],QB!B:O,13,FALSE)</f>
        <v>0</v>
      </c>
      <c r="N64" s="125">
        <f>IF(VLOOKUP(TableQBRanks3040[[#This Row],[RK]],'Ranks w Proj'!$A:$N,14,FALSE)&lt;0,0,VLOOKUP(TableQBRanks3040[[#This Row],[RK]],'Ranks w Proj'!$A:$N,14,FALSE))</f>
        <v>0</v>
      </c>
      <c r="P64">
        <v>63</v>
      </c>
      <c r="Q64" t="str">
        <f>VLOOKUP(TableRBRanks3141[[#This Row],[RK]],Rankings!A:T,8,FALSE)</f>
        <v>Tyrone Tracy</v>
      </c>
      <c r="R64" t="str">
        <f>IFERROR(INDEX(TableRBCalcPts[TM],MATCH(TableRBRanks3141[[#This Row],[Player]],TableRBCalcPts[PLAYER],0)),"")</f>
        <v>NYG</v>
      </c>
      <c r="S64">
        <f>IFERROR(INDEX(TableRBCalcPts[BYE],MATCH(TableRBRanks3141[[#This Row],[Player]],TableRBCalcPts[PLAYER],0)),"")</f>
        <v>11</v>
      </c>
      <c r="T64" s="83">
        <f>VLOOKUP(TableRBRanks3141[[#This Row],[Player]],RB!B:O,4,FALSE)</f>
        <v>55.695352160000006</v>
      </c>
      <c r="U64" s="83">
        <f>VLOOKUP(TableRBRanks3141[[#This Row],[Player]],RB!B:O,5,FALSE)</f>
        <v>237.8191537232</v>
      </c>
      <c r="V64" s="83">
        <f>VLOOKUP(TableRBRanks3141[[#This Row],[Player]],RB!B:O,6,FALSE)</f>
        <v>1.7265559169600002</v>
      </c>
      <c r="W64" s="83">
        <f>VLOOKUP(TableRBRanks3141[[#This Row],[Player]],RB!B:O,7,FALSE)</f>
        <v>28.247708159999995</v>
      </c>
      <c r="X64" s="83">
        <f>VLOOKUP(TableRBRanks3141[[#This Row],[Player]],RB!B:O,8,FALSE)</f>
        <v>21.383515077119995</v>
      </c>
      <c r="Y64" s="83">
        <f>VLOOKUP(TableRBRanks3141[[#This Row],[Player]],RB!B:O,9,FALSE)</f>
        <v>156.92584693461001</v>
      </c>
      <c r="Z64" s="83">
        <f>VLOOKUP(TableRBRanks3141[[#This Row],[Player]],RB!B:O,10,FALSE)</f>
        <v>0.95629493294192869</v>
      </c>
      <c r="AA64" s="57">
        <f>VLOOKUP(TableRBRanks3141[[#This Row],[Player]],RB!B:O,14,FALSE)</f>
        <v>66.263362703752577</v>
      </c>
      <c r="AB64" s="125">
        <f>IF(VLOOKUP(TableRBRanks3141[[#This Row],[RK]],'Ranks w Proj'!$P:$AB,13,FALSE)&lt;0,0,VLOOKUP(TableRBRanks3141[[#This Row],[RK]],'Ranks w Proj'!$P:$AB,13,FALSE))</f>
        <v>0</v>
      </c>
      <c r="AD64">
        <v>63</v>
      </c>
      <c r="AE64" t="str">
        <f>VLOOKUP(TableWRRanks3242[[#This Row],[RK]],Rankings!A:T,13,FALSE)</f>
        <v>Jerry Jeudy</v>
      </c>
      <c r="AF64" t="str">
        <f>IFERROR(INDEX(TableWRCalcPts[TM],MATCH(TableWRRanks3242[[#This Row],[Player]],TableWRCalcPts[PLAYER],0)),"")</f>
        <v>CLE</v>
      </c>
      <c r="AG64">
        <f>IFERROR(INDEX(TableWRCalcPts[BYE],MATCH(TableWRRanks3242[[#This Row],[Player]],TableWRCalcPts[PLAYER],0)),"")</f>
        <v>10</v>
      </c>
      <c r="AH64" s="83">
        <f>VLOOKUP(TableWRRanks3242[[#This Row],[Player]],WR!B:O,4,FALSE)</f>
        <v>0</v>
      </c>
      <c r="AI64" s="83">
        <f>VLOOKUP(TableWRRanks3242[[#This Row],[Player]],WR!B:O,5,FALSE)</f>
        <v>0</v>
      </c>
      <c r="AJ64" s="83">
        <f>VLOOKUP(TableWRRanks3242[[#This Row],[Player]],WR!B:O,6,FALSE)</f>
        <v>86.024399999999986</v>
      </c>
      <c r="AK64" s="83">
        <f>VLOOKUP(TableWRRanks3242[[#This Row],[Player]],WR!B:O,7,FALSE)</f>
        <v>54.023323199999993</v>
      </c>
      <c r="AL64" s="83">
        <f>VLOOKUP(TableWRRanks3242[[#This Row],[Player]],WR!B:O,8,FALSE)</f>
        <v>700.142268672</v>
      </c>
      <c r="AM64" s="83">
        <f>VLOOKUP(TableWRRanks3242[[#This Row],[Player]],WR!B:O,9,FALSE)</f>
        <v>3.7384237329299896</v>
      </c>
      <c r="AN64" s="57">
        <f>VLOOKUP(TableWRRanks3242[[#This Row],[Player]],WR!B:O,13,FALSE)</f>
        <v>119.45643086477995</v>
      </c>
      <c r="AO64" s="125">
        <f>IF(VLOOKUP(TableWRRanks3242[[#This Row],[RK]],'Ranks w Proj'!AD:AO,12,FALSE)&lt;0,0,VLOOKUP(TableWRRanks3242[[#This Row],[RK]],'Ranks w Proj'!AD:AO,12,FALSE))</f>
        <v>0</v>
      </c>
      <c r="AQ64">
        <v>63</v>
      </c>
      <c r="AR64">
        <f>VLOOKUP(TableTERanks3343[[#This Row],[RK]],Rankings!A:T,18,FALSE)</f>
        <v>0</v>
      </c>
      <c r="AS64" t="str">
        <f>IFERROR(INDEX(TableTECalcPts[TM],MATCH(TableTERanks3343[[#This Row],[Player]],TableTECalcPts[PLAYER],0)),"")</f>
        <v/>
      </c>
      <c r="AT64" t="str">
        <f>IFERROR(INDEX(TableTECalcPts[BYE],MATCH(TableTERanks3343[[#This Row],[Player]],TableTECalcPts[PLAYER],0)),"")</f>
        <v/>
      </c>
      <c r="AU64" s="83">
        <f>VLOOKUP(TableTERanks3343[[#This Row],[Player]],TE!B:O,4,FALSE)</f>
        <v>0</v>
      </c>
      <c r="AV64" s="83">
        <f>VLOOKUP(TableTERanks3343[[#This Row],[Player]],TE!B:O,5,FALSE)</f>
        <v>0</v>
      </c>
      <c r="AW64" s="83">
        <f>VLOOKUP(TableTERanks3343[[#This Row],[Player]],TE!B:O,6,FALSE)</f>
        <v>0</v>
      </c>
      <c r="AX64" s="83">
        <f>VLOOKUP(TableTERanks3343[[#This Row],[Player]],TE!B:O,7,FALSE)</f>
        <v>0</v>
      </c>
      <c r="AY64" s="57">
        <f>VLOOKUP(TableTERanks3343[[#This Row],[Player]],TE!B:O,11,FALSE)</f>
        <v>0</v>
      </c>
      <c r="AZ64" s="125">
        <f>IF(VLOOKUP(TableTERanks3343[[#This Row],[RK]],'Ranks w Proj'!AQ:AZ,10,FALSE)&lt;0,0,VLOOKUP(TableTERanks3343[[#This Row],[RK]],'Ranks w Proj'!AQ:AZ,10,FALSE))</f>
        <v>0</v>
      </c>
    </row>
    <row r="65" spans="1:52" x14ac:dyDescent="0.2">
      <c r="A65">
        <v>64</v>
      </c>
      <c r="B65">
        <f>VLOOKUP(TableQBRanks3040[[#This Row],[RK]],Rankings!A:T,3,FALSE)</f>
        <v>0</v>
      </c>
      <c r="C65" t="str">
        <f>IFERROR(INDEX(TableQBCalcPts[TM],MATCH(TableQBRanks3040[[#This Row],[Player]],TableQBCalcPts[PLAYER],0)),"")</f>
        <v/>
      </c>
      <c r="D65" t="str">
        <f>IFERROR(INDEX(TableQBCalcPts[BYE],MATCH(TableQBRanks3040[[#This Row],[Player]],TableQBCalcPts[PLAYER],0)),"")</f>
        <v/>
      </c>
      <c r="E65" s="83">
        <f>VLOOKUP(TableQBRanks3040[[#This Row],[Player]],QB!B:O,4,FALSE)</f>
        <v>0</v>
      </c>
      <c r="F65" s="83">
        <f>VLOOKUP(TableQBRanks3040[[#This Row],[Player]],QB!B:O,5,FALSE)</f>
        <v>0</v>
      </c>
      <c r="G65" s="83">
        <f>VLOOKUP(TableQBRanks3040[[#This Row],[Player]],QB!B:O,6,FALSE)</f>
        <v>0</v>
      </c>
      <c r="H65" s="83">
        <f>VLOOKUP(TableQBRanks3040[[#This Row],[Player]],QB!B:O,7,FALSE)</f>
        <v>0</v>
      </c>
      <c r="I65" s="83">
        <f>VLOOKUP(TableQBRanks3040[[#This Row],[Player]],QB!B:O,8,FALSE)</f>
        <v>0</v>
      </c>
      <c r="J65" s="83">
        <f>VLOOKUP(TableQBRanks3040[[#This Row],[Player]],QB!B:O,9,FALSE)</f>
        <v>0</v>
      </c>
      <c r="K65" s="83">
        <f>VLOOKUP(TableQBRanks3040[[#This Row],[Player]],QB!B:O,10,FALSE)</f>
        <v>0</v>
      </c>
      <c r="L65" s="83">
        <f>VLOOKUP(TableQBRanks3040[[#This Row],[Player]],QB!B:O,11,FALSE)</f>
        <v>0</v>
      </c>
      <c r="M65" s="57">
        <f>VLOOKUP(TableQBRanks3040[[#This Row],[Player]],QB!B:O,13,FALSE)</f>
        <v>0</v>
      </c>
      <c r="N65" s="125">
        <f>IF(VLOOKUP(TableQBRanks3040[[#This Row],[RK]],'Ranks w Proj'!$A:$N,14,FALSE)&lt;0,0,VLOOKUP(TableQBRanks3040[[#This Row],[RK]],'Ranks w Proj'!$A:$N,14,FALSE))</f>
        <v>0</v>
      </c>
      <c r="P65">
        <v>64</v>
      </c>
      <c r="Q65" t="str">
        <f>VLOOKUP(TableRBRanks3141[[#This Row],[RK]],Rankings!A:T,8,FALSE)</f>
        <v>Kenneth Gainwell</v>
      </c>
      <c r="R65" t="str">
        <f>IFERROR(INDEX(TableRBCalcPts[TM],MATCH(TableRBRanks3141[[#This Row],[Player]],TableRBCalcPts[PLAYER],0)),"")</f>
        <v>PHI</v>
      </c>
      <c r="S65">
        <f>IFERROR(INDEX(TableRBCalcPts[BYE],MATCH(TableRBRanks3141[[#This Row],[Player]],TableRBCalcPts[PLAYER],0)),"")</f>
        <v>5</v>
      </c>
      <c r="T65" s="83">
        <f>VLOOKUP(TableRBRanks3141[[#This Row],[Player]],RB!B:O,4,FALSE)</f>
        <v>62.778643200000005</v>
      </c>
      <c r="U65" s="83">
        <f>VLOOKUP(TableRBRanks3141[[#This Row],[Player]],RB!B:O,5,FALSE)</f>
        <v>267.74646120413456</v>
      </c>
      <c r="V65" s="83">
        <f>VLOOKUP(TableRBRanks3141[[#This Row],[Player]],RB!B:O,6,FALSE)</f>
        <v>2.1972525120000004</v>
      </c>
      <c r="W65" s="83">
        <f>VLOOKUP(TableRBRanks3141[[#This Row],[Player]],RB!B:O,7,FALSE)</f>
        <v>28.450215360000001</v>
      </c>
      <c r="X65" s="83">
        <f>VLOOKUP(TableRBRanks3141[[#This Row],[Player]],RB!B:O,8,FALSE)</f>
        <v>21.166960227840001</v>
      </c>
      <c r="Y65" s="83">
        <f>VLOOKUP(TableRBRanks3141[[#This Row],[Player]],RB!B:O,9,FALSE)</f>
        <v>154.49231311258944</v>
      </c>
      <c r="Z65" s="83">
        <f>VLOOKUP(TableRBRanks3141[[#This Row],[Player]],RB!B:O,10,FALSE)</f>
        <v>0.6350088068352</v>
      </c>
      <c r="AA65" s="57">
        <f>VLOOKUP(TableRBRanks3141[[#This Row],[Player]],RB!B:O,14,FALSE)</f>
        <v>69.800925458603601</v>
      </c>
      <c r="AB65" s="125">
        <f>IF(VLOOKUP(TableRBRanks3141[[#This Row],[RK]],'Ranks w Proj'!$P:$AB,13,FALSE)&lt;0,0,VLOOKUP(TableRBRanks3141[[#This Row],[RK]],'Ranks w Proj'!$P:$AB,13,FALSE))</f>
        <v>0</v>
      </c>
      <c r="AD65">
        <v>64</v>
      </c>
      <c r="AE65" t="str">
        <f>VLOOKUP(TableWRRanks3242[[#This Row],[RK]],Rankings!A:T,13,FALSE)</f>
        <v>Demarcus Robinson</v>
      </c>
      <c r="AF65" t="str">
        <f>IFERROR(INDEX(TableWRCalcPts[TM],MATCH(TableWRRanks3242[[#This Row],[Player]],TableWRCalcPts[PLAYER],0)),"")</f>
        <v>LAR</v>
      </c>
      <c r="AG65">
        <f>IFERROR(INDEX(TableWRCalcPts[BYE],MATCH(TableWRRanks3242[[#This Row],[Player]],TableWRCalcPts[PLAYER],0)),"")</f>
        <v>6</v>
      </c>
      <c r="AH65" s="83">
        <f>VLOOKUP(TableWRRanks3242[[#This Row],[Player]],WR!B:O,4,FALSE)</f>
        <v>0</v>
      </c>
      <c r="AI65" s="83">
        <f>VLOOKUP(TableWRRanks3242[[#This Row],[Player]],WR!B:O,5,FALSE)</f>
        <v>0</v>
      </c>
      <c r="AJ65" s="83">
        <f>VLOOKUP(TableWRRanks3242[[#This Row],[Player]],WR!B:O,6,FALSE)</f>
        <v>85.131868919999988</v>
      </c>
      <c r="AK65" s="83">
        <f>VLOOKUP(TableWRRanks3242[[#This Row],[Player]],WR!B:O,7,FALSE)</f>
        <v>55.335714797999991</v>
      </c>
      <c r="AL65" s="83">
        <f>VLOOKUP(TableWRRanks3242[[#This Row],[Player]],WR!B:O,8,FALSE)</f>
        <v>727.66464959369989</v>
      </c>
      <c r="AM65" s="83">
        <f>VLOOKUP(TableWRRanks3242[[#This Row],[Player]],WR!B:O,9,FALSE)</f>
        <v>4.9802143318199992</v>
      </c>
      <c r="AN65" s="57">
        <f>VLOOKUP(TableWRRanks3242[[#This Row],[Player]],WR!B:O,13,FALSE)</f>
        <v>130.31560834928999</v>
      </c>
      <c r="AO65" s="125">
        <f>IF(VLOOKUP(TableWRRanks3242[[#This Row],[RK]],'Ranks w Proj'!AD:AO,12,FALSE)&lt;0,0,VLOOKUP(TableWRRanks3242[[#This Row],[RK]],'Ranks w Proj'!AD:AO,12,FALSE))</f>
        <v>0</v>
      </c>
      <c r="AQ65">
        <v>64</v>
      </c>
      <c r="AR65">
        <f>VLOOKUP(TableTERanks3343[[#This Row],[RK]],Rankings!A:T,18,FALSE)</f>
        <v>0</v>
      </c>
      <c r="AS65" t="str">
        <f>IFERROR(INDEX(TableTECalcPts[TM],MATCH(TableTERanks3343[[#This Row],[Player]],TableTECalcPts[PLAYER],0)),"")</f>
        <v/>
      </c>
      <c r="AT65" t="str">
        <f>IFERROR(INDEX(TableTECalcPts[BYE],MATCH(TableTERanks3343[[#This Row],[Player]],TableTECalcPts[PLAYER],0)),"")</f>
        <v/>
      </c>
      <c r="AU65" s="83">
        <f>VLOOKUP(TableTERanks3343[[#This Row],[Player]],TE!B:O,4,FALSE)</f>
        <v>0</v>
      </c>
      <c r="AV65" s="83">
        <f>VLOOKUP(TableTERanks3343[[#This Row],[Player]],TE!B:O,5,FALSE)</f>
        <v>0</v>
      </c>
      <c r="AW65" s="83">
        <f>VLOOKUP(TableTERanks3343[[#This Row],[Player]],TE!B:O,6,FALSE)</f>
        <v>0</v>
      </c>
      <c r="AX65" s="83">
        <f>VLOOKUP(TableTERanks3343[[#This Row],[Player]],TE!B:O,7,FALSE)</f>
        <v>0</v>
      </c>
      <c r="AY65" s="57">
        <f>VLOOKUP(TableTERanks3343[[#This Row],[Player]],TE!B:O,11,FALSE)</f>
        <v>0</v>
      </c>
      <c r="AZ65" s="125">
        <f>IF(VLOOKUP(TableTERanks3343[[#This Row],[RK]],'Ranks w Proj'!AQ:AZ,10,FALSE)&lt;0,0,VLOOKUP(TableTERanks3343[[#This Row],[RK]],'Ranks w Proj'!AQ:AZ,10,FALSE))</f>
        <v>0</v>
      </c>
    </row>
    <row r="66" spans="1:52" x14ac:dyDescent="0.2">
      <c r="A66">
        <v>65</v>
      </c>
      <c r="B66">
        <f>VLOOKUP(TableQBRanks3040[[#This Row],[RK]],Rankings!A:T,3,FALSE)</f>
        <v>0</v>
      </c>
      <c r="C66" t="str">
        <f>IFERROR(INDEX(TableQBCalcPts[TM],MATCH(TableQBRanks3040[[#This Row],[Player]],TableQBCalcPts[PLAYER],0)),"")</f>
        <v/>
      </c>
      <c r="D66" t="str">
        <f>IFERROR(INDEX(TableQBCalcPts[BYE],MATCH(TableQBRanks3040[[#This Row],[Player]],TableQBCalcPts[PLAYER],0)),"")</f>
        <v/>
      </c>
      <c r="E66" s="83">
        <f>VLOOKUP(TableQBRanks3040[[#This Row],[Player]],QB!B:O,4,FALSE)</f>
        <v>0</v>
      </c>
      <c r="F66" s="83">
        <f>VLOOKUP(TableQBRanks3040[[#This Row],[Player]],QB!B:O,5,FALSE)</f>
        <v>0</v>
      </c>
      <c r="G66" s="83">
        <f>VLOOKUP(TableQBRanks3040[[#This Row],[Player]],QB!B:O,6,FALSE)</f>
        <v>0</v>
      </c>
      <c r="H66" s="83">
        <f>VLOOKUP(TableQBRanks3040[[#This Row],[Player]],QB!B:O,7,FALSE)</f>
        <v>0</v>
      </c>
      <c r="I66" s="83">
        <f>VLOOKUP(TableQBRanks3040[[#This Row],[Player]],QB!B:O,8,FALSE)</f>
        <v>0</v>
      </c>
      <c r="J66" s="83">
        <f>VLOOKUP(TableQBRanks3040[[#This Row],[Player]],QB!B:O,9,FALSE)</f>
        <v>0</v>
      </c>
      <c r="K66" s="83">
        <f>VLOOKUP(TableQBRanks3040[[#This Row],[Player]],QB!B:O,10,FALSE)</f>
        <v>0</v>
      </c>
      <c r="L66" s="83">
        <f>VLOOKUP(TableQBRanks3040[[#This Row],[Player]],QB!B:O,11,FALSE)</f>
        <v>0</v>
      </c>
      <c r="M66" s="57">
        <f>VLOOKUP(TableQBRanks3040[[#This Row],[Player]],QB!B:O,13,FALSE)</f>
        <v>0</v>
      </c>
      <c r="N66" s="125" t="str">
        <f>IF(VLOOKUP(TableQBRanks3040[[#This Row],[RK]],'Ranks w Proj'!$A:$N,14,FALSE)&lt;0,0,VLOOKUP(TableQBRanks3040[[#This Row],[RK]],'Ranks w Proj'!$A:$N,14,FALSE))</f>
        <v/>
      </c>
      <c r="P66">
        <v>65</v>
      </c>
      <c r="Q66" t="str">
        <f>VLOOKUP(TableRBRanks3141[[#This Row],[RK]],Rankings!A:T,8,FALSE)</f>
        <v>Cordarrelle Patterson</v>
      </c>
      <c r="R66" t="str">
        <f>IFERROR(INDEX(TableRBCalcPts[TM],MATCH(TableRBRanks3141[[#This Row],[Player]],TableRBCalcPts[PLAYER],0)),"")</f>
        <v>PIT</v>
      </c>
      <c r="S66">
        <f>IFERROR(INDEX(TableRBCalcPts[BYE],MATCH(TableRBRanks3141[[#This Row],[Player]],TableRBCalcPts[PLAYER],0)),"")</f>
        <v>9</v>
      </c>
      <c r="T66" s="83">
        <f>VLOOKUP(TableRBRanks3141[[#This Row],[Player]],RB!B:O,4,FALSE)</f>
        <v>44.977589999999999</v>
      </c>
      <c r="U66" s="83">
        <f>VLOOKUP(TableRBRanks3141[[#This Row],[Player]],RB!B:O,5,FALSE)</f>
        <v>183.50856719999999</v>
      </c>
      <c r="V66" s="83">
        <f>VLOOKUP(TableRBRanks3141[[#This Row],[Player]],RB!B:O,6,FALSE)</f>
        <v>1.75412601</v>
      </c>
      <c r="W66" s="83">
        <f>VLOOKUP(TableRBRanks3141[[#This Row],[Player]],RB!B:O,7,FALSE)</f>
        <v>44.591715000000001</v>
      </c>
      <c r="X66" s="83">
        <f>VLOOKUP(TableRBRanks3141[[#This Row],[Player]],RB!B:O,8,FALSE)</f>
        <v>34.201845405000007</v>
      </c>
      <c r="Y66" s="83">
        <f>VLOOKUP(TableRBRanks3141[[#This Row],[Player]],RB!B:O,9,FALSE)</f>
        <v>242.49108392145004</v>
      </c>
      <c r="Z66" s="83">
        <f>VLOOKUP(TableRBRanks3141[[#This Row],[Player]],RB!B:O,10,FALSE)</f>
        <v>1.536897570984842</v>
      </c>
      <c r="AA66" s="57">
        <f>VLOOKUP(TableRBRanks3141[[#This Row],[Player]],RB!B:O,14,FALSE)</f>
        <v>79.44702930055405</v>
      </c>
      <c r="AB66" s="125">
        <f>IF(VLOOKUP(TableRBRanks3141[[#This Row],[RK]],'Ranks w Proj'!$P:$AB,13,FALSE)&lt;0,0,VLOOKUP(TableRBRanks3141[[#This Row],[RK]],'Ranks w Proj'!$P:$AB,13,FALSE))</f>
        <v>0</v>
      </c>
      <c r="AD66">
        <v>65</v>
      </c>
      <c r="AE66" t="str">
        <f>VLOOKUP(TableWRRanks3242[[#This Row],[RK]],Rankings!A:T,13,FALSE)</f>
        <v>Dontayvion Wicks</v>
      </c>
      <c r="AF66" t="str">
        <f>IFERROR(INDEX(TableWRCalcPts[TM],MATCH(TableWRRanks3242[[#This Row],[Player]],TableWRCalcPts[PLAYER],0)),"")</f>
        <v>GB</v>
      </c>
      <c r="AG66">
        <f>IFERROR(INDEX(TableWRCalcPts[BYE],MATCH(TableWRRanks3242[[#This Row],[Player]],TableWRCalcPts[PLAYER],0)),"")</f>
        <v>10</v>
      </c>
      <c r="AH66" s="83">
        <f>VLOOKUP(TableWRRanks3242[[#This Row],[Player]],WR!B:O,4,FALSE)</f>
        <v>0</v>
      </c>
      <c r="AI66" s="83">
        <f>VLOOKUP(TableWRRanks3242[[#This Row],[Player]],WR!B:O,5,FALSE)</f>
        <v>0</v>
      </c>
      <c r="AJ66" s="83">
        <f>VLOOKUP(TableWRRanks3242[[#This Row],[Player]],WR!B:O,6,FALSE)</f>
        <v>77.547635200000016</v>
      </c>
      <c r="AK66" s="83">
        <f>VLOOKUP(TableWRRanks3242[[#This Row],[Player]],WR!B:O,7,FALSE)</f>
        <v>49.320295987200012</v>
      </c>
      <c r="AL66" s="83">
        <f>VLOOKUP(TableWRRanks3242[[#This Row],[Player]],WR!B:O,8,FALSE)</f>
        <v>632.28619455590422</v>
      </c>
      <c r="AM66" s="83">
        <f>VLOOKUP(TableWRRanks3242[[#This Row],[Player]],WR!B:O,9,FALSE)</f>
        <v>4.8229422719613764</v>
      </c>
      <c r="AN66" s="57">
        <f>VLOOKUP(TableWRRanks3242[[#This Row],[Player]],WR!B:O,13,FALSE)</f>
        <v>116.82642108095868</v>
      </c>
      <c r="AO66" s="125">
        <f>IF(VLOOKUP(TableWRRanks3242[[#This Row],[RK]],'Ranks w Proj'!AD:AO,12,FALSE)&lt;0,0,VLOOKUP(TableWRRanks3242[[#This Row],[RK]],'Ranks w Proj'!AD:AO,12,FALSE))</f>
        <v>0</v>
      </c>
      <c r="AQ66">
        <v>65</v>
      </c>
      <c r="AR66">
        <f>VLOOKUP(TableTERanks3343[[#This Row],[RK]],Rankings!A:T,18,FALSE)</f>
        <v>0</v>
      </c>
      <c r="AS66" t="str">
        <f>IFERROR(INDEX(TableTECalcPts[TM],MATCH(TableTERanks3343[[#This Row],[Player]],TableTECalcPts[PLAYER],0)),"")</f>
        <v/>
      </c>
      <c r="AT66" t="str">
        <f>IFERROR(INDEX(TableTECalcPts[BYE],MATCH(TableTERanks3343[[#This Row],[Player]],TableTECalcPts[PLAYER],0)),"")</f>
        <v/>
      </c>
      <c r="AU66" s="83">
        <f>VLOOKUP(TableTERanks3343[[#This Row],[Player]],TE!B:O,4,FALSE)</f>
        <v>0</v>
      </c>
      <c r="AV66" s="83">
        <f>VLOOKUP(TableTERanks3343[[#This Row],[Player]],TE!B:O,5,FALSE)</f>
        <v>0</v>
      </c>
      <c r="AW66" s="83">
        <f>VLOOKUP(TableTERanks3343[[#This Row],[Player]],TE!B:O,6,FALSE)</f>
        <v>0</v>
      </c>
      <c r="AX66" s="83">
        <f>VLOOKUP(TableTERanks3343[[#This Row],[Player]],TE!B:O,7,FALSE)</f>
        <v>0</v>
      </c>
      <c r="AY66" s="57">
        <f>VLOOKUP(TableTERanks3343[[#This Row],[Player]],TE!B:O,11,FALSE)</f>
        <v>0</v>
      </c>
      <c r="AZ66" s="125">
        <f>IF(VLOOKUP(TableTERanks3343[[#This Row],[RK]],'Ranks w Proj'!AQ:AZ,10,FALSE)&lt;0,0,VLOOKUP(TableTERanks3343[[#This Row],[RK]],'Ranks w Proj'!AQ:AZ,10,FALSE))</f>
        <v>0</v>
      </c>
    </row>
    <row r="67" spans="1:52" x14ac:dyDescent="0.2">
      <c r="A67">
        <v>66</v>
      </c>
      <c r="B67">
        <f>VLOOKUP(TableQBRanks3040[[#This Row],[RK]],Rankings!A:T,3,FALSE)</f>
        <v>0</v>
      </c>
      <c r="C67" t="str">
        <f>IFERROR(INDEX(TableQBCalcPts[TM],MATCH(TableQBRanks3040[[#This Row],[Player]],TableQBCalcPts[PLAYER],0)),"")</f>
        <v/>
      </c>
      <c r="D67" t="str">
        <f>IFERROR(INDEX(TableQBCalcPts[BYE],MATCH(TableQBRanks3040[[#This Row],[Player]],TableQBCalcPts[PLAYER],0)),"")</f>
        <v/>
      </c>
      <c r="E67" s="83">
        <f>VLOOKUP(TableQBRanks3040[[#This Row],[Player]],QB!B:O,4,FALSE)</f>
        <v>0</v>
      </c>
      <c r="F67" s="83">
        <f>VLOOKUP(TableQBRanks3040[[#This Row],[Player]],QB!B:O,5,FALSE)</f>
        <v>0</v>
      </c>
      <c r="G67" s="83">
        <f>VLOOKUP(TableQBRanks3040[[#This Row],[Player]],QB!B:O,6,FALSE)</f>
        <v>0</v>
      </c>
      <c r="H67" s="83">
        <f>VLOOKUP(TableQBRanks3040[[#This Row],[Player]],QB!B:O,7,FALSE)</f>
        <v>0</v>
      </c>
      <c r="I67" s="83">
        <f>VLOOKUP(TableQBRanks3040[[#This Row],[Player]],QB!B:O,8,FALSE)</f>
        <v>0</v>
      </c>
      <c r="J67" s="83">
        <f>VLOOKUP(TableQBRanks3040[[#This Row],[Player]],QB!B:O,9,FALSE)</f>
        <v>0</v>
      </c>
      <c r="K67" s="83">
        <f>VLOOKUP(TableQBRanks3040[[#This Row],[Player]],QB!B:O,10,FALSE)</f>
        <v>0</v>
      </c>
      <c r="L67" s="83">
        <f>VLOOKUP(TableQBRanks3040[[#This Row],[Player]],QB!B:O,11,FALSE)</f>
        <v>0</v>
      </c>
      <c r="M67" s="57">
        <f>VLOOKUP(TableQBRanks3040[[#This Row],[Player]],QB!B:O,13,FALSE)</f>
        <v>0</v>
      </c>
      <c r="N67" s="125" t="str">
        <f>IF(VLOOKUP(TableQBRanks3040[[#This Row],[RK]],'Ranks w Proj'!$A:$N,14,FALSE)&lt;0,0,VLOOKUP(TableQBRanks3040[[#This Row],[RK]],'Ranks w Proj'!$A:$N,14,FALSE))</f>
        <v/>
      </c>
      <c r="P67">
        <v>66</v>
      </c>
      <c r="Q67" t="str">
        <f>VLOOKUP(TableRBRanks3141[[#This Row],[RK]],Rankings!A:T,8,FALSE)</f>
        <v>Tank Bigsby</v>
      </c>
      <c r="R67" t="str">
        <f>IFERROR(INDEX(TableRBCalcPts[TM],MATCH(TableRBRanks3141[[#This Row],[Player]],TableRBCalcPts[PLAYER],0)),"")</f>
        <v>JAX</v>
      </c>
      <c r="S67">
        <f>IFERROR(INDEX(TableRBCalcPts[BYE],MATCH(TableRBRanks3141[[#This Row],[Player]],TableRBCalcPts[PLAYER],0)),"")</f>
        <v>12</v>
      </c>
      <c r="T67" s="83">
        <f>VLOOKUP(TableRBRanks3141[[#This Row],[Player]],RB!B:O,4,FALSE)</f>
        <v>93.467897879999995</v>
      </c>
      <c r="U67" s="83">
        <f>VLOOKUP(TableRBRanks3141[[#This Row],[Player]],RB!B:O,5,FALSE)</f>
        <v>382.28370232919997</v>
      </c>
      <c r="V67" s="83">
        <f>VLOOKUP(TableRBRanks3141[[#This Row],[Player]],RB!B:O,6,FALSE)</f>
        <v>3.1779085279200001</v>
      </c>
      <c r="W67" s="83">
        <f>VLOOKUP(TableRBRanks3141[[#This Row],[Player]],RB!B:O,7,FALSE)</f>
        <v>6.0219235999999992</v>
      </c>
      <c r="X67" s="83">
        <f>VLOOKUP(TableRBRanks3141[[#This Row],[Player]],RB!B:O,8,FALSE)</f>
        <v>4.2334122907999996</v>
      </c>
      <c r="Y67" s="83">
        <f>VLOOKUP(TableRBRanks3141[[#This Row],[Player]],RB!B:O,9,FALSE)</f>
        <v>30.495338068351781</v>
      </c>
      <c r="Z67" s="83">
        <f>VLOOKUP(TableRBRanks3141[[#This Row],[Player]],RB!B:O,10,FALSE)</f>
        <v>0.13123578101479999</v>
      </c>
      <c r="AA67" s="57">
        <f>VLOOKUP(TableRBRanks3141[[#This Row],[Player]],RB!B:O,14,FALSE)</f>
        <v>63.249476038763987</v>
      </c>
      <c r="AB67" s="125">
        <f>IF(VLOOKUP(TableRBRanks3141[[#This Row],[RK]],'Ranks w Proj'!$P:$AB,13,FALSE)&lt;0,0,VLOOKUP(TableRBRanks3141[[#This Row],[RK]],'Ranks w Proj'!$P:$AB,13,FALSE))</f>
        <v>0</v>
      </c>
      <c r="AD67">
        <v>66</v>
      </c>
      <c r="AE67" t="str">
        <f>VLOOKUP(TableWRRanks3242[[#This Row],[RK]],Rankings!A:T,13,FALSE)</f>
        <v>DeMario Douglas</v>
      </c>
      <c r="AF67" t="str">
        <f>IFERROR(INDEX(TableWRCalcPts[TM],MATCH(TableWRRanks3242[[#This Row],[Player]],TableWRCalcPts[PLAYER],0)),"")</f>
        <v>NE</v>
      </c>
      <c r="AG67">
        <f>IFERROR(INDEX(TableWRCalcPts[BYE],MATCH(TableWRRanks3242[[#This Row],[Player]],TableWRCalcPts[PLAYER],0)),"")</f>
        <v>14</v>
      </c>
      <c r="AH67" s="83">
        <f>VLOOKUP(TableWRRanks3242[[#This Row],[Player]],WR!B:O,4,FALSE)</f>
        <v>0</v>
      </c>
      <c r="AI67" s="83">
        <f>VLOOKUP(TableWRRanks3242[[#This Row],[Player]],WR!B:O,5,FALSE)</f>
        <v>0</v>
      </c>
      <c r="AJ67" s="83">
        <f>VLOOKUP(TableWRRanks3242[[#This Row],[Player]],WR!B:O,6,FALSE)</f>
        <v>102.60581575999998</v>
      </c>
      <c r="AK67" s="83">
        <f>VLOOKUP(TableWRRanks3242[[#This Row],[Player]],WR!B:O,7,FALSE)</f>
        <v>63.718211586959988</v>
      </c>
      <c r="AL67" s="83">
        <f>VLOOKUP(TableWRRanks3242[[#This Row],[Player]],WR!B:O,8,FALSE)</f>
        <v>745.50307556743178</v>
      </c>
      <c r="AM67" s="83">
        <f>VLOOKUP(TableWRRanks3242[[#This Row],[Player]],WR!B:O,9,FALSE)</f>
        <v>3.5045016372827993</v>
      </c>
      <c r="AN67" s="57">
        <f>VLOOKUP(TableWRRanks3242[[#This Row],[Player]],WR!B:O,13,FALSE)</f>
        <v>127.43642317391996</v>
      </c>
      <c r="AO67" s="125">
        <f>IF(VLOOKUP(TableWRRanks3242[[#This Row],[RK]],'Ranks w Proj'!AD:AO,12,FALSE)&lt;0,0,VLOOKUP(TableWRRanks3242[[#This Row],[RK]],'Ranks w Proj'!AD:AO,12,FALSE))</f>
        <v>0</v>
      </c>
      <c r="AQ67">
        <v>66</v>
      </c>
      <c r="AR67">
        <f>VLOOKUP(TableTERanks3343[[#This Row],[RK]],Rankings!A:T,18,FALSE)</f>
        <v>0</v>
      </c>
      <c r="AS67" t="str">
        <f>IFERROR(INDEX(TableTECalcPts[TM],MATCH(TableTERanks3343[[#This Row],[Player]],TableTECalcPts[PLAYER],0)),"")</f>
        <v/>
      </c>
      <c r="AT67" t="str">
        <f>IFERROR(INDEX(TableTECalcPts[BYE],MATCH(TableTERanks3343[[#This Row],[Player]],TableTECalcPts[PLAYER],0)),"")</f>
        <v/>
      </c>
      <c r="AU67" s="83">
        <f>VLOOKUP(TableTERanks3343[[#This Row],[Player]],TE!B:O,4,FALSE)</f>
        <v>0</v>
      </c>
      <c r="AV67" s="83">
        <f>VLOOKUP(TableTERanks3343[[#This Row],[Player]],TE!B:O,5,FALSE)</f>
        <v>0</v>
      </c>
      <c r="AW67" s="83">
        <f>VLOOKUP(TableTERanks3343[[#This Row],[Player]],TE!B:O,6,FALSE)</f>
        <v>0</v>
      </c>
      <c r="AX67" s="83">
        <f>VLOOKUP(TableTERanks3343[[#This Row],[Player]],TE!B:O,7,FALSE)</f>
        <v>0</v>
      </c>
      <c r="AY67" s="57">
        <f>VLOOKUP(TableTERanks3343[[#This Row],[Player]],TE!B:O,11,FALSE)</f>
        <v>0</v>
      </c>
      <c r="AZ67" s="125">
        <f>IF(VLOOKUP(TableTERanks3343[[#This Row],[RK]],'Ranks w Proj'!AQ:AZ,10,FALSE)&lt;0,0,VLOOKUP(TableTERanks3343[[#This Row],[RK]],'Ranks w Proj'!AQ:AZ,10,FALSE))</f>
        <v>0</v>
      </c>
    </row>
    <row r="68" spans="1:52" x14ac:dyDescent="0.2">
      <c r="A68">
        <v>67</v>
      </c>
      <c r="B68">
        <f>VLOOKUP(TableQBRanks3040[[#This Row],[RK]],Rankings!A:T,3,FALSE)</f>
        <v>0</v>
      </c>
      <c r="C68" t="str">
        <f>IFERROR(INDEX(TableQBCalcPts[TM],MATCH(TableQBRanks3040[[#This Row],[Player]],TableQBCalcPts[PLAYER],0)),"")</f>
        <v/>
      </c>
      <c r="D68" t="str">
        <f>IFERROR(INDEX(TableQBCalcPts[BYE],MATCH(TableQBRanks3040[[#This Row],[Player]],TableQBCalcPts[PLAYER],0)),"")</f>
        <v/>
      </c>
      <c r="E68" s="83">
        <f>VLOOKUP(TableQBRanks3040[[#This Row],[Player]],QB!B:O,4,FALSE)</f>
        <v>0</v>
      </c>
      <c r="F68" s="83">
        <f>VLOOKUP(TableQBRanks3040[[#This Row],[Player]],QB!B:O,5,FALSE)</f>
        <v>0</v>
      </c>
      <c r="G68" s="83">
        <f>VLOOKUP(TableQBRanks3040[[#This Row],[Player]],QB!B:O,6,FALSE)</f>
        <v>0</v>
      </c>
      <c r="H68" s="83">
        <f>VLOOKUP(TableQBRanks3040[[#This Row],[Player]],QB!B:O,7,FALSE)</f>
        <v>0</v>
      </c>
      <c r="I68" s="83">
        <f>VLOOKUP(TableQBRanks3040[[#This Row],[Player]],QB!B:O,8,FALSE)</f>
        <v>0</v>
      </c>
      <c r="J68" s="83">
        <f>VLOOKUP(TableQBRanks3040[[#This Row],[Player]],QB!B:O,9,FALSE)</f>
        <v>0</v>
      </c>
      <c r="K68" s="83">
        <f>VLOOKUP(TableQBRanks3040[[#This Row],[Player]],QB!B:O,10,FALSE)</f>
        <v>0</v>
      </c>
      <c r="L68" s="83">
        <f>VLOOKUP(TableQBRanks3040[[#This Row],[Player]],QB!B:O,11,FALSE)</f>
        <v>0</v>
      </c>
      <c r="M68" s="57">
        <f>VLOOKUP(TableQBRanks3040[[#This Row],[Player]],QB!B:O,13,FALSE)</f>
        <v>0</v>
      </c>
      <c r="N68" s="125" t="str">
        <f>IF(VLOOKUP(TableQBRanks3040[[#This Row],[RK]],'Ranks w Proj'!$A:$N,14,FALSE)&lt;0,0,VLOOKUP(TableQBRanks3040[[#This Row],[RK]],'Ranks w Proj'!$A:$N,14,FALSE))</f>
        <v/>
      </c>
      <c r="P68">
        <v>67</v>
      </c>
      <c r="Q68" t="str">
        <f>VLOOKUP(TableRBRanks3141[[#This Row],[RK]],Rankings!A:T,8,FALSE)</f>
        <v>Isaiah Davis</v>
      </c>
      <c r="R68" t="str">
        <f>IFERROR(INDEX(TableRBCalcPts[TM],MATCH(TableRBRanks3141[[#This Row],[Player]],TableRBCalcPts[PLAYER],0)),"")</f>
        <v>NYJ</v>
      </c>
      <c r="S68">
        <f>IFERROR(INDEX(TableRBCalcPts[BYE],MATCH(TableRBRanks3141[[#This Row],[Player]],TableRBCalcPts[PLAYER],0)),"")</f>
        <v>12</v>
      </c>
      <c r="T68" s="83">
        <f>VLOOKUP(TableRBRanks3141[[#This Row],[Player]],RB!B:O,4,FALSE)</f>
        <v>61.182035040000009</v>
      </c>
      <c r="U68" s="83">
        <f>VLOOKUP(TableRBRanks3141[[#This Row],[Player]],RB!B:O,5,FALSE)</f>
        <v>258.10674757674207</v>
      </c>
      <c r="V68" s="83">
        <f>VLOOKUP(TableRBRanks3141[[#This Row],[Player]],RB!B:O,6,FALSE)</f>
        <v>2.0801891913600006</v>
      </c>
      <c r="W68" s="83">
        <f>VLOOKUP(TableRBRanks3141[[#This Row],[Player]],RB!B:O,7,FALSE)</f>
        <v>20.737917199999995</v>
      </c>
      <c r="X68" s="83">
        <f>VLOOKUP(TableRBRanks3141[[#This Row],[Player]],RB!B:O,8,FALSE)</f>
        <v>16.382954587999993</v>
      </c>
      <c r="Y68" s="83">
        <f>VLOOKUP(TableRBRanks3141[[#This Row],[Player]],RB!B:O,9,FALSE)</f>
        <v>121.65533652850371</v>
      </c>
      <c r="Z68" s="83">
        <f>VLOOKUP(TableRBRanks3141[[#This Row],[Player]],RB!B:O,10,FALSE)</f>
        <v>0.70446704728399967</v>
      </c>
      <c r="AA68" s="57">
        <f>VLOOKUP(TableRBRanks3141[[#This Row],[Player]],RB!B:O,14,FALSE)</f>
        <v>62.875623136388576</v>
      </c>
      <c r="AB68" s="125">
        <f>IF(VLOOKUP(TableRBRanks3141[[#This Row],[RK]],'Ranks w Proj'!$P:$AB,13,FALSE)&lt;0,0,VLOOKUP(TableRBRanks3141[[#This Row],[RK]],'Ranks w Proj'!$P:$AB,13,FALSE))</f>
        <v>0</v>
      </c>
      <c r="AD68">
        <v>67</v>
      </c>
      <c r="AE68" t="str">
        <f>VLOOKUP(TableWRRanks3242[[#This Row],[RK]],Rankings!A:T,13,FALSE)</f>
        <v>Andrei Iosivas</v>
      </c>
      <c r="AF68" t="str">
        <f>IFERROR(INDEX(TableWRCalcPts[TM],MATCH(TableWRRanks3242[[#This Row],[Player]],TableWRCalcPts[PLAYER],0)),"")</f>
        <v>CIN</v>
      </c>
      <c r="AG68">
        <f>IFERROR(INDEX(TableWRCalcPts[BYE],MATCH(TableWRRanks3242[[#This Row],[Player]],TableWRCalcPts[PLAYER],0)),"")</f>
        <v>12</v>
      </c>
      <c r="AH68" s="83">
        <f>VLOOKUP(TableWRRanks3242[[#This Row],[Player]],WR!B:O,4,FALSE)</f>
        <v>0</v>
      </c>
      <c r="AI68" s="83">
        <f>VLOOKUP(TableWRRanks3242[[#This Row],[Player]],WR!B:O,5,FALSE)</f>
        <v>0</v>
      </c>
      <c r="AJ68" s="83">
        <f>VLOOKUP(TableWRRanks3242[[#This Row],[Player]],WR!B:O,6,FALSE)</f>
        <v>77.322446880000001</v>
      </c>
      <c r="AK68" s="83">
        <f>VLOOKUP(TableWRRanks3242[[#This Row],[Player]],WR!B:O,7,FALSE)</f>
        <v>48.790463981279999</v>
      </c>
      <c r="AL68" s="83">
        <f>VLOOKUP(TableWRRanks3242[[#This Row],[Player]],WR!B:O,8,FALSE)</f>
        <v>534.255580595016</v>
      </c>
      <c r="AM68" s="83">
        <f>VLOOKUP(TableWRRanks3242[[#This Row],[Player]],WR!B:O,9,FALSE)</f>
        <v>3.8056561905398398</v>
      </c>
      <c r="AN68" s="57">
        <f>VLOOKUP(TableWRRanks3242[[#This Row],[Player]],WR!B:O,13,FALSE)</f>
        <v>100.65472719338064</v>
      </c>
      <c r="AO68" s="125">
        <f>IF(VLOOKUP(TableWRRanks3242[[#This Row],[RK]],'Ranks w Proj'!AD:AO,12,FALSE)&lt;0,0,VLOOKUP(TableWRRanks3242[[#This Row],[RK]],'Ranks w Proj'!AD:AO,12,FALSE))</f>
        <v>0</v>
      </c>
      <c r="AQ68">
        <v>67</v>
      </c>
      <c r="AR68">
        <f>VLOOKUP(TableTERanks3343[[#This Row],[RK]],Rankings!A:T,18,FALSE)</f>
        <v>0</v>
      </c>
      <c r="AS68" t="str">
        <f>IFERROR(INDEX(TableTECalcPts[TM],MATCH(TableTERanks3343[[#This Row],[Player]],TableTECalcPts[PLAYER],0)),"")</f>
        <v/>
      </c>
      <c r="AT68" t="str">
        <f>IFERROR(INDEX(TableTECalcPts[BYE],MATCH(TableTERanks3343[[#This Row],[Player]],TableTECalcPts[PLAYER],0)),"")</f>
        <v/>
      </c>
      <c r="AU68" s="83">
        <f>VLOOKUP(TableTERanks3343[[#This Row],[Player]],TE!B:O,4,FALSE)</f>
        <v>0</v>
      </c>
      <c r="AV68" s="83">
        <f>VLOOKUP(TableTERanks3343[[#This Row],[Player]],TE!B:O,5,FALSE)</f>
        <v>0</v>
      </c>
      <c r="AW68" s="83">
        <f>VLOOKUP(TableTERanks3343[[#This Row],[Player]],TE!B:O,6,FALSE)</f>
        <v>0</v>
      </c>
      <c r="AX68" s="83">
        <f>VLOOKUP(TableTERanks3343[[#This Row],[Player]],TE!B:O,7,FALSE)</f>
        <v>0</v>
      </c>
      <c r="AY68" s="57">
        <f>VLOOKUP(TableTERanks3343[[#This Row],[Player]],TE!B:O,11,FALSE)</f>
        <v>0</v>
      </c>
      <c r="AZ68" s="125">
        <f>IF(VLOOKUP(TableTERanks3343[[#This Row],[RK]],'Ranks w Proj'!AQ:AZ,10,FALSE)&lt;0,0,VLOOKUP(TableTERanks3343[[#This Row],[RK]],'Ranks w Proj'!AQ:AZ,10,FALSE))</f>
        <v>0</v>
      </c>
    </row>
    <row r="69" spans="1:52" x14ac:dyDescent="0.2">
      <c r="A69">
        <v>68</v>
      </c>
      <c r="B69">
        <f>VLOOKUP(TableQBRanks3040[[#This Row],[RK]],Rankings!A:T,3,FALSE)</f>
        <v>0</v>
      </c>
      <c r="C69" t="str">
        <f>IFERROR(INDEX(TableQBCalcPts[TM],MATCH(TableQBRanks3040[[#This Row],[Player]],TableQBCalcPts[PLAYER],0)),"")</f>
        <v/>
      </c>
      <c r="D69" t="str">
        <f>IFERROR(INDEX(TableQBCalcPts[BYE],MATCH(TableQBRanks3040[[#This Row],[Player]],TableQBCalcPts[PLAYER],0)),"")</f>
        <v/>
      </c>
      <c r="E69" s="83">
        <f>VLOOKUP(TableQBRanks3040[[#This Row],[Player]],QB!B:O,4,FALSE)</f>
        <v>0</v>
      </c>
      <c r="F69" s="83">
        <f>VLOOKUP(TableQBRanks3040[[#This Row],[Player]],QB!B:O,5,FALSE)</f>
        <v>0</v>
      </c>
      <c r="G69" s="83">
        <f>VLOOKUP(TableQBRanks3040[[#This Row],[Player]],QB!B:O,6,FALSE)</f>
        <v>0</v>
      </c>
      <c r="H69" s="83">
        <f>VLOOKUP(TableQBRanks3040[[#This Row],[Player]],QB!B:O,7,FALSE)</f>
        <v>0</v>
      </c>
      <c r="I69" s="83">
        <f>VLOOKUP(TableQBRanks3040[[#This Row],[Player]],QB!B:O,8,FALSE)</f>
        <v>0</v>
      </c>
      <c r="J69" s="83">
        <f>VLOOKUP(TableQBRanks3040[[#This Row],[Player]],QB!B:O,9,FALSE)</f>
        <v>0</v>
      </c>
      <c r="K69" s="83">
        <f>VLOOKUP(TableQBRanks3040[[#This Row],[Player]],QB!B:O,10,FALSE)</f>
        <v>0</v>
      </c>
      <c r="L69" s="83">
        <f>VLOOKUP(TableQBRanks3040[[#This Row],[Player]],QB!B:O,11,FALSE)</f>
        <v>0</v>
      </c>
      <c r="M69" s="57">
        <f>VLOOKUP(TableQBRanks3040[[#This Row],[Player]],QB!B:O,13,FALSE)</f>
        <v>0</v>
      </c>
      <c r="N69" s="125" t="str">
        <f>IF(VLOOKUP(TableQBRanks3040[[#This Row],[RK]],'Ranks w Proj'!$A:$N,14,FALSE)&lt;0,0,VLOOKUP(TableQBRanks3040[[#This Row],[RK]],'Ranks w Proj'!$A:$N,14,FALSE))</f>
        <v/>
      </c>
      <c r="P69">
        <v>68</v>
      </c>
      <c r="Q69" t="str">
        <f>VLOOKUP(TableRBRanks3141[[#This Row],[RK]],Rankings!A:T,8,FALSE)</f>
        <v>Dameon Pierce</v>
      </c>
      <c r="R69" t="str">
        <f>IFERROR(INDEX(TableRBCalcPts[TM],MATCH(TableRBRanks3141[[#This Row],[Player]],TableRBCalcPts[PLAYER],0)),"")</f>
        <v>HOU</v>
      </c>
      <c r="S69">
        <f>IFERROR(INDEX(TableRBCalcPts[BYE],MATCH(TableRBRanks3141[[#This Row],[Player]],TableRBCalcPts[PLAYER],0)),"")</f>
        <v>14</v>
      </c>
      <c r="T69" s="83">
        <f>VLOOKUP(TableRBRanks3141[[#This Row],[Player]],RB!B:O,4,FALSE)</f>
        <v>64.600972800000008</v>
      </c>
      <c r="U69" s="83">
        <f>VLOOKUP(TableRBRanks3141[[#This Row],[Player]],RB!B:O,5,FALSE)</f>
        <v>260.34192038400005</v>
      </c>
      <c r="V69" s="83">
        <f>VLOOKUP(TableRBRanks3141[[#This Row],[Player]],RB!B:O,6,FALSE)</f>
        <v>1.9380291840000001</v>
      </c>
      <c r="W69" s="83">
        <f>VLOOKUP(TableRBRanks3141[[#This Row],[Player]],RB!B:O,7,FALSE)</f>
        <v>5.9419359999999992</v>
      </c>
      <c r="X69" s="83">
        <f>VLOOKUP(TableRBRanks3141[[#This Row],[Player]],RB!B:O,8,FALSE)</f>
        <v>4.2306584319999994</v>
      </c>
      <c r="Y69" s="83">
        <f>VLOOKUP(TableRBRanks3141[[#This Row],[Player]],RB!B:O,9,FALSE)</f>
        <v>30.550307876084961</v>
      </c>
      <c r="Z69" s="83">
        <f>VLOOKUP(TableRBRanks3141[[#This Row],[Player]],RB!B:O,10,FALSE)</f>
        <v>0.10198107656411776</v>
      </c>
      <c r="AA69" s="57">
        <f>VLOOKUP(TableRBRanks3141[[#This Row],[Player]],RB!B:O,14,FALSE)</f>
        <v>43.444613605393208</v>
      </c>
      <c r="AB69" s="125">
        <f>IF(VLOOKUP(TableRBRanks3141[[#This Row],[RK]],'Ranks w Proj'!$P:$AB,13,FALSE)&lt;0,0,VLOOKUP(TableRBRanks3141[[#This Row],[RK]],'Ranks w Proj'!$P:$AB,13,FALSE))</f>
        <v>0</v>
      </c>
      <c r="AD69">
        <v>68</v>
      </c>
      <c r="AE69" t="str">
        <f>VLOOKUP(TableWRRanks3242[[#This Row],[RK]],Rankings!A:T,13,FALSE)</f>
        <v>Adam Thielen</v>
      </c>
      <c r="AF69" t="str">
        <f>IFERROR(INDEX(TableWRCalcPts[TM],MATCH(TableWRRanks3242[[#This Row],[Player]],TableWRCalcPts[PLAYER],0)),"")</f>
        <v>CAR</v>
      </c>
      <c r="AG69">
        <f>IFERROR(INDEX(TableWRCalcPts[BYE],MATCH(TableWRRanks3242[[#This Row],[Player]],TableWRCalcPts[PLAYER],0)),"")</f>
        <v>11</v>
      </c>
      <c r="AH69" s="83">
        <f>VLOOKUP(TableWRRanks3242[[#This Row],[Player]],WR!B:O,4,FALSE)</f>
        <v>0</v>
      </c>
      <c r="AI69" s="83">
        <f>VLOOKUP(TableWRRanks3242[[#This Row],[Player]],WR!B:O,5,FALSE)</f>
        <v>0</v>
      </c>
      <c r="AJ69" s="83">
        <f>VLOOKUP(TableWRRanks3242[[#This Row],[Player]],WR!B:O,6,FALSE)</f>
        <v>103.67146579999998</v>
      </c>
      <c r="AK69" s="83">
        <f>VLOOKUP(TableWRRanks3242[[#This Row],[Player]],WR!B:O,7,FALSE)</f>
        <v>67.490124235799996</v>
      </c>
      <c r="AL69" s="83">
        <f>VLOOKUP(TableWRRanks3242[[#This Row],[Player]],WR!B:O,8,FALSE)</f>
        <v>750.49018150209588</v>
      </c>
      <c r="AM69" s="83">
        <f>VLOOKUP(TableWRRanks3242[[#This Row],[Player]],WR!B:O,9,FALSE)</f>
        <v>4.6568185722702005</v>
      </c>
      <c r="AN69" s="57">
        <f>VLOOKUP(TableWRRanks3242[[#This Row],[Player]],WR!B:O,13,FALSE)</f>
        <v>136.73499170173079</v>
      </c>
      <c r="AO69" s="125">
        <f>IF(VLOOKUP(TableWRRanks3242[[#This Row],[RK]],'Ranks w Proj'!AD:AO,12,FALSE)&lt;0,0,VLOOKUP(TableWRRanks3242[[#This Row],[RK]],'Ranks w Proj'!AD:AO,12,FALSE))</f>
        <v>0</v>
      </c>
      <c r="AQ69">
        <v>68</v>
      </c>
      <c r="AR69">
        <f>VLOOKUP(TableTERanks3343[[#This Row],[RK]],Rankings!A:T,18,FALSE)</f>
        <v>0</v>
      </c>
      <c r="AS69" t="str">
        <f>IFERROR(INDEX(TableTECalcPts[TM],MATCH(TableTERanks3343[[#This Row],[Player]],TableTECalcPts[PLAYER],0)),"")</f>
        <v/>
      </c>
      <c r="AT69" t="str">
        <f>IFERROR(INDEX(TableTECalcPts[BYE],MATCH(TableTERanks3343[[#This Row],[Player]],TableTECalcPts[PLAYER],0)),"")</f>
        <v/>
      </c>
      <c r="AU69" s="83">
        <f>VLOOKUP(TableTERanks3343[[#This Row],[Player]],TE!B:O,4,FALSE)</f>
        <v>0</v>
      </c>
      <c r="AV69" s="83">
        <f>VLOOKUP(TableTERanks3343[[#This Row],[Player]],TE!B:O,5,FALSE)</f>
        <v>0</v>
      </c>
      <c r="AW69" s="83">
        <f>VLOOKUP(TableTERanks3343[[#This Row],[Player]],TE!B:O,6,FALSE)</f>
        <v>0</v>
      </c>
      <c r="AX69" s="83">
        <f>VLOOKUP(TableTERanks3343[[#This Row],[Player]],TE!B:O,7,FALSE)</f>
        <v>0</v>
      </c>
      <c r="AY69" s="57">
        <f>VLOOKUP(TableTERanks3343[[#This Row],[Player]],TE!B:O,11,FALSE)</f>
        <v>0</v>
      </c>
      <c r="AZ69" s="125">
        <f>IF(VLOOKUP(TableTERanks3343[[#This Row],[RK]],'Ranks w Proj'!AQ:AZ,10,FALSE)&lt;0,0,VLOOKUP(TableTERanks3343[[#This Row],[RK]],'Ranks w Proj'!AQ:AZ,10,FALSE))</f>
        <v>0</v>
      </c>
    </row>
    <row r="70" spans="1:52" x14ac:dyDescent="0.2">
      <c r="A70">
        <v>69</v>
      </c>
      <c r="B70">
        <f>VLOOKUP(TableQBRanks3040[[#This Row],[RK]],Rankings!A:T,3,FALSE)</f>
        <v>0</v>
      </c>
      <c r="C70" t="str">
        <f>IFERROR(INDEX(TableQBCalcPts[TM],MATCH(TableQBRanks3040[[#This Row],[Player]],TableQBCalcPts[PLAYER],0)),"")</f>
        <v/>
      </c>
      <c r="D70" t="str">
        <f>IFERROR(INDEX(TableQBCalcPts[BYE],MATCH(TableQBRanks3040[[#This Row],[Player]],TableQBCalcPts[PLAYER],0)),"")</f>
        <v/>
      </c>
      <c r="E70" s="83">
        <f>VLOOKUP(TableQBRanks3040[[#This Row],[Player]],QB!B:O,4,FALSE)</f>
        <v>0</v>
      </c>
      <c r="F70" s="83">
        <f>VLOOKUP(TableQBRanks3040[[#This Row],[Player]],QB!B:O,5,FALSE)</f>
        <v>0</v>
      </c>
      <c r="G70" s="83">
        <f>VLOOKUP(TableQBRanks3040[[#This Row],[Player]],QB!B:O,6,FALSE)</f>
        <v>0</v>
      </c>
      <c r="H70" s="83">
        <f>VLOOKUP(TableQBRanks3040[[#This Row],[Player]],QB!B:O,7,FALSE)</f>
        <v>0</v>
      </c>
      <c r="I70" s="83">
        <f>VLOOKUP(TableQBRanks3040[[#This Row],[Player]],QB!B:O,8,FALSE)</f>
        <v>0</v>
      </c>
      <c r="J70" s="83">
        <f>VLOOKUP(TableQBRanks3040[[#This Row],[Player]],QB!B:O,9,FALSE)</f>
        <v>0</v>
      </c>
      <c r="K70" s="83">
        <f>VLOOKUP(TableQBRanks3040[[#This Row],[Player]],QB!B:O,10,FALSE)</f>
        <v>0</v>
      </c>
      <c r="L70" s="83">
        <f>VLOOKUP(TableQBRanks3040[[#This Row],[Player]],QB!B:O,11,FALSE)</f>
        <v>0</v>
      </c>
      <c r="M70" s="57">
        <f>VLOOKUP(TableQBRanks3040[[#This Row],[Player]],QB!B:O,13,FALSE)</f>
        <v>0</v>
      </c>
      <c r="N70" s="125" t="str">
        <f>IF(VLOOKUP(TableQBRanks3040[[#This Row],[RK]],'Ranks w Proj'!$A:$N,14,FALSE)&lt;0,0,VLOOKUP(TableQBRanks3040[[#This Row],[RK]],'Ranks w Proj'!$A:$N,14,FALSE))</f>
        <v/>
      </c>
      <c r="P70">
        <v>69</v>
      </c>
      <c r="Q70" t="str">
        <f>VLOOKUP(TableRBRanks3141[[#This Row],[RK]],Rankings!A:T,8,FALSE)</f>
        <v>Dylan Laube</v>
      </c>
      <c r="R70" t="str">
        <f>IFERROR(INDEX(TableRBCalcPts[TM],MATCH(TableRBRanks3141[[#This Row],[Player]],TableRBCalcPts[PLAYER],0)),"")</f>
        <v>LV</v>
      </c>
      <c r="S70">
        <f>IFERROR(INDEX(TableRBCalcPts[BYE],MATCH(TableRBRanks3141[[#This Row],[Player]],TableRBCalcPts[PLAYER],0)),"")</f>
        <v>10</v>
      </c>
      <c r="T70" s="83">
        <f>VLOOKUP(TableRBRanks3141[[#This Row],[Player]],RB!B:O,4,FALSE)</f>
        <v>46.407900000000005</v>
      </c>
      <c r="U70" s="83">
        <f>VLOOKUP(TableRBRanks3141[[#This Row],[Player]],RB!B:O,5,FALSE)</f>
        <v>198.69206506604641</v>
      </c>
      <c r="V70" s="83">
        <f>VLOOKUP(TableRBRanks3141[[#This Row],[Player]],RB!B:O,6,FALSE)</f>
        <v>1.4850528000000003</v>
      </c>
      <c r="W70" s="83">
        <f>VLOOKUP(TableRBRanks3141[[#This Row],[Player]],RB!B:O,7,FALSE)</f>
        <v>23.304399999999998</v>
      </c>
      <c r="X70" s="83">
        <f>VLOOKUP(TableRBRanks3141[[#This Row],[Player]],RB!B:O,8,FALSE)</f>
        <v>17.105429599999994</v>
      </c>
      <c r="Y70" s="83">
        <f>VLOOKUP(TableRBRanks3141[[#This Row],[Player]],RB!B:O,9,FALSE)</f>
        <v>132.31325108910247</v>
      </c>
      <c r="Z70" s="83">
        <f>VLOOKUP(TableRBRanks3141[[#This Row],[Player]],RB!B:O,10,FALSE)</f>
        <v>0.48073023317946967</v>
      </c>
      <c r="AA70" s="57">
        <f>VLOOKUP(TableRBRanks3141[[#This Row],[Player]],RB!B:O,14,FALSE)</f>
        <v>53.447944614591705</v>
      </c>
      <c r="AB70" s="125">
        <f>IF(VLOOKUP(TableRBRanks3141[[#This Row],[RK]],'Ranks w Proj'!$P:$AB,13,FALSE)&lt;0,0,VLOOKUP(TableRBRanks3141[[#This Row],[RK]],'Ranks w Proj'!$P:$AB,13,FALSE))</f>
        <v>0</v>
      </c>
      <c r="AD70">
        <v>69</v>
      </c>
      <c r="AE70" t="str">
        <f>VLOOKUP(TableWRRanks3242[[#This Row],[RK]],Rankings!A:T,13,FALSE)</f>
        <v>Wan'Dale Robinson</v>
      </c>
      <c r="AF70" t="str">
        <f>IFERROR(INDEX(TableWRCalcPts[TM],MATCH(TableWRRanks3242[[#This Row],[Player]],TableWRCalcPts[PLAYER],0)),"")</f>
        <v>NYG</v>
      </c>
      <c r="AG70">
        <f>IFERROR(INDEX(TableWRCalcPts[BYE],MATCH(TableWRRanks3242[[#This Row],[Player]],TableWRCalcPts[PLAYER],0)),"")</f>
        <v>11</v>
      </c>
      <c r="AH70" s="83">
        <f>VLOOKUP(TableWRRanks3242[[#This Row],[Player]],WR!B:O,4,FALSE)</f>
        <v>52.713238816000008</v>
      </c>
      <c r="AI70" s="83">
        <f>VLOOKUP(TableWRRanks3242[[#This Row],[Player]],WR!B:O,5,FALSE)</f>
        <v>8.3695114626934686E-2</v>
      </c>
      <c r="AJ70" s="83">
        <f>VLOOKUP(TableWRRanks3242[[#This Row],[Player]],WR!B:O,6,FALSE)</f>
        <v>98.278484639999988</v>
      </c>
      <c r="AK70" s="83">
        <f>VLOOKUP(TableWRRanks3242[[#This Row],[Player]],WR!B:O,7,FALSE)</f>
        <v>68.303546824799994</v>
      </c>
      <c r="AL70" s="83">
        <f>VLOOKUP(TableWRRanks3242[[#This Row],[Player]],WR!B:O,8,FALSE)</f>
        <v>661.39370114474991</v>
      </c>
      <c r="AM70" s="83">
        <f>VLOOKUP(TableWRRanks3242[[#This Row],[Player]],WR!B:O,9,FALSE)</f>
        <v>3.2193948437875664</v>
      </c>
      <c r="AN70" s="57">
        <f>VLOOKUP(TableWRRanks3242[[#This Row],[Player]],WR!B:O,13,FALSE)</f>
        <v>125.38100715896201</v>
      </c>
      <c r="AO70" s="125">
        <f>IF(VLOOKUP(TableWRRanks3242[[#This Row],[RK]],'Ranks w Proj'!AD:AO,12,FALSE)&lt;0,0,VLOOKUP(TableWRRanks3242[[#This Row],[RK]],'Ranks w Proj'!AD:AO,12,FALSE))</f>
        <v>0</v>
      </c>
      <c r="AQ70">
        <v>69</v>
      </c>
      <c r="AR70">
        <f>VLOOKUP(TableTERanks3343[[#This Row],[RK]],Rankings!A:T,18,FALSE)</f>
        <v>0</v>
      </c>
      <c r="AS70" t="str">
        <f>IFERROR(INDEX(TableTECalcPts[TM],MATCH(TableTERanks3343[[#This Row],[Player]],TableTECalcPts[PLAYER],0)),"")</f>
        <v/>
      </c>
      <c r="AT70" t="str">
        <f>IFERROR(INDEX(TableTECalcPts[BYE],MATCH(TableTERanks3343[[#This Row],[Player]],TableTECalcPts[PLAYER],0)),"")</f>
        <v/>
      </c>
      <c r="AU70" s="83">
        <f>VLOOKUP(TableTERanks3343[[#This Row],[Player]],TE!B:O,4,FALSE)</f>
        <v>0</v>
      </c>
      <c r="AV70" s="83">
        <f>VLOOKUP(TableTERanks3343[[#This Row],[Player]],TE!B:O,5,FALSE)</f>
        <v>0</v>
      </c>
      <c r="AW70" s="83">
        <f>VLOOKUP(TableTERanks3343[[#This Row],[Player]],TE!B:O,6,FALSE)</f>
        <v>0</v>
      </c>
      <c r="AX70" s="83">
        <f>VLOOKUP(TableTERanks3343[[#This Row],[Player]],TE!B:O,7,FALSE)</f>
        <v>0</v>
      </c>
      <c r="AY70" s="57">
        <f>VLOOKUP(TableTERanks3343[[#This Row],[Player]],TE!B:O,11,FALSE)</f>
        <v>0</v>
      </c>
      <c r="AZ70" s="125">
        <f>IF(VLOOKUP(TableTERanks3343[[#This Row],[RK]],'Ranks w Proj'!AQ:AZ,10,FALSE)&lt;0,0,VLOOKUP(TableTERanks3343[[#This Row],[RK]],'Ranks w Proj'!AQ:AZ,10,FALSE))</f>
        <v>0</v>
      </c>
    </row>
    <row r="71" spans="1:52" x14ac:dyDescent="0.2">
      <c r="A71">
        <v>70</v>
      </c>
      <c r="B71">
        <f>VLOOKUP(TableQBRanks3040[[#This Row],[RK]],Rankings!A:T,3,FALSE)</f>
        <v>0</v>
      </c>
      <c r="C71" t="str">
        <f>IFERROR(INDEX(TableQBCalcPts[TM],MATCH(TableQBRanks3040[[#This Row],[Player]],TableQBCalcPts[PLAYER],0)),"")</f>
        <v/>
      </c>
      <c r="D71" t="str">
        <f>IFERROR(INDEX(TableQBCalcPts[BYE],MATCH(TableQBRanks3040[[#This Row],[Player]],TableQBCalcPts[PLAYER],0)),"")</f>
        <v/>
      </c>
      <c r="E71" s="83">
        <f>VLOOKUP(TableQBRanks3040[[#This Row],[Player]],QB!B:O,4,FALSE)</f>
        <v>0</v>
      </c>
      <c r="F71" s="83">
        <f>VLOOKUP(TableQBRanks3040[[#This Row],[Player]],QB!B:O,5,FALSE)</f>
        <v>0</v>
      </c>
      <c r="G71" s="83">
        <f>VLOOKUP(TableQBRanks3040[[#This Row],[Player]],QB!B:O,6,FALSE)</f>
        <v>0</v>
      </c>
      <c r="H71" s="83">
        <f>VLOOKUP(TableQBRanks3040[[#This Row],[Player]],QB!B:O,7,FALSE)</f>
        <v>0</v>
      </c>
      <c r="I71" s="83">
        <f>VLOOKUP(TableQBRanks3040[[#This Row],[Player]],QB!B:O,8,FALSE)</f>
        <v>0</v>
      </c>
      <c r="J71" s="83">
        <f>VLOOKUP(TableQBRanks3040[[#This Row],[Player]],QB!B:O,9,FALSE)</f>
        <v>0</v>
      </c>
      <c r="K71" s="83">
        <f>VLOOKUP(TableQBRanks3040[[#This Row],[Player]],QB!B:O,10,FALSE)</f>
        <v>0</v>
      </c>
      <c r="L71" s="83">
        <f>VLOOKUP(TableQBRanks3040[[#This Row],[Player]],QB!B:O,11,FALSE)</f>
        <v>0</v>
      </c>
      <c r="M71" s="57">
        <f>VLOOKUP(TableQBRanks3040[[#This Row],[Player]],QB!B:O,13,FALSE)</f>
        <v>0</v>
      </c>
      <c r="N71" s="125" t="str">
        <f>IF(VLOOKUP(TableQBRanks3040[[#This Row],[RK]],'Ranks w Proj'!$A:$N,14,FALSE)&lt;0,0,VLOOKUP(TableQBRanks3040[[#This Row],[RK]],'Ranks w Proj'!$A:$N,14,FALSE))</f>
        <v/>
      </c>
      <c r="P71">
        <v>70</v>
      </c>
      <c r="Q71" t="str">
        <f>VLOOKUP(TableRBRanks3141[[#This Row],[RK]],Rankings!A:T,8,FALSE)</f>
        <v>Eric Gray</v>
      </c>
      <c r="R71" t="str">
        <f>IFERROR(INDEX(TableRBCalcPts[TM],MATCH(TableRBRanks3141[[#This Row],[Player]],TableRBCalcPts[PLAYER],0)),"")</f>
        <v>NYG</v>
      </c>
      <c r="S71">
        <f>IFERROR(INDEX(TableRBCalcPts[BYE],MATCH(TableRBRanks3141[[#This Row],[Player]],TableRBCalcPts[PLAYER],0)),"")</f>
        <v>11</v>
      </c>
      <c r="T71" s="83">
        <f>VLOOKUP(TableRBRanks3141[[#This Row],[Player]],RB!B:O,4,FALSE)</f>
        <v>64.027727679999998</v>
      </c>
      <c r="U71" s="83">
        <f>VLOOKUP(TableRBRanks3141[[#This Row],[Player]],RB!B:O,5,FALSE)</f>
        <v>267.63590170239996</v>
      </c>
      <c r="V71" s="83">
        <f>VLOOKUP(TableRBRanks3141[[#This Row],[Player]],RB!B:O,6,FALSE)</f>
        <v>2.1129150134399999</v>
      </c>
      <c r="W71" s="83">
        <f>VLOOKUP(TableRBRanks3141[[#This Row],[Player]],RB!B:O,7,FALSE)</f>
        <v>16.477829759999995</v>
      </c>
      <c r="X71" s="83">
        <f>VLOOKUP(TableRBRanks3141[[#This Row],[Player]],RB!B:O,8,FALSE)</f>
        <v>11.864037427199996</v>
      </c>
      <c r="Y71" s="83">
        <f>VLOOKUP(TableRBRanks3141[[#This Row],[Player]],RB!B:O,9,FALSE)</f>
        <v>83.443313080964188</v>
      </c>
      <c r="Z71" s="83">
        <f>VLOOKUP(TableRBRanks3141[[#This Row],[Player]],RB!B:O,10,FALSE)</f>
        <v>0.39362498111725314</v>
      </c>
      <c r="AA71" s="57">
        <f>VLOOKUP(TableRBRanks3141[[#This Row],[Player]],RB!B:O,14,FALSE)</f>
        <v>56.079180159279936</v>
      </c>
      <c r="AB71" s="125">
        <f>IF(VLOOKUP(TableRBRanks3141[[#This Row],[RK]],'Ranks w Proj'!$P:$AB,13,FALSE)&lt;0,0,VLOOKUP(TableRBRanks3141[[#This Row],[RK]],'Ranks w Proj'!$P:$AB,13,FALSE))</f>
        <v>0</v>
      </c>
      <c r="AD71">
        <v>70</v>
      </c>
      <c r="AE71" t="str">
        <f>VLOOKUP(TableWRRanks3242[[#This Row],[RK]],Rankings!A:T,13,FALSE)</f>
        <v>Greg Dortch</v>
      </c>
      <c r="AF71" t="str">
        <f>IFERROR(INDEX(TableWRCalcPts[TM],MATCH(TableWRRanks3242[[#This Row],[Player]],TableWRCalcPts[PLAYER],0)),"")</f>
        <v>ARI</v>
      </c>
      <c r="AG71">
        <f>IFERROR(INDEX(TableWRCalcPts[BYE],MATCH(TableWRRanks3242[[#This Row],[Player]],TableWRCalcPts[PLAYER],0)),"")</f>
        <v>11</v>
      </c>
      <c r="AH71" s="83">
        <f>VLOOKUP(TableWRRanks3242[[#This Row],[Player]],WR!B:O,4,FALSE)</f>
        <v>22.7912769</v>
      </c>
      <c r="AI71" s="83">
        <f>VLOOKUP(TableWRRanks3242[[#This Row],[Player]],WR!B:O,5,FALSE)</f>
        <v>1.8917865093866917E-2</v>
      </c>
      <c r="AJ71" s="83">
        <f>VLOOKUP(TableWRRanks3242[[#This Row],[Player]],WR!B:O,6,FALSE)</f>
        <v>89.043265500000004</v>
      </c>
      <c r="AK71" s="83">
        <f>VLOOKUP(TableWRRanks3242[[#This Row],[Player]],WR!B:O,7,FALSE)</f>
        <v>57.878122575000006</v>
      </c>
      <c r="AL71" s="83">
        <f>VLOOKUP(TableWRRanks3242[[#This Row],[Player]],WR!B:O,8,FALSE)</f>
        <v>613.56250624091058</v>
      </c>
      <c r="AM71" s="83">
        <f>VLOOKUP(TableWRRanks3242[[#This Row],[Player]],WR!B:O,9,FALSE)</f>
        <v>3.7041998448000006</v>
      </c>
      <c r="AN71" s="57">
        <f>VLOOKUP(TableWRRanks3242[[#This Row],[Player]],WR!B:O,13,FALSE)</f>
        <v>114.91314586095427</v>
      </c>
      <c r="AO71" s="125">
        <f>IF(VLOOKUP(TableWRRanks3242[[#This Row],[RK]],'Ranks w Proj'!AD:AO,12,FALSE)&lt;0,0,VLOOKUP(TableWRRanks3242[[#This Row],[RK]],'Ranks w Proj'!AD:AO,12,FALSE))</f>
        <v>0</v>
      </c>
      <c r="AQ71">
        <v>70</v>
      </c>
      <c r="AR71">
        <f>VLOOKUP(TableTERanks3343[[#This Row],[RK]],Rankings!A:T,18,FALSE)</f>
        <v>0</v>
      </c>
      <c r="AS71" t="str">
        <f>IFERROR(INDEX(TableTECalcPts[TM],MATCH(TableTERanks3343[[#This Row],[Player]],TableTECalcPts[PLAYER],0)),"")</f>
        <v/>
      </c>
      <c r="AT71" t="str">
        <f>IFERROR(INDEX(TableTECalcPts[BYE],MATCH(TableTERanks3343[[#This Row],[Player]],TableTECalcPts[PLAYER],0)),"")</f>
        <v/>
      </c>
      <c r="AU71" s="83">
        <f>VLOOKUP(TableTERanks3343[[#This Row],[Player]],TE!B:O,4,FALSE)</f>
        <v>0</v>
      </c>
      <c r="AV71" s="83">
        <f>VLOOKUP(TableTERanks3343[[#This Row],[Player]],TE!B:O,5,FALSE)</f>
        <v>0</v>
      </c>
      <c r="AW71" s="83">
        <f>VLOOKUP(TableTERanks3343[[#This Row],[Player]],TE!B:O,6,FALSE)</f>
        <v>0</v>
      </c>
      <c r="AX71" s="83">
        <f>VLOOKUP(TableTERanks3343[[#This Row],[Player]],TE!B:O,7,FALSE)</f>
        <v>0</v>
      </c>
      <c r="AY71" s="57">
        <f>VLOOKUP(TableTERanks3343[[#This Row],[Player]],TE!B:O,11,FALSE)</f>
        <v>0</v>
      </c>
      <c r="AZ71" s="125">
        <f>IF(VLOOKUP(TableTERanks3343[[#This Row],[RK]],'Ranks w Proj'!AQ:AZ,10,FALSE)&lt;0,0,VLOOKUP(TableTERanks3343[[#This Row],[RK]],'Ranks w Proj'!AQ:AZ,10,FALSE))</f>
        <v>0</v>
      </c>
    </row>
    <row r="72" spans="1:52" x14ac:dyDescent="0.2">
      <c r="A72">
        <v>71</v>
      </c>
      <c r="B72">
        <f>VLOOKUP(TableQBRanks3040[[#This Row],[RK]],Rankings!A:T,3,FALSE)</f>
        <v>0</v>
      </c>
      <c r="C72" t="str">
        <f>IFERROR(INDEX(TableQBCalcPts[TM],MATCH(TableQBRanks3040[[#This Row],[Player]],TableQBCalcPts[PLAYER],0)),"")</f>
        <v/>
      </c>
      <c r="D72" t="str">
        <f>IFERROR(INDEX(TableQBCalcPts[BYE],MATCH(TableQBRanks3040[[#This Row],[Player]],TableQBCalcPts[PLAYER],0)),"")</f>
        <v/>
      </c>
      <c r="E72" s="83">
        <f>VLOOKUP(TableQBRanks3040[[#This Row],[Player]],QB!B:O,4,FALSE)</f>
        <v>0</v>
      </c>
      <c r="F72" s="83">
        <f>VLOOKUP(TableQBRanks3040[[#This Row],[Player]],QB!B:O,5,FALSE)</f>
        <v>0</v>
      </c>
      <c r="G72" s="83">
        <f>VLOOKUP(TableQBRanks3040[[#This Row],[Player]],QB!B:O,6,FALSE)</f>
        <v>0</v>
      </c>
      <c r="H72" s="83">
        <f>VLOOKUP(TableQBRanks3040[[#This Row],[Player]],QB!B:O,7,FALSE)</f>
        <v>0</v>
      </c>
      <c r="I72" s="83">
        <f>VLOOKUP(TableQBRanks3040[[#This Row],[Player]],QB!B:O,8,FALSE)</f>
        <v>0</v>
      </c>
      <c r="J72" s="83">
        <f>VLOOKUP(TableQBRanks3040[[#This Row],[Player]],QB!B:O,9,FALSE)</f>
        <v>0</v>
      </c>
      <c r="K72" s="83">
        <f>VLOOKUP(TableQBRanks3040[[#This Row],[Player]],QB!B:O,10,FALSE)</f>
        <v>0</v>
      </c>
      <c r="L72" s="83">
        <f>VLOOKUP(TableQBRanks3040[[#This Row],[Player]],QB!B:O,11,FALSE)</f>
        <v>0</v>
      </c>
      <c r="M72" s="57">
        <f>VLOOKUP(TableQBRanks3040[[#This Row],[Player]],QB!B:O,13,FALSE)</f>
        <v>0</v>
      </c>
      <c r="N72" s="125" t="str">
        <f>IF(VLOOKUP(TableQBRanks3040[[#This Row],[RK]],'Ranks w Proj'!$A:$N,14,FALSE)&lt;0,0,VLOOKUP(TableQBRanks3040[[#This Row],[RK]],'Ranks w Proj'!$A:$N,14,FALSE))</f>
        <v/>
      </c>
      <c r="P72">
        <v>71</v>
      </c>
      <c r="Q72" t="str">
        <f>VLOOKUP(TableRBRanks3141[[#This Row],[RK]],Rankings!A:T,8,FALSE)</f>
        <v>Trey Sermon</v>
      </c>
      <c r="R72" t="str">
        <f>IFERROR(INDEX(TableRBCalcPts[TM],MATCH(TableRBRanks3141[[#This Row],[Player]],TableRBCalcPts[PLAYER],0)),"")</f>
        <v>IND</v>
      </c>
      <c r="S72">
        <f>IFERROR(INDEX(TableRBCalcPts[BYE],MATCH(TableRBRanks3141[[#This Row],[Player]],TableRBCalcPts[PLAYER],0)),"")</f>
        <v>14</v>
      </c>
      <c r="T72" s="83">
        <f>VLOOKUP(TableRBRanks3141[[#This Row],[Player]],RB!B:O,4,FALSE)</f>
        <v>41.435085999999998</v>
      </c>
      <c r="U72" s="83">
        <f>VLOOKUP(TableRBRanks3141[[#This Row],[Player]],RB!B:O,5,FALSE)</f>
        <v>179.16653108141364</v>
      </c>
      <c r="V72" s="83">
        <f>VLOOKUP(TableRBRanks3141[[#This Row],[Player]],RB!B:O,6,FALSE)</f>
        <v>1.2430525799999999</v>
      </c>
      <c r="W72" s="83">
        <f>VLOOKUP(TableRBRanks3141[[#This Row],[Player]],RB!B:O,7,FALSE)</f>
        <v>16.098852000000001</v>
      </c>
      <c r="X72" s="83">
        <f>VLOOKUP(TableRBRanks3141[[#This Row],[Player]],RB!B:O,8,FALSE)</f>
        <v>11.2691964</v>
      </c>
      <c r="Y72" s="83">
        <f>VLOOKUP(TableRBRanks3141[[#This Row],[Player]],RB!B:O,9,FALSE)</f>
        <v>82.265133719999994</v>
      </c>
      <c r="Z72" s="83">
        <f>VLOOKUP(TableRBRanks3141[[#This Row],[Player]],RB!B:O,10,FALSE)</f>
        <v>0.33807589199999999</v>
      </c>
      <c r="AA72" s="57">
        <f>VLOOKUP(TableRBRanks3141[[#This Row],[Player]],RB!B:O,14,FALSE)</f>
        <v>41.264535512141364</v>
      </c>
      <c r="AB72" s="125">
        <f>IF(VLOOKUP(TableRBRanks3141[[#This Row],[RK]],'Ranks w Proj'!$P:$AB,13,FALSE)&lt;0,0,VLOOKUP(TableRBRanks3141[[#This Row],[RK]],'Ranks w Proj'!$P:$AB,13,FALSE))</f>
        <v>0</v>
      </c>
      <c r="AD72">
        <v>71</v>
      </c>
      <c r="AE72" t="str">
        <f>VLOOKUP(TableWRRanks3242[[#This Row],[RK]],Rankings!A:T,13,FALSE)</f>
        <v>Michael Wilson</v>
      </c>
      <c r="AF72" t="str">
        <f>IFERROR(INDEX(TableWRCalcPts[TM],MATCH(TableWRRanks3242[[#This Row],[Player]],TableWRCalcPts[PLAYER],0)),"")</f>
        <v>ARI</v>
      </c>
      <c r="AG72">
        <f>IFERROR(INDEX(TableWRCalcPts[BYE],MATCH(TableWRRanks3242[[#This Row],[Player]],TableWRCalcPts[PLAYER],0)),"")</f>
        <v>11</v>
      </c>
      <c r="AH72" s="83">
        <f>VLOOKUP(TableWRRanks3242[[#This Row],[Player]],WR!B:O,4,FALSE)</f>
        <v>0</v>
      </c>
      <c r="AI72" s="83">
        <f>VLOOKUP(TableWRRanks3242[[#This Row],[Player]],WR!B:O,5,FALSE)</f>
        <v>0</v>
      </c>
      <c r="AJ72" s="83">
        <f>VLOOKUP(TableWRRanks3242[[#This Row],[Player]],WR!B:O,6,FALSE)</f>
        <v>82.556670000000011</v>
      </c>
      <c r="AK72" s="83">
        <f>VLOOKUP(TableWRRanks3242[[#This Row],[Player]],WR!B:O,7,FALSE)</f>
        <v>49.781672010000008</v>
      </c>
      <c r="AL72" s="83">
        <f>VLOOKUP(TableWRRanks3242[[#This Row],[Player]],WR!B:O,8,FALSE)</f>
        <v>619.78181652450007</v>
      </c>
      <c r="AM72" s="83">
        <f>VLOOKUP(TableWRRanks3242[[#This Row],[Player]],WR!B:O,9,FALSE)</f>
        <v>3.7336254007500003</v>
      </c>
      <c r="AN72" s="57">
        <f>VLOOKUP(TableWRRanks3242[[#This Row],[Player]],WR!B:O,13,FALSE)</f>
        <v>109.27077006195002</v>
      </c>
      <c r="AO72" s="125">
        <f>IF(VLOOKUP(TableWRRanks3242[[#This Row],[RK]],'Ranks w Proj'!AD:AO,12,FALSE)&lt;0,0,VLOOKUP(TableWRRanks3242[[#This Row],[RK]],'Ranks w Proj'!AD:AO,12,FALSE))</f>
        <v>0</v>
      </c>
      <c r="AQ72">
        <v>71</v>
      </c>
      <c r="AR72">
        <f>VLOOKUP(TableTERanks3343[[#This Row],[RK]],Rankings!A:T,18,FALSE)</f>
        <v>0</v>
      </c>
      <c r="AS72" t="str">
        <f>IFERROR(INDEX(TableTECalcPts[TM],MATCH(TableTERanks3343[[#This Row],[Player]],TableTECalcPts[PLAYER],0)),"")</f>
        <v/>
      </c>
      <c r="AT72" t="str">
        <f>IFERROR(INDEX(TableTECalcPts[BYE],MATCH(TableTERanks3343[[#This Row],[Player]],TableTECalcPts[PLAYER],0)),"")</f>
        <v/>
      </c>
      <c r="AU72" s="83">
        <f>VLOOKUP(TableTERanks3343[[#This Row],[Player]],TE!B:O,4,FALSE)</f>
        <v>0</v>
      </c>
      <c r="AV72" s="83">
        <f>VLOOKUP(TableTERanks3343[[#This Row],[Player]],TE!B:O,5,FALSE)</f>
        <v>0</v>
      </c>
      <c r="AW72" s="83">
        <f>VLOOKUP(TableTERanks3343[[#This Row],[Player]],TE!B:O,6,FALSE)</f>
        <v>0</v>
      </c>
      <c r="AX72" s="83">
        <f>VLOOKUP(TableTERanks3343[[#This Row],[Player]],TE!B:O,7,FALSE)</f>
        <v>0</v>
      </c>
      <c r="AY72" s="57">
        <f>VLOOKUP(TableTERanks3343[[#This Row],[Player]],TE!B:O,11,FALSE)</f>
        <v>0</v>
      </c>
      <c r="AZ72" s="125">
        <f>IF(VLOOKUP(TableTERanks3343[[#This Row],[RK]],'Ranks w Proj'!AQ:AZ,10,FALSE)&lt;0,0,VLOOKUP(TableTERanks3343[[#This Row],[RK]],'Ranks w Proj'!AQ:AZ,10,FALSE))</f>
        <v>0</v>
      </c>
    </row>
    <row r="73" spans="1:52" x14ac:dyDescent="0.2">
      <c r="A73">
        <v>72</v>
      </c>
      <c r="B73">
        <f>VLOOKUP(TableQBRanks3040[[#This Row],[RK]],Rankings!A:T,3,FALSE)</f>
        <v>0</v>
      </c>
      <c r="C73" t="str">
        <f>IFERROR(INDEX(TableQBCalcPts[TM],MATCH(TableQBRanks3040[[#This Row],[Player]],TableQBCalcPts[PLAYER],0)),"")</f>
        <v/>
      </c>
      <c r="D73" t="str">
        <f>IFERROR(INDEX(TableQBCalcPts[BYE],MATCH(TableQBRanks3040[[#This Row],[Player]],TableQBCalcPts[PLAYER],0)),"")</f>
        <v/>
      </c>
      <c r="E73" s="83">
        <f>VLOOKUP(TableQBRanks3040[[#This Row],[Player]],QB!B:O,4,FALSE)</f>
        <v>0</v>
      </c>
      <c r="F73" s="83">
        <f>VLOOKUP(TableQBRanks3040[[#This Row],[Player]],QB!B:O,5,FALSE)</f>
        <v>0</v>
      </c>
      <c r="G73" s="83">
        <f>VLOOKUP(TableQBRanks3040[[#This Row],[Player]],QB!B:O,6,FALSE)</f>
        <v>0</v>
      </c>
      <c r="H73" s="83">
        <f>VLOOKUP(TableQBRanks3040[[#This Row],[Player]],QB!B:O,7,FALSE)</f>
        <v>0</v>
      </c>
      <c r="I73" s="83">
        <f>VLOOKUP(TableQBRanks3040[[#This Row],[Player]],QB!B:O,8,FALSE)</f>
        <v>0</v>
      </c>
      <c r="J73" s="83">
        <f>VLOOKUP(TableQBRanks3040[[#This Row],[Player]],QB!B:O,9,FALSE)</f>
        <v>0</v>
      </c>
      <c r="K73" s="83">
        <f>VLOOKUP(TableQBRanks3040[[#This Row],[Player]],QB!B:O,10,FALSE)</f>
        <v>0</v>
      </c>
      <c r="L73" s="83">
        <f>VLOOKUP(TableQBRanks3040[[#This Row],[Player]],QB!B:O,11,FALSE)</f>
        <v>0</v>
      </c>
      <c r="M73" s="57">
        <f>VLOOKUP(TableQBRanks3040[[#This Row],[Player]],QB!B:O,13,FALSE)</f>
        <v>0</v>
      </c>
      <c r="N73" s="125" t="str">
        <f>IF(VLOOKUP(TableQBRanks3040[[#This Row],[RK]],'Ranks w Proj'!$A:$N,14,FALSE)&lt;0,0,VLOOKUP(TableQBRanks3040[[#This Row],[RK]],'Ranks w Proj'!$A:$N,14,FALSE))</f>
        <v/>
      </c>
      <c r="P73">
        <v>72</v>
      </c>
      <c r="Q73" t="str">
        <f>VLOOKUP(TableRBRanks3141[[#This Row],[RK]],Rankings!A:T,8,FALSE)</f>
        <v>Will Shipley</v>
      </c>
      <c r="R73" t="str">
        <f>IFERROR(INDEX(TableRBCalcPts[TM],MATCH(TableRBRanks3141[[#This Row],[Player]],TableRBCalcPts[PLAYER],0)),"")</f>
        <v>PHI</v>
      </c>
      <c r="S73">
        <f>IFERROR(INDEX(TableRBCalcPts[BYE],MATCH(TableRBRanks3141[[#This Row],[Player]],TableRBCalcPts[PLAYER],0)),"")</f>
        <v>5</v>
      </c>
      <c r="T73" s="83">
        <f>VLOOKUP(TableRBRanks3141[[#This Row],[Player]],RB!B:O,4,FALSE)</f>
        <v>33.803884799999999</v>
      </c>
      <c r="U73" s="83">
        <f>VLOOKUP(TableRBRanks3141[[#This Row],[Player]],RB!B:O,5,FALSE)</f>
        <v>144.26113156502868</v>
      </c>
      <c r="V73" s="83">
        <f>VLOOKUP(TableRBRanks3141[[#This Row],[Player]],RB!B:O,6,FALSE)</f>
        <v>1.3456661718998111</v>
      </c>
      <c r="W73" s="83">
        <f>VLOOKUP(TableRBRanks3141[[#This Row],[Player]],RB!B:O,7,FALSE)</f>
        <v>12.272641920000002</v>
      </c>
      <c r="X73" s="83">
        <f>VLOOKUP(TableRBRanks3141[[#This Row],[Player]],RB!B:O,8,FALSE)</f>
        <v>9.0817550208000029</v>
      </c>
      <c r="Y73" s="83">
        <f>VLOOKUP(TableRBRanks3141[[#This Row],[Player]],RB!B:O,9,FALSE)</f>
        <v>69.867615245038294</v>
      </c>
      <c r="Z73" s="83">
        <f>VLOOKUP(TableRBRanks3141[[#This Row],[Player]],RB!B:O,10,FALSE)</f>
        <v>0.34510669079040007</v>
      </c>
      <c r="AA73" s="57">
        <f>VLOOKUP(TableRBRanks3141[[#This Row],[Player]],RB!B:O,14,FALSE)</f>
        <v>36.098389367547966</v>
      </c>
      <c r="AB73" s="125">
        <f>IF(VLOOKUP(TableRBRanks3141[[#This Row],[RK]],'Ranks w Proj'!$P:$AB,13,FALSE)&lt;0,0,VLOOKUP(TableRBRanks3141[[#This Row],[RK]],'Ranks w Proj'!$P:$AB,13,FALSE))</f>
        <v>0</v>
      </c>
      <c r="AD73">
        <v>72</v>
      </c>
      <c r="AE73" t="str">
        <f>VLOOKUP(TableWRRanks3242[[#This Row],[RK]],Rankings!A:T,13,FALSE)</f>
        <v>Jalen McMillan</v>
      </c>
      <c r="AF73" t="str">
        <f>IFERROR(INDEX(TableWRCalcPts[TM],MATCH(TableWRRanks3242[[#This Row],[Player]],TableWRCalcPts[PLAYER],0)),"")</f>
        <v>TB</v>
      </c>
      <c r="AG73">
        <f>IFERROR(INDEX(TableWRCalcPts[BYE],MATCH(TableWRRanks3242[[#This Row],[Player]],TableWRCalcPts[PLAYER],0)),"")</f>
        <v>11</v>
      </c>
      <c r="AH73" s="83">
        <f>VLOOKUP(TableWRRanks3242[[#This Row],[Player]],WR!B:O,4,FALSE)</f>
        <v>0</v>
      </c>
      <c r="AI73" s="83">
        <f>VLOOKUP(TableWRRanks3242[[#This Row],[Player]],WR!B:O,5,FALSE)</f>
        <v>0</v>
      </c>
      <c r="AJ73" s="83">
        <f>VLOOKUP(TableWRRanks3242[[#This Row],[Player]],WR!B:O,6,FALSE)</f>
        <v>81.841026959999994</v>
      </c>
      <c r="AK73" s="83">
        <f>VLOOKUP(TableWRRanks3242[[#This Row],[Player]],WR!B:O,7,FALSE)</f>
        <v>49.923026445599987</v>
      </c>
      <c r="AL73" s="83">
        <f>VLOOKUP(TableWRRanks3242[[#This Row],[Player]],WR!B:O,8,FALSE)</f>
        <v>617.5554387832201</v>
      </c>
      <c r="AM73" s="83">
        <f>VLOOKUP(TableWRRanks3242[[#This Row],[Player]],WR!B:O,9,FALSE)</f>
        <v>3.7331631957992308</v>
      </c>
      <c r="AN73" s="57">
        <f>VLOOKUP(TableWRRanks3242[[#This Row],[Player]],WR!B:O,13,FALSE)</f>
        <v>109.11603627591739</v>
      </c>
      <c r="AO73" s="125">
        <f>IF(VLOOKUP(TableWRRanks3242[[#This Row],[RK]],'Ranks w Proj'!AD:AO,12,FALSE)&lt;0,0,VLOOKUP(TableWRRanks3242[[#This Row],[RK]],'Ranks w Proj'!AD:AO,12,FALSE))</f>
        <v>0</v>
      </c>
      <c r="AQ73">
        <v>72</v>
      </c>
      <c r="AR73">
        <f>VLOOKUP(TableTERanks3343[[#This Row],[RK]],Rankings!A:T,18,FALSE)</f>
        <v>0</v>
      </c>
      <c r="AS73" t="str">
        <f>IFERROR(INDEX(TableTECalcPts[TM],MATCH(TableTERanks3343[[#This Row],[Player]],TableTECalcPts[PLAYER],0)),"")</f>
        <v/>
      </c>
      <c r="AT73" t="str">
        <f>IFERROR(INDEX(TableTECalcPts[BYE],MATCH(TableTERanks3343[[#This Row],[Player]],TableTECalcPts[PLAYER],0)),"")</f>
        <v/>
      </c>
      <c r="AU73" s="83">
        <f>VLOOKUP(TableTERanks3343[[#This Row],[Player]],TE!B:O,4,FALSE)</f>
        <v>0</v>
      </c>
      <c r="AV73" s="83">
        <f>VLOOKUP(TableTERanks3343[[#This Row],[Player]],TE!B:O,5,FALSE)</f>
        <v>0</v>
      </c>
      <c r="AW73" s="83">
        <f>VLOOKUP(TableTERanks3343[[#This Row],[Player]],TE!B:O,6,FALSE)</f>
        <v>0</v>
      </c>
      <c r="AX73" s="83">
        <f>VLOOKUP(TableTERanks3343[[#This Row],[Player]],TE!B:O,7,FALSE)</f>
        <v>0</v>
      </c>
      <c r="AY73" s="57">
        <f>VLOOKUP(TableTERanks3343[[#This Row],[Player]],TE!B:O,11,FALSE)</f>
        <v>0</v>
      </c>
      <c r="AZ73" s="125">
        <f>IF(VLOOKUP(TableTERanks3343[[#This Row],[RK]],'Ranks w Proj'!AQ:AZ,10,FALSE)&lt;0,0,VLOOKUP(TableTERanks3343[[#This Row],[RK]],'Ranks w Proj'!AQ:AZ,10,FALSE))</f>
        <v>0</v>
      </c>
    </row>
    <row r="74" spans="1:52" x14ac:dyDescent="0.2">
      <c r="A74">
        <v>73</v>
      </c>
      <c r="B74">
        <f>VLOOKUP(TableQBRanks3040[[#This Row],[RK]],Rankings!A:T,3,FALSE)</f>
        <v>0</v>
      </c>
      <c r="C74" t="str">
        <f>IFERROR(INDEX(TableQBCalcPts[TM],MATCH(TableQBRanks3040[[#This Row],[Player]],TableQBCalcPts[PLAYER],0)),"")</f>
        <v/>
      </c>
      <c r="D74" t="str">
        <f>IFERROR(INDEX(TableQBCalcPts[BYE],MATCH(TableQBRanks3040[[#This Row],[Player]],TableQBCalcPts[PLAYER],0)),"")</f>
        <v/>
      </c>
      <c r="E74" s="83">
        <f>VLOOKUP(TableQBRanks3040[[#This Row],[Player]],QB!B:O,4,FALSE)</f>
        <v>0</v>
      </c>
      <c r="F74" s="83">
        <f>VLOOKUP(TableQBRanks3040[[#This Row],[Player]],QB!B:O,5,FALSE)</f>
        <v>0</v>
      </c>
      <c r="G74" s="83">
        <f>VLOOKUP(TableQBRanks3040[[#This Row],[Player]],QB!B:O,6,FALSE)</f>
        <v>0</v>
      </c>
      <c r="H74" s="83">
        <f>VLOOKUP(TableQBRanks3040[[#This Row],[Player]],QB!B:O,7,FALSE)</f>
        <v>0</v>
      </c>
      <c r="I74" s="83">
        <f>VLOOKUP(TableQBRanks3040[[#This Row],[Player]],QB!B:O,8,FALSE)</f>
        <v>0</v>
      </c>
      <c r="J74" s="83">
        <f>VLOOKUP(TableQBRanks3040[[#This Row],[Player]],QB!B:O,9,FALSE)</f>
        <v>0</v>
      </c>
      <c r="K74" s="83">
        <f>VLOOKUP(TableQBRanks3040[[#This Row],[Player]],QB!B:O,10,FALSE)</f>
        <v>0</v>
      </c>
      <c r="L74" s="83">
        <f>VLOOKUP(TableQBRanks3040[[#This Row],[Player]],QB!B:O,11,FALSE)</f>
        <v>0</v>
      </c>
      <c r="M74" s="57">
        <f>VLOOKUP(TableQBRanks3040[[#This Row],[Player]],QB!B:O,13,FALSE)</f>
        <v>0</v>
      </c>
      <c r="N74" s="125" t="str">
        <f>IF(VLOOKUP(TableQBRanks3040[[#This Row],[RK]],'Ranks w Proj'!$A:$N,14,FALSE)&lt;0,0,VLOOKUP(TableQBRanks3040[[#This Row],[RK]],'Ranks w Proj'!$A:$N,14,FALSE))</f>
        <v/>
      </c>
      <c r="P74">
        <v>73</v>
      </c>
      <c r="Q74" t="str">
        <f>VLOOKUP(TableRBRanks3141[[#This Row],[RK]],Rankings!A:T,8,FALSE)</f>
        <v>Carson Steele</v>
      </c>
      <c r="R74" t="str">
        <f>IFERROR(INDEX(TableRBCalcPts[TM],MATCH(TableRBRanks3141[[#This Row],[Player]],TableRBCalcPts[PLAYER],0)),"")</f>
        <v>KC</v>
      </c>
      <c r="S74">
        <f>IFERROR(INDEX(TableRBCalcPts[BYE],MATCH(TableRBRanks3141[[#This Row],[Player]],TableRBCalcPts[PLAYER],0)),"")</f>
        <v>6</v>
      </c>
      <c r="T74" s="83">
        <f>VLOOKUP(TableRBRanks3141[[#This Row],[Player]],RB!B:O,4,FALSE)</f>
        <v>5.4629120000000002</v>
      </c>
      <c r="U74" s="83">
        <f>VLOOKUP(TableRBRanks3141[[#This Row],[Player]],RB!B:O,5,FALSE)</f>
        <v>22.83497216</v>
      </c>
      <c r="V74" s="83">
        <f>VLOOKUP(TableRBRanks3141[[#This Row],[Player]],RB!B:O,6,FALSE)</f>
        <v>0.15932459105706268</v>
      </c>
      <c r="W74" s="83">
        <f>VLOOKUP(TableRBRanks3141[[#This Row],[Player]],RB!B:O,7,FALSE)</f>
        <v>6.3033599999999987</v>
      </c>
      <c r="X74" s="83">
        <f>VLOOKUP(TableRBRanks3141[[#This Row],[Player]],RB!B:O,8,FALSE)</f>
        <v>4.4123519999999985</v>
      </c>
      <c r="Y74" s="83">
        <f>VLOOKUP(TableRBRanks3141[[#This Row],[Player]],RB!B:O,9,FALSE)</f>
        <v>30.77728973892112</v>
      </c>
      <c r="Z74" s="83">
        <f>VLOOKUP(TableRBRanks3141[[#This Row],[Player]],RB!B:O,10,FALSE)</f>
        <v>0.24267935999999993</v>
      </c>
      <c r="AA74" s="57">
        <f>VLOOKUP(TableRBRanks3141[[#This Row],[Player]],RB!B:O,14,FALSE)</f>
        <v>9.9794258962344884</v>
      </c>
      <c r="AB74" s="125">
        <f>IF(VLOOKUP(TableRBRanks3141[[#This Row],[RK]],'Ranks w Proj'!$P:$AB,13,FALSE)&lt;0,0,VLOOKUP(TableRBRanks3141[[#This Row],[RK]],'Ranks w Proj'!$P:$AB,13,FALSE))</f>
        <v>0</v>
      </c>
      <c r="AD74">
        <v>73</v>
      </c>
      <c r="AE74" t="str">
        <f>VLOOKUP(TableWRRanks3242[[#This Row],[RK]],Rankings!A:T,13,FALSE)</f>
        <v>Luke McCaffrey</v>
      </c>
      <c r="AF74" t="str">
        <f>IFERROR(INDEX(TableWRCalcPts[TM],MATCH(TableWRRanks3242[[#This Row],[Player]],TableWRCalcPts[PLAYER],0)),"")</f>
        <v>WSH</v>
      </c>
      <c r="AG74">
        <f>IFERROR(INDEX(TableWRCalcPts[BYE],MATCH(TableWRRanks3242[[#This Row],[Player]],TableWRCalcPts[PLAYER],0)),"")</f>
        <v>14</v>
      </c>
      <c r="AH74" s="83">
        <f>VLOOKUP(TableWRRanks3242[[#This Row],[Player]],WR!B:O,4,FALSE)</f>
        <v>29.908659199999995</v>
      </c>
      <c r="AI74" s="83">
        <f>VLOOKUP(TableWRRanks3242[[#This Row],[Player]],WR!B:O,5,FALSE)</f>
        <v>4.4541704374999998E-2</v>
      </c>
      <c r="AJ74" s="83">
        <f>VLOOKUP(TableWRRanks3242[[#This Row],[Player]],WR!B:O,6,FALSE)</f>
        <v>55.52456560000001</v>
      </c>
      <c r="AK74" s="83">
        <f>VLOOKUP(TableWRRanks3242[[#This Row],[Player]],WR!B:O,7,FALSE)</f>
        <v>34.258656975200012</v>
      </c>
      <c r="AL74" s="83">
        <f>VLOOKUP(TableWRRanks3242[[#This Row],[Player]],WR!B:O,8,FALSE)</f>
        <v>390.54868951728014</v>
      </c>
      <c r="AM74" s="83">
        <f>VLOOKUP(TableWRRanks3242[[#This Row],[Player]],WR!B:O,9,FALSE)</f>
        <v>2.0555194185120005</v>
      </c>
      <c r="AN74" s="57">
        <f>VLOOKUP(TableWRRanks3242[[#This Row],[Player]],WR!B:O,13,FALSE)</f>
        <v>71.775430096650027</v>
      </c>
      <c r="AO74" s="125">
        <f>IF(VLOOKUP(TableWRRanks3242[[#This Row],[RK]],'Ranks w Proj'!AD:AO,12,FALSE)&lt;0,0,VLOOKUP(TableWRRanks3242[[#This Row],[RK]],'Ranks w Proj'!AD:AO,12,FALSE))</f>
        <v>0</v>
      </c>
      <c r="AQ74">
        <v>73</v>
      </c>
      <c r="AR74">
        <f>VLOOKUP(TableTERanks3343[[#This Row],[RK]],Rankings!A:T,18,FALSE)</f>
        <v>0</v>
      </c>
      <c r="AS74" t="str">
        <f>IFERROR(INDEX(TableTECalcPts[TM],MATCH(TableTERanks3343[[#This Row],[Player]],TableTECalcPts[PLAYER],0)),"")</f>
        <v/>
      </c>
      <c r="AT74" t="str">
        <f>IFERROR(INDEX(TableTECalcPts[BYE],MATCH(TableTERanks3343[[#This Row],[Player]],TableTECalcPts[PLAYER],0)),"")</f>
        <v/>
      </c>
      <c r="AU74" s="83">
        <f>VLOOKUP(TableTERanks3343[[#This Row],[Player]],TE!B:O,4,FALSE)</f>
        <v>0</v>
      </c>
      <c r="AV74" s="83">
        <f>VLOOKUP(TableTERanks3343[[#This Row],[Player]],TE!B:O,5,FALSE)</f>
        <v>0</v>
      </c>
      <c r="AW74" s="83">
        <f>VLOOKUP(TableTERanks3343[[#This Row],[Player]],TE!B:O,6,FALSE)</f>
        <v>0</v>
      </c>
      <c r="AX74" s="83">
        <f>VLOOKUP(TableTERanks3343[[#This Row],[Player]],TE!B:O,7,FALSE)</f>
        <v>0</v>
      </c>
      <c r="AY74" s="57">
        <f>VLOOKUP(TableTERanks3343[[#This Row],[Player]],TE!B:O,11,FALSE)</f>
        <v>0</v>
      </c>
      <c r="AZ74" s="125">
        <f>IF(VLOOKUP(TableTERanks3343[[#This Row],[RK]],'Ranks w Proj'!AQ:AZ,10,FALSE)&lt;0,0,VLOOKUP(TableTERanks3343[[#This Row],[RK]],'Ranks w Proj'!AQ:AZ,10,FALSE))</f>
        <v>0</v>
      </c>
    </row>
    <row r="75" spans="1:52" x14ac:dyDescent="0.2">
      <c r="A75">
        <v>74</v>
      </c>
      <c r="B75">
        <f>VLOOKUP(TableQBRanks3040[[#This Row],[RK]],Rankings!A:T,3,FALSE)</f>
        <v>0</v>
      </c>
      <c r="C75" t="str">
        <f>IFERROR(INDEX(TableQBCalcPts[TM],MATCH(TableQBRanks3040[[#This Row],[Player]],TableQBCalcPts[PLAYER],0)),"")</f>
        <v/>
      </c>
      <c r="D75" t="str">
        <f>IFERROR(INDEX(TableQBCalcPts[BYE],MATCH(TableQBRanks3040[[#This Row],[Player]],TableQBCalcPts[PLAYER],0)),"")</f>
        <v/>
      </c>
      <c r="E75" s="83">
        <f>VLOOKUP(TableQBRanks3040[[#This Row],[Player]],QB!B:O,4,FALSE)</f>
        <v>0</v>
      </c>
      <c r="F75" s="83">
        <f>VLOOKUP(TableQBRanks3040[[#This Row],[Player]],QB!B:O,5,FALSE)</f>
        <v>0</v>
      </c>
      <c r="G75" s="83">
        <f>VLOOKUP(TableQBRanks3040[[#This Row],[Player]],QB!B:O,6,FALSE)</f>
        <v>0</v>
      </c>
      <c r="H75" s="83">
        <f>VLOOKUP(TableQBRanks3040[[#This Row],[Player]],QB!B:O,7,FALSE)</f>
        <v>0</v>
      </c>
      <c r="I75" s="83">
        <f>VLOOKUP(TableQBRanks3040[[#This Row],[Player]],QB!B:O,8,FALSE)</f>
        <v>0</v>
      </c>
      <c r="J75" s="83">
        <f>VLOOKUP(TableQBRanks3040[[#This Row],[Player]],QB!B:O,9,FALSE)</f>
        <v>0</v>
      </c>
      <c r="K75" s="83">
        <f>VLOOKUP(TableQBRanks3040[[#This Row],[Player]],QB!B:O,10,FALSE)</f>
        <v>0</v>
      </c>
      <c r="L75" s="83">
        <f>VLOOKUP(TableQBRanks3040[[#This Row],[Player]],QB!B:O,11,FALSE)</f>
        <v>0</v>
      </c>
      <c r="M75" s="57">
        <f>VLOOKUP(TableQBRanks3040[[#This Row],[Player]],QB!B:O,13,FALSE)</f>
        <v>0</v>
      </c>
      <c r="N75" s="125" t="str">
        <f>IF(VLOOKUP(TableQBRanks3040[[#This Row],[RK]],'Ranks w Proj'!$A:$N,14,FALSE)&lt;0,0,VLOOKUP(TableQBRanks3040[[#This Row],[RK]],'Ranks w Proj'!$A:$N,14,FALSE))</f>
        <v/>
      </c>
      <c r="P75">
        <v>74</v>
      </c>
      <c r="Q75" t="str">
        <f>VLOOKUP(TableRBRanks3141[[#This Row],[RK]],Rankings!A:T,8,FALSE)</f>
        <v>Kimani Vidal</v>
      </c>
      <c r="R75" t="str">
        <f>IFERROR(INDEX(TableRBCalcPts[TM],MATCH(TableRBRanks3141[[#This Row],[Player]],TableRBCalcPts[PLAYER],0)),"")</f>
        <v>LAC</v>
      </c>
      <c r="S75">
        <f>IFERROR(INDEX(TableRBCalcPts[BYE],MATCH(TableRBRanks3141[[#This Row],[Player]],TableRBCalcPts[PLAYER],0)),"")</f>
        <v>5</v>
      </c>
      <c r="T75" s="83">
        <f>VLOOKUP(TableRBRanks3141[[#This Row],[Player]],RB!B:O,4,FALSE)</f>
        <v>17.812471179999999</v>
      </c>
      <c r="U75" s="83">
        <f>VLOOKUP(TableRBRanks3141[[#This Row],[Player]],RB!B:O,5,FALSE)</f>
        <v>76.140238921537929</v>
      </c>
      <c r="V75" s="83">
        <f>VLOOKUP(TableRBRanks3141[[#This Row],[Player]],RB!B:O,6,FALSE)</f>
        <v>0.53437413540000001</v>
      </c>
      <c r="W75" s="83">
        <f>VLOOKUP(TableRBRanks3141[[#This Row],[Player]],RB!B:O,7,FALSE)</f>
        <v>11.725599060000004</v>
      </c>
      <c r="X75" s="83">
        <f>VLOOKUP(TableRBRanks3141[[#This Row],[Player]],RB!B:O,8,FALSE)</f>
        <v>8.5831385119200032</v>
      </c>
      <c r="Y75" s="83">
        <f>VLOOKUP(TableRBRanks3141[[#This Row],[Player]],RB!B:O,9,FALSE)</f>
        <v>61.191609459499986</v>
      </c>
      <c r="Z75" s="83">
        <f>VLOOKUP(TableRBRanks3141[[#This Row],[Player]],RB!B:O,10,FALSE)</f>
        <v>0.27332862039213984</v>
      </c>
      <c r="AA75" s="57">
        <f>VLOOKUP(TableRBRanks3141[[#This Row],[Player]],RB!B:O,14,FALSE)</f>
        <v>22.870970628816636</v>
      </c>
      <c r="AB75" s="125">
        <f>IF(VLOOKUP(TableRBRanks3141[[#This Row],[RK]],'Ranks w Proj'!$P:$AB,13,FALSE)&lt;0,0,VLOOKUP(TableRBRanks3141[[#This Row],[RK]],'Ranks w Proj'!$P:$AB,13,FALSE))</f>
        <v>0</v>
      </c>
      <c r="AD75">
        <v>74</v>
      </c>
      <c r="AE75" t="str">
        <f>VLOOKUP(TableWRRanks3242[[#This Row],[RK]],Rankings!A:T,13,FALSE)</f>
        <v>Josh Downs</v>
      </c>
      <c r="AF75" t="str">
        <f>IFERROR(INDEX(TableWRCalcPts[TM],MATCH(TableWRRanks3242[[#This Row],[Player]],TableWRCalcPts[PLAYER],0)),"")</f>
        <v>IND</v>
      </c>
      <c r="AG75">
        <f>IFERROR(INDEX(TableWRCalcPts[BYE],MATCH(TableWRRanks3242[[#This Row],[Player]],TableWRCalcPts[PLAYER],0)),"")</f>
        <v>14</v>
      </c>
      <c r="AH75" s="83">
        <f>VLOOKUP(TableWRRanks3242[[#This Row],[Player]],WR!B:O,4,FALSE)</f>
        <v>0</v>
      </c>
      <c r="AI75" s="83">
        <f>VLOOKUP(TableWRRanks3242[[#This Row],[Player]],WR!B:O,5,FALSE)</f>
        <v>0</v>
      </c>
      <c r="AJ75" s="83">
        <f>VLOOKUP(TableWRRanks3242[[#This Row],[Player]],WR!B:O,6,FALSE)</f>
        <v>90.153571200000016</v>
      </c>
      <c r="AK75" s="83">
        <f>VLOOKUP(TableWRRanks3242[[#This Row],[Player]],WR!B:O,7,FALSE)</f>
        <v>57.247517712000004</v>
      </c>
      <c r="AL75" s="83">
        <f>VLOOKUP(TableWRRanks3242[[#This Row],[Player]],WR!B:O,8,FALSE)</f>
        <v>665.63086757443432</v>
      </c>
      <c r="AM75" s="83">
        <f>VLOOKUP(TableWRRanks3242[[#This Row],[Player]],WR!B:O,9,FALSE)</f>
        <v>3.8355836867040005</v>
      </c>
      <c r="AN75" s="57">
        <f>VLOOKUP(TableWRRanks3242[[#This Row],[Player]],WR!B:O,13,FALSE)</f>
        <v>118.20034773366744</v>
      </c>
      <c r="AO75" s="125">
        <f>IF(VLOOKUP(TableWRRanks3242[[#This Row],[RK]],'Ranks w Proj'!AD:AO,12,FALSE)&lt;0,0,VLOOKUP(TableWRRanks3242[[#This Row],[RK]],'Ranks w Proj'!AD:AO,12,FALSE))</f>
        <v>0</v>
      </c>
      <c r="AQ75">
        <v>74</v>
      </c>
      <c r="AR75">
        <f>VLOOKUP(TableTERanks3343[[#This Row],[RK]],Rankings!A:T,18,FALSE)</f>
        <v>0</v>
      </c>
      <c r="AS75" t="str">
        <f>IFERROR(INDEX(TableTECalcPts[TM],MATCH(TableTERanks3343[[#This Row],[Player]],TableTECalcPts[PLAYER],0)),"")</f>
        <v/>
      </c>
      <c r="AT75" t="str">
        <f>IFERROR(INDEX(TableTECalcPts[BYE],MATCH(TableTERanks3343[[#This Row],[Player]],TableTECalcPts[PLAYER],0)),"")</f>
        <v/>
      </c>
      <c r="AU75" s="83">
        <f>VLOOKUP(TableTERanks3343[[#This Row],[Player]],TE!B:O,4,FALSE)</f>
        <v>0</v>
      </c>
      <c r="AV75" s="83">
        <f>VLOOKUP(TableTERanks3343[[#This Row],[Player]],TE!B:O,5,FALSE)</f>
        <v>0</v>
      </c>
      <c r="AW75" s="83">
        <f>VLOOKUP(TableTERanks3343[[#This Row],[Player]],TE!B:O,6,FALSE)</f>
        <v>0</v>
      </c>
      <c r="AX75" s="83">
        <f>VLOOKUP(TableTERanks3343[[#This Row],[Player]],TE!B:O,7,FALSE)</f>
        <v>0</v>
      </c>
      <c r="AY75" s="57">
        <f>VLOOKUP(TableTERanks3343[[#This Row],[Player]],TE!B:O,11,FALSE)</f>
        <v>0</v>
      </c>
      <c r="AZ75" s="125">
        <f>IF(VLOOKUP(TableTERanks3343[[#This Row],[RK]],'Ranks w Proj'!AQ:AZ,10,FALSE)&lt;0,0,VLOOKUP(TableTERanks3343[[#This Row],[RK]],'Ranks w Proj'!AQ:AZ,10,FALSE))</f>
        <v>0</v>
      </c>
    </row>
    <row r="76" spans="1:52" x14ac:dyDescent="0.2">
      <c r="A76">
        <v>75</v>
      </c>
      <c r="B76">
        <f>VLOOKUP(TableQBRanks3040[[#This Row],[RK]],Rankings!A:T,3,FALSE)</f>
        <v>0</v>
      </c>
      <c r="C76" t="str">
        <f>IFERROR(INDEX(TableQBCalcPts[TM],MATCH(TableQBRanks3040[[#This Row],[Player]],TableQBCalcPts[PLAYER],0)),"")</f>
        <v/>
      </c>
      <c r="D76" t="str">
        <f>IFERROR(INDEX(TableQBCalcPts[BYE],MATCH(TableQBRanks3040[[#This Row],[Player]],TableQBCalcPts[PLAYER],0)),"")</f>
        <v/>
      </c>
      <c r="E76" s="83">
        <f>VLOOKUP(TableQBRanks3040[[#This Row],[Player]],QB!B:O,4,FALSE)</f>
        <v>0</v>
      </c>
      <c r="F76" s="83">
        <f>VLOOKUP(TableQBRanks3040[[#This Row],[Player]],QB!B:O,5,FALSE)</f>
        <v>0</v>
      </c>
      <c r="G76" s="83">
        <f>VLOOKUP(TableQBRanks3040[[#This Row],[Player]],QB!B:O,6,FALSE)</f>
        <v>0</v>
      </c>
      <c r="H76" s="83">
        <f>VLOOKUP(TableQBRanks3040[[#This Row],[Player]],QB!B:O,7,FALSE)</f>
        <v>0</v>
      </c>
      <c r="I76" s="83">
        <f>VLOOKUP(TableQBRanks3040[[#This Row],[Player]],QB!B:O,8,FALSE)</f>
        <v>0</v>
      </c>
      <c r="J76" s="83">
        <f>VLOOKUP(TableQBRanks3040[[#This Row],[Player]],QB!B:O,9,FALSE)</f>
        <v>0</v>
      </c>
      <c r="K76" s="83">
        <f>VLOOKUP(TableQBRanks3040[[#This Row],[Player]],QB!B:O,10,FALSE)</f>
        <v>0</v>
      </c>
      <c r="L76" s="83">
        <f>VLOOKUP(TableQBRanks3040[[#This Row],[Player]],QB!B:O,11,FALSE)</f>
        <v>0</v>
      </c>
      <c r="M76" s="57">
        <f>VLOOKUP(TableQBRanks3040[[#This Row],[Player]],QB!B:O,13,FALSE)</f>
        <v>0</v>
      </c>
      <c r="N76" s="125" t="str">
        <f>IF(VLOOKUP(TableQBRanks3040[[#This Row],[RK]],'Ranks w Proj'!$A:$N,14,FALSE)&lt;0,0,VLOOKUP(TableQBRanks3040[[#This Row],[RK]],'Ranks w Proj'!$A:$N,14,FALSE))</f>
        <v/>
      </c>
      <c r="P76">
        <v>75</v>
      </c>
      <c r="Q76" t="str">
        <f>VLOOKUP(TableRBRanks3141[[#This Row],[RK]],Rankings!A:T,8,FALSE)</f>
        <v>Kendre Miller</v>
      </c>
      <c r="R76" t="str">
        <f>IFERROR(INDEX(TableRBCalcPts[TM],MATCH(TableRBRanks3141[[#This Row],[Player]],TableRBCalcPts[PLAYER],0)),"")</f>
        <v>NO</v>
      </c>
      <c r="S76">
        <f>IFERROR(INDEX(TableRBCalcPts[BYE],MATCH(TableRBRanks3141[[#This Row],[Player]],TableRBCalcPts[PLAYER],0)),"")</f>
        <v>12</v>
      </c>
      <c r="T76" s="83">
        <f>VLOOKUP(TableRBRanks3141[[#This Row],[Player]],RB!B:O,4,FALSE)</f>
        <v>36.941593920000003</v>
      </c>
      <c r="U76" s="83">
        <f>VLOOKUP(TableRBRanks3141[[#This Row],[Player]],RB!B:O,5,FALSE)</f>
        <v>149.24403943680002</v>
      </c>
      <c r="V76" s="83">
        <f>VLOOKUP(TableRBRanks3141[[#This Row],[Player]],RB!B:O,6,FALSE)</f>
        <v>1.0713062236800002</v>
      </c>
      <c r="W76" s="83">
        <f>VLOOKUP(TableRBRanks3141[[#This Row],[Player]],RB!B:O,7,FALSE)</f>
        <v>27.816647319999998</v>
      </c>
      <c r="X76" s="83">
        <f>VLOOKUP(TableRBRanks3141[[#This Row],[Player]],RB!B:O,8,FALSE)</f>
        <v>21.001568726599999</v>
      </c>
      <c r="Y76" s="83">
        <f>VLOOKUP(TableRBRanks3141[[#This Row],[Player]],RB!B:O,9,FALSE)</f>
        <v>142.81066734087997</v>
      </c>
      <c r="Z76" s="83">
        <f>VLOOKUP(TableRBRanks3141[[#This Row],[Player]],RB!B:O,10,FALSE)</f>
        <v>0.71405333670439997</v>
      </c>
      <c r="AA76" s="57">
        <f>VLOOKUP(TableRBRanks3141[[#This Row],[Player]],RB!B:O,14,FALSE)</f>
        <v>50.418412403374404</v>
      </c>
      <c r="AB76" s="125">
        <f>IF(VLOOKUP(TableRBRanks3141[[#This Row],[RK]],'Ranks w Proj'!$P:$AB,13,FALSE)&lt;0,0,VLOOKUP(TableRBRanks3141[[#This Row],[RK]],'Ranks w Proj'!$P:$AB,13,FALSE))</f>
        <v>0</v>
      </c>
      <c r="AD76">
        <v>75</v>
      </c>
      <c r="AE76" t="str">
        <f>VLOOKUP(TableWRRanks3242[[#This Row],[RK]],Rankings!A:T,13,FALSE)</f>
        <v>Ja'Lynn Polk</v>
      </c>
      <c r="AF76" t="str">
        <f>IFERROR(INDEX(TableWRCalcPts[TM],MATCH(TableWRRanks3242[[#This Row],[Player]],TableWRCalcPts[PLAYER],0)),"")</f>
        <v>NE</v>
      </c>
      <c r="AG76">
        <f>IFERROR(INDEX(TableWRCalcPts[BYE],MATCH(TableWRRanks3242[[#This Row],[Player]],TableWRCalcPts[PLAYER],0)),"")</f>
        <v>14</v>
      </c>
      <c r="AH76" s="83">
        <f>VLOOKUP(TableWRRanks3242[[#This Row],[Player]],WR!B:O,4,FALSE)</f>
        <v>0</v>
      </c>
      <c r="AI76" s="83">
        <f>VLOOKUP(TableWRRanks3242[[#This Row],[Player]],WR!B:O,5,FALSE)</f>
        <v>0</v>
      </c>
      <c r="AJ76" s="83">
        <f>VLOOKUP(TableWRRanks3242[[#This Row],[Player]],WR!B:O,6,FALSE)</f>
        <v>70.293487040000002</v>
      </c>
      <c r="AK76" s="83">
        <f>VLOOKUP(TableWRRanks3242[[#This Row],[Player]],WR!B:O,7,FALSE)</f>
        <v>42.035505249919993</v>
      </c>
      <c r="AL76" s="83">
        <f>VLOOKUP(TableWRRanks3242[[#This Row],[Player]],WR!B:O,8,FALSE)</f>
        <v>548.56334351145597</v>
      </c>
      <c r="AM76" s="83">
        <f>VLOOKUP(TableWRRanks3242[[#This Row],[Player]],WR!B:O,9,FALSE)</f>
        <v>2.7743433464947196</v>
      </c>
      <c r="AN76" s="57">
        <f>VLOOKUP(TableWRRanks3242[[#This Row],[Player]],WR!B:O,13,FALSE)</f>
        <v>92.520147055073906</v>
      </c>
      <c r="AO76" s="125">
        <f>IF(VLOOKUP(TableWRRanks3242[[#This Row],[RK]],'Ranks w Proj'!AD:AO,12,FALSE)&lt;0,0,VLOOKUP(TableWRRanks3242[[#This Row],[RK]],'Ranks w Proj'!AD:AO,12,FALSE))</f>
        <v>0</v>
      </c>
      <c r="AQ76">
        <v>75</v>
      </c>
      <c r="AR76">
        <f>VLOOKUP(TableTERanks3343[[#This Row],[RK]],Rankings!A:T,18,FALSE)</f>
        <v>0</v>
      </c>
      <c r="AS76" t="str">
        <f>IFERROR(INDEX(TableTECalcPts[TM],MATCH(TableTERanks3343[[#This Row],[Player]],TableTECalcPts[PLAYER],0)),"")</f>
        <v/>
      </c>
      <c r="AT76" t="str">
        <f>IFERROR(INDEX(TableTECalcPts[BYE],MATCH(TableTERanks3343[[#This Row],[Player]],TableTECalcPts[PLAYER],0)),"")</f>
        <v/>
      </c>
      <c r="AU76" s="83">
        <f>VLOOKUP(TableTERanks3343[[#This Row],[Player]],TE!B:O,4,FALSE)</f>
        <v>0</v>
      </c>
      <c r="AV76" s="83">
        <f>VLOOKUP(TableTERanks3343[[#This Row],[Player]],TE!B:O,5,FALSE)</f>
        <v>0</v>
      </c>
      <c r="AW76" s="83">
        <f>VLOOKUP(TableTERanks3343[[#This Row],[Player]],TE!B:O,6,FALSE)</f>
        <v>0</v>
      </c>
      <c r="AX76" s="83">
        <f>VLOOKUP(TableTERanks3343[[#This Row],[Player]],TE!B:O,7,FALSE)</f>
        <v>0</v>
      </c>
      <c r="AY76" s="57">
        <f>VLOOKUP(TableTERanks3343[[#This Row],[Player]],TE!B:O,11,FALSE)</f>
        <v>0</v>
      </c>
      <c r="AZ76" s="125">
        <f>IF(VLOOKUP(TableTERanks3343[[#This Row],[RK]],'Ranks w Proj'!AQ:AZ,10,FALSE)&lt;0,0,VLOOKUP(TableTERanks3343[[#This Row],[RK]],'Ranks w Proj'!AQ:AZ,10,FALSE))</f>
        <v>0</v>
      </c>
    </row>
    <row r="77" spans="1:52" x14ac:dyDescent="0.2">
      <c r="A77">
        <v>76</v>
      </c>
      <c r="B77">
        <f>VLOOKUP(TableQBRanks3040[[#This Row],[RK]],Rankings!A:T,3,FALSE)</f>
        <v>0</v>
      </c>
      <c r="C77" t="str">
        <f>IFERROR(INDEX(TableQBCalcPts[TM],MATCH(TableQBRanks3040[[#This Row],[Player]],TableQBCalcPts[PLAYER],0)),"")</f>
        <v/>
      </c>
      <c r="D77" t="str">
        <f>IFERROR(INDEX(TableQBCalcPts[BYE],MATCH(TableQBRanks3040[[#This Row],[Player]],TableQBCalcPts[PLAYER],0)),"")</f>
        <v/>
      </c>
      <c r="E77" s="83">
        <f>VLOOKUP(TableQBRanks3040[[#This Row],[Player]],QB!B:O,4,FALSE)</f>
        <v>0</v>
      </c>
      <c r="F77" s="83">
        <f>VLOOKUP(TableQBRanks3040[[#This Row],[Player]],QB!B:O,5,FALSE)</f>
        <v>0</v>
      </c>
      <c r="G77" s="83">
        <f>VLOOKUP(TableQBRanks3040[[#This Row],[Player]],QB!B:O,6,FALSE)</f>
        <v>0</v>
      </c>
      <c r="H77" s="83">
        <f>VLOOKUP(TableQBRanks3040[[#This Row],[Player]],QB!B:O,7,FALSE)</f>
        <v>0</v>
      </c>
      <c r="I77" s="83">
        <f>VLOOKUP(TableQBRanks3040[[#This Row],[Player]],QB!B:O,8,FALSE)</f>
        <v>0</v>
      </c>
      <c r="J77" s="83">
        <f>VLOOKUP(TableQBRanks3040[[#This Row],[Player]],QB!B:O,9,FALSE)</f>
        <v>0</v>
      </c>
      <c r="K77" s="83">
        <f>VLOOKUP(TableQBRanks3040[[#This Row],[Player]],QB!B:O,10,FALSE)</f>
        <v>0</v>
      </c>
      <c r="L77" s="83">
        <f>VLOOKUP(TableQBRanks3040[[#This Row],[Player]],QB!B:O,11,FALSE)</f>
        <v>0</v>
      </c>
      <c r="M77" s="57">
        <f>VLOOKUP(TableQBRanks3040[[#This Row],[Player]],QB!B:O,13,FALSE)</f>
        <v>0</v>
      </c>
      <c r="N77" s="125" t="str">
        <f>IF(VLOOKUP(TableQBRanks3040[[#This Row],[RK]],'Ranks w Proj'!$A:$N,14,FALSE)&lt;0,0,VLOOKUP(TableQBRanks3040[[#This Row],[RK]],'Ranks w Proj'!$A:$N,14,FALSE))</f>
        <v/>
      </c>
      <c r="P77">
        <v>76</v>
      </c>
      <c r="Q77" t="str">
        <f>VLOOKUP(TableRBRanks3141[[#This Row],[RK]],Rankings!A:T,8,FALSE)</f>
        <v>Keaton Mitchell</v>
      </c>
      <c r="R77" t="str">
        <f>IFERROR(INDEX(TableRBCalcPts[TM],MATCH(TableRBRanks3141[[#This Row],[Player]],TableRBCalcPts[PLAYER],0)),"")</f>
        <v>BAL</v>
      </c>
      <c r="S77">
        <f>IFERROR(INDEX(TableRBCalcPts[BYE],MATCH(TableRBRanks3141[[#This Row],[Player]],TableRBCalcPts[PLAYER],0)),"")</f>
        <v>14</v>
      </c>
      <c r="T77" s="83">
        <f>VLOOKUP(TableRBRanks3141[[#This Row],[Player]],RB!B:O,4,FALSE)</f>
        <v>31.507862399999997</v>
      </c>
      <c r="U77" s="83">
        <f>VLOOKUP(TableRBRanks3141[[#This Row],[Player]],RB!B:O,5,FALSE)</f>
        <v>158.71783172949858</v>
      </c>
      <c r="V77" s="83">
        <f>VLOOKUP(TableRBRanks3141[[#This Row],[Player]],RB!B:O,6,FALSE)</f>
        <v>1.3548380831999998</v>
      </c>
      <c r="W77" s="83">
        <f>VLOOKUP(TableRBRanks3141[[#This Row],[Player]],RB!B:O,7,FALSE)</f>
        <v>13.233724000000002</v>
      </c>
      <c r="X77" s="83">
        <f>VLOOKUP(TableRBRanks3141[[#This Row],[Player]],RB!B:O,8,FALSE)</f>
        <v>10.282603548000003</v>
      </c>
      <c r="Y77" s="83">
        <f>VLOOKUP(TableRBRanks3141[[#This Row],[Player]],RB!B:O,9,FALSE)</f>
        <v>85.253322478722666</v>
      </c>
      <c r="Z77" s="83">
        <f>VLOOKUP(TableRBRanks3141[[#This Row],[Player]],RB!B:O,10,FALSE)</f>
        <v>0.43656218640058941</v>
      </c>
      <c r="AA77" s="57">
        <f>VLOOKUP(TableRBRanks3141[[#This Row],[Player]],RB!B:O,14,FALSE)</f>
        <v>40.286818812425665</v>
      </c>
      <c r="AB77" s="125">
        <f>IF(VLOOKUP(TableRBRanks3141[[#This Row],[RK]],'Ranks w Proj'!$P:$AB,13,FALSE)&lt;0,0,VLOOKUP(TableRBRanks3141[[#This Row],[RK]],'Ranks w Proj'!$P:$AB,13,FALSE))</f>
        <v>0</v>
      </c>
      <c r="AD77">
        <v>76</v>
      </c>
      <c r="AE77" t="str">
        <f>VLOOKUP(TableWRRanks3242[[#This Row],[RK]],Rankings!A:T,13,FALSE)</f>
        <v>Xavier Legette</v>
      </c>
      <c r="AF77" t="str">
        <f>IFERROR(INDEX(TableWRCalcPts[TM],MATCH(TableWRRanks3242[[#This Row],[Player]],TableWRCalcPts[PLAYER],0)),"")</f>
        <v>CAR</v>
      </c>
      <c r="AG77">
        <f>IFERROR(INDEX(TableWRCalcPts[BYE],MATCH(TableWRRanks3242[[#This Row],[Player]],TableWRCalcPts[PLAYER],0)),"")</f>
        <v>11</v>
      </c>
      <c r="AH77" s="83">
        <f>VLOOKUP(TableWRRanks3242[[#This Row],[Player]],WR!B:O,4,FALSE)</f>
        <v>26.754587999999998</v>
      </c>
      <c r="AI77" s="83">
        <f>VLOOKUP(TableWRRanks3242[[#This Row],[Player]],WR!B:O,5,FALSE)</f>
        <v>3.4820397502044652E-2</v>
      </c>
      <c r="AJ77" s="83">
        <f>VLOOKUP(TableWRRanks3242[[#This Row],[Player]],WR!B:O,6,FALSE)</f>
        <v>88.613040599999977</v>
      </c>
      <c r="AK77" s="83">
        <f>VLOOKUP(TableWRRanks3242[[#This Row],[Player]],WR!B:O,7,FALSE)</f>
        <v>55.205924293799995</v>
      </c>
      <c r="AL77" s="83">
        <f>VLOOKUP(TableWRRanks3242[[#This Row],[Player]],WR!B:O,8,FALSE)</f>
        <v>735.34291159341592</v>
      </c>
      <c r="AM77" s="83">
        <f>VLOOKUP(TableWRRanks3242[[#This Row],[Player]],WR!B:O,9,FALSE)</f>
        <v>3.6987969276846</v>
      </c>
      <c r="AN77" s="57">
        <f>VLOOKUP(TableWRRanks3242[[#This Row],[Player]],WR!B:O,13,FALSE)</f>
        <v>126.21441605736145</v>
      </c>
      <c r="AO77" s="125">
        <f>IF(VLOOKUP(TableWRRanks3242[[#This Row],[RK]],'Ranks w Proj'!AD:AO,12,FALSE)&lt;0,0,VLOOKUP(TableWRRanks3242[[#This Row],[RK]],'Ranks w Proj'!AD:AO,12,FALSE))</f>
        <v>0</v>
      </c>
      <c r="AQ77">
        <v>76</v>
      </c>
      <c r="AR77">
        <f>VLOOKUP(TableTERanks3343[[#This Row],[RK]],Rankings!A:T,18,FALSE)</f>
        <v>0</v>
      </c>
      <c r="AS77" t="str">
        <f>IFERROR(INDEX(TableTECalcPts[TM],MATCH(TableTERanks3343[[#This Row],[Player]],TableTECalcPts[PLAYER],0)),"")</f>
        <v/>
      </c>
      <c r="AT77" t="str">
        <f>IFERROR(INDEX(TableTECalcPts[BYE],MATCH(TableTERanks3343[[#This Row],[Player]],TableTECalcPts[PLAYER],0)),"")</f>
        <v/>
      </c>
      <c r="AU77" s="83">
        <f>VLOOKUP(TableTERanks3343[[#This Row],[Player]],TE!B:O,4,FALSE)</f>
        <v>0</v>
      </c>
      <c r="AV77" s="83">
        <f>VLOOKUP(TableTERanks3343[[#This Row],[Player]],TE!B:O,5,FALSE)</f>
        <v>0</v>
      </c>
      <c r="AW77" s="83">
        <f>VLOOKUP(TableTERanks3343[[#This Row],[Player]],TE!B:O,6,FALSE)</f>
        <v>0</v>
      </c>
      <c r="AX77" s="83">
        <f>VLOOKUP(TableTERanks3343[[#This Row],[Player]],TE!B:O,7,FALSE)</f>
        <v>0</v>
      </c>
      <c r="AY77" s="57">
        <f>VLOOKUP(TableTERanks3343[[#This Row],[Player]],TE!B:O,11,FALSE)</f>
        <v>0</v>
      </c>
      <c r="AZ77" s="125">
        <f>IF(VLOOKUP(TableTERanks3343[[#This Row],[RK]],'Ranks w Proj'!AQ:AZ,10,FALSE)&lt;0,0,VLOOKUP(TableTERanks3343[[#This Row],[RK]],'Ranks w Proj'!AQ:AZ,10,FALSE))</f>
        <v>0</v>
      </c>
    </row>
    <row r="78" spans="1:52" x14ac:dyDescent="0.2">
      <c r="A78">
        <v>77</v>
      </c>
      <c r="B78">
        <f>VLOOKUP(TableQBRanks3040[[#This Row],[RK]],Rankings!A:T,3,FALSE)</f>
        <v>0</v>
      </c>
      <c r="C78" t="str">
        <f>IFERROR(INDEX(TableQBCalcPts[TM],MATCH(TableQBRanks3040[[#This Row],[Player]],TableQBCalcPts[PLAYER],0)),"")</f>
        <v/>
      </c>
      <c r="D78" t="str">
        <f>IFERROR(INDEX(TableQBCalcPts[BYE],MATCH(TableQBRanks3040[[#This Row],[Player]],TableQBCalcPts[PLAYER],0)),"")</f>
        <v/>
      </c>
      <c r="E78" s="83">
        <f>VLOOKUP(TableQBRanks3040[[#This Row],[Player]],QB!B:O,4,FALSE)</f>
        <v>0</v>
      </c>
      <c r="F78" s="83">
        <f>VLOOKUP(TableQBRanks3040[[#This Row],[Player]],QB!B:O,5,FALSE)</f>
        <v>0</v>
      </c>
      <c r="G78" s="83">
        <f>VLOOKUP(TableQBRanks3040[[#This Row],[Player]],QB!B:O,6,FALSE)</f>
        <v>0</v>
      </c>
      <c r="H78" s="83">
        <f>VLOOKUP(TableQBRanks3040[[#This Row],[Player]],QB!B:O,7,FALSE)</f>
        <v>0</v>
      </c>
      <c r="I78" s="83">
        <f>VLOOKUP(TableQBRanks3040[[#This Row],[Player]],QB!B:O,8,FALSE)</f>
        <v>0</v>
      </c>
      <c r="J78" s="83">
        <f>VLOOKUP(TableQBRanks3040[[#This Row],[Player]],QB!B:O,9,FALSE)</f>
        <v>0</v>
      </c>
      <c r="K78" s="83">
        <f>VLOOKUP(TableQBRanks3040[[#This Row],[Player]],QB!B:O,10,FALSE)</f>
        <v>0</v>
      </c>
      <c r="L78" s="83">
        <f>VLOOKUP(TableQBRanks3040[[#This Row],[Player]],QB!B:O,11,FALSE)</f>
        <v>0</v>
      </c>
      <c r="M78" s="57">
        <f>VLOOKUP(TableQBRanks3040[[#This Row],[Player]],QB!B:O,13,FALSE)</f>
        <v>0</v>
      </c>
      <c r="N78" s="125" t="str">
        <f>IF(VLOOKUP(TableQBRanks3040[[#This Row],[RK]],'Ranks w Proj'!$A:$N,14,FALSE)&lt;0,0,VLOOKUP(TableQBRanks3040[[#This Row],[RK]],'Ranks w Proj'!$A:$N,14,FALSE))</f>
        <v/>
      </c>
      <c r="P78">
        <v>77</v>
      </c>
      <c r="Q78" t="str">
        <f>VLOOKUP(TableRBRanks3141[[#This Row],[RK]],Rankings!A:T,8,FALSE)</f>
        <v>Justice Hill</v>
      </c>
      <c r="R78" t="str">
        <f>IFERROR(INDEX(TableRBCalcPts[TM],MATCH(TableRBRanks3141[[#This Row],[Player]],TableRBCalcPts[PLAYER],0)),"")</f>
        <v>BAL</v>
      </c>
      <c r="S78">
        <f>IFERROR(INDEX(TableRBCalcPts[BYE],MATCH(TableRBRanks3141[[#This Row],[Player]],TableRBCalcPts[PLAYER],0)),"")</f>
        <v>14</v>
      </c>
      <c r="T78" s="83">
        <f>VLOOKUP(TableRBRanks3141[[#This Row],[Player]],RB!B:O,4,FALSE)</f>
        <v>26.256551999999999</v>
      </c>
      <c r="U78" s="83">
        <f>VLOOKUP(TableRBRanks3141[[#This Row],[Player]],RB!B:O,5,FALSE)</f>
        <v>120.1320346716457</v>
      </c>
      <c r="V78" s="83">
        <f>VLOOKUP(TableRBRanks3141[[#This Row],[Player]],RB!B:O,6,FALSE)</f>
        <v>1.076518632</v>
      </c>
      <c r="W78" s="83">
        <f>VLOOKUP(TableRBRanks3141[[#This Row],[Player]],RB!B:O,7,FALSE)</f>
        <v>10.5869792</v>
      </c>
      <c r="X78" s="83">
        <f>VLOOKUP(TableRBRanks3141[[#This Row],[Player]],RB!B:O,8,FALSE)</f>
        <v>8.1413870047999986</v>
      </c>
      <c r="Y78" s="83">
        <f>VLOOKUP(TableRBRanks3141[[#This Row],[Player]],RB!B:O,9,FALSE)</f>
        <v>61.793127366431989</v>
      </c>
      <c r="Z78" s="83">
        <f>VLOOKUP(TableRBRanks3141[[#This Row],[Player]],RB!B:O,10,FALSE)</f>
        <v>0.28464897499032138</v>
      </c>
      <c r="AA78" s="57">
        <f>VLOOKUP(TableRBRanks3141[[#This Row],[Player]],RB!B:O,14,FALSE)</f>
        <v>30.430215348149698</v>
      </c>
      <c r="AB78" s="125">
        <f>IF(VLOOKUP(TableRBRanks3141[[#This Row],[RK]],'Ranks w Proj'!$P:$AB,13,FALSE)&lt;0,0,VLOOKUP(TableRBRanks3141[[#This Row],[RK]],'Ranks w Proj'!$P:$AB,13,FALSE))</f>
        <v>0</v>
      </c>
      <c r="AD78">
        <v>77</v>
      </c>
      <c r="AE78" t="str">
        <f>VLOOKUP(TableWRRanks3242[[#This Row],[RK]],Rankings!A:T,13,FALSE)</f>
        <v>Jalen Tolbert</v>
      </c>
      <c r="AF78" t="str">
        <f>IFERROR(INDEX(TableWRCalcPts[TM],MATCH(TableWRRanks3242[[#This Row],[Player]],TableWRCalcPts[PLAYER],0)),"")</f>
        <v>DAL</v>
      </c>
      <c r="AG78">
        <f>IFERROR(INDEX(TableWRCalcPts[BYE],MATCH(TableWRRanks3242[[#This Row],[Player]],TableWRCalcPts[PLAYER],0)),"")</f>
        <v>7</v>
      </c>
      <c r="AH78" s="83">
        <f>VLOOKUP(TableWRRanks3242[[#This Row],[Player]],WR!B:O,4,FALSE)</f>
        <v>0</v>
      </c>
      <c r="AI78" s="83">
        <f>VLOOKUP(TableWRRanks3242[[#This Row],[Player]],WR!B:O,5,FALSE)</f>
        <v>0</v>
      </c>
      <c r="AJ78" s="83">
        <f>VLOOKUP(TableWRRanks3242[[#This Row],[Player]],WR!B:O,6,FALSE)</f>
        <v>90.255201119999967</v>
      </c>
      <c r="AK78" s="83">
        <f>VLOOKUP(TableWRRanks3242[[#This Row],[Player]],WR!B:O,7,FALSE)</f>
        <v>55.145927884319981</v>
      </c>
      <c r="AL78" s="83">
        <f>VLOOKUP(TableWRRanks3242[[#This Row],[Player]],WR!B:O,8,FALSE)</f>
        <v>678.29491297713582</v>
      </c>
      <c r="AM78" s="83">
        <f>VLOOKUP(TableWRRanks3242[[#This Row],[Player]],WR!B:O,9,FALSE)</f>
        <v>4.6322579422828785</v>
      </c>
      <c r="AN78" s="57">
        <f>VLOOKUP(TableWRRanks3242[[#This Row],[Player]],WR!B:O,13,FALSE)</f>
        <v>123.19600289357085</v>
      </c>
      <c r="AO78" s="125">
        <f>IF(VLOOKUP(TableWRRanks3242[[#This Row],[RK]],'Ranks w Proj'!AD:AO,12,FALSE)&lt;0,0,VLOOKUP(TableWRRanks3242[[#This Row],[RK]],'Ranks w Proj'!AD:AO,12,FALSE))</f>
        <v>0</v>
      </c>
      <c r="AQ78">
        <v>77</v>
      </c>
      <c r="AR78">
        <f>VLOOKUP(TableTERanks3343[[#This Row],[RK]],Rankings!A:T,18,FALSE)</f>
        <v>0</v>
      </c>
      <c r="AS78" t="str">
        <f>IFERROR(INDEX(TableTECalcPts[TM],MATCH(TableTERanks3343[[#This Row],[Player]],TableTECalcPts[PLAYER],0)),"")</f>
        <v/>
      </c>
      <c r="AT78" t="str">
        <f>IFERROR(INDEX(TableTECalcPts[BYE],MATCH(TableTERanks3343[[#This Row],[Player]],TableTECalcPts[PLAYER],0)),"")</f>
        <v/>
      </c>
      <c r="AU78" s="83">
        <f>VLOOKUP(TableTERanks3343[[#This Row],[Player]],TE!B:O,4,FALSE)</f>
        <v>0</v>
      </c>
      <c r="AV78" s="83">
        <f>VLOOKUP(TableTERanks3343[[#This Row],[Player]],TE!B:O,5,FALSE)</f>
        <v>0</v>
      </c>
      <c r="AW78" s="83">
        <f>VLOOKUP(TableTERanks3343[[#This Row],[Player]],TE!B:O,6,FALSE)</f>
        <v>0</v>
      </c>
      <c r="AX78" s="83">
        <f>VLOOKUP(TableTERanks3343[[#This Row],[Player]],TE!B:O,7,FALSE)</f>
        <v>0</v>
      </c>
      <c r="AY78" s="57">
        <f>VLOOKUP(TableTERanks3343[[#This Row],[Player]],TE!B:O,11,FALSE)</f>
        <v>0</v>
      </c>
      <c r="AZ78" s="125">
        <f>IF(VLOOKUP(TableTERanks3343[[#This Row],[RK]],'Ranks w Proj'!AQ:AZ,10,FALSE)&lt;0,0,VLOOKUP(TableTERanks3343[[#This Row],[RK]],'Ranks w Proj'!AQ:AZ,10,FALSE))</f>
        <v>0</v>
      </c>
    </row>
    <row r="79" spans="1:52" x14ac:dyDescent="0.2">
      <c r="A79">
        <v>78</v>
      </c>
      <c r="B79">
        <f>VLOOKUP(TableQBRanks3040[[#This Row],[RK]],Rankings!A:T,3,FALSE)</f>
        <v>0</v>
      </c>
      <c r="C79" t="str">
        <f>IFERROR(INDEX(TableQBCalcPts[TM],MATCH(TableQBRanks3040[[#This Row],[Player]],TableQBCalcPts[PLAYER],0)),"")</f>
        <v/>
      </c>
      <c r="D79" t="str">
        <f>IFERROR(INDEX(TableQBCalcPts[BYE],MATCH(TableQBRanks3040[[#This Row],[Player]],TableQBCalcPts[PLAYER],0)),"")</f>
        <v/>
      </c>
      <c r="E79" s="83">
        <f>VLOOKUP(TableQBRanks3040[[#This Row],[Player]],QB!B:O,4,FALSE)</f>
        <v>0</v>
      </c>
      <c r="F79" s="83">
        <f>VLOOKUP(TableQBRanks3040[[#This Row],[Player]],QB!B:O,5,FALSE)</f>
        <v>0</v>
      </c>
      <c r="G79" s="83">
        <f>VLOOKUP(TableQBRanks3040[[#This Row],[Player]],QB!B:O,6,FALSE)</f>
        <v>0</v>
      </c>
      <c r="H79" s="83">
        <f>VLOOKUP(TableQBRanks3040[[#This Row],[Player]],QB!B:O,7,FALSE)</f>
        <v>0</v>
      </c>
      <c r="I79" s="83">
        <f>VLOOKUP(TableQBRanks3040[[#This Row],[Player]],QB!B:O,8,FALSE)</f>
        <v>0</v>
      </c>
      <c r="J79" s="83">
        <f>VLOOKUP(TableQBRanks3040[[#This Row],[Player]],QB!B:O,9,FALSE)</f>
        <v>0</v>
      </c>
      <c r="K79" s="83">
        <f>VLOOKUP(TableQBRanks3040[[#This Row],[Player]],QB!B:O,10,FALSE)</f>
        <v>0</v>
      </c>
      <c r="L79" s="83">
        <f>VLOOKUP(TableQBRanks3040[[#This Row],[Player]],QB!B:O,11,FALSE)</f>
        <v>0</v>
      </c>
      <c r="M79" s="57">
        <f>VLOOKUP(TableQBRanks3040[[#This Row],[Player]],QB!B:O,13,FALSE)</f>
        <v>0</v>
      </c>
      <c r="N79" s="125" t="str">
        <f>IF(VLOOKUP(TableQBRanks3040[[#This Row],[RK]],'Ranks w Proj'!$A:$N,14,FALSE)&lt;0,0,VLOOKUP(TableQBRanks3040[[#This Row],[RK]],'Ranks w Proj'!$A:$N,14,FALSE))</f>
        <v/>
      </c>
      <c r="P79">
        <v>78</v>
      </c>
      <c r="Q79" t="str">
        <f>VLOOKUP(TableRBRanks3141[[#This Row],[RK]],Rankings!A:T,8,FALSE)</f>
        <v>Cam Akers</v>
      </c>
      <c r="R79" t="str">
        <f>IFERROR(INDEX(TableRBCalcPts[TM],MATCH(TableRBRanks3141[[#This Row],[Player]],TableRBCalcPts[PLAYER],0)),"")</f>
        <v>HOU</v>
      </c>
      <c r="S79">
        <f>IFERROR(INDEX(TableRBCalcPts[BYE],MATCH(TableRBRanks3141[[#This Row],[Player]],TableRBCalcPts[PLAYER],0)),"")</f>
        <v>14</v>
      </c>
      <c r="T79" s="83">
        <f>VLOOKUP(TableRBRanks3141[[#This Row],[Player]],RB!B:O,4,FALSE)</f>
        <v>50.150755200000006</v>
      </c>
      <c r="U79" s="83">
        <f>VLOOKUP(TableRBRanks3141[[#This Row],[Player]],RB!B:O,5,FALSE)</f>
        <v>206.62111142400002</v>
      </c>
      <c r="V79" s="83">
        <f>VLOOKUP(TableRBRanks3141[[#This Row],[Player]],RB!B:O,6,FALSE)</f>
        <v>1.4543719008000002</v>
      </c>
      <c r="W79" s="83">
        <f>VLOOKUP(TableRBRanks3141[[#This Row],[Player]],RB!B:O,7,FALSE)</f>
        <v>23.767743999999997</v>
      </c>
      <c r="X79" s="83">
        <f>VLOOKUP(TableRBRanks3141[[#This Row],[Player]],RB!B:O,8,FALSE)</f>
        <v>18.420001599999999</v>
      </c>
      <c r="Y79" s="83">
        <f>VLOOKUP(TableRBRanks3141[[#This Row],[Player]],RB!B:O,9,FALSE)</f>
        <v>133.54501159999998</v>
      </c>
      <c r="Z79" s="83">
        <f>VLOOKUP(TableRBRanks3141[[#This Row],[Player]],RB!B:O,10,FALSE)</f>
        <v>0.64470005600000002</v>
      </c>
      <c r="AA79" s="57">
        <f>VLOOKUP(TableRBRanks3141[[#This Row],[Player]],RB!B:O,14,FALSE)</f>
        <v>55.821044843199999</v>
      </c>
      <c r="AB79" s="125">
        <f>IF(VLOOKUP(TableRBRanks3141[[#This Row],[RK]],'Ranks w Proj'!$P:$AB,13,FALSE)&lt;0,0,VLOOKUP(TableRBRanks3141[[#This Row],[RK]],'Ranks w Proj'!$P:$AB,13,FALSE))</f>
        <v>0</v>
      </c>
      <c r="AD79">
        <v>78</v>
      </c>
      <c r="AE79" t="str">
        <f>VLOOKUP(TableWRRanks3242[[#This Row],[RK]],Rankings!A:T,13,FALSE)</f>
        <v>Rashod Bateman</v>
      </c>
      <c r="AF79" t="str">
        <f>IFERROR(INDEX(TableWRCalcPts[TM],MATCH(TableWRRanks3242[[#This Row],[Player]],TableWRCalcPts[PLAYER],0)),"")</f>
        <v>BAL</v>
      </c>
      <c r="AG79">
        <f>IFERROR(INDEX(TableWRCalcPts[BYE],MATCH(TableWRRanks3242[[#This Row],[Player]],TableWRCalcPts[PLAYER],0)),"")</f>
        <v>14</v>
      </c>
      <c r="AH79" s="83">
        <f>VLOOKUP(TableWRRanks3242[[#This Row],[Player]],WR!B:O,4,FALSE)</f>
        <v>0</v>
      </c>
      <c r="AI79" s="83">
        <f>VLOOKUP(TableWRRanks3242[[#This Row],[Player]],WR!B:O,5,FALSE)</f>
        <v>0</v>
      </c>
      <c r="AJ79" s="83">
        <f>VLOOKUP(TableWRRanks3242[[#This Row],[Player]],WR!B:O,6,FALSE)</f>
        <v>79.402343999999999</v>
      </c>
      <c r="AK79" s="83">
        <f>VLOOKUP(TableWRRanks3242[[#This Row],[Player]],WR!B:O,7,FALSE)</f>
        <v>47.244394679999992</v>
      </c>
      <c r="AL79" s="83">
        <f>VLOOKUP(TableWRRanks3242[[#This Row],[Player]],WR!B:O,8,FALSE)</f>
        <v>615.38894501593722</v>
      </c>
      <c r="AM79" s="83">
        <f>VLOOKUP(TableWRRanks3242[[#This Row],[Player]],WR!B:O,9,FALSE)</f>
        <v>3.2126188382399996</v>
      </c>
      <c r="AN79" s="57">
        <f>VLOOKUP(TableWRRanks3242[[#This Row],[Player]],WR!B:O,13,FALSE)</f>
        <v>104.43680487103371</v>
      </c>
      <c r="AO79" s="125">
        <f>IF(VLOOKUP(TableWRRanks3242[[#This Row],[RK]],'Ranks w Proj'!AD:AO,12,FALSE)&lt;0,0,VLOOKUP(TableWRRanks3242[[#This Row],[RK]],'Ranks w Proj'!AD:AO,12,FALSE))</f>
        <v>0</v>
      </c>
      <c r="AQ79">
        <v>78</v>
      </c>
      <c r="AR79">
        <f>VLOOKUP(TableTERanks3343[[#This Row],[RK]],Rankings!A:T,18,FALSE)</f>
        <v>0</v>
      </c>
      <c r="AS79" t="str">
        <f>IFERROR(INDEX(TableTECalcPts[TM],MATCH(TableTERanks3343[[#This Row],[Player]],TableTECalcPts[PLAYER],0)),"")</f>
        <v/>
      </c>
      <c r="AT79" t="str">
        <f>IFERROR(INDEX(TableTECalcPts[BYE],MATCH(TableTERanks3343[[#This Row],[Player]],TableTECalcPts[PLAYER],0)),"")</f>
        <v/>
      </c>
      <c r="AU79" s="83">
        <f>VLOOKUP(TableTERanks3343[[#This Row],[Player]],TE!B:O,4,FALSE)</f>
        <v>0</v>
      </c>
      <c r="AV79" s="83">
        <f>VLOOKUP(TableTERanks3343[[#This Row],[Player]],TE!B:O,5,FALSE)</f>
        <v>0</v>
      </c>
      <c r="AW79" s="83">
        <f>VLOOKUP(TableTERanks3343[[#This Row],[Player]],TE!B:O,6,FALSE)</f>
        <v>0</v>
      </c>
      <c r="AX79" s="83">
        <f>VLOOKUP(TableTERanks3343[[#This Row],[Player]],TE!B:O,7,FALSE)</f>
        <v>0</v>
      </c>
      <c r="AY79" s="57">
        <f>VLOOKUP(TableTERanks3343[[#This Row],[Player]],TE!B:O,11,FALSE)</f>
        <v>0</v>
      </c>
      <c r="AZ79" s="125">
        <f>IF(VLOOKUP(TableTERanks3343[[#This Row],[RK]],'Ranks w Proj'!AQ:AZ,10,FALSE)&lt;0,0,VLOOKUP(TableTERanks3343[[#This Row],[RK]],'Ranks w Proj'!AQ:AZ,10,FALSE))</f>
        <v>0</v>
      </c>
    </row>
    <row r="80" spans="1:52" x14ac:dyDescent="0.2">
      <c r="A80">
        <v>79</v>
      </c>
      <c r="B80">
        <f>VLOOKUP(TableQBRanks3040[[#This Row],[RK]],Rankings!A:T,3,FALSE)</f>
        <v>0</v>
      </c>
      <c r="C80" t="str">
        <f>IFERROR(INDEX(TableQBCalcPts[TM],MATCH(TableQBRanks3040[[#This Row],[Player]],TableQBCalcPts[PLAYER],0)),"")</f>
        <v/>
      </c>
      <c r="D80" t="str">
        <f>IFERROR(INDEX(TableQBCalcPts[BYE],MATCH(TableQBRanks3040[[#This Row],[Player]],TableQBCalcPts[PLAYER],0)),"")</f>
        <v/>
      </c>
      <c r="E80" s="83">
        <f>VLOOKUP(TableQBRanks3040[[#This Row],[Player]],QB!B:O,4,FALSE)</f>
        <v>0</v>
      </c>
      <c r="F80" s="83">
        <f>VLOOKUP(TableQBRanks3040[[#This Row],[Player]],QB!B:O,5,FALSE)</f>
        <v>0</v>
      </c>
      <c r="G80" s="83">
        <f>VLOOKUP(TableQBRanks3040[[#This Row],[Player]],QB!B:O,6,FALSE)</f>
        <v>0</v>
      </c>
      <c r="H80" s="83">
        <f>VLOOKUP(TableQBRanks3040[[#This Row],[Player]],QB!B:O,7,FALSE)</f>
        <v>0</v>
      </c>
      <c r="I80" s="83">
        <f>VLOOKUP(TableQBRanks3040[[#This Row],[Player]],QB!B:O,8,FALSE)</f>
        <v>0</v>
      </c>
      <c r="J80" s="83">
        <f>VLOOKUP(TableQBRanks3040[[#This Row],[Player]],QB!B:O,9,FALSE)</f>
        <v>0</v>
      </c>
      <c r="K80" s="83">
        <f>VLOOKUP(TableQBRanks3040[[#This Row],[Player]],QB!B:O,10,FALSE)</f>
        <v>0</v>
      </c>
      <c r="L80" s="83">
        <f>VLOOKUP(TableQBRanks3040[[#This Row],[Player]],QB!B:O,11,FALSE)</f>
        <v>0</v>
      </c>
      <c r="M80" s="57">
        <f>VLOOKUP(TableQBRanks3040[[#This Row],[Player]],QB!B:O,13,FALSE)</f>
        <v>0</v>
      </c>
      <c r="N80" s="125" t="str">
        <f>IF(VLOOKUP(TableQBRanks3040[[#This Row],[RK]],'Ranks w Proj'!$A:$N,14,FALSE)&lt;0,0,VLOOKUP(TableQBRanks3040[[#This Row],[RK]],'Ranks w Proj'!$A:$N,14,FALSE))</f>
        <v/>
      </c>
      <c r="P80">
        <v>79</v>
      </c>
      <c r="Q80" t="str">
        <f>VLOOKUP(TableRBRanks3141[[#This Row],[RK]],Rankings!A:T,8,FALSE)</f>
        <v>Rasheen Ali</v>
      </c>
      <c r="R80" t="str">
        <f>IFERROR(INDEX(TableRBCalcPts[TM],MATCH(TableRBRanks3141[[#This Row],[Player]],TableRBCalcPts[PLAYER],0)),"")</f>
        <v>BAL</v>
      </c>
      <c r="S80">
        <f>IFERROR(INDEX(TableRBCalcPts[BYE],MATCH(TableRBRanks3141[[#This Row],[Player]],TableRBCalcPts[PLAYER],0)),"")</f>
        <v>14</v>
      </c>
      <c r="T80" s="83">
        <f>VLOOKUP(TableRBRanks3141[[#This Row],[Player]],RB!B:O,4,FALSE)</f>
        <v>50.412579839999992</v>
      </c>
      <c r="U80" s="83">
        <f>VLOOKUP(TableRBRanks3141[[#This Row],[Player]],RB!B:O,5,FALSE)</f>
        <v>229.37850225896884</v>
      </c>
      <c r="V80" s="83">
        <f>VLOOKUP(TableRBRanks3141[[#This Row],[Player]],RB!B:O,6,FALSE)</f>
        <v>2.2685660927999995</v>
      </c>
      <c r="W80" s="83">
        <f>VLOOKUP(TableRBRanks3141[[#This Row],[Player]],RB!B:O,7,FALSE)</f>
        <v>5.2934896</v>
      </c>
      <c r="X80" s="83">
        <f>VLOOKUP(TableRBRanks3141[[#This Row],[Player]],RB!B:O,8,FALSE)</f>
        <v>3.9701171999999998</v>
      </c>
      <c r="Y80" s="83">
        <f>VLOOKUP(TableRBRanks3141[[#This Row],[Player]],RB!B:O,9,FALSE)</f>
        <v>32.043357909012151</v>
      </c>
      <c r="Z80" s="83">
        <f>VLOOKUP(TableRBRanks3141[[#This Row],[Player]],RB!B:O,10,FALSE)</f>
        <v>0.15086445359999998</v>
      </c>
      <c r="AA80" s="57">
        <f>VLOOKUP(TableRBRanks3141[[#This Row],[Player]],RB!B:O,14,FALSE)</f>
        <v>42.6438278951981</v>
      </c>
      <c r="AB80" s="125">
        <f>IF(VLOOKUP(TableRBRanks3141[[#This Row],[RK]],'Ranks w Proj'!$P:$AB,13,FALSE)&lt;0,0,VLOOKUP(TableRBRanks3141[[#This Row],[RK]],'Ranks w Proj'!$P:$AB,13,FALSE))</f>
        <v>0</v>
      </c>
      <c r="AD80">
        <v>79</v>
      </c>
      <c r="AE80" t="str">
        <f>VLOOKUP(TableWRRanks3242[[#This Row],[RK]],Rankings!A:T,13,FALSE)</f>
        <v>Marvin Mims</v>
      </c>
      <c r="AF80" t="str">
        <f>IFERROR(INDEX(TableWRCalcPts[TM],MATCH(TableWRRanks3242[[#This Row],[Player]],TableWRCalcPts[PLAYER],0)),"")</f>
        <v>DEN</v>
      </c>
      <c r="AG80">
        <f>IFERROR(INDEX(TableWRCalcPts[BYE],MATCH(TableWRRanks3242[[#This Row],[Player]],TableWRCalcPts[PLAYER],0)),"")</f>
        <v>14</v>
      </c>
      <c r="AH80" s="83">
        <f>VLOOKUP(TableWRRanks3242[[#This Row],[Player]],WR!B:O,4,FALSE)</f>
        <v>0</v>
      </c>
      <c r="AI80" s="83">
        <f>VLOOKUP(TableWRRanks3242[[#This Row],[Player]],WR!B:O,5,FALSE)</f>
        <v>0</v>
      </c>
      <c r="AJ80" s="83">
        <f>VLOOKUP(TableWRRanks3242[[#This Row],[Player]],WR!B:O,6,FALSE)</f>
        <v>82.61760482412059</v>
      </c>
      <c r="AK80" s="83">
        <f>VLOOKUP(TableWRRanks3242[[#This Row],[Player]],WR!B:O,7,FALSE)</f>
        <v>49.074857265527626</v>
      </c>
      <c r="AL80" s="83">
        <f>VLOOKUP(TableWRRanks3242[[#This Row],[Player]],WR!B:O,8,FALSE)</f>
        <v>667.41805881117568</v>
      </c>
      <c r="AM80" s="83">
        <f>VLOOKUP(TableWRRanks3242[[#This Row],[Player]],WR!B:O,9,FALSE)</f>
        <v>3.7787640094456272</v>
      </c>
      <c r="AN80" s="57">
        <f>VLOOKUP(TableWRRanks3242[[#This Row],[Player]],WR!B:O,13,FALSE)</f>
        <v>113.95181857055516</v>
      </c>
      <c r="AO80" s="125">
        <f>IF(VLOOKUP(TableWRRanks3242[[#This Row],[RK]],'Ranks w Proj'!AD:AO,12,FALSE)&lt;0,0,VLOOKUP(TableWRRanks3242[[#This Row],[RK]],'Ranks w Proj'!AD:AO,12,FALSE))</f>
        <v>0</v>
      </c>
      <c r="AQ80">
        <v>79</v>
      </c>
      <c r="AR80">
        <f>VLOOKUP(TableTERanks3343[[#This Row],[RK]],Rankings!A:T,18,FALSE)</f>
        <v>0</v>
      </c>
      <c r="AS80" t="str">
        <f>IFERROR(INDEX(TableTECalcPts[TM],MATCH(TableTERanks3343[[#This Row],[Player]],TableTECalcPts[PLAYER],0)),"")</f>
        <v/>
      </c>
      <c r="AT80" t="str">
        <f>IFERROR(INDEX(TableTECalcPts[BYE],MATCH(TableTERanks3343[[#This Row],[Player]],TableTECalcPts[PLAYER],0)),"")</f>
        <v/>
      </c>
      <c r="AU80" s="83">
        <f>VLOOKUP(TableTERanks3343[[#This Row],[Player]],TE!B:O,4,FALSE)</f>
        <v>0</v>
      </c>
      <c r="AV80" s="83">
        <f>VLOOKUP(TableTERanks3343[[#This Row],[Player]],TE!B:O,5,FALSE)</f>
        <v>0</v>
      </c>
      <c r="AW80" s="83">
        <f>VLOOKUP(TableTERanks3343[[#This Row],[Player]],TE!B:O,6,FALSE)</f>
        <v>0</v>
      </c>
      <c r="AX80" s="83">
        <f>VLOOKUP(TableTERanks3343[[#This Row],[Player]],TE!B:O,7,FALSE)</f>
        <v>0</v>
      </c>
      <c r="AY80" s="57">
        <f>VLOOKUP(TableTERanks3343[[#This Row],[Player]],TE!B:O,11,FALSE)</f>
        <v>0</v>
      </c>
      <c r="AZ80" s="125">
        <f>IF(VLOOKUP(TableTERanks3343[[#This Row],[RK]],'Ranks w Proj'!AQ:AZ,10,FALSE)&lt;0,0,VLOOKUP(TableTERanks3343[[#This Row],[RK]],'Ranks w Proj'!AQ:AZ,10,FALSE))</f>
        <v>0</v>
      </c>
    </row>
    <row r="81" spans="16:52" x14ac:dyDescent="0.2">
      <c r="P81">
        <v>80</v>
      </c>
      <c r="Q81" t="str">
        <f>VLOOKUP(TableRBRanks3141[[#This Row],[RK]],Rankings!A:T,8,FALSE)</f>
        <v>Sean Tucker</v>
      </c>
      <c r="R81" t="str">
        <f>IFERROR(INDEX(TableRBCalcPts[TM],MATCH(TableRBRanks3141[[#This Row],[Player]],TableRBCalcPts[PLAYER],0)),"")</f>
        <v>TB</v>
      </c>
      <c r="S81">
        <f>IFERROR(INDEX(TableRBCalcPts[BYE],MATCH(TableRBRanks3141[[#This Row],[Player]],TableRBCalcPts[PLAYER],0)),"")</f>
        <v>11</v>
      </c>
      <c r="T81" s="83">
        <f>VLOOKUP(TableRBRanks3141[[#This Row],[Player]],RB!B:O,4,FALSE)</f>
        <v>52.599445920000008</v>
      </c>
      <c r="U81" s="83">
        <f>VLOOKUP(TableRBRanks3141[[#This Row],[Player]],RB!B:O,5,FALSE)</f>
        <v>212.50176151680003</v>
      </c>
      <c r="V81" s="83">
        <f>VLOOKUP(TableRBRanks3141[[#This Row],[Player]],RB!B:O,6,FALSE)</f>
        <v>1.5779833776000001</v>
      </c>
      <c r="W81" s="83">
        <f>VLOOKUP(TableRBRanks3141[[#This Row],[Player]],RB!B:O,7,FALSE)</f>
        <v>13.640171159999998</v>
      </c>
      <c r="X81" s="83">
        <f>VLOOKUP(TableRBRanks3141[[#This Row],[Player]],RB!B:O,8,FALSE)</f>
        <v>9.8072830640399982</v>
      </c>
      <c r="Y81" s="83">
        <f>VLOOKUP(TableRBRanks3141[[#This Row],[Player]],RB!B:O,9,FALSE)</f>
        <v>67.440637143735884</v>
      </c>
      <c r="Z81" s="83">
        <f>VLOOKUP(TableRBRanks3141[[#This Row],[Player]],RB!B:O,10,FALSE)</f>
        <v>0.26479664272907993</v>
      </c>
      <c r="AA81" s="57">
        <f>VLOOKUP(TableRBRanks3141[[#This Row],[Player]],RB!B:O,14,FALSE)</f>
        <v>43.954561520048074</v>
      </c>
      <c r="AB81" s="125">
        <f>IF(VLOOKUP(TableRBRanks3141[[#This Row],[RK]],'Ranks w Proj'!$P:$AB,13,FALSE)&lt;0,0,VLOOKUP(TableRBRanks3141[[#This Row],[RK]],'Ranks w Proj'!$P:$AB,13,FALSE))</f>
        <v>0</v>
      </c>
      <c r="AD81">
        <v>80</v>
      </c>
      <c r="AE81" t="str">
        <f>VLOOKUP(TableWRRanks3242[[#This Row],[RK]],Rankings!A:T,13,FALSE)</f>
        <v>Elijah Moore</v>
      </c>
      <c r="AF81" t="str">
        <f>IFERROR(INDEX(TableWRCalcPts[TM],MATCH(TableWRRanks3242[[#This Row],[Player]],TableWRCalcPts[PLAYER],0)),"")</f>
        <v>CLE</v>
      </c>
      <c r="AG81">
        <f>IFERROR(INDEX(TableWRCalcPts[BYE],MATCH(TableWRRanks3242[[#This Row],[Player]],TableWRCalcPts[PLAYER],0)),"")</f>
        <v>10</v>
      </c>
      <c r="AH81" s="83">
        <f>VLOOKUP(TableWRRanks3242[[#This Row],[Player]],WR!B:O,4,FALSE)</f>
        <v>0</v>
      </c>
      <c r="AI81" s="83">
        <f>VLOOKUP(TableWRRanks3242[[#This Row],[Player]],WR!B:O,5,FALSE)</f>
        <v>0</v>
      </c>
      <c r="AJ81" s="83">
        <f>VLOOKUP(TableWRRanks3242[[#This Row],[Player]],WR!B:O,6,FALSE)</f>
        <v>87.099704999999986</v>
      </c>
      <c r="AK81" s="83">
        <f>VLOOKUP(TableWRRanks3242[[#This Row],[Player]],WR!B:O,7,FALSE)</f>
        <v>52.085623589999983</v>
      </c>
      <c r="AL81" s="83">
        <f>VLOOKUP(TableWRRanks3242[[#This Row],[Player]],WR!B:O,8,FALSE)</f>
        <v>571.3792907822999</v>
      </c>
      <c r="AM81" s="83">
        <f>VLOOKUP(TableWRRanks3242[[#This Row],[Player]],WR!B:O,9,FALSE)</f>
        <v>3.281394286169999</v>
      </c>
      <c r="AN81" s="57">
        <f>VLOOKUP(TableWRRanks3242[[#This Row],[Player]],WR!B:O,13,FALSE)</f>
        <v>102.86910659024997</v>
      </c>
      <c r="AO81" s="125">
        <f>IF(VLOOKUP(TableWRRanks3242[[#This Row],[RK]],'Ranks w Proj'!AD:AO,12,FALSE)&lt;0,0,VLOOKUP(TableWRRanks3242[[#This Row],[RK]],'Ranks w Proj'!AD:AO,12,FALSE))</f>
        <v>0</v>
      </c>
      <c r="AQ81">
        <v>80</v>
      </c>
      <c r="AR81">
        <f>VLOOKUP(TableTERanks3343[[#This Row],[RK]],Rankings!A:T,18,FALSE)</f>
        <v>0</v>
      </c>
      <c r="AS81" t="str">
        <f>IFERROR(INDEX(TableTECalcPts[TM],MATCH(TableTERanks3343[[#This Row],[Player]],TableTECalcPts[PLAYER],0)),"")</f>
        <v/>
      </c>
      <c r="AT81" t="str">
        <f>IFERROR(INDEX(TableTECalcPts[BYE],MATCH(TableTERanks3343[[#This Row],[Player]],TableTECalcPts[PLAYER],0)),"")</f>
        <v/>
      </c>
      <c r="AU81" s="83">
        <f>VLOOKUP(TableTERanks3343[[#This Row],[Player]],TE!B:O,4,FALSE)</f>
        <v>0</v>
      </c>
      <c r="AV81" s="83">
        <f>VLOOKUP(TableTERanks3343[[#This Row],[Player]],TE!B:O,5,FALSE)</f>
        <v>0</v>
      </c>
      <c r="AW81" s="83">
        <f>VLOOKUP(TableTERanks3343[[#This Row],[Player]],TE!B:O,6,FALSE)</f>
        <v>0</v>
      </c>
      <c r="AX81" s="83">
        <f>VLOOKUP(TableTERanks3343[[#This Row],[Player]],TE!B:O,7,FALSE)</f>
        <v>0</v>
      </c>
      <c r="AY81" s="57">
        <f>VLOOKUP(TableTERanks3343[[#This Row],[Player]],TE!B:O,11,FALSE)</f>
        <v>0</v>
      </c>
      <c r="AZ81" s="125">
        <f>IF(VLOOKUP(TableTERanks3343[[#This Row],[RK]],'Ranks w Proj'!AQ:AZ,10,FALSE)&lt;0,0,VLOOKUP(TableTERanks3343[[#This Row],[RK]],'Ranks w Proj'!AQ:AZ,10,FALSE))</f>
        <v>0</v>
      </c>
    </row>
    <row r="82" spans="16:52" x14ac:dyDescent="0.2">
      <c r="P82">
        <v>81</v>
      </c>
      <c r="Q82" t="str">
        <f>VLOOKUP(TableRBRanks3141[[#This Row],[RK]],Rankings!A:T,8,FALSE)</f>
        <v>Isaac Guerendo</v>
      </c>
      <c r="R82" t="str">
        <f>IFERROR(INDEX(TableRBCalcPts[TM],MATCH(TableRBRanks3141[[#This Row],[Player]],TableRBCalcPts[PLAYER],0)),"")</f>
        <v>SF</v>
      </c>
      <c r="S82">
        <f>IFERROR(INDEX(TableRBCalcPts[BYE],MATCH(TableRBRanks3141[[#This Row],[Player]],TableRBCalcPts[PLAYER],0)),"")</f>
        <v>9</v>
      </c>
      <c r="T82" s="83">
        <f>VLOOKUP(TableRBRanks3141[[#This Row],[Player]],RB!B:O,4,FALSE)</f>
        <v>36.085806960000006</v>
      </c>
      <c r="U82" s="83">
        <f>VLOOKUP(TableRBRanks3141[[#This Row],[Player]],RB!B:O,5,FALSE)</f>
        <v>153.36467958000003</v>
      </c>
      <c r="V82" s="83">
        <f>VLOOKUP(TableRBRanks3141[[#This Row],[Player]],RB!B:O,6,FALSE)</f>
        <v>1.1935555688871728</v>
      </c>
      <c r="W82" s="83">
        <f>VLOOKUP(TableRBRanks3141[[#This Row],[Player]],RB!B:O,7,FALSE)</f>
        <v>5.3253395999999995</v>
      </c>
      <c r="X82" s="83">
        <f>VLOOKUP(TableRBRanks3141[[#This Row],[Player]],RB!B:O,8,FALSE)</f>
        <v>4.036607416799999</v>
      </c>
      <c r="Y82" s="83">
        <f>VLOOKUP(TableRBRanks3141[[#This Row],[Player]],RB!B:O,9,FALSE)</f>
        <v>32.980077632802477</v>
      </c>
      <c r="Z82" s="83">
        <f>VLOOKUP(TableRBRanks3141[[#This Row],[Player]],RB!B:O,10,FALSE)</f>
        <v>0.17052645516426712</v>
      </c>
      <c r="AA82" s="57">
        <f>VLOOKUP(TableRBRanks3141[[#This Row],[Player]],RB!B:O,14,FALSE)</f>
        <v>28.83727157398889</v>
      </c>
      <c r="AB82" s="125">
        <f>IF(VLOOKUP(TableRBRanks3141[[#This Row],[RK]],'Ranks w Proj'!$P:$AB,13,FALSE)&lt;0,0,VLOOKUP(TableRBRanks3141[[#This Row],[RK]],'Ranks w Proj'!$P:$AB,13,FALSE))</f>
        <v>0</v>
      </c>
      <c r="AD82">
        <v>81</v>
      </c>
      <c r="AE82" t="str">
        <f>VLOOKUP(TableWRRanks3242[[#This Row],[RK]],Rankings!A:T,13,FALSE)</f>
        <v>Josh Reynolds</v>
      </c>
      <c r="AF82" t="str">
        <f>IFERROR(INDEX(TableWRCalcPts[TM],MATCH(TableWRRanks3242[[#This Row],[Player]],TableWRCalcPts[PLAYER],0)),"")</f>
        <v>DEN</v>
      </c>
      <c r="AG82">
        <f>IFERROR(INDEX(TableWRCalcPts[BYE],MATCH(TableWRRanks3242[[#This Row],[Player]],TableWRCalcPts[PLAYER],0)),"")</f>
        <v>14</v>
      </c>
      <c r="AH82" s="83">
        <f>VLOOKUP(TableWRRanks3242[[#This Row],[Player]],WR!B:O,4,FALSE)</f>
        <v>0</v>
      </c>
      <c r="AI82" s="83">
        <f>VLOOKUP(TableWRRanks3242[[#This Row],[Player]],WR!B:O,5,FALSE)</f>
        <v>0</v>
      </c>
      <c r="AJ82" s="83">
        <f>VLOOKUP(TableWRRanks3242[[#This Row],[Player]],WR!B:O,6,FALSE)</f>
        <v>91.223605326633148</v>
      </c>
      <c r="AK82" s="83">
        <f>VLOOKUP(TableWRRanks3242[[#This Row],[Player]],WR!B:O,7,FALSE)</f>
        <v>54.095597958693453</v>
      </c>
      <c r="AL82" s="83">
        <f>VLOOKUP(TableWRRanks3242[[#This Row],[Player]],WR!B:O,8,FALSE)</f>
        <v>651.31099942266917</v>
      </c>
      <c r="AM82" s="83">
        <f>VLOOKUP(TableWRRanks3242[[#This Row],[Player]],WR!B:O,9,FALSE)</f>
        <v>3.9489786509846216</v>
      </c>
      <c r="AN82" s="57">
        <f>VLOOKUP(TableWRRanks3242[[#This Row],[Player]],WR!B:O,13,FALSE)</f>
        <v>115.87277082752136</v>
      </c>
      <c r="AO82" s="125">
        <f>IF(VLOOKUP(TableWRRanks3242[[#This Row],[RK]],'Ranks w Proj'!AD:AO,12,FALSE)&lt;0,0,VLOOKUP(TableWRRanks3242[[#This Row],[RK]],'Ranks w Proj'!AD:AO,12,FALSE))</f>
        <v>0</v>
      </c>
      <c r="AQ82">
        <v>81</v>
      </c>
      <c r="AR82">
        <f>VLOOKUP(TableTERanks3343[[#This Row],[RK]],Rankings!A:T,18,FALSE)</f>
        <v>0</v>
      </c>
      <c r="AS82" t="str">
        <f>IFERROR(INDEX(TableTECalcPts[TM],MATCH(TableTERanks3343[[#This Row],[Player]],TableTECalcPts[PLAYER],0)),"")</f>
        <v/>
      </c>
      <c r="AT82" t="str">
        <f>IFERROR(INDEX(TableTECalcPts[BYE],MATCH(TableTERanks3343[[#This Row],[Player]],TableTECalcPts[PLAYER],0)),"")</f>
        <v/>
      </c>
      <c r="AU82" s="83">
        <f>VLOOKUP(TableTERanks3343[[#This Row],[Player]],TE!B:O,4,FALSE)</f>
        <v>0</v>
      </c>
      <c r="AV82" s="83">
        <f>VLOOKUP(TableTERanks3343[[#This Row],[Player]],TE!B:O,5,FALSE)</f>
        <v>0</v>
      </c>
      <c r="AW82" s="83">
        <f>VLOOKUP(TableTERanks3343[[#This Row],[Player]],TE!B:O,6,FALSE)</f>
        <v>0</v>
      </c>
      <c r="AX82" s="83">
        <f>VLOOKUP(TableTERanks3343[[#This Row],[Player]],TE!B:O,7,FALSE)</f>
        <v>0</v>
      </c>
      <c r="AY82" s="57">
        <f>VLOOKUP(TableTERanks3343[[#This Row],[Player]],TE!B:O,11,FALSE)</f>
        <v>0</v>
      </c>
      <c r="AZ82" s="125">
        <f>IF(VLOOKUP(TableTERanks3343[[#This Row],[RK]],'Ranks w Proj'!AQ:AZ,10,FALSE)&lt;0,0,VLOOKUP(TableTERanks3343[[#This Row],[RK]],'Ranks w Proj'!AQ:AZ,10,FALSE))</f>
        <v>0</v>
      </c>
    </row>
    <row r="83" spans="16:52" x14ac:dyDescent="0.2">
      <c r="P83">
        <v>82</v>
      </c>
      <c r="Q83" t="str">
        <f>VLOOKUP(TableRBRanks3141[[#This Row],[RK]],Rankings!A:T,8,FALSE)</f>
        <v>Pierre Strong</v>
      </c>
      <c r="R83" t="str">
        <f>IFERROR(INDEX(TableRBCalcPts[TM],MATCH(TableRBRanks3141[[#This Row],[Player]],TableRBCalcPts[PLAYER],0)),"")</f>
        <v>CLE</v>
      </c>
      <c r="S83">
        <f>IFERROR(INDEX(TableRBCalcPts[BYE],MATCH(TableRBRanks3141[[#This Row],[Player]],TableRBCalcPts[PLAYER],0)),"")</f>
        <v>10</v>
      </c>
      <c r="T83" s="83">
        <f>VLOOKUP(TableRBRanks3141[[#This Row],[Player]],RB!B:O,4,FALSE)</f>
        <v>12.1611875</v>
      </c>
      <c r="U83" s="83">
        <f>VLOOKUP(TableRBRanks3141[[#This Row],[Player]],RB!B:O,5,FALSE)</f>
        <v>50.833763749999996</v>
      </c>
      <c r="V83" s="83">
        <f>VLOOKUP(TableRBRanks3141[[#This Row],[Player]],RB!B:O,6,FALSE)</f>
        <v>0.42564156250000007</v>
      </c>
      <c r="W83" s="83">
        <f>VLOOKUP(TableRBRanks3141[[#This Row],[Player]],RB!B:O,7,FALSE)</f>
        <v>10.215397499999996</v>
      </c>
      <c r="X83" s="83">
        <f>VLOOKUP(TableRBRanks3141[[#This Row],[Player]],RB!B:O,8,FALSE)</f>
        <v>7.3550861999999997</v>
      </c>
      <c r="Y83" s="83">
        <f>VLOOKUP(TableRBRanks3141[[#This Row],[Player]],RB!B:O,9,FALSE)</f>
        <v>53.986332707999999</v>
      </c>
      <c r="Z83" s="83">
        <f>VLOOKUP(TableRBRanks3141[[#This Row],[Player]],RB!B:O,10,FALSE)</f>
        <v>0.27213818939999995</v>
      </c>
      <c r="AA83" s="57">
        <f>VLOOKUP(TableRBRanks3141[[#This Row],[Player]],RB!B:O,14,FALSE)</f>
        <v>18.346231257200003</v>
      </c>
      <c r="AB83" s="125">
        <f>IF(VLOOKUP(TableRBRanks3141[[#This Row],[RK]],'Ranks w Proj'!$P:$AB,13,FALSE)&lt;0,0,VLOOKUP(TableRBRanks3141[[#This Row],[RK]],'Ranks w Proj'!$P:$AB,13,FALSE))</f>
        <v>0</v>
      </c>
      <c r="AD83">
        <v>82</v>
      </c>
      <c r="AE83" t="str">
        <f>VLOOKUP(TableWRRanks3242[[#This Row],[RK]],Rankings!A:T,13,FALSE)</f>
        <v>Malik Washington</v>
      </c>
      <c r="AF83" t="str">
        <f>IFERROR(INDEX(TableWRCalcPts[TM],MATCH(TableWRRanks3242[[#This Row],[Player]],TableWRCalcPts[PLAYER],0)),"")</f>
        <v>MIA</v>
      </c>
      <c r="AG83">
        <f>IFERROR(INDEX(TableWRCalcPts[BYE],MATCH(TableWRRanks3242[[#This Row],[Player]],TableWRCalcPts[PLAYER],0)),"")</f>
        <v>6</v>
      </c>
      <c r="AH83" s="83">
        <f>VLOOKUP(TableWRRanks3242[[#This Row],[Player]],WR!B:O,4,FALSE)</f>
        <v>0</v>
      </c>
      <c r="AI83" s="83">
        <f>VLOOKUP(TableWRRanks3242[[#This Row],[Player]],WR!B:O,5,FALSE)</f>
        <v>0</v>
      </c>
      <c r="AJ83" s="83">
        <f>VLOOKUP(TableWRRanks3242[[#This Row],[Player]],WR!B:O,6,FALSE)</f>
        <v>41.04310559999999</v>
      </c>
      <c r="AK83" s="83">
        <f>VLOOKUP(TableWRRanks3242[[#This Row],[Player]],WR!B:O,7,FALSE)</f>
        <v>27.006363484799994</v>
      </c>
      <c r="AL83" s="83">
        <f>VLOOKUP(TableWRRanks3242[[#This Row],[Player]],WR!B:O,8,FALSE)</f>
        <v>318.94515275548792</v>
      </c>
      <c r="AM83" s="83">
        <f>VLOOKUP(TableWRRanks3242[[#This Row],[Player]],WR!B:O,9,FALSE)</f>
        <v>1.8904454439359997</v>
      </c>
      <c r="AN83" s="57">
        <f>VLOOKUP(TableWRRanks3242[[#This Row],[Player]],WR!B:O,13,FALSE)</f>
        <v>56.740369681564793</v>
      </c>
      <c r="AO83" s="125">
        <f>IF(VLOOKUP(TableWRRanks3242[[#This Row],[RK]],'Ranks w Proj'!AD:AO,12,FALSE)&lt;0,0,VLOOKUP(TableWRRanks3242[[#This Row],[RK]],'Ranks w Proj'!AD:AO,12,FALSE))</f>
        <v>0</v>
      </c>
      <c r="AQ83">
        <v>82</v>
      </c>
      <c r="AR83">
        <f>VLOOKUP(TableTERanks3343[[#This Row],[RK]],Rankings!A:T,18,FALSE)</f>
        <v>0</v>
      </c>
      <c r="AS83" t="str">
        <f>IFERROR(INDEX(TableTECalcPts[TM],MATCH(TableTERanks3343[[#This Row],[Player]],TableTECalcPts[PLAYER],0)),"")</f>
        <v/>
      </c>
      <c r="AT83" t="str">
        <f>IFERROR(INDEX(TableTECalcPts[BYE],MATCH(TableTERanks3343[[#This Row],[Player]],TableTECalcPts[PLAYER],0)),"")</f>
        <v/>
      </c>
      <c r="AU83" s="83">
        <f>VLOOKUP(TableTERanks3343[[#This Row],[Player]],TE!B:O,4,FALSE)</f>
        <v>0</v>
      </c>
      <c r="AV83" s="83">
        <f>VLOOKUP(TableTERanks3343[[#This Row],[Player]],TE!B:O,5,FALSE)</f>
        <v>0</v>
      </c>
      <c r="AW83" s="83">
        <f>VLOOKUP(TableTERanks3343[[#This Row],[Player]],TE!B:O,6,FALSE)</f>
        <v>0</v>
      </c>
      <c r="AX83" s="83">
        <f>VLOOKUP(TableTERanks3343[[#This Row],[Player]],TE!B:O,7,FALSE)</f>
        <v>0</v>
      </c>
      <c r="AY83" s="57">
        <f>VLOOKUP(TableTERanks3343[[#This Row],[Player]],TE!B:O,11,FALSE)</f>
        <v>0</v>
      </c>
      <c r="AZ83" s="125" t="str">
        <f>IF(VLOOKUP(TableTERanks3343[[#This Row],[RK]],'Ranks w Proj'!AQ:AZ,10,FALSE)&lt;0,0,VLOOKUP(TableTERanks3343[[#This Row],[RK]],'Ranks w Proj'!AQ:AZ,10,FALSE))</f>
        <v/>
      </c>
    </row>
    <row r="84" spans="16:52" x14ac:dyDescent="0.2">
      <c r="P84">
        <v>83</v>
      </c>
      <c r="Q84" t="str">
        <f>VLOOKUP(TableRBRanks3141[[#This Row],[RK]],Rankings!A:T,8,FALSE)</f>
        <v>D'Ernest Johnson</v>
      </c>
      <c r="R84" t="str">
        <f>IFERROR(INDEX(TableRBCalcPts[TM],MATCH(TableRBRanks3141[[#This Row],[Player]],TableRBCalcPts[PLAYER],0)),"")</f>
        <v>JAX</v>
      </c>
      <c r="S84">
        <f>IFERROR(INDEX(TableRBCalcPts[BYE],MATCH(TableRBRanks3141[[#This Row],[Player]],TableRBCalcPts[PLAYER],0)),"")</f>
        <v>12</v>
      </c>
      <c r="T84" s="83">
        <f>VLOOKUP(TableRBRanks3141[[#This Row],[Player]],RB!B:O,4,FALSE)</f>
        <v>31.44311772</v>
      </c>
      <c r="U84" s="83">
        <f>VLOOKUP(TableRBRanks3141[[#This Row],[Player]],RB!B:O,5,FALSE)</f>
        <v>130.04767663581285</v>
      </c>
      <c r="V84" s="83">
        <f>VLOOKUP(TableRBRanks3141[[#This Row],[Player]],RB!B:O,6,FALSE)</f>
        <v>1.0061797670400001</v>
      </c>
      <c r="W84" s="83">
        <f>VLOOKUP(TableRBRanks3141[[#This Row],[Player]],RB!B:O,7,FALSE)</f>
        <v>6.0219235999999992</v>
      </c>
      <c r="X84" s="83">
        <f>VLOOKUP(TableRBRanks3141[[#This Row],[Player]],RB!B:O,8,FALSE)</f>
        <v>4.6007496303999993</v>
      </c>
      <c r="Y84" s="83">
        <f>VLOOKUP(TableRBRanks3141[[#This Row],[Player]],RB!B:O,9,FALSE)</f>
        <v>32.751415648943748</v>
      </c>
      <c r="Z84" s="83">
        <f>VLOOKUP(TableRBRanks3141[[#This Row],[Player]],RB!B:O,10,FALSE)</f>
        <v>0.13751176359983391</v>
      </c>
      <c r="AA84" s="57">
        <f>VLOOKUP(TableRBRanks3141[[#This Row],[Player]],RB!B:O,14,FALSE)</f>
        <v>25.442433227514666</v>
      </c>
      <c r="AB84" s="125">
        <f>IF(VLOOKUP(TableRBRanks3141[[#This Row],[RK]],'Ranks w Proj'!$P:$AB,13,FALSE)&lt;0,0,VLOOKUP(TableRBRanks3141[[#This Row],[RK]],'Ranks w Proj'!$P:$AB,13,FALSE))</f>
        <v>0</v>
      </c>
      <c r="AD84">
        <v>83</v>
      </c>
      <c r="AE84" t="str">
        <f>VLOOKUP(TableWRRanks3242[[#This Row],[RK]],Rankings!A:T,13,FALSE)</f>
        <v>Roman Wilson</v>
      </c>
      <c r="AF84" t="str">
        <f>IFERROR(INDEX(TableWRCalcPts[TM],MATCH(TableWRRanks3242[[#This Row],[Player]],TableWRCalcPts[PLAYER],0)),"")</f>
        <v>PIT</v>
      </c>
      <c r="AG84">
        <f>IFERROR(INDEX(TableWRCalcPts[BYE],MATCH(TableWRRanks3242[[#This Row],[Player]],TableWRCalcPts[PLAYER],0)),"")</f>
        <v>9</v>
      </c>
      <c r="AH84" s="83">
        <f>VLOOKUP(TableWRRanks3242[[#This Row],[Player]],WR!B:O,4,FALSE)</f>
        <v>0</v>
      </c>
      <c r="AI84" s="83">
        <f>VLOOKUP(TableWRRanks3242[[#This Row],[Player]],WR!B:O,5,FALSE)</f>
        <v>0</v>
      </c>
      <c r="AJ84" s="83">
        <f>VLOOKUP(TableWRRanks3242[[#This Row],[Player]],WR!B:O,6,FALSE)</f>
        <v>77.072100000000006</v>
      </c>
      <c r="AK84" s="83">
        <f>VLOOKUP(TableWRRanks3242[[#This Row],[Player]],WR!B:O,7,FALSE)</f>
        <v>47.013981000000001</v>
      </c>
      <c r="AL84" s="83">
        <f>VLOOKUP(TableWRRanks3242[[#This Row],[Player]],WR!B:O,8,FALSE)</f>
        <v>574.51084782000009</v>
      </c>
      <c r="AM84" s="83">
        <f>VLOOKUP(TableWRRanks3242[[#This Row],[Player]],WR!B:O,9,FALSE)</f>
        <v>3.337992651</v>
      </c>
      <c r="AN84" s="57">
        <f>VLOOKUP(TableWRRanks3242[[#This Row],[Player]],WR!B:O,13,FALSE)</f>
        <v>100.98603118800001</v>
      </c>
      <c r="AO84" s="125">
        <f>IF(VLOOKUP(TableWRRanks3242[[#This Row],[RK]],'Ranks w Proj'!AD:AO,12,FALSE)&lt;0,0,VLOOKUP(TableWRRanks3242[[#This Row],[RK]],'Ranks w Proj'!AD:AO,12,FALSE))</f>
        <v>0</v>
      </c>
      <c r="AQ84">
        <v>83</v>
      </c>
      <c r="AR84">
        <f>VLOOKUP(TableTERanks3343[[#This Row],[RK]],Rankings!A:T,18,FALSE)</f>
        <v>0</v>
      </c>
      <c r="AS84" t="str">
        <f>IFERROR(INDEX(TableTECalcPts[TM],MATCH(TableTERanks3343[[#This Row],[Player]],TableTECalcPts[PLAYER],0)),"")</f>
        <v/>
      </c>
      <c r="AT84" t="str">
        <f>IFERROR(INDEX(TableTECalcPts[BYE],MATCH(TableTERanks3343[[#This Row],[Player]],TableTECalcPts[PLAYER],0)),"")</f>
        <v/>
      </c>
      <c r="AU84" s="83">
        <f>VLOOKUP(TableTERanks3343[[#This Row],[Player]],TE!B:O,4,FALSE)</f>
        <v>0</v>
      </c>
      <c r="AV84" s="83">
        <f>VLOOKUP(TableTERanks3343[[#This Row],[Player]],TE!B:O,5,FALSE)</f>
        <v>0</v>
      </c>
      <c r="AW84" s="83">
        <f>VLOOKUP(TableTERanks3343[[#This Row],[Player]],TE!B:O,6,FALSE)</f>
        <v>0</v>
      </c>
      <c r="AX84" s="83">
        <f>VLOOKUP(TableTERanks3343[[#This Row],[Player]],TE!B:O,7,FALSE)</f>
        <v>0</v>
      </c>
      <c r="AY84" s="57">
        <f>VLOOKUP(TableTERanks3343[[#This Row],[Player]],TE!B:O,11,FALSE)</f>
        <v>0</v>
      </c>
      <c r="AZ84" s="125" t="str">
        <f>IF(VLOOKUP(TableTERanks3343[[#This Row],[RK]],'Ranks w Proj'!AQ:AZ,10,FALSE)&lt;0,0,VLOOKUP(TableTERanks3343[[#This Row],[RK]],'Ranks w Proj'!AQ:AZ,10,FALSE))</f>
        <v/>
      </c>
    </row>
    <row r="85" spans="16:52" x14ac:dyDescent="0.2">
      <c r="P85">
        <v>84</v>
      </c>
      <c r="Q85" t="str">
        <f>VLOOKUP(TableRBRanks3141[[#This Row],[RK]],Rankings!A:T,8,FALSE)</f>
        <v>Miles Sanders</v>
      </c>
      <c r="R85" t="str">
        <f>IFERROR(INDEX(TableRBCalcPts[TM],MATCH(TableRBRanks3141[[#This Row],[Player]],TableRBCalcPts[PLAYER],0)),"")</f>
        <v>CAR</v>
      </c>
      <c r="S85">
        <f>IFERROR(INDEX(TableRBCalcPts[BYE],MATCH(TableRBRanks3141[[#This Row],[Player]],TableRBCalcPts[PLAYER],0)),"")</f>
        <v>11</v>
      </c>
      <c r="T85" s="83">
        <f>VLOOKUP(TableRBRanks3141[[#This Row],[Player]],RB!B:O,4,FALSE)</f>
        <v>28.984137000000008</v>
      </c>
      <c r="U85" s="83">
        <f>VLOOKUP(TableRBRanks3141[[#This Row],[Player]],RB!B:O,5,FALSE)</f>
        <v>118.74336172150061</v>
      </c>
      <c r="V85" s="83">
        <f>VLOOKUP(TableRBRanks3141[[#This Row],[Player]],RB!B:O,6,FALSE)</f>
        <v>0.60122870827012775</v>
      </c>
      <c r="W85" s="83">
        <f>VLOOKUP(TableRBRanks3141[[#This Row],[Player]],RB!B:O,7,FALSE)</f>
        <v>8.6875529999999976</v>
      </c>
      <c r="X85" s="83">
        <f>VLOOKUP(TableRBRanks3141[[#This Row],[Player]],RB!B:O,8,FALSE)</f>
        <v>5.8380356159999982</v>
      </c>
      <c r="Y85" s="83">
        <f>VLOOKUP(TableRBRanks3141[[#This Row],[Player]],RB!B:O,9,FALSE)</f>
        <v>35.673317986073414</v>
      </c>
      <c r="Z85" s="83">
        <f>VLOOKUP(TableRBRanks3141[[#This Row],[Player]],RB!B:O,10,FALSE)</f>
        <v>4.767883485033541E-2</v>
      </c>
      <c r="AA85" s="57">
        <f>VLOOKUP(TableRBRanks3141[[#This Row],[Player]],RB!B:O,14,FALSE)</f>
        <v>22.254131037480178</v>
      </c>
      <c r="AB85" s="125">
        <f>IF(VLOOKUP(TableRBRanks3141[[#This Row],[RK]],'Ranks w Proj'!$P:$AB,13,FALSE)&lt;0,0,VLOOKUP(TableRBRanks3141[[#This Row],[RK]],'Ranks w Proj'!$P:$AB,13,FALSE))</f>
        <v>0</v>
      </c>
      <c r="AD85">
        <v>84</v>
      </c>
      <c r="AE85" t="str">
        <f>VLOOKUP(TableWRRanks3242[[#This Row],[RK]],Rankings!A:T,13,FALSE)</f>
        <v>Jermaine Burton</v>
      </c>
      <c r="AF85" t="str">
        <f>IFERROR(INDEX(TableWRCalcPts[TM],MATCH(TableWRRanks3242[[#This Row],[Player]],TableWRCalcPts[PLAYER],0)),"")</f>
        <v>CIN</v>
      </c>
      <c r="AG85">
        <f>IFERROR(INDEX(TableWRCalcPts[BYE],MATCH(TableWRRanks3242[[#This Row],[Player]],TableWRCalcPts[PLAYER],0)),"")</f>
        <v>12</v>
      </c>
      <c r="AH85" s="83">
        <f>VLOOKUP(TableWRRanks3242[[#This Row],[Player]],WR!B:O,4,FALSE)</f>
        <v>0</v>
      </c>
      <c r="AI85" s="83">
        <f>VLOOKUP(TableWRRanks3242[[#This Row],[Player]],WR!B:O,5,FALSE)</f>
        <v>0</v>
      </c>
      <c r="AJ85" s="83">
        <f>VLOOKUP(TableWRRanks3242[[#This Row],[Player]],WR!B:O,6,FALSE)</f>
        <v>69.839629439999996</v>
      </c>
      <c r="AK85" s="83">
        <f>VLOOKUP(TableWRRanks3242[[#This Row],[Player]],WR!B:O,7,FALSE)</f>
        <v>45.465598765439999</v>
      </c>
      <c r="AL85" s="83">
        <f>VLOOKUP(TableWRRanks3242[[#This Row],[Player]],WR!B:O,8,FALSE)</f>
        <v>557.40824086429438</v>
      </c>
      <c r="AM85" s="83">
        <f>VLOOKUP(TableWRRanks3242[[#This Row],[Player]],WR!B:O,9,FALSE)</f>
        <v>3.6372479012352001</v>
      </c>
      <c r="AN85" s="57">
        <f>VLOOKUP(TableWRRanks3242[[#This Row],[Player]],WR!B:O,13,FALSE)</f>
        <v>100.29711087656065</v>
      </c>
      <c r="AO85" s="125">
        <f>IF(VLOOKUP(TableWRRanks3242[[#This Row],[RK]],'Ranks w Proj'!AD:AO,12,FALSE)&lt;0,0,VLOOKUP(TableWRRanks3242[[#This Row],[RK]],'Ranks w Proj'!AD:AO,12,FALSE))</f>
        <v>0</v>
      </c>
      <c r="AQ85">
        <v>84</v>
      </c>
      <c r="AR85">
        <f>VLOOKUP(TableTERanks3343[[#This Row],[RK]],Rankings!A:T,18,FALSE)</f>
        <v>0</v>
      </c>
      <c r="AS85" t="str">
        <f>IFERROR(INDEX(TableTECalcPts[TM],MATCH(TableTERanks3343[[#This Row],[Player]],TableTECalcPts[PLAYER],0)),"")</f>
        <v/>
      </c>
      <c r="AT85" t="str">
        <f>IFERROR(INDEX(TableTECalcPts[BYE],MATCH(TableTERanks3343[[#This Row],[Player]],TableTECalcPts[PLAYER],0)),"")</f>
        <v/>
      </c>
      <c r="AU85" s="83">
        <f>VLOOKUP(TableTERanks3343[[#This Row],[Player]],TE!B:O,4,FALSE)</f>
        <v>0</v>
      </c>
      <c r="AV85" s="83">
        <f>VLOOKUP(TableTERanks3343[[#This Row],[Player]],TE!B:O,5,FALSE)</f>
        <v>0</v>
      </c>
      <c r="AW85" s="83">
        <f>VLOOKUP(TableTERanks3343[[#This Row],[Player]],TE!B:O,6,FALSE)</f>
        <v>0</v>
      </c>
      <c r="AX85" s="83">
        <f>VLOOKUP(TableTERanks3343[[#This Row],[Player]],TE!B:O,7,FALSE)</f>
        <v>0</v>
      </c>
      <c r="AY85" s="57">
        <f>VLOOKUP(TableTERanks3343[[#This Row],[Player]],TE!B:O,11,FALSE)</f>
        <v>0</v>
      </c>
      <c r="AZ85" s="125" t="str">
        <f>IF(VLOOKUP(TableTERanks3343[[#This Row],[RK]],'Ranks w Proj'!AQ:AZ,10,FALSE)&lt;0,0,VLOOKUP(TableTERanks3343[[#This Row],[RK]],'Ranks w Proj'!AQ:AZ,10,FALSE))</f>
        <v/>
      </c>
    </row>
    <row r="86" spans="16:52" x14ac:dyDescent="0.2">
      <c r="P86">
        <v>85</v>
      </c>
      <c r="Q86" t="str">
        <f>VLOOKUP(TableRBRanks3141[[#This Row],[RK]],Rankings!A:T,8,FALSE)</f>
        <v>D'Onta Foreman</v>
      </c>
      <c r="R86" t="str">
        <f>IFERROR(INDEX(TableRBCalcPts[TM],MATCH(TableRBRanks3141[[#This Row],[Player]],TableRBCalcPts[PLAYER],0)),"")</f>
        <v>CLE</v>
      </c>
      <c r="S86">
        <f>IFERROR(INDEX(TableRBCalcPts[BYE],MATCH(TableRBRanks3141[[#This Row],[Player]],TableRBCalcPts[PLAYER],0)),"")</f>
        <v>10</v>
      </c>
      <c r="T86" s="83">
        <f>VLOOKUP(TableRBRanks3141[[#This Row],[Player]],RB!B:O,4,FALSE)</f>
        <v>4.8644749999999997</v>
      </c>
      <c r="U86" s="83">
        <f>VLOOKUP(TableRBRanks3141[[#This Row],[Player]],RB!B:O,5,FALSE)</f>
        <v>19.99299225</v>
      </c>
      <c r="V86" s="83">
        <f>VLOOKUP(TableRBRanks3141[[#This Row],[Player]],RB!B:O,6,FALSE)</f>
        <v>0.17998557499999998</v>
      </c>
      <c r="W86" s="83">
        <f>VLOOKUP(TableRBRanks3141[[#This Row],[Player]],RB!B:O,7,FALSE)</f>
        <v>5.3765249999999991</v>
      </c>
      <c r="X86" s="83">
        <f>VLOOKUP(TableRBRanks3141[[#This Row],[Player]],RB!B:O,8,FALSE)</f>
        <v>3.9840050249999992</v>
      </c>
      <c r="Y86" s="83">
        <f>VLOOKUP(TableRBRanks3141[[#This Row],[Player]],RB!B:O,9,FALSE)</f>
        <v>29.840197637249997</v>
      </c>
      <c r="Z86" s="83">
        <f>VLOOKUP(TableRBRanks3141[[#This Row],[Player]],RB!B:O,10,FALSE)</f>
        <v>0.15936020099999998</v>
      </c>
      <c r="AA86" s="57">
        <f>VLOOKUP(TableRBRanks3141[[#This Row],[Player]],RB!B:O,14,FALSE)</f>
        <v>9.0113961572249988</v>
      </c>
      <c r="AB86" s="125">
        <f>IF(VLOOKUP(TableRBRanks3141[[#This Row],[RK]],'Ranks w Proj'!$P:$AB,13,FALSE)&lt;0,0,VLOOKUP(TableRBRanks3141[[#This Row],[RK]],'Ranks w Proj'!$P:$AB,13,FALSE))</f>
        <v>0</v>
      </c>
      <c r="AD86">
        <v>85</v>
      </c>
      <c r="AE86" t="str">
        <f>VLOOKUP(TableWRRanks3242[[#This Row],[RK]],Rankings!A:T,13,FALSE)</f>
        <v>Darius Slayton</v>
      </c>
      <c r="AF86" t="str">
        <f>IFERROR(INDEX(TableWRCalcPts[TM],MATCH(TableWRRanks3242[[#This Row],[Player]],TableWRCalcPts[PLAYER],0)),"")</f>
        <v>NYG</v>
      </c>
      <c r="AG86">
        <f>IFERROR(INDEX(TableWRCalcPts[BYE],MATCH(TableWRRanks3242[[#This Row],[Player]],TableWRCalcPts[PLAYER],0)),"")</f>
        <v>11</v>
      </c>
      <c r="AH86" s="83">
        <f>VLOOKUP(TableWRRanks3242[[#This Row],[Player]],WR!B:O,4,FALSE)</f>
        <v>0</v>
      </c>
      <c r="AI86" s="83">
        <f>VLOOKUP(TableWRRanks3242[[#This Row],[Player]],WR!B:O,5,FALSE)</f>
        <v>0</v>
      </c>
      <c r="AJ86" s="83">
        <f>VLOOKUP(TableWRRanks3242[[#This Row],[Player]],WR!B:O,6,FALSE)</f>
        <v>76.504209599999996</v>
      </c>
      <c r="AK86" s="83">
        <f>VLOOKUP(TableWRRanks3242[[#This Row],[Player]],WR!B:O,7,FALSE)</f>
        <v>45.749517340799997</v>
      </c>
      <c r="AL86" s="83">
        <f>VLOOKUP(TableWRRanks3242[[#This Row],[Player]],WR!B:O,8,FALSE)</f>
        <v>590.16877369631993</v>
      </c>
      <c r="AM86" s="83">
        <f>VLOOKUP(TableWRRanks3242[[#This Row],[Player]],WR!B:O,9,FALSE)</f>
        <v>2.973718627152</v>
      </c>
      <c r="AN86" s="57">
        <f>VLOOKUP(TableWRRanks3242[[#This Row],[Player]],WR!B:O,13,FALSE)</f>
        <v>99.733947802944002</v>
      </c>
      <c r="AO86" s="125">
        <f>IF(VLOOKUP(TableWRRanks3242[[#This Row],[RK]],'Ranks w Proj'!AD:AO,12,FALSE)&lt;0,0,VLOOKUP(TableWRRanks3242[[#This Row],[RK]],'Ranks w Proj'!AD:AO,12,FALSE))</f>
        <v>0</v>
      </c>
      <c r="AQ86">
        <v>85</v>
      </c>
      <c r="AR86">
        <f>VLOOKUP(TableTERanks3343[[#This Row],[RK]],Rankings!A:T,18,FALSE)</f>
        <v>0</v>
      </c>
      <c r="AS86" t="str">
        <f>IFERROR(INDEX(TableTECalcPts[TM],MATCH(TableTERanks3343[[#This Row],[Player]],TableTECalcPts[PLAYER],0)),"")</f>
        <v/>
      </c>
      <c r="AT86" t="str">
        <f>IFERROR(INDEX(TableTECalcPts[BYE],MATCH(TableTERanks3343[[#This Row],[Player]],TableTECalcPts[PLAYER],0)),"")</f>
        <v/>
      </c>
      <c r="AU86" s="83">
        <f>VLOOKUP(TableTERanks3343[[#This Row],[Player]],TE!B:O,4,FALSE)</f>
        <v>0</v>
      </c>
      <c r="AV86" s="83">
        <f>VLOOKUP(TableTERanks3343[[#This Row],[Player]],TE!B:O,5,FALSE)</f>
        <v>0</v>
      </c>
      <c r="AW86" s="83">
        <f>VLOOKUP(TableTERanks3343[[#This Row],[Player]],TE!B:O,6,FALSE)</f>
        <v>0</v>
      </c>
      <c r="AX86" s="83">
        <f>VLOOKUP(TableTERanks3343[[#This Row],[Player]],TE!B:O,7,FALSE)</f>
        <v>0</v>
      </c>
      <c r="AY86" s="57">
        <f>VLOOKUP(TableTERanks3343[[#This Row],[Player]],TE!B:O,11,FALSE)</f>
        <v>0</v>
      </c>
      <c r="AZ86" s="125" t="str">
        <f>IF(VLOOKUP(TableTERanks3343[[#This Row],[RK]],'Ranks w Proj'!AQ:AZ,10,FALSE)&lt;0,0,VLOOKUP(TableTERanks3343[[#This Row],[RK]],'Ranks w Proj'!AQ:AZ,10,FALSE))</f>
        <v/>
      </c>
    </row>
    <row r="87" spans="16:52" x14ac:dyDescent="0.2">
      <c r="P87">
        <v>86</v>
      </c>
      <c r="Q87" t="str">
        <f>VLOOKUP(TableRBRanks3141[[#This Row],[RK]],Rankings!A:T,8,FALSE)</f>
        <v>Clyde Edwards-Helaire</v>
      </c>
      <c r="R87" t="str">
        <f>IFERROR(INDEX(TableRBCalcPts[TM],MATCH(TableRBRanks3141[[#This Row],[Player]],TableRBCalcPts[PLAYER],0)),"")</f>
        <v>KC</v>
      </c>
      <c r="S87">
        <f>IFERROR(INDEX(TableRBCalcPts[BYE],MATCH(TableRBRanks3141[[#This Row],[Player]],TableRBCalcPts[PLAYER],0)),"")</f>
        <v>6</v>
      </c>
      <c r="T87" s="83">
        <f>VLOOKUP(TableRBRanks3141[[#This Row],[Player]],RB!B:O,4,FALSE)</f>
        <v>19.750527999999999</v>
      </c>
      <c r="U87" s="83">
        <f>VLOOKUP(TableRBRanks3141[[#This Row],[Player]],RB!B:O,5,FALSE)</f>
        <v>80.661667049375268</v>
      </c>
      <c r="V87" s="83">
        <f>VLOOKUP(TableRBRanks3141[[#This Row],[Player]],RB!B:O,6,FALSE)</f>
        <v>0.61224123248061002</v>
      </c>
      <c r="W87" s="83">
        <f>VLOOKUP(TableRBRanks3141[[#This Row],[Player]],RB!B:O,7,FALSE)</f>
        <v>7.5640319999999992</v>
      </c>
      <c r="X87" s="83">
        <f>VLOOKUP(TableRBRanks3141[[#This Row],[Player]],RB!B:O,8,FALSE)</f>
        <v>5.3931548159999991</v>
      </c>
      <c r="Y87" s="83">
        <f>VLOOKUP(TableRBRanks3141[[#This Row],[Player]],RB!B:O,9,FALSE)</f>
        <v>39.639687897599991</v>
      </c>
      <c r="Z87" s="83">
        <f>VLOOKUP(TableRBRanks3141[[#This Row],[Player]],RB!B:O,10,FALSE)</f>
        <v>0.25887143116799999</v>
      </c>
      <c r="AA87" s="57">
        <f>VLOOKUP(TableRBRanks3141[[#This Row],[Player]],RB!B:O,14,FALSE)</f>
        <v>19.953388884589188</v>
      </c>
      <c r="AB87" s="125">
        <f>IF(VLOOKUP(TableRBRanks3141[[#This Row],[RK]],'Ranks w Proj'!$P:$AB,13,FALSE)&lt;0,0,VLOOKUP(TableRBRanks3141[[#This Row],[RK]],'Ranks w Proj'!$P:$AB,13,FALSE))</f>
        <v>0</v>
      </c>
      <c r="AD87">
        <v>86</v>
      </c>
      <c r="AE87" t="str">
        <f>VLOOKUP(TableWRRanks3242[[#This Row],[RK]],Rankings!A:T,13,FALSE)</f>
        <v>Malachi Corley</v>
      </c>
      <c r="AF87" t="str">
        <f>IFERROR(INDEX(TableWRCalcPts[TM],MATCH(TableWRRanks3242[[#This Row],[Player]],TableWRCalcPts[PLAYER],0)),"")</f>
        <v>NYJ</v>
      </c>
      <c r="AG87">
        <f>IFERROR(INDEX(TableWRCalcPts[BYE],MATCH(TableWRRanks3242[[#This Row],[Player]],TableWRCalcPts[PLAYER],0)),"")</f>
        <v>12</v>
      </c>
      <c r="AH87" s="83">
        <f>VLOOKUP(TableWRRanks3242[[#This Row],[Player]],WR!B:O,4,FALSE)</f>
        <v>24.960496904000003</v>
      </c>
      <c r="AI87" s="83">
        <f>VLOOKUP(TableWRRanks3242[[#This Row],[Player]],WR!B:O,5,FALSE)</f>
        <v>3.0751864593784175E-2</v>
      </c>
      <c r="AJ87" s="83">
        <f>VLOOKUP(TableWRRanks3242[[#This Row],[Player]],WR!B:O,6,FALSE)</f>
        <v>72.286454239999969</v>
      </c>
      <c r="AK87" s="83">
        <f>VLOOKUP(TableWRRanks3242[[#This Row],[Player]],WR!B:O,7,FALSE)</f>
        <v>45.829611988159982</v>
      </c>
      <c r="AL87" s="83">
        <f>VLOOKUP(TableWRRanks3242[[#This Row],[Player]],WR!B:O,8,FALSE)</f>
        <v>548.61108023331667</v>
      </c>
      <c r="AM87" s="83">
        <f>VLOOKUP(TableWRRanks3242[[#This Row],[Player]],WR!B:O,9,FALSE)</f>
        <v>3.7674978441924276</v>
      </c>
      <c r="AN87" s="57">
        <f>VLOOKUP(TableWRRanks3242[[#This Row],[Player]],WR!B:O,13,FALSE)</f>
        <v>103.06146196052893</v>
      </c>
      <c r="AO87" s="125">
        <f>IF(VLOOKUP(TableWRRanks3242[[#This Row],[RK]],'Ranks w Proj'!AD:AO,12,FALSE)&lt;0,0,VLOOKUP(TableWRRanks3242[[#This Row],[RK]],'Ranks w Proj'!AD:AO,12,FALSE))</f>
        <v>0</v>
      </c>
      <c r="AQ87">
        <v>86</v>
      </c>
      <c r="AR87">
        <f>VLOOKUP(TableTERanks3343[[#This Row],[RK]],Rankings!A:T,18,FALSE)</f>
        <v>0</v>
      </c>
      <c r="AS87" t="str">
        <f>IFERROR(INDEX(TableTECalcPts[TM],MATCH(TableTERanks3343[[#This Row],[Player]],TableTECalcPts[PLAYER],0)),"")</f>
        <v/>
      </c>
      <c r="AT87" t="str">
        <f>IFERROR(INDEX(TableTECalcPts[BYE],MATCH(TableTERanks3343[[#This Row],[Player]],TableTECalcPts[PLAYER],0)),"")</f>
        <v/>
      </c>
      <c r="AU87" s="83">
        <f>VLOOKUP(TableTERanks3343[[#This Row],[Player]],TE!B:O,4,FALSE)</f>
        <v>0</v>
      </c>
      <c r="AV87" s="83">
        <f>VLOOKUP(TableTERanks3343[[#This Row],[Player]],TE!B:O,5,FALSE)</f>
        <v>0</v>
      </c>
      <c r="AW87" s="83">
        <f>VLOOKUP(TableTERanks3343[[#This Row],[Player]],TE!B:O,6,FALSE)</f>
        <v>0</v>
      </c>
      <c r="AX87" s="83">
        <f>VLOOKUP(TableTERanks3343[[#This Row],[Player]],TE!B:O,7,FALSE)</f>
        <v>0</v>
      </c>
      <c r="AY87" s="57">
        <f>VLOOKUP(TableTERanks3343[[#This Row],[Player]],TE!B:O,11,FALSE)</f>
        <v>0</v>
      </c>
      <c r="AZ87" s="125" t="str">
        <f>IF(VLOOKUP(TableTERanks3343[[#This Row],[RK]],'Ranks w Proj'!AQ:AZ,10,FALSE)&lt;0,0,VLOOKUP(TableTERanks3343[[#This Row],[RK]],'Ranks w Proj'!AQ:AZ,10,FALSE))</f>
        <v/>
      </c>
    </row>
    <row r="88" spans="16:52" x14ac:dyDescent="0.2">
      <c r="P88">
        <v>87</v>
      </c>
      <c r="Q88" t="str">
        <f>VLOOKUP(TableRBRanks3141[[#This Row],[RK]],Rankings!A:T,8,FALSE)</f>
        <v>Jeff Wilson</v>
      </c>
      <c r="R88" t="str">
        <f>IFERROR(INDEX(TableRBCalcPts[TM],MATCH(TableRBRanks3141[[#This Row],[Player]],TableRBCalcPts[PLAYER],0)),"")</f>
        <v>MIA</v>
      </c>
      <c r="S88">
        <f>IFERROR(INDEX(TableRBCalcPts[BYE],MATCH(TableRBRanks3141[[#This Row],[Player]],TableRBCalcPts[PLAYER],0)),"")</f>
        <v>6</v>
      </c>
      <c r="T88" s="83">
        <f>VLOOKUP(TableRBRanks3141[[#This Row],[Player]],RB!B:O,4,FALSE)</f>
        <v>7.1588686400000014</v>
      </c>
      <c r="U88" s="83">
        <f>VLOOKUP(TableRBRanks3141[[#This Row],[Player]],RB!B:O,5,FALSE)</f>
        <v>34.628368944029127</v>
      </c>
      <c r="V88" s="83">
        <f>VLOOKUP(TableRBRanks3141[[#This Row],[Player]],RB!B:O,6,FALSE)</f>
        <v>0.28635474560000007</v>
      </c>
      <c r="W88" s="83">
        <f>VLOOKUP(TableRBRanks3141[[#This Row],[Player]],RB!B:O,7,FALSE)</f>
        <v>5.8633007999999984</v>
      </c>
      <c r="X88" s="83">
        <f>VLOOKUP(TableRBRanks3141[[#This Row],[Player]],RB!B:O,8,FALSE)</f>
        <v>4.1043105599999983</v>
      </c>
      <c r="Y88" s="83">
        <f>VLOOKUP(TableRBRanks3141[[#This Row],[Player]],RB!B:O,9,FALSE)</f>
        <v>28.69220135611388</v>
      </c>
      <c r="Z88" s="83">
        <f>VLOOKUP(TableRBRanks3141[[#This Row],[Player]],RB!B:O,10,FALSE)</f>
        <v>0.19382375883416578</v>
      </c>
      <c r="AA88" s="57">
        <f>VLOOKUP(TableRBRanks3141[[#This Row],[Player]],RB!B:O,14,FALSE)</f>
        <v>11.265283336619294</v>
      </c>
      <c r="AB88" s="125">
        <f>IF(VLOOKUP(TableRBRanks3141[[#This Row],[RK]],'Ranks w Proj'!$P:$AB,13,FALSE)&lt;0,0,VLOOKUP(TableRBRanks3141[[#This Row],[RK]],'Ranks w Proj'!$P:$AB,13,FALSE))</f>
        <v>0</v>
      </c>
      <c r="AD88">
        <v>87</v>
      </c>
      <c r="AE88" t="str">
        <f>VLOOKUP(TableWRRanks3242[[#This Row],[RK]],Rankings!A:T,13,FALSE)</f>
        <v>Van Jefferson</v>
      </c>
      <c r="AF88" t="str">
        <f>IFERROR(INDEX(TableWRCalcPts[TM],MATCH(TableWRRanks3242[[#This Row],[Player]],TableWRCalcPts[PLAYER],0)),"")</f>
        <v>PIT</v>
      </c>
      <c r="AG88">
        <f>IFERROR(INDEX(TableWRCalcPts[BYE],MATCH(TableWRRanks3242[[#This Row],[Player]],TableWRCalcPts[PLAYER],0)),"")</f>
        <v>9</v>
      </c>
      <c r="AH88" s="83">
        <f>VLOOKUP(TableWRRanks3242[[#This Row],[Player]],WR!B:O,4,FALSE)</f>
        <v>0</v>
      </c>
      <c r="AI88" s="83">
        <f>VLOOKUP(TableWRRanks3242[[#This Row],[Player]],WR!B:O,5,FALSE)</f>
        <v>0</v>
      </c>
      <c r="AJ88" s="83">
        <f>VLOOKUP(TableWRRanks3242[[#This Row],[Player]],WR!B:O,6,FALSE)</f>
        <v>80.925704999999994</v>
      </c>
      <c r="AK88" s="83">
        <f>VLOOKUP(TableWRRanks3242[[#This Row],[Player]],WR!B:O,7,FALSE)</f>
        <v>43.861732109999998</v>
      </c>
      <c r="AL88" s="83">
        <f>VLOOKUP(TableWRRanks3242[[#This Row],[Player]],WR!B:O,8,FALSE)</f>
        <v>593.0106181271999</v>
      </c>
      <c r="AM88" s="83">
        <f>VLOOKUP(TableWRRanks3242[[#This Row],[Player]],WR!B:O,9,FALSE)</f>
        <v>3.2457681761399999</v>
      </c>
      <c r="AN88" s="57">
        <f>VLOOKUP(TableWRRanks3242[[#This Row],[Player]],WR!B:O,13,FALSE)</f>
        <v>100.70653692455998</v>
      </c>
      <c r="AO88" s="125">
        <f>IF(VLOOKUP(TableWRRanks3242[[#This Row],[RK]],'Ranks w Proj'!AD:AO,12,FALSE)&lt;0,0,VLOOKUP(TableWRRanks3242[[#This Row],[RK]],'Ranks w Proj'!AD:AO,12,FALSE))</f>
        <v>0</v>
      </c>
      <c r="AQ88">
        <v>87</v>
      </c>
      <c r="AR88">
        <f>VLOOKUP(TableTERanks3343[[#This Row],[RK]],Rankings!A:T,18,FALSE)</f>
        <v>0</v>
      </c>
      <c r="AS88" t="str">
        <f>IFERROR(INDEX(TableTECalcPts[TM],MATCH(TableTERanks3343[[#This Row],[Player]],TableTECalcPts[PLAYER],0)),"")</f>
        <v/>
      </c>
      <c r="AT88" t="str">
        <f>IFERROR(INDEX(TableTECalcPts[BYE],MATCH(TableTERanks3343[[#This Row],[Player]],TableTECalcPts[PLAYER],0)),"")</f>
        <v/>
      </c>
      <c r="AU88" s="83">
        <f>VLOOKUP(TableTERanks3343[[#This Row],[Player]],TE!B:O,4,FALSE)</f>
        <v>0</v>
      </c>
      <c r="AV88" s="83">
        <f>VLOOKUP(TableTERanks3343[[#This Row],[Player]],TE!B:O,5,FALSE)</f>
        <v>0</v>
      </c>
      <c r="AW88" s="83">
        <f>VLOOKUP(TableTERanks3343[[#This Row],[Player]],TE!B:O,6,FALSE)</f>
        <v>0</v>
      </c>
      <c r="AX88" s="83">
        <f>VLOOKUP(TableTERanks3343[[#This Row],[Player]],TE!B:O,7,FALSE)</f>
        <v>0</v>
      </c>
      <c r="AY88" s="57">
        <f>VLOOKUP(TableTERanks3343[[#This Row],[Player]],TE!B:O,11,FALSE)</f>
        <v>0</v>
      </c>
      <c r="AZ88" s="125" t="str">
        <f>IF(VLOOKUP(TableTERanks3343[[#This Row],[RK]],'Ranks w Proj'!AQ:AZ,10,FALSE)&lt;0,0,VLOOKUP(TableTERanks3343[[#This Row],[RK]],'Ranks w Proj'!AQ:AZ,10,FALSE))</f>
        <v/>
      </c>
    </row>
    <row r="89" spans="16:52" x14ac:dyDescent="0.2">
      <c r="P89">
        <v>88</v>
      </c>
      <c r="Q89" t="str">
        <f>VLOOKUP(TableRBRanks3141[[#This Row],[RK]],Rankings!A:T,8,FALSE)</f>
        <v>Emanuel Wilson</v>
      </c>
      <c r="R89" t="str">
        <f>IFERROR(INDEX(TableRBCalcPts[TM],MATCH(TableRBRanks3141[[#This Row],[Player]],TableRBCalcPts[PLAYER],0)),"")</f>
        <v>GB</v>
      </c>
      <c r="S89">
        <f>IFERROR(INDEX(TableRBCalcPts[BYE],MATCH(TableRBRanks3141[[#This Row],[Player]],TableRBCalcPts[PLAYER],0)),"")</f>
        <v>10</v>
      </c>
      <c r="T89" s="83">
        <f>VLOOKUP(TableRBRanks3141[[#This Row],[Player]],RB!B:O,4,FALSE)</f>
        <v>13.8885208</v>
      </c>
      <c r="U89" s="83">
        <f>VLOOKUP(TableRBRanks3141[[#This Row],[Player]],RB!B:O,5,FALSE)</f>
        <v>56.109624031999999</v>
      </c>
      <c r="V89" s="83">
        <f>VLOOKUP(TableRBRanks3141[[#This Row],[Player]],RB!B:O,6,FALSE)</f>
        <v>0.43054414480000003</v>
      </c>
      <c r="W89" s="83">
        <f>VLOOKUP(TableRBRanks3141[[#This Row],[Player]],RB!B:O,7,FALSE)</f>
        <v>5.702032</v>
      </c>
      <c r="X89" s="83">
        <f>VLOOKUP(TableRBRanks3141[[#This Row],[Player]],RB!B:O,8,FALSE)</f>
        <v>4.4589890240000001</v>
      </c>
      <c r="Y89" s="83">
        <f>VLOOKUP(TableRBRanks3141[[#This Row],[Player]],RB!B:O,9,FALSE)</f>
        <v>31.525052399680003</v>
      </c>
      <c r="Z89" s="83">
        <f>VLOOKUP(TableRBRanks3141[[#This Row],[Player]],RB!B:O,10,FALSE)</f>
        <v>0.13376967072000001</v>
      </c>
      <c r="AA89" s="57">
        <f>VLOOKUP(TableRBRanks3141[[#This Row],[Player]],RB!B:O,14,FALSE)</f>
        <v>14.378845048288003</v>
      </c>
      <c r="AB89" s="125">
        <f>IF(VLOOKUP(TableRBRanks3141[[#This Row],[RK]],'Ranks w Proj'!$P:$AB,13,FALSE)&lt;0,0,VLOOKUP(TableRBRanks3141[[#This Row],[RK]],'Ranks w Proj'!$P:$AB,13,FALSE))</f>
        <v>0</v>
      </c>
      <c r="AD89">
        <v>88</v>
      </c>
      <c r="AE89" t="str">
        <f>VLOOKUP(TableWRRanks3242[[#This Row],[RK]],Rankings!A:T,13,FALSE)</f>
        <v>Jalin Hyatt</v>
      </c>
      <c r="AF89" t="str">
        <f>IFERROR(INDEX(TableWRCalcPts[TM],MATCH(TableWRRanks3242[[#This Row],[Player]],TableWRCalcPts[PLAYER],0)),"")</f>
        <v>NYG</v>
      </c>
      <c r="AG89">
        <f>IFERROR(INDEX(TableWRCalcPts[BYE],MATCH(TableWRRanks3242[[#This Row],[Player]],TableWRCalcPts[PLAYER],0)),"")</f>
        <v>11</v>
      </c>
      <c r="AH89" s="83">
        <f>VLOOKUP(TableWRRanks3242[[#This Row],[Player]],WR!B:O,4,FALSE)</f>
        <v>0</v>
      </c>
      <c r="AI89" s="83">
        <f>VLOOKUP(TableWRRanks3242[[#This Row],[Player]],WR!B:O,5,FALSE)</f>
        <v>0</v>
      </c>
      <c r="AJ89" s="83">
        <f>VLOOKUP(TableWRRanks3242[[#This Row],[Player]],WR!B:O,6,FALSE)</f>
        <v>67.08830687999999</v>
      </c>
      <c r="AK89" s="83">
        <f>VLOOKUP(TableWRRanks3242[[#This Row],[Player]],WR!B:O,7,FALSE)</f>
        <v>37.636540159680003</v>
      </c>
      <c r="AL89" s="83">
        <f>VLOOKUP(TableWRRanks3242[[#This Row],[Player]],WR!B:O,8,FALSE)</f>
        <v>477.23132922474241</v>
      </c>
      <c r="AM89" s="83">
        <f>VLOOKUP(TableWRRanks3242[[#This Row],[Player]],WR!B:O,9,FALSE)</f>
        <v>2.0498016274716777</v>
      </c>
      <c r="AN89" s="57">
        <f>VLOOKUP(TableWRRanks3242[[#This Row],[Player]],WR!B:O,13,FALSE)</f>
        <v>78.840212767144308</v>
      </c>
      <c r="AO89" s="125">
        <f>IF(VLOOKUP(TableWRRanks3242[[#This Row],[RK]],'Ranks w Proj'!AD:AO,12,FALSE)&lt;0,0,VLOOKUP(TableWRRanks3242[[#This Row],[RK]],'Ranks w Proj'!AD:AO,12,FALSE))</f>
        <v>0</v>
      </c>
      <c r="AQ89">
        <v>88</v>
      </c>
      <c r="AR89">
        <f>VLOOKUP(TableTERanks3343[[#This Row],[RK]],Rankings!A:T,18,FALSE)</f>
        <v>0</v>
      </c>
      <c r="AS89" t="str">
        <f>IFERROR(INDEX(TableTECalcPts[TM],MATCH(TableTERanks3343[[#This Row],[Player]],TableTECalcPts[PLAYER],0)),"")</f>
        <v/>
      </c>
      <c r="AT89" t="str">
        <f>IFERROR(INDEX(TableTECalcPts[BYE],MATCH(TableTERanks3343[[#This Row],[Player]],TableTECalcPts[PLAYER],0)),"")</f>
        <v/>
      </c>
      <c r="AU89" s="83">
        <f>VLOOKUP(TableTERanks3343[[#This Row],[Player]],TE!B:O,4,FALSE)</f>
        <v>0</v>
      </c>
      <c r="AV89" s="83">
        <f>VLOOKUP(TableTERanks3343[[#This Row],[Player]],TE!B:O,5,FALSE)</f>
        <v>0</v>
      </c>
      <c r="AW89" s="83">
        <f>VLOOKUP(TableTERanks3343[[#This Row],[Player]],TE!B:O,6,FALSE)</f>
        <v>0</v>
      </c>
      <c r="AX89" s="83">
        <f>VLOOKUP(TableTERanks3343[[#This Row],[Player]],TE!B:O,7,FALSE)</f>
        <v>0</v>
      </c>
      <c r="AY89" s="57">
        <f>VLOOKUP(TableTERanks3343[[#This Row],[Player]],TE!B:O,11,FALSE)</f>
        <v>0</v>
      </c>
      <c r="AZ89" s="125" t="str">
        <f>IF(VLOOKUP(TableTERanks3343[[#This Row],[RK]],'Ranks w Proj'!AQ:AZ,10,FALSE)&lt;0,0,VLOOKUP(TableTERanks3343[[#This Row],[RK]],'Ranks w Proj'!AQ:AZ,10,FALSE))</f>
        <v/>
      </c>
    </row>
    <row r="90" spans="16:52" x14ac:dyDescent="0.2">
      <c r="P90">
        <v>89</v>
      </c>
      <c r="Q90" t="str">
        <f>VLOOKUP(TableRBRanks3141[[#This Row],[RK]],Rankings!A:T,8,FALSE)</f>
        <v>Ronnie Rivers</v>
      </c>
      <c r="R90" t="str">
        <f>IFERROR(INDEX(TableRBCalcPts[TM],MATCH(TableRBRanks3141[[#This Row],[Player]],TableRBCalcPts[PLAYER],0)),"")</f>
        <v>LAR</v>
      </c>
      <c r="S90">
        <f>IFERROR(INDEX(TableRBCalcPts[BYE],MATCH(TableRBRanks3141[[#This Row],[Player]],TableRBCalcPts[PLAYER],0)),"")</f>
        <v>6</v>
      </c>
      <c r="T90" s="83">
        <f>VLOOKUP(TableRBRanks3141[[#This Row],[Player]],RB!B:O,4,FALSE)</f>
        <v>12.6392364</v>
      </c>
      <c r="U90" s="83">
        <f>VLOOKUP(TableRBRanks3141[[#This Row],[Player]],RB!B:O,5,FALSE)</f>
        <v>52.068719752558565</v>
      </c>
      <c r="V90" s="83">
        <f>VLOOKUP(TableRBRanks3141[[#This Row],[Player]],RB!B:O,6,FALSE)</f>
        <v>0.48029098319999997</v>
      </c>
      <c r="W90" s="83">
        <f>VLOOKUP(TableRBRanks3141[[#This Row],[Player]],RB!B:O,7,FALSE)</f>
        <v>6.0377211999999991</v>
      </c>
      <c r="X90" s="83">
        <f>VLOOKUP(TableRBRanks3141[[#This Row],[Player]],RB!B:O,8,FALSE)</f>
        <v>4.2626311671999995</v>
      </c>
      <c r="Y90" s="83">
        <f>VLOOKUP(TableRBRanks3141[[#This Row],[Player]],RB!B:O,9,FALSE)</f>
        <v>28.390117552926728</v>
      </c>
      <c r="Z90" s="83">
        <f>VLOOKUP(TableRBRanks3141[[#This Row],[Player]],RB!B:O,10,FALSE)</f>
        <v>0.15920449553378238</v>
      </c>
      <c r="AA90" s="57">
        <f>VLOOKUP(TableRBRanks3141[[#This Row],[Player]],RB!B:O,14,FALSE)</f>
        <v>14.014172186551225</v>
      </c>
      <c r="AB90" s="125">
        <f>IF(VLOOKUP(TableRBRanks3141[[#This Row],[RK]],'Ranks w Proj'!$P:$AB,13,FALSE)&lt;0,0,VLOOKUP(TableRBRanks3141[[#This Row],[RK]],'Ranks w Proj'!$P:$AB,13,FALSE))</f>
        <v>0</v>
      </c>
      <c r="AD90">
        <v>89</v>
      </c>
      <c r="AE90" t="str">
        <f>VLOOKUP(TableWRRanks3242[[#This Row],[RK]],Rankings!A:T,13,FALSE)</f>
        <v>Tyler Boyd</v>
      </c>
      <c r="AF90" t="str">
        <f>IFERROR(INDEX(TableWRCalcPts[TM],MATCH(TableWRRanks3242[[#This Row],[Player]],TableWRCalcPts[PLAYER],0)),"")</f>
        <v>TEN</v>
      </c>
      <c r="AG90">
        <f>IFERROR(INDEX(TableWRCalcPts[BYE],MATCH(TableWRRanks3242[[#This Row],[Player]],TableWRCalcPts[PLAYER],0)),"")</f>
        <v>5</v>
      </c>
      <c r="AH90" s="83">
        <f>VLOOKUP(TableWRRanks3242[[#This Row],[Player]],WR!B:O,4,FALSE)</f>
        <v>0</v>
      </c>
      <c r="AI90" s="83">
        <f>VLOOKUP(TableWRRanks3242[[#This Row],[Player]],WR!B:O,5,FALSE)</f>
        <v>0</v>
      </c>
      <c r="AJ90" s="83">
        <f>VLOOKUP(TableWRRanks3242[[#This Row],[Player]],WR!B:O,6,FALSE)</f>
        <v>65.366610539999996</v>
      </c>
      <c r="AK90" s="83">
        <f>VLOOKUP(TableWRRanks3242[[#This Row],[Player]],WR!B:O,7,FALSE)</f>
        <v>40.8541315875</v>
      </c>
      <c r="AL90" s="83">
        <f>VLOOKUP(TableWRRanks3242[[#This Row],[Player]],WR!B:O,8,FALSE)</f>
        <v>466.55418272924999</v>
      </c>
      <c r="AM90" s="83">
        <f>VLOOKUP(TableWRRanks3242[[#This Row],[Player]],WR!B:O,9,FALSE)</f>
        <v>2.4122013247784739</v>
      </c>
      <c r="AN90" s="57">
        <f>VLOOKUP(TableWRRanks3242[[#This Row],[Player]],WR!B:O,13,FALSE)</f>
        <v>81.555692015345855</v>
      </c>
      <c r="AO90" s="125">
        <f>IF(VLOOKUP(TableWRRanks3242[[#This Row],[RK]],'Ranks w Proj'!AD:AO,12,FALSE)&lt;0,0,VLOOKUP(TableWRRanks3242[[#This Row],[RK]],'Ranks w Proj'!AD:AO,12,FALSE))</f>
        <v>0</v>
      </c>
      <c r="AQ90">
        <v>89</v>
      </c>
      <c r="AR90">
        <f>VLOOKUP(TableTERanks3343[[#This Row],[RK]],Rankings!A:T,18,FALSE)</f>
        <v>0</v>
      </c>
      <c r="AS90" t="str">
        <f>IFERROR(INDEX(TableTECalcPts[TM],MATCH(TableTERanks3343[[#This Row],[Player]],TableTECalcPts[PLAYER],0)),"")</f>
        <v/>
      </c>
      <c r="AT90" t="str">
        <f>IFERROR(INDEX(TableTECalcPts[BYE],MATCH(TableTERanks3343[[#This Row],[Player]],TableTECalcPts[PLAYER],0)),"")</f>
        <v/>
      </c>
      <c r="AU90" s="83">
        <f>VLOOKUP(TableTERanks3343[[#This Row],[Player]],TE!B:O,4,FALSE)</f>
        <v>0</v>
      </c>
      <c r="AV90" s="83">
        <f>VLOOKUP(TableTERanks3343[[#This Row],[Player]],TE!B:O,5,FALSE)</f>
        <v>0</v>
      </c>
      <c r="AW90" s="83">
        <f>VLOOKUP(TableTERanks3343[[#This Row],[Player]],TE!B:O,6,FALSE)</f>
        <v>0</v>
      </c>
      <c r="AX90" s="83">
        <f>VLOOKUP(TableTERanks3343[[#This Row],[Player]],TE!B:O,7,FALSE)</f>
        <v>0</v>
      </c>
      <c r="AY90" s="57">
        <f>VLOOKUP(TableTERanks3343[[#This Row],[Player]],TE!B:O,11,FALSE)</f>
        <v>0</v>
      </c>
      <c r="AZ90" s="125" t="str">
        <f>IF(VLOOKUP(TableTERanks3343[[#This Row],[RK]],'Ranks w Proj'!AQ:AZ,10,FALSE)&lt;0,0,VLOOKUP(TableTERanks3343[[#This Row],[RK]],'Ranks w Proj'!AQ:AZ,10,FALSE))</f>
        <v/>
      </c>
    </row>
    <row r="91" spans="16:52" x14ac:dyDescent="0.2">
      <c r="P91">
        <v>90</v>
      </c>
      <c r="Q91" t="str">
        <f>VLOOKUP(TableRBRanks3141[[#This Row],[RK]],Rankings!A:T,8,FALSE)</f>
        <v>Leonard Fournette</v>
      </c>
      <c r="R91" t="str">
        <f>IFERROR(INDEX(TableRBCalcPts[TM],MATCH(TableRBRanks3141[[#This Row],[Player]],TableRBCalcPts[PLAYER],0)),"")</f>
        <v/>
      </c>
      <c r="S91" t="str">
        <f>IFERROR(INDEX(TableRBCalcPts[BYE],MATCH(TableRBRanks3141[[#This Row],[Player]],TableRBCalcPts[PLAYER],0)),"")</f>
        <v/>
      </c>
      <c r="T91" s="83" t="e">
        <f>VLOOKUP(TableRBRanks3141[[#This Row],[Player]],RB!B:O,4,FALSE)</f>
        <v>#N/A</v>
      </c>
      <c r="U91" s="83" t="e">
        <f>VLOOKUP(TableRBRanks3141[[#This Row],[Player]],RB!B:O,5,FALSE)</f>
        <v>#N/A</v>
      </c>
      <c r="V91" s="83" t="e">
        <f>VLOOKUP(TableRBRanks3141[[#This Row],[Player]],RB!B:O,6,FALSE)</f>
        <v>#N/A</v>
      </c>
      <c r="W91" s="83" t="e">
        <f>VLOOKUP(TableRBRanks3141[[#This Row],[Player]],RB!B:O,7,FALSE)</f>
        <v>#N/A</v>
      </c>
      <c r="X91" s="83" t="e">
        <f>VLOOKUP(TableRBRanks3141[[#This Row],[Player]],RB!B:O,8,FALSE)</f>
        <v>#N/A</v>
      </c>
      <c r="Y91" s="83" t="e">
        <f>VLOOKUP(TableRBRanks3141[[#This Row],[Player]],RB!B:O,9,FALSE)</f>
        <v>#N/A</v>
      </c>
      <c r="Z91" s="83" t="e">
        <f>VLOOKUP(TableRBRanks3141[[#This Row],[Player]],RB!B:O,10,FALSE)</f>
        <v>#N/A</v>
      </c>
      <c r="AA91" s="57" t="e">
        <f>VLOOKUP(TableRBRanks3141[[#This Row],[Player]],RB!B:O,14,FALSE)</f>
        <v>#N/A</v>
      </c>
      <c r="AB91" s="125">
        <f>IF(VLOOKUP(TableRBRanks3141[[#This Row],[RK]],'Ranks w Proj'!$P:$AB,13,FALSE)&lt;0,0,VLOOKUP(TableRBRanks3141[[#This Row],[RK]],'Ranks w Proj'!$P:$AB,13,FALSE))</f>
        <v>0</v>
      </c>
      <c r="AD91">
        <v>90</v>
      </c>
      <c r="AE91" t="str">
        <f>VLOOKUP(TableWRRanks3242[[#This Row],[RK]],Rankings!A:T,13,FALSE)</f>
        <v>K.J. Osborn</v>
      </c>
      <c r="AF91" t="str">
        <f>IFERROR(INDEX(TableWRCalcPts[TM],MATCH(TableWRRanks3242[[#This Row],[Player]],TableWRCalcPts[PLAYER],0)),"")</f>
        <v>NE</v>
      </c>
      <c r="AG91">
        <f>IFERROR(INDEX(TableWRCalcPts[BYE],MATCH(TableWRRanks3242[[#This Row],[Player]],TableWRCalcPts[PLAYER],0)),"")</f>
        <v>14</v>
      </c>
      <c r="AH91" s="83">
        <f>VLOOKUP(TableWRRanks3242[[#This Row],[Player]],WR!B:O,4,FALSE)</f>
        <v>0</v>
      </c>
      <c r="AI91" s="83">
        <f>VLOOKUP(TableWRRanks3242[[#This Row],[Player]],WR!B:O,5,FALSE)</f>
        <v>0</v>
      </c>
      <c r="AJ91" s="83">
        <f>VLOOKUP(TableWRRanks3242[[#This Row],[Player]],WR!B:O,6,FALSE)</f>
        <v>78.229848480000001</v>
      </c>
      <c r="AK91" s="83">
        <f>VLOOKUP(TableWRRanks3242[[#This Row],[Player]],WR!B:O,7,FALSE)</f>
        <v>47.09436878495999</v>
      </c>
      <c r="AL91" s="83">
        <f>VLOOKUP(TableWRRanks3242[[#This Row],[Player]],WR!B:O,8,FALSE)</f>
        <v>534.8386895704175</v>
      </c>
      <c r="AM91" s="83">
        <f>VLOOKUP(TableWRRanks3242[[#This Row],[Player]],WR!B:O,9,FALSE)</f>
        <v>2.8256621270975995</v>
      </c>
      <c r="AN91" s="57">
        <f>VLOOKUP(TableWRRanks3242[[#This Row],[Player]],WR!B:O,13,FALSE)</f>
        <v>93.985026112107334</v>
      </c>
      <c r="AO91" s="125">
        <f>IF(VLOOKUP(TableWRRanks3242[[#This Row],[RK]],'Ranks w Proj'!AD:AO,12,FALSE)&lt;0,0,VLOOKUP(TableWRRanks3242[[#This Row],[RK]],'Ranks w Proj'!AD:AO,12,FALSE))</f>
        <v>0</v>
      </c>
      <c r="AQ91">
        <v>90</v>
      </c>
      <c r="AR91">
        <f>VLOOKUP(TableTERanks3343[[#This Row],[RK]],Rankings!A:T,18,FALSE)</f>
        <v>0</v>
      </c>
      <c r="AS91" t="str">
        <f>IFERROR(INDEX(TableTECalcPts[TM],MATCH(TableTERanks3343[[#This Row],[Player]],TableTECalcPts[PLAYER],0)),"")</f>
        <v/>
      </c>
      <c r="AT91" t="str">
        <f>IFERROR(INDEX(TableTECalcPts[BYE],MATCH(TableTERanks3343[[#This Row],[Player]],TableTECalcPts[PLAYER],0)),"")</f>
        <v/>
      </c>
      <c r="AU91" s="83">
        <f>VLOOKUP(TableTERanks3343[[#This Row],[Player]],TE!B:O,4,FALSE)</f>
        <v>0</v>
      </c>
      <c r="AV91" s="83">
        <f>VLOOKUP(TableTERanks3343[[#This Row],[Player]],TE!B:O,5,FALSE)</f>
        <v>0</v>
      </c>
      <c r="AW91" s="83">
        <f>VLOOKUP(TableTERanks3343[[#This Row],[Player]],TE!B:O,6,FALSE)</f>
        <v>0</v>
      </c>
      <c r="AX91" s="83">
        <f>VLOOKUP(TableTERanks3343[[#This Row],[Player]],TE!B:O,7,FALSE)</f>
        <v>0</v>
      </c>
      <c r="AY91" s="57">
        <f>VLOOKUP(TableTERanks3343[[#This Row],[Player]],TE!B:O,11,FALSE)</f>
        <v>0</v>
      </c>
      <c r="AZ91" s="125" t="str">
        <f>IF(VLOOKUP(TableTERanks3343[[#This Row],[RK]],'Ranks w Proj'!AQ:AZ,10,FALSE)&lt;0,0,VLOOKUP(TableTERanks3343[[#This Row],[RK]],'Ranks w Proj'!AQ:AZ,10,FALSE))</f>
        <v/>
      </c>
    </row>
    <row r="92" spans="16:52" x14ac:dyDescent="0.2">
      <c r="P92">
        <v>91</v>
      </c>
      <c r="Q92" t="str">
        <f>VLOOKUP(TableRBRanks3141[[#This Row],[RK]],Rankings!A:T,8,FALSE)</f>
        <v>Deuce Vaughn</v>
      </c>
      <c r="R92" t="str">
        <f>IFERROR(INDEX(TableRBCalcPts[TM],MATCH(TableRBRanks3141[[#This Row],[Player]],TableRBCalcPts[PLAYER],0)),"")</f>
        <v>DAL</v>
      </c>
      <c r="S92">
        <f>IFERROR(INDEX(TableRBCalcPts[BYE],MATCH(TableRBRanks3141[[#This Row],[Player]],TableRBCalcPts[PLAYER],0)),"")</f>
        <v>7</v>
      </c>
      <c r="T92" s="83">
        <f>VLOOKUP(TableRBRanks3141[[#This Row],[Player]],RB!B:O,4,FALSE)</f>
        <v>9.9978463200000007</v>
      </c>
      <c r="U92" s="83">
        <f>VLOOKUP(TableRBRanks3141[[#This Row],[Player]],RB!B:O,5,FALSE)</f>
        <v>40.091363743199999</v>
      </c>
      <c r="V92" s="83">
        <f>VLOOKUP(TableRBRanks3141[[#This Row],[Player]],RB!B:O,6,FALSE)</f>
        <v>0.26994185064000004</v>
      </c>
      <c r="W92" s="83">
        <f>VLOOKUP(TableRBRanks3141[[#This Row],[Player]],RB!B:O,7,FALSE)</f>
        <v>6.0983243999999974</v>
      </c>
      <c r="X92" s="83">
        <f>VLOOKUP(TableRBRanks3141[[#This Row],[Player]],RB!B:O,8,FALSE)</f>
        <v>5.0250193055999972</v>
      </c>
      <c r="Y92" s="83">
        <f>VLOOKUP(TableRBRanks3141[[#This Row],[Player]],RB!B:O,9,FALSE)</f>
        <v>38.455220301033812</v>
      </c>
      <c r="Z92" s="83">
        <f>VLOOKUP(TableRBRanks3141[[#This Row],[Player]],RB!B:O,10,FALSE)</f>
        <v>0.19095073361279988</v>
      </c>
      <c r="AA92" s="57">
        <f>VLOOKUP(TableRBRanks3141[[#This Row],[Player]],RB!B:O,14,FALSE)</f>
        <v>13.132523562740179</v>
      </c>
      <c r="AB92" s="125">
        <f>IF(VLOOKUP(TableRBRanks3141[[#This Row],[RK]],'Ranks w Proj'!$P:$AB,13,FALSE)&lt;0,0,VLOOKUP(TableRBRanks3141[[#This Row],[RK]],'Ranks w Proj'!$P:$AB,13,FALSE))</f>
        <v>0</v>
      </c>
      <c r="AD92">
        <v>91</v>
      </c>
      <c r="AE92" t="str">
        <f>VLOOKUP(TableWRRanks3242[[#This Row],[RK]],Rankings!A:T,13,FALSE)</f>
        <v>Tyquan Thornton</v>
      </c>
      <c r="AF92" t="str">
        <f>IFERROR(INDEX(TableWRCalcPts[TM],MATCH(TableWRRanks3242[[#This Row],[Player]],TableWRCalcPts[PLAYER],0)),"")</f>
        <v>NE</v>
      </c>
      <c r="AG92">
        <f>IFERROR(INDEX(TableWRCalcPts[BYE],MATCH(TableWRRanks3242[[#This Row],[Player]],TableWRCalcPts[PLAYER],0)),"")</f>
        <v>14</v>
      </c>
      <c r="AH92" s="83">
        <f>VLOOKUP(TableWRRanks3242[[#This Row],[Player]],WR!B:O,4,FALSE)</f>
        <v>0</v>
      </c>
      <c r="AI92" s="83">
        <f>VLOOKUP(TableWRRanks3242[[#This Row],[Player]],WR!B:O,5,FALSE)</f>
        <v>0</v>
      </c>
      <c r="AJ92" s="83">
        <f>VLOOKUP(TableWRRanks3242[[#This Row],[Player]],WR!B:O,6,FALSE)</f>
        <v>46.484402719999999</v>
      </c>
      <c r="AK92" s="83">
        <f>VLOOKUP(TableWRRanks3242[[#This Row],[Player]],WR!B:O,7,FALSE)</f>
        <v>28.820329686399997</v>
      </c>
      <c r="AL92" s="83">
        <f>VLOOKUP(TableWRRanks3242[[#This Row],[Player]],WR!B:O,8,FALSE)</f>
        <v>383.02218153225596</v>
      </c>
      <c r="AM92" s="83">
        <f>VLOOKUP(TableWRRanks3242[[#This Row],[Player]],WR!B:O,9,FALSE)</f>
        <v>1.7292197811839998</v>
      </c>
      <c r="AN92" s="57">
        <f>VLOOKUP(TableWRRanks3242[[#This Row],[Player]],WR!B:O,13,FALSE)</f>
        <v>63.087701683529595</v>
      </c>
      <c r="AO92" s="125">
        <f>IF(VLOOKUP(TableWRRanks3242[[#This Row],[RK]],'Ranks w Proj'!AD:AO,12,FALSE)&lt;0,0,VLOOKUP(TableWRRanks3242[[#This Row],[RK]],'Ranks w Proj'!AD:AO,12,FALSE))</f>
        <v>0</v>
      </c>
      <c r="AQ92">
        <v>91</v>
      </c>
      <c r="AR92">
        <f>VLOOKUP(TableTERanks3343[[#This Row],[RK]],Rankings!A:T,18,FALSE)</f>
        <v>0</v>
      </c>
      <c r="AS92" t="str">
        <f>IFERROR(INDEX(TableTECalcPts[TM],MATCH(TableTERanks3343[[#This Row],[Player]],TableTECalcPts[PLAYER],0)),"")</f>
        <v/>
      </c>
      <c r="AT92" t="str">
        <f>IFERROR(INDEX(TableTECalcPts[BYE],MATCH(TableTERanks3343[[#This Row],[Player]],TableTECalcPts[PLAYER],0)),"")</f>
        <v/>
      </c>
      <c r="AU92" s="83">
        <f>VLOOKUP(TableTERanks3343[[#This Row],[Player]],TE!B:O,4,FALSE)</f>
        <v>0</v>
      </c>
      <c r="AV92" s="83">
        <f>VLOOKUP(TableTERanks3343[[#This Row],[Player]],TE!B:O,5,FALSE)</f>
        <v>0</v>
      </c>
      <c r="AW92" s="83">
        <f>VLOOKUP(TableTERanks3343[[#This Row],[Player]],TE!B:O,6,FALSE)</f>
        <v>0</v>
      </c>
      <c r="AX92" s="83">
        <f>VLOOKUP(TableTERanks3343[[#This Row],[Player]],TE!B:O,7,FALSE)</f>
        <v>0</v>
      </c>
      <c r="AY92" s="57">
        <f>VLOOKUP(TableTERanks3343[[#This Row],[Player]],TE!B:O,11,FALSE)</f>
        <v>0</v>
      </c>
      <c r="AZ92" s="125" t="str">
        <f>IF(VLOOKUP(TableTERanks3343[[#This Row],[RK]],'Ranks w Proj'!AQ:AZ,10,FALSE)&lt;0,0,VLOOKUP(TableTERanks3343[[#This Row],[RK]],'Ranks w Proj'!AQ:AZ,10,FALSE))</f>
        <v/>
      </c>
    </row>
    <row r="93" spans="16:52" x14ac:dyDescent="0.2">
      <c r="P93">
        <v>92</v>
      </c>
      <c r="Q93" t="str">
        <f>VLOOKUP(TableRBRanks3141[[#This Row],[RK]],Rankings!A:T,8,FALSE)</f>
        <v>Emari Demercado</v>
      </c>
      <c r="R93" t="str">
        <f>IFERROR(INDEX(TableRBCalcPts[TM],MATCH(TableRBRanks3141[[#This Row],[Player]],TableRBCalcPts[PLAYER],0)),"")</f>
        <v>ARI</v>
      </c>
      <c r="S93">
        <f>IFERROR(INDEX(TableRBCalcPts[BYE],MATCH(TableRBRanks3141[[#This Row],[Player]],TableRBCalcPts[PLAYER],0)),"")</f>
        <v>11</v>
      </c>
      <c r="T93" s="83">
        <f>VLOOKUP(TableRBRanks3141[[#This Row],[Player]],RB!B:O,4,FALSE)</f>
        <v>6.8101425000000004</v>
      </c>
      <c r="U93" s="83">
        <f>VLOOKUP(TableRBRanks3141[[#This Row],[Player]],RB!B:O,5,FALSE)</f>
        <v>27.989685675000004</v>
      </c>
      <c r="V93" s="83">
        <f>VLOOKUP(TableRBRanks3141[[#This Row],[Player]],RB!B:O,6,FALSE)</f>
        <v>0.20430427500000001</v>
      </c>
      <c r="W93" s="83">
        <f>VLOOKUP(TableRBRanks3141[[#This Row],[Player]],RB!B:O,7,FALSE)</f>
        <v>5.8969050000000003</v>
      </c>
      <c r="X93" s="83">
        <f>VLOOKUP(TableRBRanks3141[[#This Row],[Player]],RB!B:O,8,FALSE)</f>
        <v>4.5406168500000001</v>
      </c>
      <c r="Y93" s="83">
        <f>VLOOKUP(TableRBRanks3141[[#This Row],[Player]],RB!B:O,9,FALSE)</f>
        <v>30.694569906000002</v>
      </c>
      <c r="Z93" s="83">
        <f>VLOOKUP(TableRBRanks3141[[#This Row],[Player]],RB!B:O,10,FALSE)</f>
        <v>0.18162467400000001</v>
      </c>
      <c r="AA93" s="57">
        <f>VLOOKUP(TableRBRanks3141[[#This Row],[Player]],RB!B:O,14,FALSE)</f>
        <v>10.454307677100001</v>
      </c>
      <c r="AB93" s="125">
        <f>IF(VLOOKUP(TableRBRanks3141[[#This Row],[RK]],'Ranks w Proj'!$P:$AB,13,FALSE)&lt;0,0,VLOOKUP(TableRBRanks3141[[#This Row],[RK]],'Ranks w Proj'!$P:$AB,13,FALSE))</f>
        <v>0</v>
      </c>
      <c r="AD93">
        <v>92</v>
      </c>
      <c r="AE93" t="str">
        <f>VLOOKUP(TableWRRanks3242[[#This Row],[RK]],Rankings!A:T,13,FALSE)</f>
        <v>Kendrick Bourne</v>
      </c>
      <c r="AF93" t="str">
        <f>IFERROR(INDEX(TableWRCalcPts[TM],MATCH(TableWRRanks3242[[#This Row],[Player]],TableWRCalcPts[PLAYER],0)),"")</f>
        <v>NE</v>
      </c>
      <c r="AG93">
        <f>IFERROR(INDEX(TableWRCalcPts[BYE],MATCH(TableWRRanks3242[[#This Row],[Player]],TableWRCalcPts[PLAYER],0)),"")</f>
        <v>14</v>
      </c>
      <c r="AH93" s="83">
        <f>VLOOKUP(TableWRRanks3242[[#This Row],[Player]],WR!B:O,4,FALSE)</f>
        <v>0</v>
      </c>
      <c r="AI93" s="83">
        <f>VLOOKUP(TableWRRanks3242[[#This Row],[Player]],WR!B:O,5,FALSE)</f>
        <v>0</v>
      </c>
      <c r="AJ93" s="83">
        <f>VLOOKUP(TableWRRanks3242[[#This Row],[Player]],WR!B:O,6,FALSE)</f>
        <v>57.255178960000002</v>
      </c>
      <c r="AK93" s="83">
        <f>VLOOKUP(TableWRRanks3242[[#This Row],[Player]],WR!B:O,7,FALSE)</f>
        <v>33.2080037968</v>
      </c>
      <c r="AL93" s="83">
        <f>VLOOKUP(TableWRRanks3242[[#This Row],[Player]],WR!B:O,8,FALSE)</f>
        <v>409.454686814544</v>
      </c>
      <c r="AM93" s="83">
        <f>VLOOKUP(TableWRRanks3242[[#This Row],[Player]],WR!B:O,9,FALSE)</f>
        <v>2.1917282505888003</v>
      </c>
      <c r="AN93" s="57">
        <f>VLOOKUP(TableWRRanks3242[[#This Row],[Player]],WR!B:O,13,FALSE)</f>
        <v>70.699840083387201</v>
      </c>
      <c r="AO93" s="125">
        <f>IF(VLOOKUP(TableWRRanks3242[[#This Row],[RK]],'Ranks w Proj'!AD:AO,12,FALSE)&lt;0,0,VLOOKUP(TableWRRanks3242[[#This Row],[RK]],'Ranks w Proj'!AD:AO,12,FALSE))</f>
        <v>0</v>
      </c>
      <c r="AQ93">
        <v>92</v>
      </c>
      <c r="AR93">
        <f>VLOOKUP(TableTERanks3343[[#This Row],[RK]],Rankings!A:T,18,FALSE)</f>
        <v>0</v>
      </c>
      <c r="AS93" t="str">
        <f>IFERROR(INDEX(TableTECalcPts[TM],MATCH(TableTERanks3343[[#This Row],[Player]],TableTECalcPts[PLAYER],0)),"")</f>
        <v/>
      </c>
      <c r="AT93" t="str">
        <f>IFERROR(INDEX(TableTECalcPts[BYE],MATCH(TableTERanks3343[[#This Row],[Player]],TableTECalcPts[PLAYER],0)),"")</f>
        <v/>
      </c>
      <c r="AU93" s="83">
        <f>VLOOKUP(TableTERanks3343[[#This Row],[Player]],TE!B:O,4,FALSE)</f>
        <v>0</v>
      </c>
      <c r="AV93" s="83">
        <f>VLOOKUP(TableTERanks3343[[#This Row],[Player]],TE!B:O,5,FALSE)</f>
        <v>0</v>
      </c>
      <c r="AW93" s="83">
        <f>VLOOKUP(TableTERanks3343[[#This Row],[Player]],TE!B:O,6,FALSE)</f>
        <v>0</v>
      </c>
      <c r="AX93" s="83">
        <f>VLOOKUP(TableTERanks3343[[#This Row],[Player]],TE!B:O,7,FALSE)</f>
        <v>0</v>
      </c>
      <c r="AY93" s="57">
        <f>VLOOKUP(TableTERanks3343[[#This Row],[Player]],TE!B:O,11,FALSE)</f>
        <v>0</v>
      </c>
      <c r="AZ93" s="125" t="str">
        <f>IF(VLOOKUP(TableTERanks3343[[#This Row],[RK]],'Ranks w Proj'!AQ:AZ,10,FALSE)&lt;0,0,VLOOKUP(TableTERanks3343[[#This Row],[RK]],'Ranks w Proj'!AQ:AZ,10,FALSE))</f>
        <v/>
      </c>
    </row>
    <row r="94" spans="16:52" x14ac:dyDescent="0.2">
      <c r="P94">
        <v>93</v>
      </c>
      <c r="Q94" t="str">
        <f>VLOOKUP(TableRBRanks3141[[#This Row],[RK]],Rankings!A:T,8,FALSE)</f>
        <v>Israel Abanikanda</v>
      </c>
      <c r="R94" t="str">
        <f>IFERROR(INDEX(TableRBCalcPts[TM],MATCH(TableRBRanks3141[[#This Row],[Player]],TableRBCalcPts[PLAYER],0)),"")</f>
        <v>NYJ</v>
      </c>
      <c r="S94">
        <f>IFERROR(INDEX(TableRBCalcPts[BYE],MATCH(TableRBRanks3141[[#This Row],[Player]],TableRBCalcPts[PLAYER],0)),"")</f>
        <v>12</v>
      </c>
      <c r="T94" s="83">
        <f>VLOOKUP(TableRBRanks3141[[#This Row],[Player]],RB!B:O,4,FALSE)</f>
        <v>5.3201769600000004</v>
      </c>
      <c r="U94" s="83">
        <f>VLOOKUP(TableRBRanks3141[[#This Row],[Player]],RB!B:O,5,FALSE)</f>
        <v>22.368904886622271</v>
      </c>
      <c r="V94" s="83">
        <f>VLOOKUP(TableRBRanks3141[[#This Row],[Player]],RB!B:O,6,FALSE)</f>
        <v>0.17102881786759588</v>
      </c>
      <c r="W94" s="83">
        <f>VLOOKUP(TableRBRanks3141[[#This Row],[Player]],RB!B:O,7,FALSE)</f>
        <v>11.850238399999997</v>
      </c>
      <c r="X94" s="83">
        <f>VLOOKUP(TableRBRanks3141[[#This Row],[Player]],RB!B:O,8,FALSE)</f>
        <v>9.5157414351999936</v>
      </c>
      <c r="Y94" s="83">
        <f>VLOOKUP(TableRBRanks3141[[#This Row],[Player]],RB!B:O,9,FALSE)</f>
        <v>69.138545913661048</v>
      </c>
      <c r="Z94" s="83">
        <f>VLOOKUP(TableRBRanks3141[[#This Row],[Player]],RB!B:O,10,FALSE)</f>
        <v>0.41330692324283663</v>
      </c>
      <c r="AA94" s="57">
        <f>VLOOKUP(TableRBRanks3141[[#This Row],[Player]],RB!B:O,14,FALSE)</f>
        <v>17.414630244290926</v>
      </c>
      <c r="AB94" s="125">
        <f>IF(VLOOKUP(TableRBRanks3141[[#This Row],[RK]],'Ranks w Proj'!$P:$AB,13,FALSE)&lt;0,0,VLOOKUP(TableRBRanks3141[[#This Row],[RK]],'Ranks w Proj'!$P:$AB,13,FALSE))</f>
        <v>0</v>
      </c>
      <c r="AD94">
        <v>93</v>
      </c>
      <c r="AE94" t="str">
        <f>VLOOKUP(TableWRRanks3242[[#This Row],[RK]],Rankings!A:T,13,FALSE)</f>
        <v>Olamide Zaccheaus</v>
      </c>
      <c r="AF94" t="str">
        <f>IFERROR(INDEX(TableWRCalcPts[TM],MATCH(TableWRRanks3242[[#This Row],[Player]],TableWRCalcPts[PLAYER],0)),"")</f>
        <v>WSH</v>
      </c>
      <c r="AG94">
        <f>IFERROR(INDEX(TableWRCalcPts[BYE],MATCH(TableWRRanks3242[[#This Row],[Player]],TableWRCalcPts[PLAYER],0)),"")</f>
        <v>14</v>
      </c>
      <c r="AH94" s="83">
        <f>VLOOKUP(TableWRRanks3242[[#This Row],[Player]],WR!B:O,4,FALSE)</f>
        <v>0</v>
      </c>
      <c r="AI94" s="83">
        <f>VLOOKUP(TableWRRanks3242[[#This Row],[Player]],WR!B:O,5,FALSE)</f>
        <v>0</v>
      </c>
      <c r="AJ94" s="83">
        <f>VLOOKUP(TableWRRanks3242[[#This Row],[Player]],WR!B:O,6,FALSE)</f>
        <v>41.926712800000011</v>
      </c>
      <c r="AK94" s="83">
        <f>VLOOKUP(TableWRRanks3242[[#This Row],[Player]],WR!B:O,7,FALSE)</f>
        <v>24.904467403200005</v>
      </c>
      <c r="AL94" s="83">
        <f>VLOOKUP(TableWRRanks3242[[#This Row],[Player]],WR!B:O,8,FALSE)</f>
        <v>261.99499708166405</v>
      </c>
      <c r="AM94" s="83">
        <f>VLOOKUP(TableWRRanks3242[[#This Row],[Player]],WR!B:O,9,FALSE)</f>
        <v>1.8429305878368003</v>
      </c>
      <c r="AN94" s="57">
        <f>VLOOKUP(TableWRRanks3242[[#This Row],[Player]],WR!B:O,13,FALSE)</f>
        <v>49.709316936787211</v>
      </c>
      <c r="AO94" s="125">
        <f>IF(VLOOKUP(TableWRRanks3242[[#This Row],[RK]],'Ranks w Proj'!AD:AO,12,FALSE)&lt;0,0,VLOOKUP(TableWRRanks3242[[#This Row],[RK]],'Ranks w Proj'!AD:AO,12,FALSE))</f>
        <v>0</v>
      </c>
      <c r="AQ94">
        <v>93</v>
      </c>
      <c r="AR94">
        <f>VLOOKUP(TableTERanks3343[[#This Row],[RK]],Rankings!A:T,18,FALSE)</f>
        <v>0</v>
      </c>
      <c r="AS94" t="str">
        <f>IFERROR(INDEX(TableTECalcPts[TM],MATCH(TableTERanks3343[[#This Row],[Player]],TableTECalcPts[PLAYER],0)),"")</f>
        <v/>
      </c>
      <c r="AT94" t="str">
        <f>IFERROR(INDEX(TableTECalcPts[BYE],MATCH(TableTERanks3343[[#This Row],[Player]],TableTECalcPts[PLAYER],0)),"")</f>
        <v/>
      </c>
      <c r="AU94" s="83">
        <f>VLOOKUP(TableTERanks3343[[#This Row],[Player]],TE!B:O,4,FALSE)</f>
        <v>0</v>
      </c>
      <c r="AV94" s="83">
        <f>VLOOKUP(TableTERanks3343[[#This Row],[Player]],TE!B:O,5,FALSE)</f>
        <v>0</v>
      </c>
      <c r="AW94" s="83">
        <f>VLOOKUP(TableTERanks3343[[#This Row],[Player]],TE!B:O,6,FALSE)</f>
        <v>0</v>
      </c>
      <c r="AX94" s="83">
        <f>VLOOKUP(TableTERanks3343[[#This Row],[Player]],TE!B:O,7,FALSE)</f>
        <v>0</v>
      </c>
      <c r="AY94" s="57">
        <f>VLOOKUP(TableTERanks3343[[#This Row],[Player]],TE!B:O,11,FALSE)</f>
        <v>0</v>
      </c>
      <c r="AZ94" s="125" t="str">
        <f>IF(VLOOKUP(TableTERanks3343[[#This Row],[RK]],'Ranks w Proj'!AQ:AZ,10,FALSE)&lt;0,0,VLOOKUP(TableTERanks3343[[#This Row],[RK]],'Ranks w Proj'!AQ:AZ,10,FALSE))</f>
        <v/>
      </c>
    </row>
    <row r="95" spans="16:52" x14ac:dyDescent="0.2">
      <c r="P95">
        <v>94</v>
      </c>
      <c r="Q95">
        <f>VLOOKUP(TableRBRanks3141[[#This Row],[RK]],Rankings!A:T,8,FALSE)</f>
        <v>0</v>
      </c>
      <c r="R95" t="str">
        <f>IFERROR(INDEX(TableRBCalcPts[TM],MATCH(TableRBRanks3141[[#This Row],[Player]],TableRBCalcPts[PLAYER],0)),"")</f>
        <v/>
      </c>
      <c r="S95" t="str">
        <f>IFERROR(INDEX(TableRBCalcPts[BYE],MATCH(TableRBRanks3141[[#This Row],[Player]],TableRBCalcPts[PLAYER],0)),"")</f>
        <v/>
      </c>
      <c r="T95" s="83">
        <f>VLOOKUP(TableRBRanks3141[[#This Row],[Player]],RB!B:O,4,FALSE)</f>
        <v>0</v>
      </c>
      <c r="U95" s="83">
        <f>VLOOKUP(TableRBRanks3141[[#This Row],[Player]],RB!B:O,5,FALSE)</f>
        <v>0</v>
      </c>
      <c r="V95" s="83">
        <f>VLOOKUP(TableRBRanks3141[[#This Row],[Player]],RB!B:O,6,FALSE)</f>
        <v>0</v>
      </c>
      <c r="W95" s="83">
        <f>VLOOKUP(TableRBRanks3141[[#This Row],[Player]],RB!B:O,7,FALSE)</f>
        <v>0</v>
      </c>
      <c r="X95" s="83">
        <f>VLOOKUP(TableRBRanks3141[[#This Row],[Player]],RB!B:O,8,FALSE)</f>
        <v>0</v>
      </c>
      <c r="Y95" s="83">
        <f>VLOOKUP(TableRBRanks3141[[#This Row],[Player]],RB!B:O,9,FALSE)</f>
        <v>0</v>
      </c>
      <c r="Z95" s="83">
        <f>VLOOKUP(TableRBRanks3141[[#This Row],[Player]],RB!B:O,10,FALSE)</f>
        <v>0</v>
      </c>
      <c r="AA95" s="57">
        <f>VLOOKUP(TableRBRanks3141[[#This Row],[Player]],RB!B:O,14,FALSE)</f>
        <v>0</v>
      </c>
      <c r="AB95" s="125">
        <f>IF(VLOOKUP(TableRBRanks3141[[#This Row],[RK]],'Ranks w Proj'!$P:$AB,13,FALSE)&lt;0,0,VLOOKUP(TableRBRanks3141[[#This Row],[RK]],'Ranks w Proj'!$P:$AB,13,FALSE))</f>
        <v>0</v>
      </c>
      <c r="AD95">
        <v>94</v>
      </c>
      <c r="AE95" t="str">
        <f>VLOOKUP(TableWRRanks3242[[#This Row],[RK]],Rankings!A:T,13,FALSE)</f>
        <v>DJ Chark</v>
      </c>
      <c r="AF95" t="str">
        <f>IFERROR(INDEX(TableWRCalcPts[TM],MATCH(TableWRRanks3242[[#This Row],[Player]],TableWRCalcPts[PLAYER],0)),"")</f>
        <v>LAC</v>
      </c>
      <c r="AG95">
        <f>IFERROR(INDEX(TableWRCalcPts[BYE],MATCH(TableWRRanks3242[[#This Row],[Player]],TableWRCalcPts[PLAYER],0)),"")</f>
        <v>5</v>
      </c>
      <c r="AH95" s="83">
        <f>VLOOKUP(TableWRRanks3242[[#This Row],[Player]],WR!B:O,4,FALSE)</f>
        <v>0</v>
      </c>
      <c r="AI95" s="83">
        <f>VLOOKUP(TableWRRanks3242[[#This Row],[Player]],WR!B:O,5,FALSE)</f>
        <v>0</v>
      </c>
      <c r="AJ95" s="83">
        <f>VLOOKUP(TableWRRanks3242[[#This Row],[Player]],WR!B:O,6,FALSE)</f>
        <v>54.719462280000023</v>
      </c>
      <c r="AK95" s="83">
        <f>VLOOKUP(TableWRRanks3242[[#This Row],[Player]],WR!B:O,7,FALSE)</f>
        <v>32.61279951888001</v>
      </c>
      <c r="AL95" s="83">
        <f>VLOOKUP(TableWRRanks3242[[#This Row],[Player]],WR!B:O,8,FALSE)</f>
        <v>427.87992968770573</v>
      </c>
      <c r="AM95" s="83">
        <f>VLOOKUP(TableWRRanks3242[[#This Row],[Player]],WR!B:O,9,FALSE)</f>
        <v>2.6090239615104007</v>
      </c>
      <c r="AN95" s="57">
        <f>VLOOKUP(TableWRRanks3242[[#This Row],[Player]],WR!B:O,13,FALSE)</f>
        <v>74.74853649727298</v>
      </c>
      <c r="AO95" s="125">
        <f>IF(VLOOKUP(TableWRRanks3242[[#This Row],[RK]],'Ranks w Proj'!AD:AO,12,FALSE)&lt;0,0,VLOOKUP(TableWRRanks3242[[#This Row],[RK]],'Ranks w Proj'!AD:AO,12,FALSE))</f>
        <v>0</v>
      </c>
      <c r="AQ95">
        <v>94</v>
      </c>
      <c r="AR95">
        <f>VLOOKUP(TableTERanks3343[[#This Row],[RK]],Rankings!A:T,18,FALSE)</f>
        <v>0</v>
      </c>
      <c r="AS95" t="str">
        <f>IFERROR(INDEX(TableTECalcPts[TM],MATCH(TableTERanks3343[[#This Row],[Player]],TableTECalcPts[PLAYER],0)),"")</f>
        <v/>
      </c>
      <c r="AT95" t="str">
        <f>IFERROR(INDEX(TableTECalcPts[BYE],MATCH(TableTERanks3343[[#This Row],[Player]],TableTECalcPts[PLAYER],0)),"")</f>
        <v/>
      </c>
      <c r="AU95" s="83">
        <f>VLOOKUP(TableTERanks3343[[#This Row],[Player]],TE!B:O,4,FALSE)</f>
        <v>0</v>
      </c>
      <c r="AV95" s="83">
        <f>VLOOKUP(TableTERanks3343[[#This Row],[Player]],TE!B:O,5,FALSE)</f>
        <v>0</v>
      </c>
      <c r="AW95" s="83">
        <f>VLOOKUP(TableTERanks3343[[#This Row],[Player]],TE!B:O,6,FALSE)</f>
        <v>0</v>
      </c>
      <c r="AX95" s="83">
        <f>VLOOKUP(TableTERanks3343[[#This Row],[Player]],TE!B:O,7,FALSE)</f>
        <v>0</v>
      </c>
      <c r="AY95" s="57">
        <f>VLOOKUP(TableTERanks3343[[#This Row],[Player]],TE!B:O,11,FALSE)</f>
        <v>0</v>
      </c>
      <c r="AZ95" s="125" t="str">
        <f>IF(VLOOKUP(TableTERanks3343[[#This Row],[RK]],'Ranks w Proj'!AQ:AZ,10,FALSE)&lt;0,0,VLOOKUP(TableTERanks3343[[#This Row],[RK]],'Ranks w Proj'!AQ:AZ,10,FALSE))</f>
        <v/>
      </c>
    </row>
    <row r="96" spans="16:52" x14ac:dyDescent="0.2">
      <c r="P96">
        <v>95</v>
      </c>
      <c r="Q96">
        <f>VLOOKUP(TableRBRanks3141[[#This Row],[RK]],Rankings!A:T,8,FALSE)</f>
        <v>0</v>
      </c>
      <c r="R96" t="str">
        <f>IFERROR(INDEX(TableRBCalcPts[TM],MATCH(TableRBRanks3141[[#This Row],[Player]],TableRBCalcPts[PLAYER],0)),"")</f>
        <v/>
      </c>
      <c r="S96" t="str">
        <f>IFERROR(INDEX(TableRBCalcPts[BYE],MATCH(TableRBRanks3141[[#This Row],[Player]],TableRBCalcPts[PLAYER],0)),"")</f>
        <v/>
      </c>
      <c r="T96" s="83">
        <f>VLOOKUP(TableRBRanks3141[[#This Row],[Player]],RB!B:O,4,FALSE)</f>
        <v>0</v>
      </c>
      <c r="U96" s="83">
        <f>VLOOKUP(TableRBRanks3141[[#This Row],[Player]],RB!B:O,5,FALSE)</f>
        <v>0</v>
      </c>
      <c r="V96" s="83">
        <f>VLOOKUP(TableRBRanks3141[[#This Row],[Player]],RB!B:O,6,FALSE)</f>
        <v>0</v>
      </c>
      <c r="W96" s="83">
        <f>VLOOKUP(TableRBRanks3141[[#This Row],[Player]],RB!B:O,7,FALSE)</f>
        <v>0</v>
      </c>
      <c r="X96" s="83">
        <f>VLOOKUP(TableRBRanks3141[[#This Row],[Player]],RB!B:O,8,FALSE)</f>
        <v>0</v>
      </c>
      <c r="Y96" s="83">
        <f>VLOOKUP(TableRBRanks3141[[#This Row],[Player]],RB!B:O,9,FALSE)</f>
        <v>0</v>
      </c>
      <c r="Z96" s="83">
        <f>VLOOKUP(TableRBRanks3141[[#This Row],[Player]],RB!B:O,10,FALSE)</f>
        <v>0</v>
      </c>
      <c r="AA96" s="57">
        <f>VLOOKUP(TableRBRanks3141[[#This Row],[Player]],RB!B:O,14,FALSE)</f>
        <v>0</v>
      </c>
      <c r="AB96" s="125">
        <f>IF(VLOOKUP(TableRBRanks3141[[#This Row],[RK]],'Ranks w Proj'!$P:$AB,13,FALSE)&lt;0,0,VLOOKUP(TableRBRanks3141[[#This Row],[RK]],'Ranks w Proj'!$P:$AB,13,FALSE))</f>
        <v>0</v>
      </c>
      <c r="AD96">
        <v>95</v>
      </c>
      <c r="AE96" t="str">
        <f>VLOOKUP(TableWRRanks3242[[#This Row],[RK]],Rankings!A:T,13,FALSE)</f>
        <v>Jahan Dotson</v>
      </c>
      <c r="AF96" t="str">
        <f>IFERROR(INDEX(TableWRCalcPts[TM],MATCH(TableWRRanks3242[[#This Row],[Player]],TableWRCalcPts[PLAYER],0)),"")</f>
        <v>PHI</v>
      </c>
      <c r="AG96">
        <f>IFERROR(INDEX(TableWRCalcPts[BYE],MATCH(TableWRRanks3242[[#This Row],[Player]],TableWRCalcPts[PLAYER],0)),"")</f>
        <v>5</v>
      </c>
      <c r="AH96" s="83">
        <f>VLOOKUP(TableWRRanks3242[[#This Row],[Player]],WR!B:O,4,FALSE)</f>
        <v>0</v>
      </c>
      <c r="AI96" s="83">
        <f>VLOOKUP(TableWRRanks3242[[#This Row],[Player]],WR!B:O,5,FALSE)</f>
        <v>0</v>
      </c>
      <c r="AJ96" s="83">
        <f>VLOOKUP(TableWRRanks3242[[#This Row],[Player]],WR!B:O,6,FALSE)</f>
        <v>39.607162559999999</v>
      </c>
      <c r="AK96" s="83">
        <f>VLOOKUP(TableWRRanks3242[[#This Row],[Player]],WR!B:O,7,FALSE)</f>
        <v>23.249404422719998</v>
      </c>
      <c r="AL96" s="83">
        <f>VLOOKUP(TableWRRanks3242[[#This Row],[Player]],WR!B:O,8,FALSE)</f>
        <v>271.55304365736959</v>
      </c>
      <c r="AM96" s="83">
        <f>VLOOKUP(TableWRRanks3242[[#This Row],[Player]],WR!B:O,9,FALSE)</f>
        <v>1.6507077140131197</v>
      </c>
      <c r="AN96" s="57">
        <f>VLOOKUP(TableWRRanks3242[[#This Row],[Player]],WR!B:O,13,FALSE)</f>
        <v>48.684252861175672</v>
      </c>
      <c r="AO96" s="125">
        <f>IF(VLOOKUP(TableWRRanks3242[[#This Row],[RK]],'Ranks w Proj'!AD:AO,12,FALSE)&lt;0,0,VLOOKUP(TableWRRanks3242[[#This Row],[RK]],'Ranks w Proj'!AD:AO,12,FALSE))</f>
        <v>0</v>
      </c>
      <c r="AQ96">
        <v>95</v>
      </c>
      <c r="AR96">
        <f>VLOOKUP(TableTERanks3343[[#This Row],[RK]],Rankings!A:T,18,FALSE)</f>
        <v>0</v>
      </c>
      <c r="AS96" t="str">
        <f>IFERROR(INDEX(TableTECalcPts[TM],MATCH(TableTERanks3343[[#This Row],[Player]],TableTECalcPts[PLAYER],0)),"")</f>
        <v/>
      </c>
      <c r="AT96" t="str">
        <f>IFERROR(INDEX(TableTECalcPts[BYE],MATCH(TableTERanks3343[[#This Row],[Player]],TableTECalcPts[PLAYER],0)),"")</f>
        <v/>
      </c>
      <c r="AU96" s="83">
        <f>VLOOKUP(TableTERanks3343[[#This Row],[Player]],TE!B:O,4,FALSE)</f>
        <v>0</v>
      </c>
      <c r="AV96" s="83">
        <f>VLOOKUP(TableTERanks3343[[#This Row],[Player]],TE!B:O,5,FALSE)</f>
        <v>0</v>
      </c>
      <c r="AW96" s="83">
        <f>VLOOKUP(TableTERanks3343[[#This Row],[Player]],TE!B:O,6,FALSE)</f>
        <v>0</v>
      </c>
      <c r="AX96" s="83">
        <f>VLOOKUP(TableTERanks3343[[#This Row],[Player]],TE!B:O,7,FALSE)</f>
        <v>0</v>
      </c>
      <c r="AY96" s="57">
        <f>VLOOKUP(TableTERanks3343[[#This Row],[Player]],TE!B:O,11,FALSE)</f>
        <v>0</v>
      </c>
      <c r="AZ96" s="125" t="str">
        <f>IF(VLOOKUP(TableTERanks3343[[#This Row],[RK]],'Ranks w Proj'!AQ:AZ,10,FALSE)&lt;0,0,VLOOKUP(TableTERanks3343[[#This Row],[RK]],'Ranks w Proj'!AQ:AZ,10,FALSE))</f>
        <v/>
      </c>
    </row>
    <row r="97" spans="16:52" x14ac:dyDescent="0.2">
      <c r="P97">
        <v>96</v>
      </c>
      <c r="Q97">
        <f>VLOOKUP(TableRBRanks3141[[#This Row],[RK]],Rankings!A:T,8,FALSE)</f>
        <v>0</v>
      </c>
      <c r="R97" t="str">
        <f>IFERROR(INDEX(TableRBCalcPts[TM],MATCH(TableRBRanks3141[[#This Row],[Player]],TableRBCalcPts[PLAYER],0)),"")</f>
        <v/>
      </c>
      <c r="S97" t="str">
        <f>IFERROR(INDEX(TableRBCalcPts[BYE],MATCH(TableRBRanks3141[[#This Row],[Player]],TableRBCalcPts[PLAYER],0)),"")</f>
        <v/>
      </c>
      <c r="T97" s="83">
        <f>VLOOKUP(TableRBRanks3141[[#This Row],[Player]],RB!B:O,4,FALSE)</f>
        <v>0</v>
      </c>
      <c r="U97" s="83">
        <f>VLOOKUP(TableRBRanks3141[[#This Row],[Player]],RB!B:O,5,FALSE)</f>
        <v>0</v>
      </c>
      <c r="V97" s="83">
        <f>VLOOKUP(TableRBRanks3141[[#This Row],[Player]],RB!B:O,6,FALSE)</f>
        <v>0</v>
      </c>
      <c r="W97" s="83">
        <f>VLOOKUP(TableRBRanks3141[[#This Row],[Player]],RB!B:O,7,FALSE)</f>
        <v>0</v>
      </c>
      <c r="X97" s="83">
        <f>VLOOKUP(TableRBRanks3141[[#This Row],[Player]],RB!B:O,8,FALSE)</f>
        <v>0</v>
      </c>
      <c r="Y97" s="83">
        <f>VLOOKUP(TableRBRanks3141[[#This Row],[Player]],RB!B:O,9,FALSE)</f>
        <v>0</v>
      </c>
      <c r="Z97" s="83">
        <f>VLOOKUP(TableRBRanks3141[[#This Row],[Player]],RB!B:O,10,FALSE)</f>
        <v>0</v>
      </c>
      <c r="AA97" s="57">
        <f>VLOOKUP(TableRBRanks3141[[#This Row],[Player]],RB!B:O,14,FALSE)</f>
        <v>0</v>
      </c>
      <c r="AB97" s="125">
        <f>IF(VLOOKUP(TableRBRanks3141[[#This Row],[RK]],'Ranks w Proj'!$P:$AB,13,FALSE)&lt;0,0,VLOOKUP(TableRBRanks3141[[#This Row],[RK]],'Ranks w Proj'!$P:$AB,13,FALSE))</f>
        <v>0</v>
      </c>
      <c r="AD97">
        <v>96</v>
      </c>
      <c r="AE97" t="str">
        <f>VLOOKUP(TableWRRanks3242[[#This Row],[RK]],Rankings!A:T,13,FALSE)</f>
        <v>Jalen Nailor</v>
      </c>
      <c r="AF97" t="str">
        <f>IFERROR(INDEX(TableWRCalcPts[TM],MATCH(TableWRRanks3242[[#This Row],[Player]],TableWRCalcPts[PLAYER],0)),"")</f>
        <v>MIN</v>
      </c>
      <c r="AG97">
        <f>IFERROR(INDEX(TableWRCalcPts[BYE],MATCH(TableWRRanks3242[[#This Row],[Player]],TableWRCalcPts[PLAYER],0)),"")</f>
        <v>6</v>
      </c>
      <c r="AH97" s="83">
        <f>VLOOKUP(TableWRRanks3242[[#This Row],[Player]],WR!B:O,4,FALSE)</f>
        <v>0</v>
      </c>
      <c r="AI97" s="83">
        <f>VLOOKUP(TableWRRanks3242[[#This Row],[Player]],WR!B:O,5,FALSE)</f>
        <v>0</v>
      </c>
      <c r="AJ97" s="83">
        <f>VLOOKUP(TableWRRanks3242[[#This Row],[Player]],WR!B:O,6,FALSE)</f>
        <v>53.50094399999999</v>
      </c>
      <c r="AK97" s="83">
        <f>VLOOKUP(TableWRRanks3242[[#This Row],[Player]],WR!B:O,7,FALSE)</f>
        <v>31.084048463999991</v>
      </c>
      <c r="AL97" s="83">
        <f>VLOOKUP(TableWRRanks3242[[#This Row],[Player]],WR!B:O,8,FALSE)</f>
        <v>385.44220095359992</v>
      </c>
      <c r="AM97" s="83">
        <f>VLOOKUP(TableWRRanks3242[[#This Row],[Player]],WR!B:O,9,FALSE)</f>
        <v>1.7717907624479996</v>
      </c>
      <c r="AN97" s="57">
        <f>VLOOKUP(TableWRRanks3242[[#This Row],[Player]],WR!B:O,13,FALSE)</f>
        <v>64.716988902047987</v>
      </c>
      <c r="AO97" s="125">
        <f>IF(VLOOKUP(TableWRRanks3242[[#This Row],[RK]],'Ranks w Proj'!AD:AO,12,FALSE)&lt;0,0,VLOOKUP(TableWRRanks3242[[#This Row],[RK]],'Ranks w Proj'!AD:AO,12,FALSE))</f>
        <v>0</v>
      </c>
      <c r="AQ97">
        <v>96</v>
      </c>
      <c r="AR97">
        <f>VLOOKUP(TableTERanks3343[[#This Row],[RK]],Rankings!A:T,18,FALSE)</f>
        <v>0</v>
      </c>
      <c r="AS97" t="str">
        <f>IFERROR(INDEX(TableTECalcPts[TM],MATCH(TableTERanks3343[[#This Row],[Player]],TableTECalcPts[PLAYER],0)),"")</f>
        <v/>
      </c>
      <c r="AT97" t="str">
        <f>IFERROR(INDEX(TableTECalcPts[BYE],MATCH(TableTERanks3343[[#This Row],[Player]],TableTECalcPts[PLAYER],0)),"")</f>
        <v/>
      </c>
      <c r="AU97" s="83">
        <f>VLOOKUP(TableTERanks3343[[#This Row],[Player]],TE!B:O,4,FALSE)</f>
        <v>0</v>
      </c>
      <c r="AV97" s="83">
        <f>VLOOKUP(TableTERanks3343[[#This Row],[Player]],TE!B:O,5,FALSE)</f>
        <v>0</v>
      </c>
      <c r="AW97" s="83">
        <f>VLOOKUP(TableTERanks3343[[#This Row],[Player]],TE!B:O,6,FALSE)</f>
        <v>0</v>
      </c>
      <c r="AX97" s="83">
        <f>VLOOKUP(TableTERanks3343[[#This Row],[Player]],TE!B:O,7,FALSE)</f>
        <v>0</v>
      </c>
      <c r="AY97" s="57">
        <f>VLOOKUP(TableTERanks3343[[#This Row],[Player]],TE!B:O,11,FALSE)</f>
        <v>0</v>
      </c>
      <c r="AZ97" s="125" t="str">
        <f>IF(VLOOKUP(TableTERanks3343[[#This Row],[RK]],'Ranks w Proj'!AQ:AZ,10,FALSE)&lt;0,0,VLOOKUP(TableTERanks3343[[#This Row],[RK]],'Ranks w Proj'!AQ:AZ,10,FALSE))</f>
        <v/>
      </c>
    </row>
    <row r="98" spans="16:52" x14ac:dyDescent="0.2">
      <c r="P98">
        <v>97</v>
      </c>
      <c r="Q98">
        <f>VLOOKUP(TableRBRanks3141[[#This Row],[RK]],Rankings!A:T,8,FALSE)</f>
        <v>0</v>
      </c>
      <c r="R98" t="str">
        <f>IFERROR(INDEX(TableRBCalcPts[TM],MATCH(TableRBRanks3141[[#This Row],[Player]],TableRBCalcPts[PLAYER],0)),"")</f>
        <v/>
      </c>
      <c r="S98" t="str">
        <f>IFERROR(INDEX(TableRBCalcPts[BYE],MATCH(TableRBRanks3141[[#This Row],[Player]],TableRBCalcPts[PLAYER],0)),"")</f>
        <v/>
      </c>
      <c r="T98" s="83">
        <f>VLOOKUP(TableRBRanks3141[[#This Row],[Player]],RB!B:O,4,FALSE)</f>
        <v>0</v>
      </c>
      <c r="U98" s="83">
        <f>VLOOKUP(TableRBRanks3141[[#This Row],[Player]],RB!B:O,5,FALSE)</f>
        <v>0</v>
      </c>
      <c r="V98" s="83">
        <f>VLOOKUP(TableRBRanks3141[[#This Row],[Player]],RB!B:O,6,FALSE)</f>
        <v>0</v>
      </c>
      <c r="W98" s="83">
        <f>VLOOKUP(TableRBRanks3141[[#This Row],[Player]],RB!B:O,7,FALSE)</f>
        <v>0</v>
      </c>
      <c r="X98" s="83">
        <f>VLOOKUP(TableRBRanks3141[[#This Row],[Player]],RB!B:O,8,FALSE)</f>
        <v>0</v>
      </c>
      <c r="Y98" s="83">
        <f>VLOOKUP(TableRBRanks3141[[#This Row],[Player]],RB!B:O,9,FALSE)</f>
        <v>0</v>
      </c>
      <c r="Z98" s="83">
        <f>VLOOKUP(TableRBRanks3141[[#This Row],[Player]],RB!B:O,10,FALSE)</f>
        <v>0</v>
      </c>
      <c r="AA98" s="57">
        <f>VLOOKUP(TableRBRanks3141[[#This Row],[Player]],RB!B:O,14,FALSE)</f>
        <v>0</v>
      </c>
      <c r="AB98" s="125">
        <f>IF(VLOOKUP(TableRBRanks3141[[#This Row],[RK]],'Ranks w Proj'!$P:$AB,13,FALSE)&lt;0,0,VLOOKUP(TableRBRanks3141[[#This Row],[RK]],'Ranks w Proj'!$P:$AB,13,FALSE))</f>
        <v>0</v>
      </c>
      <c r="AD98">
        <v>97</v>
      </c>
      <c r="AE98" t="str">
        <f>VLOOKUP(TableWRRanks3242[[#This Row],[RK]],Rankings!A:T,13,FALSE)</f>
        <v>Noah Brown</v>
      </c>
      <c r="AF98" t="str">
        <f>IFERROR(INDEX(TableWRCalcPts[TM],MATCH(TableWRRanks3242[[#This Row],[Player]],TableWRCalcPts[PLAYER],0)),"")</f>
        <v>WSH</v>
      </c>
      <c r="AG98">
        <f>IFERROR(INDEX(TableWRCalcPts[BYE],MATCH(TableWRRanks3242[[#This Row],[Player]],TableWRCalcPts[PLAYER],0)),"")</f>
        <v>14</v>
      </c>
      <c r="AH98" s="83">
        <f>VLOOKUP(TableWRRanks3242[[#This Row],[Player]],WR!B:O,4,FALSE)</f>
        <v>0</v>
      </c>
      <c r="AI98" s="83">
        <f>VLOOKUP(TableWRRanks3242[[#This Row],[Player]],WR!B:O,5,FALSE)</f>
        <v>0</v>
      </c>
      <c r="AJ98" s="83">
        <f>VLOOKUP(TableWRRanks3242[[#This Row],[Player]],WR!B:O,6,FALSE)</f>
        <v>28.328860000000006</v>
      </c>
      <c r="AK98" s="83">
        <f>VLOOKUP(TableWRRanks3242[[#This Row],[Player]],WR!B:O,7,FALSE)</f>
        <v>16.572383100000003</v>
      </c>
      <c r="AL98" s="83">
        <f>VLOOKUP(TableWRRanks3242[[#This Row],[Player]],WR!B:O,8,FALSE)</f>
        <v>224.39006717400002</v>
      </c>
      <c r="AM98" s="83">
        <f>VLOOKUP(TableWRRanks3242[[#This Row],[Player]],WR!B:O,9,FALSE)</f>
        <v>1.3257906480000003</v>
      </c>
      <c r="AN98" s="57">
        <f>VLOOKUP(TableWRRanks3242[[#This Row],[Player]],WR!B:O,13,FALSE)</f>
        <v>38.679942155400006</v>
      </c>
      <c r="AO98" s="125">
        <f>IF(VLOOKUP(TableWRRanks3242[[#This Row],[RK]],'Ranks w Proj'!AD:AO,12,FALSE)&lt;0,0,VLOOKUP(TableWRRanks3242[[#This Row],[RK]],'Ranks w Proj'!AD:AO,12,FALSE))</f>
        <v>0</v>
      </c>
      <c r="AQ98">
        <v>97</v>
      </c>
      <c r="AR98">
        <f>VLOOKUP(TableTERanks3343[[#This Row],[RK]],Rankings!A:T,18,FALSE)</f>
        <v>0</v>
      </c>
      <c r="AS98" t="str">
        <f>IFERROR(INDEX(TableTECalcPts[TM],MATCH(TableTERanks3343[[#This Row],[Player]],TableTECalcPts[PLAYER],0)),"")</f>
        <v/>
      </c>
      <c r="AT98" t="str">
        <f>IFERROR(INDEX(TableTECalcPts[BYE],MATCH(TableTERanks3343[[#This Row],[Player]],TableTECalcPts[PLAYER],0)),"")</f>
        <v/>
      </c>
      <c r="AU98" s="83">
        <f>VLOOKUP(TableTERanks3343[[#This Row],[Player]],TE!B:O,4,FALSE)</f>
        <v>0</v>
      </c>
      <c r="AV98" s="83">
        <f>VLOOKUP(TableTERanks3343[[#This Row],[Player]],TE!B:O,5,FALSE)</f>
        <v>0</v>
      </c>
      <c r="AW98" s="83">
        <f>VLOOKUP(TableTERanks3343[[#This Row],[Player]],TE!B:O,6,FALSE)</f>
        <v>0</v>
      </c>
      <c r="AX98" s="83">
        <f>VLOOKUP(TableTERanks3343[[#This Row],[Player]],TE!B:O,7,FALSE)</f>
        <v>0</v>
      </c>
      <c r="AY98" s="57">
        <f>VLOOKUP(TableTERanks3343[[#This Row],[Player]],TE!B:O,11,FALSE)</f>
        <v>0</v>
      </c>
      <c r="AZ98" s="125" t="str">
        <f>IF(VLOOKUP(TableTERanks3343[[#This Row],[RK]],'Ranks w Proj'!AQ:AZ,10,FALSE)&lt;0,0,VLOOKUP(TableTERanks3343[[#This Row],[RK]],'Ranks w Proj'!AQ:AZ,10,FALSE))</f>
        <v/>
      </c>
    </row>
    <row r="99" spans="16:52" x14ac:dyDescent="0.2">
      <c r="P99">
        <v>98</v>
      </c>
      <c r="Q99">
        <f>VLOOKUP(TableRBRanks3141[[#This Row],[RK]],Rankings!A:T,8,FALSE)</f>
        <v>0</v>
      </c>
      <c r="R99" t="str">
        <f>IFERROR(INDEX(TableRBCalcPts[TM],MATCH(TableRBRanks3141[[#This Row],[Player]],TableRBCalcPts[PLAYER],0)),"")</f>
        <v/>
      </c>
      <c r="S99" t="str">
        <f>IFERROR(INDEX(TableRBCalcPts[BYE],MATCH(TableRBRanks3141[[#This Row],[Player]],TableRBCalcPts[PLAYER],0)),"")</f>
        <v/>
      </c>
      <c r="T99" s="83">
        <f>VLOOKUP(TableRBRanks3141[[#This Row],[Player]],RB!B:O,4,FALSE)</f>
        <v>0</v>
      </c>
      <c r="U99" s="83">
        <f>VLOOKUP(TableRBRanks3141[[#This Row],[Player]],RB!B:O,5,FALSE)</f>
        <v>0</v>
      </c>
      <c r="V99" s="83">
        <f>VLOOKUP(TableRBRanks3141[[#This Row],[Player]],RB!B:O,6,FALSE)</f>
        <v>0</v>
      </c>
      <c r="W99" s="83">
        <f>VLOOKUP(TableRBRanks3141[[#This Row],[Player]],RB!B:O,7,FALSE)</f>
        <v>0</v>
      </c>
      <c r="X99" s="83">
        <f>VLOOKUP(TableRBRanks3141[[#This Row],[Player]],RB!B:O,8,FALSE)</f>
        <v>0</v>
      </c>
      <c r="Y99" s="83">
        <f>VLOOKUP(TableRBRanks3141[[#This Row],[Player]],RB!B:O,9,FALSE)</f>
        <v>0</v>
      </c>
      <c r="Z99" s="83">
        <f>VLOOKUP(TableRBRanks3141[[#This Row],[Player]],RB!B:O,10,FALSE)</f>
        <v>0</v>
      </c>
      <c r="AA99" s="57">
        <f>VLOOKUP(TableRBRanks3141[[#This Row],[Player]],RB!B:O,14,FALSE)</f>
        <v>0</v>
      </c>
      <c r="AB99" s="125">
        <f>IF(VLOOKUP(TableRBRanks3141[[#This Row],[RK]],'Ranks w Proj'!$P:$AB,13,FALSE)&lt;0,0,VLOOKUP(TableRBRanks3141[[#This Row],[RK]],'Ranks w Proj'!$P:$AB,13,FALSE))</f>
        <v>0</v>
      </c>
      <c r="AD99">
        <v>98</v>
      </c>
      <c r="AE99" t="str">
        <f>VLOOKUP(TableWRRanks3242[[#This Row],[RK]],Rankings!A:T,13,FALSE)</f>
        <v>Jordan Whittington</v>
      </c>
      <c r="AF99" t="str">
        <f>IFERROR(INDEX(TableWRCalcPts[TM],MATCH(TableWRRanks3242[[#This Row],[Player]],TableWRCalcPts[PLAYER],0)),"")</f>
        <v>LAR</v>
      </c>
      <c r="AG99">
        <f>IFERROR(INDEX(TableWRCalcPts[BYE],MATCH(TableWRRanks3242[[#This Row],[Player]],TableWRCalcPts[PLAYER],0)),"")</f>
        <v>6</v>
      </c>
      <c r="AH99" s="83">
        <f>VLOOKUP(TableWRRanks3242[[#This Row],[Player]],WR!B:O,4,FALSE)</f>
        <v>0</v>
      </c>
      <c r="AI99" s="83">
        <f>VLOOKUP(TableWRRanks3242[[#This Row],[Player]],WR!B:O,5,FALSE)</f>
        <v>0</v>
      </c>
      <c r="AJ99" s="83">
        <f>VLOOKUP(TableWRRanks3242[[#This Row],[Player]],WR!B:O,6,FALSE)</f>
        <v>43.471592639999997</v>
      </c>
      <c r="AK99" s="83">
        <f>VLOOKUP(TableWRRanks3242[[#This Row],[Player]],WR!B:O,7,FALSE)</f>
        <v>25.909069213440002</v>
      </c>
      <c r="AL99" s="83">
        <f>VLOOKUP(TableWRRanks3242[[#This Row],[Player]],WR!B:O,8,FALSE)</f>
        <v>317.56180833921519</v>
      </c>
      <c r="AM99" s="83">
        <f>VLOOKUP(TableWRRanks3242[[#This Row],[Player]],WR!B:O,9,FALSE)</f>
        <v>1.860404098703017</v>
      </c>
      <c r="AN99" s="57">
        <f>VLOOKUP(TableWRRanks3242[[#This Row],[Player]],WR!B:O,13,FALSE)</f>
        <v>55.873140032859624</v>
      </c>
      <c r="AO99" s="125">
        <f>IF(VLOOKUP(TableWRRanks3242[[#This Row],[RK]],'Ranks w Proj'!AD:AO,12,FALSE)&lt;0,0,VLOOKUP(TableWRRanks3242[[#This Row],[RK]],'Ranks w Proj'!AD:AO,12,FALSE))</f>
        <v>0</v>
      </c>
      <c r="AQ99">
        <v>98</v>
      </c>
      <c r="AR99">
        <f>VLOOKUP(TableTERanks3343[[#This Row],[RK]],Rankings!A:T,18,FALSE)</f>
        <v>0</v>
      </c>
      <c r="AS99" t="str">
        <f>IFERROR(INDEX(TableTECalcPts[TM],MATCH(TableTERanks3343[[#This Row],[Player]],TableTECalcPts[PLAYER],0)),"")</f>
        <v/>
      </c>
      <c r="AT99" t="str">
        <f>IFERROR(INDEX(TableTECalcPts[BYE],MATCH(TableTERanks3343[[#This Row],[Player]],TableTECalcPts[PLAYER],0)),"")</f>
        <v/>
      </c>
      <c r="AU99" s="83">
        <f>VLOOKUP(TableTERanks3343[[#This Row],[Player]],TE!B:O,4,FALSE)</f>
        <v>0</v>
      </c>
      <c r="AV99" s="83">
        <f>VLOOKUP(TableTERanks3343[[#This Row],[Player]],TE!B:O,5,FALSE)</f>
        <v>0</v>
      </c>
      <c r="AW99" s="83">
        <f>VLOOKUP(TableTERanks3343[[#This Row],[Player]],TE!B:O,6,FALSE)</f>
        <v>0</v>
      </c>
      <c r="AX99" s="83">
        <f>VLOOKUP(TableTERanks3343[[#This Row],[Player]],TE!B:O,7,FALSE)</f>
        <v>0</v>
      </c>
      <c r="AY99" s="57">
        <f>VLOOKUP(TableTERanks3343[[#This Row],[Player]],TE!B:O,11,FALSE)</f>
        <v>0</v>
      </c>
      <c r="AZ99" s="125" t="str">
        <f>IF(VLOOKUP(TableTERanks3343[[#This Row],[RK]],'Ranks w Proj'!AQ:AZ,10,FALSE)&lt;0,0,VLOOKUP(TableTERanks3343[[#This Row],[RK]],'Ranks w Proj'!AQ:AZ,10,FALSE))</f>
        <v/>
      </c>
    </row>
    <row r="100" spans="16:52" x14ac:dyDescent="0.2">
      <c r="P100">
        <v>99</v>
      </c>
      <c r="Q100">
        <f>VLOOKUP(TableRBRanks3141[[#This Row],[RK]],Rankings!A:T,8,FALSE)</f>
        <v>0</v>
      </c>
      <c r="R100" t="str">
        <f>IFERROR(INDEX(TableRBCalcPts[TM],MATCH(TableRBRanks3141[[#This Row],[Player]],TableRBCalcPts[PLAYER],0)),"")</f>
        <v/>
      </c>
      <c r="S100" t="str">
        <f>IFERROR(INDEX(TableRBCalcPts[BYE],MATCH(TableRBRanks3141[[#This Row],[Player]],TableRBCalcPts[PLAYER],0)),"")</f>
        <v/>
      </c>
      <c r="T100" s="83">
        <f>VLOOKUP(TableRBRanks3141[[#This Row],[Player]],RB!B:O,4,FALSE)</f>
        <v>0</v>
      </c>
      <c r="U100" s="83">
        <f>VLOOKUP(TableRBRanks3141[[#This Row],[Player]],RB!B:O,5,FALSE)</f>
        <v>0</v>
      </c>
      <c r="V100" s="83">
        <f>VLOOKUP(TableRBRanks3141[[#This Row],[Player]],RB!B:O,6,FALSE)</f>
        <v>0</v>
      </c>
      <c r="W100" s="83">
        <f>VLOOKUP(TableRBRanks3141[[#This Row],[Player]],RB!B:O,7,FALSE)</f>
        <v>0</v>
      </c>
      <c r="X100" s="83">
        <f>VLOOKUP(TableRBRanks3141[[#This Row],[Player]],RB!B:O,8,FALSE)</f>
        <v>0</v>
      </c>
      <c r="Y100" s="83">
        <f>VLOOKUP(TableRBRanks3141[[#This Row],[Player]],RB!B:O,9,FALSE)</f>
        <v>0</v>
      </c>
      <c r="Z100" s="83">
        <f>VLOOKUP(TableRBRanks3141[[#This Row],[Player]],RB!B:O,10,FALSE)</f>
        <v>0</v>
      </c>
      <c r="AA100" s="57">
        <f>VLOOKUP(TableRBRanks3141[[#This Row],[Player]],RB!B:O,14,FALSE)</f>
        <v>0</v>
      </c>
      <c r="AB100" s="125">
        <f>IF(VLOOKUP(TableRBRanks3141[[#This Row],[RK]],'Ranks w Proj'!$P:$AB,13,FALSE)&lt;0,0,VLOOKUP(TableRBRanks3141[[#This Row],[RK]],'Ranks w Proj'!$P:$AB,13,FALSE))</f>
        <v>0</v>
      </c>
      <c r="AD100">
        <v>99</v>
      </c>
      <c r="AE100" t="str">
        <f>VLOOKUP(TableWRRanks3242[[#This Row],[RK]],Rankings!A:T,13,FALSE)</f>
        <v>Ricky Pearsall</v>
      </c>
      <c r="AF100" t="str">
        <f>IFERROR(INDEX(TableWRCalcPts[TM],MATCH(TableWRRanks3242[[#This Row],[Player]],TableWRCalcPts[PLAYER],0)),"")</f>
        <v>SF</v>
      </c>
      <c r="AG100">
        <f>IFERROR(INDEX(TableWRCalcPts[BYE],MATCH(TableWRRanks3242[[#This Row],[Player]],TableWRCalcPts[PLAYER],0)),"")</f>
        <v>9</v>
      </c>
      <c r="AH100" s="83">
        <f>VLOOKUP(TableWRRanks3242[[#This Row],[Player]],WR!B:O,4,FALSE)</f>
        <v>0</v>
      </c>
      <c r="AI100" s="83">
        <f>VLOOKUP(TableWRRanks3242[[#This Row],[Player]],WR!B:O,5,FALSE)</f>
        <v>0</v>
      </c>
      <c r="AJ100" s="83">
        <f>VLOOKUP(TableWRRanks3242[[#This Row],[Player]],WR!B:O,6,FALSE)</f>
        <v>42.602716799999996</v>
      </c>
      <c r="AK100" s="83">
        <f>VLOOKUP(TableWRRanks3242[[#This Row],[Player]],WR!B:O,7,FALSE)</f>
        <v>27.521355052799997</v>
      </c>
      <c r="AL100" s="83">
        <f>VLOOKUP(TableWRRanks3242[[#This Row],[Player]],WR!B:O,8,FALSE)</f>
        <v>363.88666336255017</v>
      </c>
      <c r="AM100" s="83">
        <f>VLOOKUP(TableWRRanks3242[[#This Row],[Player]],WR!B:O,9,FALSE)</f>
        <v>2.3943578895935995</v>
      </c>
      <c r="AN100" s="57">
        <f>VLOOKUP(TableWRRanks3242[[#This Row],[Player]],WR!B:O,13,FALSE)</f>
        <v>64.515491200216616</v>
      </c>
      <c r="AO100" s="125">
        <f>IF(VLOOKUP(TableWRRanks3242[[#This Row],[RK]],'Ranks w Proj'!AD:AO,12,FALSE)&lt;0,0,VLOOKUP(TableWRRanks3242[[#This Row],[RK]],'Ranks w Proj'!AD:AO,12,FALSE))</f>
        <v>0</v>
      </c>
      <c r="AQ100">
        <v>99</v>
      </c>
      <c r="AR100">
        <f>VLOOKUP(TableTERanks3343[[#This Row],[RK]],Rankings!A:T,18,FALSE)</f>
        <v>0</v>
      </c>
      <c r="AS100" t="str">
        <f>IFERROR(INDEX(TableTECalcPts[TM],MATCH(TableTERanks3343[[#This Row],[Player]],TableTECalcPts[PLAYER],0)),"")</f>
        <v/>
      </c>
      <c r="AT100" t="str">
        <f>IFERROR(INDEX(TableTECalcPts[BYE],MATCH(TableTERanks3343[[#This Row],[Player]],TableTECalcPts[PLAYER],0)),"")</f>
        <v/>
      </c>
      <c r="AU100" s="83">
        <f>VLOOKUP(TableTERanks3343[[#This Row],[Player]],TE!B:O,4,FALSE)</f>
        <v>0</v>
      </c>
      <c r="AV100" s="83">
        <f>VLOOKUP(TableTERanks3343[[#This Row],[Player]],TE!B:O,5,FALSE)</f>
        <v>0</v>
      </c>
      <c r="AW100" s="83">
        <f>VLOOKUP(TableTERanks3343[[#This Row],[Player]],TE!B:O,6,FALSE)</f>
        <v>0</v>
      </c>
      <c r="AX100" s="83">
        <f>VLOOKUP(TableTERanks3343[[#This Row],[Player]],TE!B:O,7,FALSE)</f>
        <v>0</v>
      </c>
      <c r="AY100" s="57">
        <f>VLOOKUP(TableTERanks3343[[#This Row],[Player]],TE!B:O,11,FALSE)</f>
        <v>0</v>
      </c>
      <c r="AZ100" s="125" t="str">
        <f>IF(VLOOKUP(TableTERanks3343[[#This Row],[RK]],'Ranks w Proj'!AQ:AZ,10,FALSE)&lt;0,0,VLOOKUP(TableTERanks3343[[#This Row],[RK]],'Ranks w Proj'!AQ:AZ,10,FALSE))</f>
        <v/>
      </c>
    </row>
    <row r="101" spans="16:52" x14ac:dyDescent="0.2">
      <c r="P101">
        <v>100</v>
      </c>
      <c r="Q101">
        <f>VLOOKUP(TableRBRanks3141[[#This Row],[RK]],Rankings!A:T,8,FALSE)</f>
        <v>0</v>
      </c>
      <c r="R101" t="str">
        <f>IFERROR(INDEX(TableRBCalcPts[TM],MATCH(TableRBRanks3141[[#This Row],[Player]],TableRBCalcPts[PLAYER],0)),"")</f>
        <v/>
      </c>
      <c r="S101" t="str">
        <f>IFERROR(INDEX(TableRBCalcPts[BYE],MATCH(TableRBRanks3141[[#This Row],[Player]],TableRBCalcPts[PLAYER],0)),"")</f>
        <v/>
      </c>
      <c r="T101" s="83">
        <f>VLOOKUP(TableRBRanks3141[[#This Row],[Player]],RB!B:O,4,FALSE)</f>
        <v>0</v>
      </c>
      <c r="U101" s="83">
        <f>VLOOKUP(TableRBRanks3141[[#This Row],[Player]],RB!B:O,5,FALSE)</f>
        <v>0</v>
      </c>
      <c r="V101" s="83">
        <f>VLOOKUP(TableRBRanks3141[[#This Row],[Player]],RB!B:O,6,FALSE)</f>
        <v>0</v>
      </c>
      <c r="W101" s="83">
        <f>VLOOKUP(TableRBRanks3141[[#This Row],[Player]],RB!B:O,7,FALSE)</f>
        <v>0</v>
      </c>
      <c r="X101" s="83">
        <f>VLOOKUP(TableRBRanks3141[[#This Row],[Player]],RB!B:O,8,FALSE)</f>
        <v>0</v>
      </c>
      <c r="Y101" s="83">
        <f>VLOOKUP(TableRBRanks3141[[#This Row],[Player]],RB!B:O,9,FALSE)</f>
        <v>0</v>
      </c>
      <c r="Z101" s="83">
        <f>VLOOKUP(TableRBRanks3141[[#This Row],[Player]],RB!B:O,10,FALSE)</f>
        <v>0</v>
      </c>
      <c r="AA101" s="57">
        <f>VLOOKUP(TableRBRanks3141[[#This Row],[Player]],RB!B:O,14,FALSE)</f>
        <v>0</v>
      </c>
      <c r="AB101" s="125">
        <f>IF(VLOOKUP(TableRBRanks3141[[#This Row],[RK]],'Ranks w Proj'!$P:$AB,13,FALSE)&lt;0,0,VLOOKUP(TableRBRanks3141[[#This Row],[RK]],'Ranks w Proj'!$P:$AB,13,FALSE))</f>
        <v>0</v>
      </c>
      <c r="AD101">
        <v>100</v>
      </c>
      <c r="AE101" t="str">
        <f>VLOOKUP(TableWRRanks3242[[#This Row],[RK]],Rankings!A:T,13,FALSE)</f>
        <v>Tre Tucker</v>
      </c>
      <c r="AF101" t="str">
        <f>IFERROR(INDEX(TableWRCalcPts[TM],MATCH(TableWRRanks3242[[#This Row],[Player]],TableWRCalcPts[PLAYER],0)),"")</f>
        <v>LV</v>
      </c>
      <c r="AG101">
        <f>IFERROR(INDEX(TableWRCalcPts[BYE],MATCH(TableWRRanks3242[[#This Row],[Player]],TableWRCalcPts[PLAYER],0)),"")</f>
        <v>10</v>
      </c>
      <c r="AH101" s="83">
        <f>VLOOKUP(TableWRRanks3242[[#This Row],[Player]],WR!B:O,4,FALSE)</f>
        <v>0</v>
      </c>
      <c r="AI101" s="83">
        <f>VLOOKUP(TableWRRanks3242[[#This Row],[Player]],WR!B:O,5,FALSE)</f>
        <v>0</v>
      </c>
      <c r="AJ101" s="83">
        <f>VLOOKUP(TableWRRanks3242[[#This Row],[Player]],WR!B:O,6,FALSE)</f>
        <v>37.869650000000007</v>
      </c>
      <c r="AK101" s="83">
        <f>VLOOKUP(TableWRRanks3242[[#This Row],[Player]],WR!B:O,7,FALSE)</f>
        <v>21.472091549999998</v>
      </c>
      <c r="AL101" s="83">
        <f>VLOOKUP(TableWRRanks3242[[#This Row],[Player]],WR!B:O,8,FALSE)</f>
        <v>278.18624155793555</v>
      </c>
      <c r="AM101" s="83">
        <f>VLOOKUP(TableWRRanks3242[[#This Row],[Player]],WR!B:O,9,FALSE)</f>
        <v>1.3333823505397018</v>
      </c>
      <c r="AN101" s="57">
        <f>VLOOKUP(TableWRRanks3242[[#This Row],[Player]],WR!B:O,13,FALSE)</f>
        <v>46.554964034031769</v>
      </c>
      <c r="AO101" s="125">
        <f>IF(VLOOKUP(TableWRRanks3242[[#This Row],[RK]],'Ranks w Proj'!AD:AO,12,FALSE)&lt;0,0,VLOOKUP(TableWRRanks3242[[#This Row],[RK]],'Ranks w Proj'!AD:AO,12,FALSE))</f>
        <v>0</v>
      </c>
      <c r="AQ101">
        <v>100</v>
      </c>
      <c r="AR101">
        <f>VLOOKUP(TableTERanks3343[[#This Row],[RK]],Rankings!A:T,18,FALSE)</f>
        <v>0</v>
      </c>
      <c r="AS101" t="str">
        <f>IFERROR(INDEX(TableTECalcPts[TM],MATCH(TableTERanks3343[[#This Row],[Player]],TableTECalcPts[PLAYER],0)),"")</f>
        <v/>
      </c>
      <c r="AT101" t="str">
        <f>IFERROR(INDEX(TableTECalcPts[BYE],MATCH(TableTERanks3343[[#This Row],[Player]],TableTECalcPts[PLAYER],0)),"")</f>
        <v/>
      </c>
      <c r="AU101" s="83">
        <f>VLOOKUP(TableTERanks3343[[#This Row],[Player]],TE!B:O,4,FALSE)</f>
        <v>0</v>
      </c>
      <c r="AV101" s="83">
        <f>VLOOKUP(TableTERanks3343[[#This Row],[Player]],TE!B:O,5,FALSE)</f>
        <v>0</v>
      </c>
      <c r="AW101" s="83">
        <f>VLOOKUP(TableTERanks3343[[#This Row],[Player]],TE!B:O,6,FALSE)</f>
        <v>0</v>
      </c>
      <c r="AX101" s="83">
        <f>VLOOKUP(TableTERanks3343[[#This Row],[Player]],TE!B:O,7,FALSE)</f>
        <v>0</v>
      </c>
      <c r="AY101" s="57">
        <f>VLOOKUP(TableTERanks3343[[#This Row],[Player]],TE!B:O,11,FALSE)</f>
        <v>0</v>
      </c>
      <c r="AZ101" s="125" t="str">
        <f>IF(VLOOKUP(TableTERanks3343[[#This Row],[RK]],'Ranks w Proj'!AQ:AZ,10,FALSE)&lt;0,0,VLOOKUP(TableTERanks3343[[#This Row],[RK]],'Ranks w Proj'!AQ:AZ,10,FALSE))</f>
        <v/>
      </c>
    </row>
    <row r="102" spans="16:52" x14ac:dyDescent="0.2">
      <c r="P102">
        <v>101</v>
      </c>
      <c r="Q102">
        <f>VLOOKUP(TableRBRanks3141[[#This Row],[RK]],Rankings!A:T,8,FALSE)</f>
        <v>0</v>
      </c>
      <c r="R102" t="str">
        <f>IFERROR(INDEX(TableRBCalcPts[TM],MATCH(TableRBRanks3141[[#This Row],[Player]],TableRBCalcPts[PLAYER],0)),"")</f>
        <v/>
      </c>
      <c r="S102" t="str">
        <f>IFERROR(INDEX(TableRBCalcPts[BYE],MATCH(TableRBRanks3141[[#This Row],[Player]],TableRBCalcPts[PLAYER],0)),"")</f>
        <v/>
      </c>
      <c r="T102" s="83">
        <f>VLOOKUP(TableRBRanks3141[[#This Row],[Player]],RB!B:O,4,FALSE)</f>
        <v>0</v>
      </c>
      <c r="U102" s="83">
        <f>VLOOKUP(TableRBRanks3141[[#This Row],[Player]],RB!B:O,5,FALSE)</f>
        <v>0</v>
      </c>
      <c r="V102" s="83">
        <f>VLOOKUP(TableRBRanks3141[[#This Row],[Player]],RB!B:O,6,FALSE)</f>
        <v>0</v>
      </c>
      <c r="W102" s="83">
        <f>VLOOKUP(TableRBRanks3141[[#This Row],[Player]],RB!B:O,7,FALSE)</f>
        <v>0</v>
      </c>
      <c r="X102" s="83">
        <f>VLOOKUP(TableRBRanks3141[[#This Row],[Player]],RB!B:O,8,FALSE)</f>
        <v>0</v>
      </c>
      <c r="Y102" s="83">
        <f>VLOOKUP(TableRBRanks3141[[#This Row],[Player]],RB!B:O,9,FALSE)</f>
        <v>0</v>
      </c>
      <c r="Z102" s="83">
        <f>VLOOKUP(TableRBRanks3141[[#This Row],[Player]],RB!B:O,10,FALSE)</f>
        <v>0</v>
      </c>
      <c r="AA102" s="57">
        <f>VLOOKUP(TableRBRanks3141[[#This Row],[Player]],RB!B:O,14,FALSE)</f>
        <v>0</v>
      </c>
      <c r="AB102" s="125">
        <f>IF(VLOOKUP(TableRBRanks3141[[#This Row],[RK]],'Ranks w Proj'!$P:$AB,13,FALSE)&lt;0,0,VLOOKUP(TableRBRanks3141[[#This Row],[RK]],'Ranks w Proj'!$P:$AB,13,FALSE))</f>
        <v>0</v>
      </c>
      <c r="AD102">
        <v>101</v>
      </c>
      <c r="AE102" t="str">
        <f>VLOOKUP(TableWRRanks3242[[#This Row],[RK]],Rankings!A:T,13,FALSE)</f>
        <v>Brenden Rice</v>
      </c>
      <c r="AF102" t="str">
        <f>IFERROR(INDEX(TableWRCalcPts[TM],MATCH(TableWRRanks3242[[#This Row],[Player]],TableWRCalcPts[PLAYER],0)),"")</f>
        <v>LAC</v>
      </c>
      <c r="AG102">
        <f>IFERROR(INDEX(TableWRCalcPts[BYE],MATCH(TableWRRanks3242[[#This Row],[Player]],TableWRCalcPts[PLAYER],0)),"")</f>
        <v>5</v>
      </c>
      <c r="AH102" s="83">
        <f>VLOOKUP(TableWRRanks3242[[#This Row],[Player]],WR!B:O,4,FALSE)</f>
        <v>0</v>
      </c>
      <c r="AI102" s="83">
        <f>VLOOKUP(TableWRRanks3242[[#This Row],[Player]],WR!B:O,5,FALSE)</f>
        <v>0</v>
      </c>
      <c r="AJ102" s="83">
        <f>VLOOKUP(TableWRRanks3242[[#This Row],[Player]],WR!B:O,6,FALSE)</f>
        <v>53.60273856000002</v>
      </c>
      <c r="AK102" s="83">
        <f>VLOOKUP(TableWRRanks3242[[#This Row],[Player]],WR!B:O,7,FALSE)</f>
        <v>30.982382887680011</v>
      </c>
      <c r="AL102" s="83">
        <f>VLOOKUP(TableWRRanks3242[[#This Row],[Player]],WR!B:O,8,FALSE)</f>
        <v>368.38053253451534</v>
      </c>
      <c r="AM102" s="83">
        <f>VLOOKUP(TableWRRanks3242[[#This Row],[Player]],WR!B:O,9,FALSE)</f>
        <v>2.2307315679129607</v>
      </c>
      <c r="AN102" s="57">
        <f>VLOOKUP(TableWRRanks3242[[#This Row],[Player]],WR!B:O,13,FALSE)</f>
        <v>65.713634104769312</v>
      </c>
      <c r="AO102" s="125">
        <f>IF(VLOOKUP(TableWRRanks3242[[#This Row],[RK]],'Ranks w Proj'!AD:AO,12,FALSE)&lt;0,0,VLOOKUP(TableWRRanks3242[[#This Row],[RK]],'Ranks w Proj'!AD:AO,12,FALSE))</f>
        <v>0</v>
      </c>
    </row>
    <row r="103" spans="16:52" x14ac:dyDescent="0.2">
      <c r="P103">
        <v>102</v>
      </c>
      <c r="Q103">
        <f>VLOOKUP(TableRBRanks3141[[#This Row],[RK]],Rankings!A:T,8,FALSE)</f>
        <v>0</v>
      </c>
      <c r="R103" t="str">
        <f>IFERROR(INDEX(TableRBCalcPts[TM],MATCH(TableRBRanks3141[[#This Row],[Player]],TableRBCalcPts[PLAYER],0)),"")</f>
        <v/>
      </c>
      <c r="S103" t="str">
        <f>IFERROR(INDEX(TableRBCalcPts[BYE],MATCH(TableRBRanks3141[[#This Row],[Player]],TableRBCalcPts[PLAYER],0)),"")</f>
        <v/>
      </c>
      <c r="T103" s="83">
        <f>VLOOKUP(TableRBRanks3141[[#This Row],[Player]],RB!B:O,4,FALSE)</f>
        <v>0</v>
      </c>
      <c r="U103" s="83">
        <f>VLOOKUP(TableRBRanks3141[[#This Row],[Player]],RB!B:O,5,FALSE)</f>
        <v>0</v>
      </c>
      <c r="V103" s="83">
        <f>VLOOKUP(TableRBRanks3141[[#This Row],[Player]],RB!B:O,6,FALSE)</f>
        <v>0</v>
      </c>
      <c r="W103" s="83">
        <f>VLOOKUP(TableRBRanks3141[[#This Row],[Player]],RB!B:O,7,FALSE)</f>
        <v>0</v>
      </c>
      <c r="X103" s="83">
        <f>VLOOKUP(TableRBRanks3141[[#This Row],[Player]],RB!B:O,8,FALSE)</f>
        <v>0</v>
      </c>
      <c r="Y103" s="83">
        <f>VLOOKUP(TableRBRanks3141[[#This Row],[Player]],RB!B:O,9,FALSE)</f>
        <v>0</v>
      </c>
      <c r="Z103" s="83">
        <f>VLOOKUP(TableRBRanks3141[[#This Row],[Player]],RB!B:O,10,FALSE)</f>
        <v>0</v>
      </c>
      <c r="AA103" s="57">
        <f>VLOOKUP(TableRBRanks3141[[#This Row],[Player]],RB!B:O,14,FALSE)</f>
        <v>0</v>
      </c>
      <c r="AB103" s="125">
        <f>IF(VLOOKUP(TableRBRanks3141[[#This Row],[RK]],'Ranks w Proj'!$P:$AB,13,FALSE)&lt;0,0,VLOOKUP(TableRBRanks3141[[#This Row],[RK]],'Ranks w Proj'!$P:$AB,13,FALSE))</f>
        <v>0</v>
      </c>
      <c r="AD103">
        <v>102</v>
      </c>
      <c r="AE103" t="str">
        <f>VLOOKUP(TableWRRanks3242[[#This Row],[RK]],Rankings!A:T,13,FALSE)</f>
        <v>Ray-Ray McCloud</v>
      </c>
      <c r="AF103" t="str">
        <f>IFERROR(INDEX(TableWRCalcPts[TM],MATCH(TableWRRanks3242[[#This Row],[Player]],TableWRCalcPts[PLAYER],0)),"")</f>
        <v>ATL</v>
      </c>
      <c r="AG103">
        <f>IFERROR(INDEX(TableWRCalcPts[BYE],MATCH(TableWRRanks3242[[#This Row],[Player]],TableWRCalcPts[PLAYER],0)),"")</f>
        <v>12</v>
      </c>
      <c r="AH103" s="83">
        <f>VLOOKUP(TableWRRanks3242[[#This Row],[Player]],WR!B:O,4,FALSE)</f>
        <v>0</v>
      </c>
      <c r="AI103" s="83">
        <f>VLOOKUP(TableWRRanks3242[[#This Row],[Player]],WR!B:O,5,FALSE)</f>
        <v>0</v>
      </c>
      <c r="AJ103" s="83">
        <f>VLOOKUP(TableWRRanks3242[[#This Row],[Player]],WR!B:O,6,FALSE)</f>
        <v>62.114532479999994</v>
      </c>
      <c r="AK103" s="83">
        <f>VLOOKUP(TableWRRanks3242[[#This Row],[Player]],WR!B:O,7,FALSE)</f>
        <v>44.039203528319995</v>
      </c>
      <c r="AL103" s="83">
        <f>VLOOKUP(TableWRRanks3242[[#This Row],[Player]],WR!B:O,8,FALSE)</f>
        <v>445.29635845007732</v>
      </c>
      <c r="AM103" s="83">
        <f>VLOOKUP(TableWRRanks3242[[#This Row],[Player]],WR!B:O,9,FALSE)</f>
        <v>2.9466040126420627</v>
      </c>
      <c r="AN103" s="57">
        <f>VLOOKUP(TableWRRanks3242[[#This Row],[Player]],WR!B:O,13,FALSE)</f>
        <v>84.228861685020107</v>
      </c>
      <c r="AO103" s="125">
        <f>IF(VLOOKUP(TableWRRanks3242[[#This Row],[RK]],'Ranks w Proj'!AD:AO,12,FALSE)&lt;0,0,VLOOKUP(TableWRRanks3242[[#This Row],[RK]],'Ranks w Proj'!AD:AO,12,FALSE))</f>
        <v>0</v>
      </c>
    </row>
    <row r="104" spans="16:52" x14ac:dyDescent="0.2">
      <c r="P104">
        <v>103</v>
      </c>
      <c r="Q104">
        <f>VLOOKUP(TableRBRanks3141[[#This Row],[RK]],Rankings!A:T,8,FALSE)</f>
        <v>0</v>
      </c>
      <c r="R104" t="str">
        <f>IFERROR(INDEX(TableRBCalcPts[TM],MATCH(TableRBRanks3141[[#This Row],[Player]],TableRBCalcPts[PLAYER],0)),"")</f>
        <v/>
      </c>
      <c r="S104" t="str">
        <f>IFERROR(INDEX(TableRBCalcPts[BYE],MATCH(TableRBRanks3141[[#This Row],[Player]],TableRBCalcPts[PLAYER],0)),"")</f>
        <v/>
      </c>
      <c r="T104" s="83">
        <f>VLOOKUP(TableRBRanks3141[[#This Row],[Player]],RB!B:O,4,FALSE)</f>
        <v>0</v>
      </c>
      <c r="U104" s="83">
        <f>VLOOKUP(TableRBRanks3141[[#This Row],[Player]],RB!B:O,5,FALSE)</f>
        <v>0</v>
      </c>
      <c r="V104" s="83">
        <f>VLOOKUP(TableRBRanks3141[[#This Row],[Player]],RB!B:O,6,FALSE)</f>
        <v>0</v>
      </c>
      <c r="W104" s="83">
        <f>VLOOKUP(TableRBRanks3141[[#This Row],[Player]],RB!B:O,7,FALSE)</f>
        <v>0</v>
      </c>
      <c r="X104" s="83">
        <f>VLOOKUP(TableRBRanks3141[[#This Row],[Player]],RB!B:O,8,FALSE)</f>
        <v>0</v>
      </c>
      <c r="Y104" s="83">
        <f>VLOOKUP(TableRBRanks3141[[#This Row],[Player]],RB!B:O,9,FALSE)</f>
        <v>0</v>
      </c>
      <c r="Z104" s="83">
        <f>VLOOKUP(TableRBRanks3141[[#This Row],[Player]],RB!B:O,10,FALSE)</f>
        <v>0</v>
      </c>
      <c r="AA104" s="57">
        <f>VLOOKUP(TableRBRanks3141[[#This Row],[Player]],RB!B:O,14,FALSE)</f>
        <v>0</v>
      </c>
      <c r="AB104" s="125">
        <f>IF(VLOOKUP(TableRBRanks3141[[#This Row],[RK]],'Ranks w Proj'!$P:$AB,13,FALSE)&lt;0,0,VLOOKUP(TableRBRanks3141[[#This Row],[RK]],'Ranks w Proj'!$P:$AB,13,FALSE))</f>
        <v>0</v>
      </c>
      <c r="AD104">
        <v>103</v>
      </c>
      <c r="AE104" t="str">
        <f>VLOOKUP(TableWRRanks3242[[#This Row],[RK]],Rankings!A:T,13,FALSE)</f>
        <v>Kalif Raymond</v>
      </c>
      <c r="AF104" t="str">
        <f>IFERROR(INDEX(TableWRCalcPts[TM],MATCH(TableWRRanks3242[[#This Row],[Player]],TableWRCalcPts[PLAYER],0)),"")</f>
        <v>DET</v>
      </c>
      <c r="AG104">
        <f>IFERROR(INDEX(TableWRCalcPts[BYE],MATCH(TableWRRanks3242[[#This Row],[Player]],TableWRCalcPts[PLAYER],0)),"")</f>
        <v>5</v>
      </c>
      <c r="AH104" s="83">
        <f>VLOOKUP(TableWRRanks3242[[#This Row],[Player]],WR!B:O,4,FALSE)</f>
        <v>0</v>
      </c>
      <c r="AI104" s="83">
        <f>VLOOKUP(TableWRRanks3242[[#This Row],[Player]],WR!B:O,5,FALSE)</f>
        <v>0</v>
      </c>
      <c r="AJ104" s="83">
        <f>VLOOKUP(TableWRRanks3242[[#This Row],[Player]],WR!B:O,6,FALSE)</f>
        <v>50.377341000000001</v>
      </c>
      <c r="AK104" s="83">
        <f>VLOOKUP(TableWRRanks3242[[#This Row],[Player]],WR!B:O,7,FALSE)</f>
        <v>35.465648063999993</v>
      </c>
      <c r="AL104" s="83">
        <f>VLOOKUP(TableWRRanks3242[[#This Row],[Player]],WR!B:O,8,FALSE)</f>
        <v>425.48505462750603</v>
      </c>
      <c r="AM104" s="83">
        <f>VLOOKUP(TableWRRanks3242[[#This Row],[Player]],WR!B:O,9,FALSE)</f>
        <v>2.5889923086719993</v>
      </c>
      <c r="AN104" s="57">
        <f>VLOOKUP(TableWRRanks3242[[#This Row],[Player]],WR!B:O,13,FALSE)</f>
        <v>75.815283346782593</v>
      </c>
      <c r="AO104" s="125">
        <f>IF(VLOOKUP(TableWRRanks3242[[#This Row],[RK]],'Ranks w Proj'!AD:AO,12,FALSE)&lt;0,0,VLOOKUP(TableWRRanks3242[[#This Row],[RK]],'Ranks w Proj'!AD:AO,12,FALSE))</f>
        <v>0</v>
      </c>
    </row>
    <row r="105" spans="16:52" x14ac:dyDescent="0.2">
      <c r="P105">
        <v>104</v>
      </c>
      <c r="Q105">
        <f>VLOOKUP(TableRBRanks3141[[#This Row],[RK]],Rankings!A:T,8,FALSE)</f>
        <v>0</v>
      </c>
      <c r="R105" t="str">
        <f>IFERROR(INDEX(TableRBCalcPts[TM],MATCH(TableRBRanks3141[[#This Row],[Player]],TableRBCalcPts[PLAYER],0)),"")</f>
        <v/>
      </c>
      <c r="S105" t="str">
        <f>IFERROR(INDEX(TableRBCalcPts[BYE],MATCH(TableRBRanks3141[[#This Row],[Player]],TableRBCalcPts[PLAYER],0)),"")</f>
        <v/>
      </c>
      <c r="T105" s="83">
        <f>VLOOKUP(TableRBRanks3141[[#This Row],[Player]],RB!B:O,4,FALSE)</f>
        <v>0</v>
      </c>
      <c r="U105" s="83">
        <f>VLOOKUP(TableRBRanks3141[[#This Row],[Player]],RB!B:O,5,FALSE)</f>
        <v>0</v>
      </c>
      <c r="V105" s="83">
        <f>VLOOKUP(TableRBRanks3141[[#This Row],[Player]],RB!B:O,6,FALSE)</f>
        <v>0</v>
      </c>
      <c r="W105" s="83">
        <f>VLOOKUP(TableRBRanks3141[[#This Row],[Player]],RB!B:O,7,FALSE)</f>
        <v>0</v>
      </c>
      <c r="X105" s="83">
        <f>VLOOKUP(TableRBRanks3141[[#This Row],[Player]],RB!B:O,8,FALSE)</f>
        <v>0</v>
      </c>
      <c r="Y105" s="83">
        <f>VLOOKUP(TableRBRanks3141[[#This Row],[Player]],RB!B:O,9,FALSE)</f>
        <v>0</v>
      </c>
      <c r="Z105" s="83">
        <f>VLOOKUP(TableRBRanks3141[[#This Row],[Player]],RB!B:O,10,FALSE)</f>
        <v>0</v>
      </c>
      <c r="AA105" s="57">
        <f>VLOOKUP(TableRBRanks3141[[#This Row],[Player]],RB!B:O,14,FALSE)</f>
        <v>0</v>
      </c>
      <c r="AB105" s="125">
        <f>IF(VLOOKUP(TableRBRanks3141[[#This Row],[RK]],'Ranks w Proj'!$P:$AB,13,FALSE)&lt;0,0,VLOOKUP(TableRBRanks3141[[#This Row],[RK]],'Ranks w Proj'!$P:$AB,13,FALSE))</f>
        <v>0</v>
      </c>
      <c r="AD105">
        <v>104</v>
      </c>
      <c r="AE105" t="str">
        <f>VLOOKUP(TableWRRanks3242[[#This Row],[RK]],Rankings!A:T,13,FALSE)</f>
        <v>Nelson Agholor</v>
      </c>
      <c r="AF105" t="str">
        <f>IFERROR(INDEX(TableWRCalcPts[TM],MATCH(TableWRRanks3242[[#This Row],[Player]],TableWRCalcPts[PLAYER],0)),"")</f>
        <v>BAL</v>
      </c>
      <c r="AG105">
        <f>IFERROR(INDEX(TableWRCalcPts[BYE],MATCH(TableWRRanks3242[[#This Row],[Player]],TableWRCalcPts[PLAYER],0)),"")</f>
        <v>14</v>
      </c>
      <c r="AH105" s="83">
        <f>VLOOKUP(TableWRRanks3242[[#This Row],[Player]],WR!B:O,4,FALSE)</f>
        <v>0</v>
      </c>
      <c r="AI105" s="83">
        <f>VLOOKUP(TableWRRanks3242[[#This Row],[Player]],WR!B:O,5,FALSE)</f>
        <v>0</v>
      </c>
      <c r="AJ105" s="83">
        <f>VLOOKUP(TableWRRanks3242[[#This Row],[Player]],WR!B:O,6,FALSE)</f>
        <v>65.109922080000004</v>
      </c>
      <c r="AK105" s="83">
        <f>VLOOKUP(TableWRRanks3242[[#This Row],[Player]],WR!B:O,7,FALSE)</f>
        <v>40.30304176752</v>
      </c>
      <c r="AL105" s="83">
        <f>VLOOKUP(TableWRRanks3242[[#This Row],[Player]],WR!B:O,8,FALSE)</f>
        <v>486.05468371629121</v>
      </c>
      <c r="AM105" s="83">
        <f>VLOOKUP(TableWRRanks3242[[#This Row],[Player]],WR!B:O,9,FALSE)</f>
        <v>3.2645463831691202</v>
      </c>
      <c r="AN105" s="57">
        <f>VLOOKUP(TableWRRanks3242[[#This Row],[Player]],WR!B:O,13,FALSE)</f>
        <v>88.344267554403842</v>
      </c>
      <c r="AO105" s="125">
        <f>IF(VLOOKUP(TableWRRanks3242[[#This Row],[RK]],'Ranks w Proj'!AD:AO,12,FALSE)&lt;0,0,VLOOKUP(TableWRRanks3242[[#This Row],[RK]],'Ranks w Proj'!AD:AO,12,FALSE))</f>
        <v>0</v>
      </c>
    </row>
    <row r="106" spans="16:52" x14ac:dyDescent="0.2">
      <c r="P106">
        <v>105</v>
      </c>
      <c r="Q106">
        <f>VLOOKUP(TableRBRanks3141[[#This Row],[RK]],Rankings!A:T,8,FALSE)</f>
        <v>0</v>
      </c>
      <c r="R106" t="str">
        <f>IFERROR(INDEX(TableRBCalcPts[TM],MATCH(TableRBRanks3141[[#This Row],[Player]],TableRBCalcPts[PLAYER],0)),"")</f>
        <v/>
      </c>
      <c r="S106" t="str">
        <f>IFERROR(INDEX(TableRBCalcPts[BYE],MATCH(TableRBRanks3141[[#This Row],[Player]],TableRBCalcPts[PLAYER],0)),"")</f>
        <v/>
      </c>
      <c r="T106" s="83">
        <f>VLOOKUP(TableRBRanks3141[[#This Row],[Player]],RB!B:O,4,FALSE)</f>
        <v>0</v>
      </c>
      <c r="U106" s="83">
        <f>VLOOKUP(TableRBRanks3141[[#This Row],[Player]],RB!B:O,5,FALSE)</f>
        <v>0</v>
      </c>
      <c r="V106" s="83">
        <f>VLOOKUP(TableRBRanks3141[[#This Row],[Player]],RB!B:O,6,FALSE)</f>
        <v>0</v>
      </c>
      <c r="W106" s="83">
        <f>VLOOKUP(TableRBRanks3141[[#This Row],[Player]],RB!B:O,7,FALSE)</f>
        <v>0</v>
      </c>
      <c r="X106" s="83">
        <f>VLOOKUP(TableRBRanks3141[[#This Row],[Player]],RB!B:O,8,FALSE)</f>
        <v>0</v>
      </c>
      <c r="Y106" s="83">
        <f>VLOOKUP(TableRBRanks3141[[#This Row],[Player]],RB!B:O,9,FALSE)</f>
        <v>0</v>
      </c>
      <c r="Z106" s="83">
        <f>VLOOKUP(TableRBRanks3141[[#This Row],[Player]],RB!B:O,10,FALSE)</f>
        <v>0</v>
      </c>
      <c r="AA106" s="57">
        <f>VLOOKUP(TableRBRanks3141[[#This Row],[Player]],RB!B:O,14,FALSE)</f>
        <v>0</v>
      </c>
      <c r="AB106" s="125">
        <f>IF(VLOOKUP(TableRBRanks3141[[#This Row],[RK]],'Ranks w Proj'!$P:$AB,13,FALSE)&lt;0,0,VLOOKUP(TableRBRanks3141[[#This Row],[RK]],'Ranks w Proj'!$P:$AB,13,FALSE))</f>
        <v>0</v>
      </c>
      <c r="AD106">
        <v>105</v>
      </c>
      <c r="AE106" t="str">
        <f>VLOOKUP(TableWRRanks3242[[#This Row],[RK]],Rankings!A:T,13,FALSE)</f>
        <v>Troy Franklin</v>
      </c>
      <c r="AF106" t="str">
        <f>IFERROR(INDEX(TableWRCalcPts[TM],MATCH(TableWRRanks3242[[#This Row],[Player]],TableWRCalcPts[PLAYER],0)),"")</f>
        <v>DEN</v>
      </c>
      <c r="AG106">
        <f>IFERROR(INDEX(TableWRCalcPts[BYE],MATCH(TableWRRanks3242[[#This Row],[Player]],TableWRCalcPts[PLAYER],0)),"")</f>
        <v>14</v>
      </c>
      <c r="AH106" s="83">
        <f>VLOOKUP(TableWRRanks3242[[#This Row],[Player]],WR!B:O,4,FALSE)</f>
        <v>0</v>
      </c>
      <c r="AI106" s="83">
        <f>VLOOKUP(TableWRRanks3242[[#This Row],[Player]],WR!B:O,5,FALSE)</f>
        <v>0</v>
      </c>
      <c r="AJ106" s="83">
        <f>VLOOKUP(TableWRRanks3242[[#This Row],[Player]],WR!B:O,6,FALSE)</f>
        <v>59.094536783919587</v>
      </c>
      <c r="AK106" s="83">
        <f>VLOOKUP(TableWRRanks3242[[#This Row],[Player]],WR!B:O,7,FALSE)</f>
        <v>34.688493092160797</v>
      </c>
      <c r="AL106" s="83">
        <f>VLOOKUP(TableWRRanks3242[[#This Row],[Player]],WR!B:O,8,FALSE)</f>
        <v>459.27564854020898</v>
      </c>
      <c r="AM106" s="83">
        <f>VLOOKUP(TableWRRanks3242[[#This Row],[Player]],WR!B:O,9,FALSE)</f>
        <v>2.4281945164512559</v>
      </c>
      <c r="AN106" s="57">
        <f>VLOOKUP(TableWRRanks3242[[#This Row],[Player]],WR!B:O,13,FALSE)</f>
        <v>77.840978498808838</v>
      </c>
      <c r="AO106" s="125">
        <f>IF(VLOOKUP(TableWRRanks3242[[#This Row],[RK]],'Ranks w Proj'!AD:AO,12,FALSE)&lt;0,0,VLOOKUP(TableWRRanks3242[[#This Row],[RK]],'Ranks w Proj'!AD:AO,12,FALSE))</f>
        <v>0</v>
      </c>
    </row>
    <row r="107" spans="16:52" x14ac:dyDescent="0.2">
      <c r="P107">
        <v>106</v>
      </c>
      <c r="Q107">
        <f>VLOOKUP(TableRBRanks3141[[#This Row],[RK]],Rankings!A:T,8,FALSE)</f>
        <v>0</v>
      </c>
      <c r="R107" t="str">
        <f>IFERROR(INDEX(TableRBCalcPts[TM],MATCH(TableRBRanks3141[[#This Row],[Player]],TableRBCalcPts[PLAYER],0)),"")</f>
        <v/>
      </c>
      <c r="S107" t="str">
        <f>IFERROR(INDEX(TableRBCalcPts[BYE],MATCH(TableRBRanks3141[[#This Row],[Player]],TableRBCalcPts[PLAYER],0)),"")</f>
        <v/>
      </c>
      <c r="T107" s="83">
        <f>VLOOKUP(TableRBRanks3141[[#This Row],[Player]],RB!B:O,4,FALSE)</f>
        <v>0</v>
      </c>
      <c r="U107" s="83">
        <f>VLOOKUP(TableRBRanks3141[[#This Row],[Player]],RB!B:O,5,FALSE)</f>
        <v>0</v>
      </c>
      <c r="V107" s="83">
        <f>VLOOKUP(TableRBRanks3141[[#This Row],[Player]],RB!B:O,6,FALSE)</f>
        <v>0</v>
      </c>
      <c r="W107" s="83">
        <f>VLOOKUP(TableRBRanks3141[[#This Row],[Player]],RB!B:O,7,FALSE)</f>
        <v>0</v>
      </c>
      <c r="X107" s="83">
        <f>VLOOKUP(TableRBRanks3141[[#This Row],[Player]],RB!B:O,8,FALSE)</f>
        <v>0</v>
      </c>
      <c r="Y107" s="83">
        <f>VLOOKUP(TableRBRanks3141[[#This Row],[Player]],RB!B:O,9,FALSE)</f>
        <v>0</v>
      </c>
      <c r="Z107" s="83">
        <f>VLOOKUP(TableRBRanks3141[[#This Row],[Player]],RB!B:O,10,FALSE)</f>
        <v>0</v>
      </c>
      <c r="AA107" s="57">
        <f>VLOOKUP(TableRBRanks3141[[#This Row],[Player]],RB!B:O,14,FALSE)</f>
        <v>0</v>
      </c>
      <c r="AB107" s="125">
        <f>IF(VLOOKUP(TableRBRanks3141[[#This Row],[RK]],'Ranks w Proj'!$P:$AB,13,FALSE)&lt;0,0,VLOOKUP(TableRBRanks3141[[#This Row],[RK]],'Ranks w Proj'!$P:$AB,13,FALSE))</f>
        <v>0</v>
      </c>
      <c r="AD107">
        <v>106</v>
      </c>
      <c r="AE107" t="str">
        <f>VLOOKUP(TableWRRanks3242[[#This Row],[RK]],Rankings!A:T,13,FALSE)</f>
        <v>Jonathan Mingo</v>
      </c>
      <c r="AF107" t="str">
        <f>IFERROR(INDEX(TableWRCalcPts[TM],MATCH(TableWRRanks3242[[#This Row],[Player]],TableWRCalcPts[PLAYER],0)),"")</f>
        <v>CAR</v>
      </c>
      <c r="AG107">
        <f>IFERROR(INDEX(TableWRCalcPts[BYE],MATCH(TableWRRanks3242[[#This Row],[Player]],TableWRCalcPts[PLAYER],0)),"")</f>
        <v>11</v>
      </c>
      <c r="AH107" s="83">
        <f>VLOOKUP(TableWRRanks3242[[#This Row],[Player]],WR!B:O,4,FALSE)</f>
        <v>0</v>
      </c>
      <c r="AI107" s="83">
        <f>VLOOKUP(TableWRRanks3242[[#This Row],[Player]],WR!B:O,5,FALSE)</f>
        <v>0</v>
      </c>
      <c r="AJ107" s="83">
        <f>VLOOKUP(TableWRRanks3242[[#This Row],[Player]],WR!B:O,6,FALSE)</f>
        <v>50.966977599999993</v>
      </c>
      <c r="AK107" s="83">
        <f>VLOOKUP(TableWRRanks3242[[#This Row],[Player]],WR!B:O,7,FALSE)</f>
        <v>29.153111187199993</v>
      </c>
      <c r="AL107" s="83">
        <f>VLOOKUP(TableWRRanks3242[[#This Row],[Player]],WR!B:O,8,FALSE)</f>
        <v>349.01199817959252</v>
      </c>
      <c r="AM107" s="83">
        <f>VLOOKUP(TableWRRanks3242[[#This Row],[Player]],WR!B:O,9,FALSE)</f>
        <v>1.5451148929215996</v>
      </c>
      <c r="AN107" s="57">
        <f>VLOOKUP(TableWRRanks3242[[#This Row],[Player]],WR!B:O,13,FALSE)</f>
        <v>58.748444769088849</v>
      </c>
      <c r="AO107" s="125">
        <f>IF(VLOOKUP(TableWRRanks3242[[#This Row],[RK]],'Ranks w Proj'!AD:AO,12,FALSE)&lt;0,0,VLOOKUP(TableWRRanks3242[[#This Row],[RK]],'Ranks w Proj'!AD:AO,12,FALSE))</f>
        <v>0</v>
      </c>
    </row>
    <row r="108" spans="16:52" x14ac:dyDescent="0.2">
      <c r="P108">
        <v>107</v>
      </c>
      <c r="Q108">
        <f>VLOOKUP(TableRBRanks3141[[#This Row],[RK]],Rankings!A:T,8,FALSE)</f>
        <v>0</v>
      </c>
      <c r="R108" t="str">
        <f>IFERROR(INDEX(TableRBCalcPts[TM],MATCH(TableRBRanks3141[[#This Row],[Player]],TableRBCalcPts[PLAYER],0)),"")</f>
        <v/>
      </c>
      <c r="S108" t="str">
        <f>IFERROR(INDEX(TableRBCalcPts[BYE],MATCH(TableRBRanks3141[[#This Row],[Player]],TableRBCalcPts[PLAYER],0)),"")</f>
        <v/>
      </c>
      <c r="T108" s="83">
        <f>VLOOKUP(TableRBRanks3141[[#This Row],[Player]],RB!B:O,4,FALSE)</f>
        <v>0</v>
      </c>
      <c r="U108" s="83">
        <f>VLOOKUP(TableRBRanks3141[[#This Row],[Player]],RB!B:O,5,FALSE)</f>
        <v>0</v>
      </c>
      <c r="V108" s="83">
        <f>VLOOKUP(TableRBRanks3141[[#This Row],[Player]],RB!B:O,6,FALSE)</f>
        <v>0</v>
      </c>
      <c r="W108" s="83">
        <f>VLOOKUP(TableRBRanks3141[[#This Row],[Player]],RB!B:O,7,FALSE)</f>
        <v>0</v>
      </c>
      <c r="X108" s="83">
        <f>VLOOKUP(TableRBRanks3141[[#This Row],[Player]],RB!B:O,8,FALSE)</f>
        <v>0</v>
      </c>
      <c r="Y108" s="83">
        <f>VLOOKUP(TableRBRanks3141[[#This Row],[Player]],RB!B:O,9,FALSE)</f>
        <v>0</v>
      </c>
      <c r="Z108" s="83">
        <f>VLOOKUP(TableRBRanks3141[[#This Row],[Player]],RB!B:O,10,FALSE)</f>
        <v>0</v>
      </c>
      <c r="AA108" s="57">
        <f>VLOOKUP(TableRBRanks3141[[#This Row],[Player]],RB!B:O,14,FALSE)</f>
        <v>0</v>
      </c>
      <c r="AB108" s="125" t="str">
        <f>IF(VLOOKUP(TableRBRanks3141[[#This Row],[RK]],'Ranks w Proj'!$P:$AB,13,FALSE)&lt;0,0,VLOOKUP(TableRBRanks3141[[#This Row],[RK]],'Ranks w Proj'!$P:$AB,13,FALSE))</f>
        <v/>
      </c>
      <c r="AD108">
        <v>107</v>
      </c>
      <c r="AE108" t="str">
        <f>VLOOKUP(TableWRRanks3242[[#This Row],[RK]],Rankings!A:T,13,FALSE)</f>
        <v>JuJu Smith-Schuster</v>
      </c>
      <c r="AF108" t="str">
        <f>IFERROR(INDEX(TableWRCalcPts[TM],MATCH(TableWRRanks3242[[#This Row],[Player]],TableWRCalcPts[PLAYER],0)),"")</f>
        <v>KC</v>
      </c>
      <c r="AG108">
        <f>IFERROR(INDEX(TableWRCalcPts[BYE],MATCH(TableWRRanks3242[[#This Row],[Player]],TableWRCalcPts[PLAYER],0)),"")</f>
        <v>6</v>
      </c>
      <c r="AH108" s="83">
        <f>VLOOKUP(TableWRRanks3242[[#This Row],[Player]],WR!B:O,4,FALSE)</f>
        <v>0</v>
      </c>
      <c r="AI108" s="83">
        <f>VLOOKUP(TableWRRanks3242[[#This Row],[Player]],WR!B:O,5,FALSE)</f>
        <v>0</v>
      </c>
      <c r="AJ108" s="83">
        <f>VLOOKUP(TableWRRanks3242[[#This Row],[Player]],WR!B:O,6,FALSE)</f>
        <v>25.843775999999998</v>
      </c>
      <c r="AK108" s="83">
        <f>VLOOKUP(TableWRRanks3242[[#This Row],[Player]],WR!B:O,7,FALSE)</f>
        <v>16.100672447999997</v>
      </c>
      <c r="AL108" s="83">
        <f>VLOOKUP(TableWRRanks3242[[#This Row],[Player]],WR!B:O,8,FALSE)</f>
        <v>166.15893966335997</v>
      </c>
      <c r="AM108" s="83">
        <f>VLOOKUP(TableWRRanks3242[[#This Row],[Player]],WR!B:O,9,FALSE)</f>
        <v>1.3202551407359999</v>
      </c>
      <c r="AN108" s="57">
        <f>VLOOKUP(TableWRRanks3242[[#This Row],[Player]],WR!B:O,13,FALSE)</f>
        <v>32.587761034751999</v>
      </c>
      <c r="AO108" s="125">
        <f>IF(VLOOKUP(TableWRRanks3242[[#This Row],[RK]],'Ranks w Proj'!AD:AO,12,FALSE)&lt;0,0,VLOOKUP(TableWRRanks3242[[#This Row],[RK]],'Ranks w Proj'!AD:AO,12,FALSE))</f>
        <v>0</v>
      </c>
    </row>
    <row r="109" spans="16:52" x14ac:dyDescent="0.2">
      <c r="P109">
        <v>108</v>
      </c>
      <c r="Q109">
        <f>VLOOKUP(TableRBRanks3141[[#This Row],[RK]],Rankings!A:T,8,FALSE)</f>
        <v>0</v>
      </c>
      <c r="R109" t="str">
        <f>IFERROR(INDEX(TableRBCalcPts[TM],MATCH(TableRBRanks3141[[#This Row],[Player]],TableRBCalcPts[PLAYER],0)),"")</f>
        <v/>
      </c>
      <c r="S109" t="str">
        <f>IFERROR(INDEX(TableRBCalcPts[BYE],MATCH(TableRBRanks3141[[#This Row],[Player]],TableRBCalcPts[PLAYER],0)),"")</f>
        <v/>
      </c>
      <c r="T109" s="83">
        <f>VLOOKUP(TableRBRanks3141[[#This Row],[Player]],RB!B:O,4,FALSE)</f>
        <v>0</v>
      </c>
      <c r="U109" s="83">
        <f>VLOOKUP(TableRBRanks3141[[#This Row],[Player]],RB!B:O,5,FALSE)</f>
        <v>0</v>
      </c>
      <c r="V109" s="83">
        <f>VLOOKUP(TableRBRanks3141[[#This Row],[Player]],RB!B:O,6,FALSE)</f>
        <v>0</v>
      </c>
      <c r="W109" s="83">
        <f>VLOOKUP(TableRBRanks3141[[#This Row],[Player]],RB!B:O,7,FALSE)</f>
        <v>0</v>
      </c>
      <c r="X109" s="83">
        <f>VLOOKUP(TableRBRanks3141[[#This Row],[Player]],RB!B:O,8,FALSE)</f>
        <v>0</v>
      </c>
      <c r="Y109" s="83">
        <f>VLOOKUP(TableRBRanks3141[[#This Row],[Player]],RB!B:O,9,FALSE)</f>
        <v>0</v>
      </c>
      <c r="Z109" s="83">
        <f>VLOOKUP(TableRBRanks3141[[#This Row],[Player]],RB!B:O,10,FALSE)</f>
        <v>0</v>
      </c>
      <c r="AA109" s="57">
        <f>VLOOKUP(TableRBRanks3141[[#This Row],[Player]],RB!B:O,14,FALSE)</f>
        <v>0</v>
      </c>
      <c r="AB109" s="125" t="str">
        <f>IF(VLOOKUP(TableRBRanks3141[[#This Row],[RK]],'Ranks w Proj'!$P:$AB,13,FALSE)&lt;0,0,VLOOKUP(TableRBRanks3141[[#This Row],[RK]],'Ranks w Proj'!$P:$AB,13,FALSE))</f>
        <v/>
      </c>
      <c r="AD109">
        <v>108</v>
      </c>
      <c r="AE109" t="str">
        <f>VLOOKUP(TableWRRanks3242[[#This Row],[RK]],Rankings!A:T,13,FALSE)</f>
        <v>Quentin Johnston</v>
      </c>
      <c r="AF109" t="str">
        <f>IFERROR(INDEX(TableWRCalcPts[TM],MATCH(TableWRRanks3242[[#This Row],[Player]],TableWRCalcPts[PLAYER],0)),"")</f>
        <v>LAC</v>
      </c>
      <c r="AG109">
        <f>IFERROR(INDEX(TableWRCalcPts[BYE],MATCH(TableWRRanks3242[[#This Row],[Player]],TableWRCalcPts[PLAYER],0)),"")</f>
        <v>5</v>
      </c>
      <c r="AH109" s="83">
        <f>VLOOKUP(TableWRRanks3242[[#This Row],[Player]],WR!B:O,4,FALSE)</f>
        <v>0</v>
      </c>
      <c r="AI109" s="83">
        <f>VLOOKUP(TableWRRanks3242[[#This Row],[Player]],WR!B:O,5,FALSE)</f>
        <v>0</v>
      </c>
      <c r="AJ109" s="83">
        <f>VLOOKUP(TableWRRanks3242[[#This Row],[Player]],WR!B:O,6,FALSE)</f>
        <v>41.318777640000015</v>
      </c>
      <c r="AK109" s="83">
        <f>VLOOKUP(TableWRRanks3242[[#This Row],[Player]],WR!B:O,7,FALSE)</f>
        <v>24.708629028720004</v>
      </c>
      <c r="AL109" s="83">
        <f>VLOOKUP(TableWRRanks3242[[#This Row],[Player]],WR!B:O,8,FALSE)</f>
        <v>321.45926366364728</v>
      </c>
      <c r="AM109" s="83">
        <f>VLOOKUP(TableWRRanks3242[[#This Row],[Player]],WR!B:O,9,FALSE)</f>
        <v>1.7790212900678402</v>
      </c>
      <c r="AN109" s="57">
        <f>VLOOKUP(TableWRRanks3242[[#This Row],[Player]],WR!B:O,13,FALSE)</f>
        <v>55.174368621131777</v>
      </c>
      <c r="AO109" s="125">
        <f>IF(VLOOKUP(TableWRRanks3242[[#This Row],[RK]],'Ranks w Proj'!AD:AO,12,FALSE)&lt;0,0,VLOOKUP(TableWRRanks3242[[#This Row],[RK]],'Ranks w Proj'!AD:AO,12,FALSE))</f>
        <v>0</v>
      </c>
    </row>
    <row r="110" spans="16:52" x14ac:dyDescent="0.2">
      <c r="P110">
        <v>109</v>
      </c>
      <c r="Q110">
        <f>VLOOKUP(TableRBRanks3141[[#This Row],[RK]],Rankings!A:T,8,FALSE)</f>
        <v>0</v>
      </c>
      <c r="R110" t="str">
        <f>IFERROR(INDEX(TableRBCalcPts[TM],MATCH(TableRBRanks3141[[#This Row],[Player]],TableRBCalcPts[PLAYER],0)),"")</f>
        <v/>
      </c>
      <c r="S110" t="str">
        <f>IFERROR(INDEX(TableRBCalcPts[BYE],MATCH(TableRBRanks3141[[#This Row],[Player]],TableRBCalcPts[PLAYER],0)),"")</f>
        <v/>
      </c>
      <c r="T110" s="83">
        <f>VLOOKUP(TableRBRanks3141[[#This Row],[Player]],RB!B:O,4,FALSE)</f>
        <v>0</v>
      </c>
      <c r="U110" s="83">
        <f>VLOOKUP(TableRBRanks3141[[#This Row],[Player]],RB!B:O,5,FALSE)</f>
        <v>0</v>
      </c>
      <c r="V110" s="83">
        <f>VLOOKUP(TableRBRanks3141[[#This Row],[Player]],RB!B:O,6,FALSE)</f>
        <v>0</v>
      </c>
      <c r="W110" s="83">
        <f>VLOOKUP(TableRBRanks3141[[#This Row],[Player]],RB!B:O,7,FALSE)</f>
        <v>0</v>
      </c>
      <c r="X110" s="83">
        <f>VLOOKUP(TableRBRanks3141[[#This Row],[Player]],RB!B:O,8,FALSE)</f>
        <v>0</v>
      </c>
      <c r="Y110" s="83">
        <f>VLOOKUP(TableRBRanks3141[[#This Row],[Player]],RB!B:O,9,FALSE)</f>
        <v>0</v>
      </c>
      <c r="Z110" s="83">
        <f>VLOOKUP(TableRBRanks3141[[#This Row],[Player]],RB!B:O,10,FALSE)</f>
        <v>0</v>
      </c>
      <c r="AA110" s="57">
        <f>VLOOKUP(TableRBRanks3141[[#This Row],[Player]],RB!B:O,14,FALSE)</f>
        <v>0</v>
      </c>
      <c r="AB110" s="125" t="str">
        <f>IF(VLOOKUP(TableRBRanks3141[[#This Row],[RK]],'Ranks w Proj'!$P:$AB,13,FALSE)&lt;0,0,VLOOKUP(TableRBRanks3141[[#This Row],[RK]],'Ranks w Proj'!$P:$AB,13,FALSE))</f>
        <v/>
      </c>
      <c r="AD110">
        <v>109</v>
      </c>
      <c r="AE110" t="str">
        <f>VLOOKUP(TableWRRanks3242[[#This Row],[RK]],Rankings!A:T,13,FALSE)</f>
        <v>Javon Baker</v>
      </c>
      <c r="AF110" t="str">
        <f>IFERROR(INDEX(TableWRCalcPts[TM],MATCH(TableWRRanks3242[[#This Row],[Player]],TableWRCalcPts[PLAYER],0)),"")</f>
        <v>NE</v>
      </c>
      <c r="AG110">
        <f>IFERROR(INDEX(TableWRCalcPts[BYE],MATCH(TableWRRanks3242[[#This Row],[Player]],TableWRCalcPts[PLAYER],0)),"")</f>
        <v>14</v>
      </c>
      <c r="AH110" s="83">
        <f>VLOOKUP(TableWRRanks3242[[#This Row],[Player]],WR!B:O,4,FALSE)</f>
        <v>0</v>
      </c>
      <c r="AI110" s="83">
        <f>VLOOKUP(TableWRRanks3242[[#This Row],[Player]],WR!B:O,5,FALSE)</f>
        <v>0</v>
      </c>
      <c r="AJ110" s="83">
        <f>VLOOKUP(TableWRRanks3242[[#This Row],[Player]],WR!B:O,6,FALSE)</f>
        <v>13.605191039999999</v>
      </c>
      <c r="AK110" s="83">
        <f>VLOOKUP(TableWRRanks3242[[#This Row],[Player]],WR!B:O,7,FALSE)</f>
        <v>8.0406679046400011</v>
      </c>
      <c r="AL110" s="83">
        <f>VLOOKUP(TableWRRanks3242[[#This Row],[Player]],WR!B:O,8,FALSE)</f>
        <v>97.935335078515209</v>
      </c>
      <c r="AM110" s="83">
        <f>VLOOKUP(TableWRRanks3242[[#This Row],[Player]],WR!B:O,9,FALSE)</f>
        <v>0.47439940637376005</v>
      </c>
      <c r="AN110" s="57">
        <f>VLOOKUP(TableWRRanks3242[[#This Row],[Player]],WR!B:O,13,FALSE)</f>
        <v>16.660263898414083</v>
      </c>
      <c r="AO110" s="125">
        <f>IF(VLOOKUP(TableWRRanks3242[[#This Row],[RK]],'Ranks w Proj'!AD:AO,12,FALSE)&lt;0,0,VLOOKUP(TableWRRanks3242[[#This Row],[RK]],'Ranks w Proj'!AD:AO,12,FALSE))</f>
        <v>0</v>
      </c>
    </row>
    <row r="111" spans="16:52" x14ac:dyDescent="0.2">
      <c r="P111">
        <v>110</v>
      </c>
      <c r="Q111">
        <f>VLOOKUP(TableRBRanks3141[[#This Row],[RK]],Rankings!A:T,8,FALSE)</f>
        <v>0</v>
      </c>
      <c r="R111" t="str">
        <f>IFERROR(INDEX(TableRBCalcPts[TM],MATCH(TableRBRanks3141[[#This Row],[Player]],TableRBCalcPts[PLAYER],0)),"")</f>
        <v/>
      </c>
      <c r="S111" t="str">
        <f>IFERROR(INDEX(TableRBCalcPts[BYE],MATCH(TableRBRanks3141[[#This Row],[Player]],TableRBCalcPts[PLAYER],0)),"")</f>
        <v/>
      </c>
      <c r="T111" s="83">
        <f>VLOOKUP(TableRBRanks3141[[#This Row],[Player]],RB!B:O,4,FALSE)</f>
        <v>0</v>
      </c>
      <c r="U111" s="83">
        <f>VLOOKUP(TableRBRanks3141[[#This Row],[Player]],RB!B:O,5,FALSE)</f>
        <v>0</v>
      </c>
      <c r="V111" s="83">
        <f>VLOOKUP(TableRBRanks3141[[#This Row],[Player]],RB!B:O,6,FALSE)</f>
        <v>0</v>
      </c>
      <c r="W111" s="83">
        <f>VLOOKUP(TableRBRanks3141[[#This Row],[Player]],RB!B:O,7,FALSE)</f>
        <v>0</v>
      </c>
      <c r="X111" s="83">
        <f>VLOOKUP(TableRBRanks3141[[#This Row],[Player]],RB!B:O,8,FALSE)</f>
        <v>0</v>
      </c>
      <c r="Y111" s="83">
        <f>VLOOKUP(TableRBRanks3141[[#This Row],[Player]],RB!B:O,9,FALSE)</f>
        <v>0</v>
      </c>
      <c r="Z111" s="83">
        <f>VLOOKUP(TableRBRanks3141[[#This Row],[Player]],RB!B:O,10,FALSE)</f>
        <v>0</v>
      </c>
      <c r="AA111" s="57">
        <f>VLOOKUP(TableRBRanks3141[[#This Row],[Player]],RB!B:O,14,FALSE)</f>
        <v>0</v>
      </c>
      <c r="AB111" s="125" t="str">
        <f>IF(VLOOKUP(TableRBRanks3141[[#This Row],[RK]],'Ranks w Proj'!$P:$AB,13,FALSE)&lt;0,0,VLOOKUP(TableRBRanks3141[[#This Row],[RK]],'Ranks w Proj'!$P:$AB,13,FALSE))</f>
        <v/>
      </c>
      <c r="AD111">
        <v>110</v>
      </c>
      <c r="AE111" t="str">
        <f>VLOOKUP(TableWRRanks3242[[#This Row],[RK]],Rankings!A:T,13,FALSE)</f>
        <v>Cedrick Wilson</v>
      </c>
      <c r="AF111" t="str">
        <f>IFERROR(INDEX(TableWRCalcPts[TM],MATCH(TableWRRanks3242[[#This Row],[Player]],TableWRCalcPts[PLAYER],0)),"")</f>
        <v>NO</v>
      </c>
      <c r="AG111">
        <f>IFERROR(INDEX(TableWRCalcPts[BYE],MATCH(TableWRRanks3242[[#This Row],[Player]],TableWRCalcPts[PLAYER],0)),"")</f>
        <v>12</v>
      </c>
      <c r="AH111" s="83">
        <f>VLOOKUP(TableWRRanks3242[[#This Row],[Player]],WR!B:O,4,FALSE)</f>
        <v>0</v>
      </c>
      <c r="AI111" s="83">
        <f>VLOOKUP(TableWRRanks3242[[#This Row],[Player]],WR!B:O,5,FALSE)</f>
        <v>0</v>
      </c>
      <c r="AJ111" s="83">
        <f>VLOOKUP(TableWRRanks3242[[#This Row],[Player]],WR!B:O,6,FALSE)</f>
        <v>50.06996517599999</v>
      </c>
      <c r="AK111" s="83">
        <f>VLOOKUP(TableWRRanks3242[[#This Row],[Player]],WR!B:O,7,FALSE)</f>
        <v>30.041979105599989</v>
      </c>
      <c r="AL111" s="83">
        <f>VLOOKUP(TableWRRanks3242[[#This Row],[Player]],WR!B:O,8,FALSE)</f>
        <v>335.26848681849589</v>
      </c>
      <c r="AM111" s="83">
        <f>VLOOKUP(TableWRRanks3242[[#This Row],[Player]],WR!B:O,9,FALSE)</f>
        <v>2.4312429088079526</v>
      </c>
      <c r="AN111" s="57">
        <f>VLOOKUP(TableWRRanks3242[[#This Row],[Player]],WR!B:O,13,FALSE)</f>
        <v>63.135295687497305</v>
      </c>
      <c r="AO111" s="125">
        <f>IF(VLOOKUP(TableWRRanks3242[[#This Row],[RK]],'Ranks w Proj'!AD:AO,12,FALSE)&lt;0,0,VLOOKUP(TableWRRanks3242[[#This Row],[RK]],'Ranks w Proj'!AD:AO,12,FALSE))</f>
        <v>0</v>
      </c>
    </row>
    <row r="112" spans="16:52" x14ac:dyDescent="0.2">
      <c r="P112">
        <v>111</v>
      </c>
      <c r="Q112">
        <f>VLOOKUP(TableRBRanks3141[[#This Row],[RK]],Rankings!A:T,8,FALSE)</f>
        <v>0</v>
      </c>
      <c r="R112" t="str">
        <f>IFERROR(INDEX(TableRBCalcPts[TM],MATCH(TableRBRanks3141[[#This Row],[Player]],TableRBCalcPts[PLAYER],0)),"")</f>
        <v/>
      </c>
      <c r="S112" t="str">
        <f>IFERROR(INDEX(TableRBCalcPts[BYE],MATCH(TableRBRanks3141[[#This Row],[Player]],TableRBCalcPts[PLAYER],0)),"")</f>
        <v/>
      </c>
      <c r="T112" s="83">
        <f>VLOOKUP(TableRBRanks3141[[#This Row],[Player]],RB!B:O,4,FALSE)</f>
        <v>0</v>
      </c>
      <c r="U112" s="83">
        <f>VLOOKUP(TableRBRanks3141[[#This Row],[Player]],RB!B:O,5,FALSE)</f>
        <v>0</v>
      </c>
      <c r="V112" s="83">
        <f>VLOOKUP(TableRBRanks3141[[#This Row],[Player]],RB!B:O,6,FALSE)</f>
        <v>0</v>
      </c>
      <c r="W112" s="83">
        <f>VLOOKUP(TableRBRanks3141[[#This Row],[Player]],RB!B:O,7,FALSE)</f>
        <v>0</v>
      </c>
      <c r="X112" s="83">
        <f>VLOOKUP(TableRBRanks3141[[#This Row],[Player]],RB!B:O,8,FALSE)</f>
        <v>0</v>
      </c>
      <c r="Y112" s="83">
        <f>VLOOKUP(TableRBRanks3141[[#This Row],[Player]],RB!B:O,9,FALSE)</f>
        <v>0</v>
      </c>
      <c r="Z112" s="83">
        <f>VLOOKUP(TableRBRanks3141[[#This Row],[Player]],RB!B:O,10,FALSE)</f>
        <v>0</v>
      </c>
      <c r="AA112" s="57">
        <f>VLOOKUP(TableRBRanks3141[[#This Row],[Player]],RB!B:O,14,FALSE)</f>
        <v>0</v>
      </c>
      <c r="AB112" s="125" t="str">
        <f>IF(VLOOKUP(TableRBRanks3141[[#This Row],[RK]],'Ranks w Proj'!$P:$AB,13,FALSE)&lt;0,0,VLOOKUP(TableRBRanks3141[[#This Row],[RK]],'Ranks w Proj'!$P:$AB,13,FALSE))</f>
        <v/>
      </c>
      <c r="AD112">
        <v>111</v>
      </c>
      <c r="AE112" t="str">
        <f>VLOOKUP(TableWRRanks3242[[#This Row],[RK]],Rankings!A:T,13,FALSE)</f>
        <v>Jauan Jennings</v>
      </c>
      <c r="AF112" t="str">
        <f>IFERROR(INDEX(TableWRCalcPts[TM],MATCH(TableWRRanks3242[[#This Row],[Player]],TableWRCalcPts[PLAYER],0)),"")</f>
        <v>SF</v>
      </c>
      <c r="AG112">
        <f>IFERROR(INDEX(TableWRCalcPts[BYE],MATCH(TableWRRanks3242[[#This Row],[Player]],TableWRCalcPts[PLAYER],0)),"")</f>
        <v>9</v>
      </c>
      <c r="AH112" s="83">
        <f>VLOOKUP(TableWRRanks3242[[#This Row],[Player]],WR!B:O,4,FALSE)</f>
        <v>0</v>
      </c>
      <c r="AI112" s="83">
        <f>VLOOKUP(TableWRRanks3242[[#This Row],[Player]],WR!B:O,5,FALSE)</f>
        <v>0</v>
      </c>
      <c r="AJ112" s="83">
        <f>VLOOKUP(TableWRRanks3242[[#This Row],[Player]],WR!B:O,6,FALSE)</f>
        <v>43.135250759999998</v>
      </c>
      <c r="AK112" s="83">
        <f>VLOOKUP(TableWRRanks3242[[#This Row],[Player]],WR!B:O,7,FALSE)</f>
        <v>26.786990721959995</v>
      </c>
      <c r="AL112" s="83">
        <f>VLOOKUP(TableWRRanks3242[[#This Row],[Player]],WR!B:O,8,FALSE)</f>
        <v>345.01644049884476</v>
      </c>
      <c r="AM112" s="83">
        <f>VLOOKUP(TableWRRanks3242[[#This Row],[Player]],WR!B:O,9,FALSE)</f>
        <v>2.133590747005389</v>
      </c>
      <c r="AN112" s="57">
        <f>VLOOKUP(TableWRRanks3242[[#This Row],[Player]],WR!B:O,13,FALSE)</f>
        <v>60.696683892896807</v>
      </c>
      <c r="AO112" s="125">
        <f>IF(VLOOKUP(TableWRRanks3242[[#This Row],[RK]],'Ranks w Proj'!AD:AO,12,FALSE)&lt;0,0,VLOOKUP(TableWRRanks3242[[#This Row],[RK]],'Ranks w Proj'!AD:AO,12,FALSE))</f>
        <v>0</v>
      </c>
    </row>
    <row r="113" spans="16:41" x14ac:dyDescent="0.2">
      <c r="P113">
        <v>112</v>
      </c>
      <c r="Q113">
        <f>VLOOKUP(TableRBRanks3141[[#This Row],[RK]],Rankings!A:T,8,FALSE)</f>
        <v>0</v>
      </c>
      <c r="R113" t="str">
        <f>IFERROR(INDEX(TableRBCalcPts[TM],MATCH(TableRBRanks3141[[#This Row],[Player]],TableRBCalcPts[PLAYER],0)),"")</f>
        <v/>
      </c>
      <c r="S113" t="str">
        <f>IFERROR(INDEX(TableRBCalcPts[BYE],MATCH(TableRBRanks3141[[#This Row],[Player]],TableRBCalcPts[PLAYER],0)),"")</f>
        <v/>
      </c>
      <c r="T113" s="83">
        <f>VLOOKUP(TableRBRanks3141[[#This Row],[Player]],RB!B:O,4,FALSE)</f>
        <v>0</v>
      </c>
      <c r="U113" s="83">
        <f>VLOOKUP(TableRBRanks3141[[#This Row],[Player]],RB!B:O,5,FALSE)</f>
        <v>0</v>
      </c>
      <c r="V113" s="83">
        <f>VLOOKUP(TableRBRanks3141[[#This Row],[Player]],RB!B:O,6,FALSE)</f>
        <v>0</v>
      </c>
      <c r="W113" s="83">
        <f>VLOOKUP(TableRBRanks3141[[#This Row],[Player]],RB!B:O,7,FALSE)</f>
        <v>0</v>
      </c>
      <c r="X113" s="83">
        <f>VLOOKUP(TableRBRanks3141[[#This Row],[Player]],RB!B:O,8,FALSE)</f>
        <v>0</v>
      </c>
      <c r="Y113" s="83">
        <f>VLOOKUP(TableRBRanks3141[[#This Row],[Player]],RB!B:O,9,FALSE)</f>
        <v>0</v>
      </c>
      <c r="Z113" s="83">
        <f>VLOOKUP(TableRBRanks3141[[#This Row],[Player]],RB!B:O,10,FALSE)</f>
        <v>0</v>
      </c>
      <c r="AA113" s="57">
        <f>VLOOKUP(TableRBRanks3141[[#This Row],[Player]],RB!B:O,14,FALSE)</f>
        <v>0</v>
      </c>
      <c r="AB113" s="125" t="str">
        <f>IF(VLOOKUP(TableRBRanks3141[[#This Row],[RK]],'Ranks w Proj'!$P:$AB,13,FALSE)&lt;0,0,VLOOKUP(TableRBRanks3141[[#This Row],[RK]],'Ranks w Proj'!$P:$AB,13,FALSE))</f>
        <v/>
      </c>
      <c r="AD113">
        <v>112</v>
      </c>
      <c r="AE113" t="str">
        <f>VLOOKUP(TableWRRanks3242[[#This Row],[RK]],Rankings!A:T,13,FALSE)</f>
        <v>Calvin Austin</v>
      </c>
      <c r="AF113" t="str">
        <f>IFERROR(INDEX(TableWRCalcPts[TM],MATCH(TableWRRanks3242[[#This Row],[Player]],TableWRCalcPts[PLAYER],0)),"")</f>
        <v>PIT</v>
      </c>
      <c r="AG113">
        <f>IFERROR(INDEX(TableWRCalcPts[BYE],MATCH(TableWRRanks3242[[#This Row],[Player]],TableWRCalcPts[PLAYER],0)),"")</f>
        <v>9</v>
      </c>
      <c r="AH113" s="83">
        <f>VLOOKUP(TableWRRanks3242[[#This Row],[Player]],WR!B:O,4,FALSE)</f>
        <v>0</v>
      </c>
      <c r="AI113" s="83">
        <f>VLOOKUP(TableWRRanks3242[[#This Row],[Player]],WR!B:O,5,FALSE)</f>
        <v>0</v>
      </c>
      <c r="AJ113" s="83">
        <f>VLOOKUP(TableWRRanks3242[[#This Row],[Player]],WR!B:O,6,FALSE)</f>
        <v>48.445319999999995</v>
      </c>
      <c r="AK113" s="83">
        <f>VLOOKUP(TableWRRanks3242[[#This Row],[Player]],WR!B:O,7,FALSE)</f>
        <v>29.309418599999997</v>
      </c>
      <c r="AL113" s="83">
        <f>VLOOKUP(TableWRRanks3242[[#This Row],[Player]],WR!B:O,8,FALSE)</f>
        <v>328.26548831999997</v>
      </c>
      <c r="AM113" s="83">
        <f>VLOOKUP(TableWRRanks3242[[#This Row],[Player]],WR!B:O,9,FALSE)</f>
        <v>1.8158737725561622</v>
      </c>
      <c r="AN113" s="57">
        <f>VLOOKUP(TableWRRanks3242[[#This Row],[Player]],WR!B:O,13,FALSE)</f>
        <v>58.376500767336978</v>
      </c>
      <c r="AO113" s="125">
        <f>IF(VLOOKUP(TableWRRanks3242[[#This Row],[RK]],'Ranks w Proj'!AD:AO,12,FALSE)&lt;0,0,VLOOKUP(TableWRRanks3242[[#This Row],[RK]],'Ranks w Proj'!AD:AO,12,FALSE))</f>
        <v>0</v>
      </c>
    </row>
    <row r="114" spans="16:41" x14ac:dyDescent="0.2">
      <c r="P114">
        <v>113</v>
      </c>
      <c r="Q114">
        <f>VLOOKUP(TableRBRanks3141[[#This Row],[RK]],Rankings!A:T,8,FALSE)</f>
        <v>0</v>
      </c>
      <c r="R114" t="str">
        <f>IFERROR(INDEX(TableRBCalcPts[TM],MATCH(TableRBRanks3141[[#This Row],[Player]],TableRBCalcPts[PLAYER],0)),"")</f>
        <v/>
      </c>
      <c r="S114" t="str">
        <f>IFERROR(INDEX(TableRBCalcPts[BYE],MATCH(TableRBRanks3141[[#This Row],[Player]],TableRBCalcPts[PLAYER],0)),"")</f>
        <v/>
      </c>
      <c r="T114" s="83">
        <f>VLOOKUP(TableRBRanks3141[[#This Row],[Player]],RB!B:O,4,FALSE)</f>
        <v>0</v>
      </c>
      <c r="U114" s="83">
        <f>VLOOKUP(TableRBRanks3141[[#This Row],[Player]],RB!B:O,5,FALSE)</f>
        <v>0</v>
      </c>
      <c r="V114" s="83">
        <f>VLOOKUP(TableRBRanks3141[[#This Row],[Player]],RB!B:O,6,FALSE)</f>
        <v>0</v>
      </c>
      <c r="W114" s="83">
        <f>VLOOKUP(TableRBRanks3141[[#This Row],[Player]],RB!B:O,7,FALSE)</f>
        <v>0</v>
      </c>
      <c r="X114" s="83">
        <f>VLOOKUP(TableRBRanks3141[[#This Row],[Player]],RB!B:O,8,FALSE)</f>
        <v>0</v>
      </c>
      <c r="Y114" s="83">
        <f>VLOOKUP(TableRBRanks3141[[#This Row],[Player]],RB!B:O,9,FALSE)</f>
        <v>0</v>
      </c>
      <c r="Z114" s="83">
        <f>VLOOKUP(TableRBRanks3141[[#This Row],[Player]],RB!B:O,10,FALSE)</f>
        <v>0</v>
      </c>
      <c r="AA114" s="57">
        <f>VLOOKUP(TableRBRanks3141[[#This Row],[Player]],RB!B:O,14,FALSE)</f>
        <v>0</v>
      </c>
      <c r="AB114" s="125" t="str">
        <f>IF(VLOOKUP(TableRBRanks3141[[#This Row],[RK]],'Ranks w Proj'!$P:$AB,13,FALSE)&lt;0,0,VLOOKUP(TableRBRanks3141[[#This Row],[RK]],'Ranks w Proj'!$P:$AB,13,FALSE))</f>
        <v/>
      </c>
      <c r="AD114">
        <v>113</v>
      </c>
      <c r="AE114" t="str">
        <f>VLOOKUP(TableWRRanks3242[[#This Row],[RK]],Rankings!A:T,13,FALSE)</f>
        <v>Trey Palmer</v>
      </c>
      <c r="AF114" t="str">
        <f>IFERROR(INDEX(TableWRCalcPts[TM],MATCH(TableWRRanks3242[[#This Row],[Player]],TableWRCalcPts[PLAYER],0)),"")</f>
        <v>TB</v>
      </c>
      <c r="AG114">
        <f>IFERROR(INDEX(TableWRCalcPts[BYE],MATCH(TableWRRanks3242[[#This Row],[Player]],TableWRCalcPts[PLAYER],0)),"")</f>
        <v>11</v>
      </c>
      <c r="AH114" s="83">
        <f>VLOOKUP(TableWRRanks3242[[#This Row],[Player]],WR!B:O,4,FALSE)</f>
        <v>24.730223364</v>
      </c>
      <c r="AI114" s="83">
        <f>VLOOKUP(TableWRRanks3242[[#This Row],[Player]],WR!B:O,5,FALSE)</f>
        <v>3.2946763054159951E-2</v>
      </c>
      <c r="AJ114" s="83">
        <f>VLOOKUP(TableWRRanks3242[[#This Row],[Player]],WR!B:O,6,FALSE)</f>
        <v>36.769157040000003</v>
      </c>
      <c r="AK114" s="83">
        <f>VLOOKUP(TableWRRanks3242[[#This Row],[Player]],WR!B:O,7,FALSE)</f>
        <v>21.65703349656</v>
      </c>
      <c r="AL114" s="83">
        <f>VLOOKUP(TableWRRanks3242[[#This Row],[Player]],WR!B:O,8,FALSE)</f>
        <v>256.85241726920157</v>
      </c>
      <c r="AM114" s="83">
        <f>VLOOKUP(TableWRRanks3242[[#This Row],[Player]],WR!B:O,9,FALSE)</f>
        <v>1.5350635864914943</v>
      </c>
      <c r="AN114" s="57">
        <f>VLOOKUP(TableWRRanks3242[[#This Row],[Player]],WR!B:O,13,FALSE)</f>
        <v>48.394842908874082</v>
      </c>
      <c r="AO114" s="125">
        <f>IF(VLOOKUP(TableWRRanks3242[[#This Row],[RK]],'Ranks w Proj'!AD:AO,12,FALSE)&lt;0,0,VLOOKUP(TableWRRanks3242[[#This Row],[RK]],'Ranks w Proj'!AD:AO,12,FALSE))</f>
        <v>0</v>
      </c>
    </row>
    <row r="115" spans="16:41" x14ac:dyDescent="0.2">
      <c r="P115">
        <v>114</v>
      </c>
      <c r="Q115">
        <f>VLOOKUP(TableRBRanks3141[[#This Row],[RK]],Rankings!A:T,8,FALSE)</f>
        <v>0</v>
      </c>
      <c r="R115" t="str">
        <f>IFERROR(INDEX(TableRBCalcPts[TM],MATCH(TableRBRanks3141[[#This Row],[Player]],TableRBCalcPts[PLAYER],0)),"")</f>
        <v/>
      </c>
      <c r="S115" t="str">
        <f>IFERROR(INDEX(TableRBCalcPts[BYE],MATCH(TableRBRanks3141[[#This Row],[Player]],TableRBCalcPts[PLAYER],0)),"")</f>
        <v/>
      </c>
      <c r="T115" s="83">
        <f>VLOOKUP(TableRBRanks3141[[#This Row],[Player]],RB!B:O,4,FALSE)</f>
        <v>0</v>
      </c>
      <c r="U115" s="83">
        <f>VLOOKUP(TableRBRanks3141[[#This Row],[Player]],RB!B:O,5,FALSE)</f>
        <v>0</v>
      </c>
      <c r="V115" s="83">
        <f>VLOOKUP(TableRBRanks3141[[#This Row],[Player]],RB!B:O,6,FALSE)</f>
        <v>0</v>
      </c>
      <c r="W115" s="83">
        <f>VLOOKUP(TableRBRanks3141[[#This Row],[Player]],RB!B:O,7,FALSE)</f>
        <v>0</v>
      </c>
      <c r="X115" s="83">
        <f>VLOOKUP(TableRBRanks3141[[#This Row],[Player]],RB!B:O,8,FALSE)</f>
        <v>0</v>
      </c>
      <c r="Y115" s="83">
        <f>VLOOKUP(TableRBRanks3141[[#This Row],[Player]],RB!B:O,9,FALSE)</f>
        <v>0</v>
      </c>
      <c r="Z115" s="83">
        <f>VLOOKUP(TableRBRanks3141[[#This Row],[Player]],RB!B:O,10,FALSE)</f>
        <v>0</v>
      </c>
      <c r="AA115" s="57">
        <f>VLOOKUP(TableRBRanks3141[[#This Row],[Player]],RB!B:O,14,FALSE)</f>
        <v>0</v>
      </c>
      <c r="AB115" s="125" t="str">
        <f>IF(VLOOKUP(TableRBRanks3141[[#This Row],[RK]],'Ranks w Proj'!$P:$AB,13,FALSE)&lt;0,0,VLOOKUP(TableRBRanks3141[[#This Row],[RK]],'Ranks w Proj'!$P:$AB,13,FALSE))</f>
        <v/>
      </c>
      <c r="AD115">
        <v>114</v>
      </c>
      <c r="AE115" t="str">
        <f>VLOOKUP(TableWRRanks3242[[#This Row],[RK]],Rankings!A:T,13,FALSE)</f>
        <v>A.T. Perry</v>
      </c>
      <c r="AF115" t="str">
        <f>IFERROR(INDEX(TableWRCalcPts[TM],MATCH(TableWRRanks3242[[#This Row],[Player]],TableWRCalcPts[PLAYER],0)),"")</f>
        <v>NO</v>
      </c>
      <c r="AG115">
        <f>IFERROR(INDEX(TableWRCalcPts[BYE],MATCH(TableWRRanks3242[[#This Row],[Player]],TableWRCalcPts[PLAYER],0)),"")</f>
        <v>12</v>
      </c>
      <c r="AH115" s="83">
        <f>VLOOKUP(TableWRRanks3242[[#This Row],[Player]],WR!B:O,4,FALSE)</f>
        <v>0</v>
      </c>
      <c r="AI115" s="83">
        <f>VLOOKUP(TableWRRanks3242[[#This Row],[Player]],WR!B:O,5,FALSE)</f>
        <v>0</v>
      </c>
      <c r="AJ115" s="83">
        <f>VLOOKUP(TableWRRanks3242[[#This Row],[Player]],WR!B:O,6,FALSE)</f>
        <v>32.267310891199998</v>
      </c>
      <c r="AK115" s="83">
        <f>VLOOKUP(TableWRRanks3242[[#This Row],[Player]],WR!B:O,7,FALSE)</f>
        <v>19.231317291155197</v>
      </c>
      <c r="AL115" s="83">
        <f>VLOOKUP(TableWRRanks3242[[#This Row],[Player]],WR!B:O,8,FALSE)</f>
        <v>256.73808583692187</v>
      </c>
      <c r="AM115" s="83">
        <f>VLOOKUP(TableWRRanks3242[[#This Row],[Player]],WR!B:O,9,FALSE)</f>
        <v>1.7500498734951229</v>
      </c>
      <c r="AN115" s="57">
        <f>VLOOKUP(TableWRRanks3242[[#This Row],[Player]],WR!B:O,13,FALSE)</f>
        <v>45.789766470240522</v>
      </c>
      <c r="AO115" s="125">
        <f>IF(VLOOKUP(TableWRRanks3242[[#This Row],[RK]],'Ranks w Proj'!AD:AO,12,FALSE)&lt;0,0,VLOOKUP(TableWRRanks3242[[#This Row],[RK]],'Ranks w Proj'!AD:AO,12,FALSE))</f>
        <v>0</v>
      </c>
    </row>
    <row r="116" spans="16:41" x14ac:dyDescent="0.2">
      <c r="P116">
        <v>115</v>
      </c>
      <c r="Q116">
        <f>VLOOKUP(TableRBRanks3141[[#This Row],[RK]],Rankings!A:T,8,FALSE)</f>
        <v>0</v>
      </c>
      <c r="R116" t="str">
        <f>IFERROR(INDEX(TableRBCalcPts[TM],MATCH(TableRBRanks3141[[#This Row],[Player]],TableRBCalcPts[PLAYER],0)),"")</f>
        <v/>
      </c>
      <c r="S116" t="str">
        <f>IFERROR(INDEX(TableRBCalcPts[BYE],MATCH(TableRBRanks3141[[#This Row],[Player]],TableRBCalcPts[PLAYER],0)),"")</f>
        <v/>
      </c>
      <c r="T116" s="83">
        <f>VLOOKUP(TableRBRanks3141[[#This Row],[Player]],RB!B:O,4,FALSE)</f>
        <v>0</v>
      </c>
      <c r="U116" s="83">
        <f>VLOOKUP(TableRBRanks3141[[#This Row],[Player]],RB!B:O,5,FALSE)</f>
        <v>0</v>
      </c>
      <c r="V116" s="83">
        <f>VLOOKUP(TableRBRanks3141[[#This Row],[Player]],RB!B:O,6,FALSE)</f>
        <v>0</v>
      </c>
      <c r="W116" s="83">
        <f>VLOOKUP(TableRBRanks3141[[#This Row],[Player]],RB!B:O,7,FALSE)</f>
        <v>0</v>
      </c>
      <c r="X116" s="83">
        <f>VLOOKUP(TableRBRanks3141[[#This Row],[Player]],RB!B:O,8,FALSE)</f>
        <v>0</v>
      </c>
      <c r="Y116" s="83">
        <f>VLOOKUP(TableRBRanks3141[[#This Row],[Player]],RB!B:O,9,FALSE)</f>
        <v>0</v>
      </c>
      <c r="Z116" s="83">
        <f>VLOOKUP(TableRBRanks3141[[#This Row],[Player]],RB!B:O,10,FALSE)</f>
        <v>0</v>
      </c>
      <c r="AA116" s="57">
        <f>VLOOKUP(TableRBRanks3141[[#This Row],[Player]],RB!B:O,14,FALSE)</f>
        <v>0</v>
      </c>
      <c r="AB116" s="125" t="str">
        <f>IF(VLOOKUP(TableRBRanks3141[[#This Row],[RK]],'Ranks w Proj'!$P:$AB,13,FALSE)&lt;0,0,VLOOKUP(TableRBRanks3141[[#This Row],[RK]],'Ranks w Proj'!$P:$AB,13,FALSE))</f>
        <v/>
      </c>
      <c r="AD116">
        <v>115</v>
      </c>
      <c r="AE116" t="str">
        <f>VLOOKUP(TableWRRanks3242[[#This Row],[RK]],Rankings!A:T,13,FALSE)</f>
        <v>Odell Beckham</v>
      </c>
      <c r="AF116" t="str">
        <f>IFERROR(INDEX(TableWRCalcPts[TM],MATCH(TableWRRanks3242[[#This Row],[Player]],TableWRCalcPts[PLAYER],0)),"")</f>
        <v>MIA</v>
      </c>
      <c r="AG116">
        <f>IFERROR(INDEX(TableWRCalcPts[BYE],MATCH(TableWRRanks3242[[#This Row],[Player]],TableWRCalcPts[PLAYER],0)),"")</f>
        <v>6</v>
      </c>
      <c r="AH116" s="83">
        <f>VLOOKUP(TableWRRanks3242[[#This Row],[Player]],WR!B:O,4,FALSE)</f>
        <v>0</v>
      </c>
      <c r="AI116" s="83">
        <f>VLOOKUP(TableWRRanks3242[[#This Row],[Player]],WR!B:O,5,FALSE)</f>
        <v>0</v>
      </c>
      <c r="AJ116" s="83">
        <f>VLOOKUP(TableWRRanks3242[[#This Row],[Player]],WR!B:O,6,FALSE)</f>
        <v>30.489164159999987</v>
      </c>
      <c r="AK116" s="83">
        <f>VLOOKUP(TableWRRanks3242[[#This Row],[Player]],WR!B:O,7,FALSE)</f>
        <v>17.744693541119993</v>
      </c>
      <c r="AL116" s="83">
        <f>VLOOKUP(TableWRRanks3242[[#This Row],[Player]],WR!B:O,8,FALSE)</f>
        <v>246.86457649408405</v>
      </c>
      <c r="AM116" s="83">
        <f>VLOOKUP(TableWRRanks3242[[#This Row],[Player]],WR!B:O,9,FALSE)</f>
        <v>1.5976782473451419</v>
      </c>
      <c r="AN116" s="57">
        <f>VLOOKUP(TableWRRanks3242[[#This Row],[Player]],WR!B:O,13,FALSE)</f>
        <v>43.144873904039258</v>
      </c>
      <c r="AO116" s="125">
        <f>IF(VLOOKUP(TableWRRanks3242[[#This Row],[RK]],'Ranks w Proj'!AD:AO,12,FALSE)&lt;0,0,VLOOKUP(TableWRRanks3242[[#This Row],[RK]],'Ranks w Proj'!AD:AO,12,FALSE))</f>
        <v>0</v>
      </c>
    </row>
    <row r="117" spans="16:41" x14ac:dyDescent="0.2">
      <c r="P117">
        <v>116</v>
      </c>
      <c r="Q117">
        <f>VLOOKUP(TableRBRanks3141[[#This Row],[RK]],Rankings!A:T,8,FALSE)</f>
        <v>0</v>
      </c>
      <c r="R117" t="str">
        <f>IFERROR(INDEX(TableRBCalcPts[TM],MATCH(TableRBRanks3141[[#This Row],[Player]],TableRBCalcPts[PLAYER],0)),"")</f>
        <v/>
      </c>
      <c r="S117" t="str">
        <f>IFERROR(INDEX(TableRBCalcPts[BYE],MATCH(TableRBRanks3141[[#This Row],[Player]],TableRBCalcPts[PLAYER],0)),"")</f>
        <v/>
      </c>
      <c r="T117" s="83">
        <f>VLOOKUP(TableRBRanks3141[[#This Row],[Player]],RB!B:O,4,FALSE)</f>
        <v>0</v>
      </c>
      <c r="U117" s="83">
        <f>VLOOKUP(TableRBRanks3141[[#This Row],[Player]],RB!B:O,5,FALSE)</f>
        <v>0</v>
      </c>
      <c r="V117" s="83">
        <f>VLOOKUP(TableRBRanks3141[[#This Row],[Player]],RB!B:O,6,FALSE)</f>
        <v>0</v>
      </c>
      <c r="W117" s="83">
        <f>VLOOKUP(TableRBRanks3141[[#This Row],[Player]],RB!B:O,7,FALSE)</f>
        <v>0</v>
      </c>
      <c r="X117" s="83">
        <f>VLOOKUP(TableRBRanks3141[[#This Row],[Player]],RB!B:O,8,FALSE)</f>
        <v>0</v>
      </c>
      <c r="Y117" s="83">
        <f>VLOOKUP(TableRBRanks3141[[#This Row],[Player]],RB!B:O,9,FALSE)</f>
        <v>0</v>
      </c>
      <c r="Z117" s="83">
        <f>VLOOKUP(TableRBRanks3141[[#This Row],[Player]],RB!B:O,10,FALSE)</f>
        <v>0</v>
      </c>
      <c r="AA117" s="57">
        <f>VLOOKUP(TableRBRanks3141[[#This Row],[Player]],RB!B:O,14,FALSE)</f>
        <v>0</v>
      </c>
      <c r="AB117" s="125" t="str">
        <f>IF(VLOOKUP(TableRBRanks3141[[#This Row],[RK]],'Ranks w Proj'!$P:$AB,13,FALSE)&lt;0,0,VLOOKUP(TableRBRanks3141[[#This Row],[RK]],'Ranks w Proj'!$P:$AB,13,FALSE))</f>
        <v/>
      </c>
      <c r="AD117">
        <v>116</v>
      </c>
      <c r="AE117" t="str">
        <f>VLOOKUP(TableWRRanks3242[[#This Row],[RK]],Rankings!A:T,13,FALSE)</f>
        <v>Cedric Tillman</v>
      </c>
      <c r="AF117" t="str">
        <f>IFERROR(INDEX(TableWRCalcPts[TM],MATCH(TableWRRanks3242[[#This Row],[Player]],TableWRCalcPts[PLAYER],0)),"")</f>
        <v>CLE</v>
      </c>
      <c r="AG117">
        <f>IFERROR(INDEX(TableWRCalcPts[BYE],MATCH(TableWRRanks3242[[#This Row],[Player]],TableWRCalcPts[PLAYER],0)),"")</f>
        <v>10</v>
      </c>
      <c r="AH117" s="83">
        <f>VLOOKUP(TableWRRanks3242[[#This Row],[Player]],WR!B:O,4,FALSE)</f>
        <v>0</v>
      </c>
      <c r="AI117" s="83">
        <f>VLOOKUP(TableWRRanks3242[[#This Row],[Player]],WR!B:O,5,FALSE)</f>
        <v>0</v>
      </c>
      <c r="AJ117" s="83">
        <f>VLOOKUP(TableWRRanks3242[[#This Row],[Player]],WR!B:O,6,FALSE)</f>
        <v>34.947412499999999</v>
      </c>
      <c r="AK117" s="83">
        <f>VLOOKUP(TableWRRanks3242[[#This Row],[Player]],WR!B:O,7,FALSE)</f>
        <v>19.570551000000002</v>
      </c>
      <c r="AL117" s="83">
        <f>VLOOKUP(TableWRRanks3242[[#This Row],[Player]],WR!B:O,8,FALSE)</f>
        <v>240.11280816840582</v>
      </c>
      <c r="AM117" s="83">
        <f>VLOOKUP(TableWRRanks3242[[#This Row],[Player]],WR!B:O,9,FALSE)</f>
        <v>1.5007543833046004</v>
      </c>
      <c r="AN117" s="57">
        <f>VLOOKUP(TableWRRanks3242[[#This Row],[Player]],WR!B:O,13,FALSE)</f>
        <v>42.801082616668182</v>
      </c>
      <c r="AO117" s="125">
        <f>IF(VLOOKUP(TableWRRanks3242[[#This Row],[RK]],'Ranks w Proj'!AD:AO,12,FALSE)&lt;0,0,VLOOKUP(TableWRRanks3242[[#This Row],[RK]],'Ranks w Proj'!AD:AO,12,FALSE))</f>
        <v>0</v>
      </c>
    </row>
    <row r="118" spans="16:41" x14ac:dyDescent="0.2">
      <c r="P118">
        <v>117</v>
      </c>
      <c r="Q118">
        <f>VLOOKUP(TableRBRanks3141[[#This Row],[RK]],Rankings!A:T,8,FALSE)</f>
        <v>0</v>
      </c>
      <c r="R118" t="str">
        <f>IFERROR(INDEX(TableRBCalcPts[TM],MATCH(TableRBRanks3141[[#This Row],[Player]],TableRBCalcPts[PLAYER],0)),"")</f>
        <v/>
      </c>
      <c r="S118" t="str">
        <f>IFERROR(INDEX(TableRBCalcPts[BYE],MATCH(TableRBRanks3141[[#This Row],[Player]],TableRBCalcPts[PLAYER],0)),"")</f>
        <v/>
      </c>
      <c r="T118" s="83">
        <f>VLOOKUP(TableRBRanks3141[[#This Row],[Player]],RB!B:O,4,FALSE)</f>
        <v>0</v>
      </c>
      <c r="U118" s="83">
        <f>VLOOKUP(TableRBRanks3141[[#This Row],[Player]],RB!B:O,5,FALSE)</f>
        <v>0</v>
      </c>
      <c r="V118" s="83">
        <f>VLOOKUP(TableRBRanks3141[[#This Row],[Player]],RB!B:O,6,FALSE)</f>
        <v>0</v>
      </c>
      <c r="W118" s="83">
        <f>VLOOKUP(TableRBRanks3141[[#This Row],[Player]],RB!B:O,7,FALSE)</f>
        <v>0</v>
      </c>
      <c r="X118" s="83">
        <f>VLOOKUP(TableRBRanks3141[[#This Row],[Player]],RB!B:O,8,FALSE)</f>
        <v>0</v>
      </c>
      <c r="Y118" s="83">
        <f>VLOOKUP(TableRBRanks3141[[#This Row],[Player]],RB!B:O,9,FALSE)</f>
        <v>0</v>
      </c>
      <c r="Z118" s="83">
        <f>VLOOKUP(TableRBRanks3141[[#This Row],[Player]],RB!B:O,10,FALSE)</f>
        <v>0</v>
      </c>
      <c r="AA118" s="57">
        <f>VLOOKUP(TableRBRanks3141[[#This Row],[Player]],RB!B:O,14,FALSE)</f>
        <v>0</v>
      </c>
      <c r="AB118" s="125" t="str">
        <f>IF(VLOOKUP(TableRBRanks3141[[#This Row],[RK]],'Ranks w Proj'!$P:$AB,13,FALSE)&lt;0,0,VLOOKUP(TableRBRanks3141[[#This Row],[RK]],'Ranks w Proj'!$P:$AB,13,FALSE))</f>
        <v/>
      </c>
      <c r="AD118">
        <v>117</v>
      </c>
      <c r="AE118" t="str">
        <f>VLOOKUP(TableWRRanks3242[[#This Row],[RK]],Rankings!A:T,13,FALSE)</f>
        <v>Zay Jones</v>
      </c>
      <c r="AF118" t="str">
        <f>IFERROR(INDEX(TableWRCalcPts[TM],MATCH(TableWRRanks3242[[#This Row],[Player]],TableWRCalcPts[PLAYER],0)),"")</f>
        <v>ARI</v>
      </c>
      <c r="AG118">
        <f>IFERROR(INDEX(TableWRCalcPts[BYE],MATCH(TableWRRanks3242[[#This Row],[Player]],TableWRCalcPts[PLAYER],0)),"")</f>
        <v>11</v>
      </c>
      <c r="AH118" s="83">
        <f>VLOOKUP(TableWRRanks3242[[#This Row],[Player]],WR!B:O,4,FALSE)</f>
        <v>0</v>
      </c>
      <c r="AI118" s="83">
        <f>VLOOKUP(TableWRRanks3242[[#This Row],[Player]],WR!B:O,5,FALSE)</f>
        <v>0</v>
      </c>
      <c r="AJ118" s="83">
        <f>VLOOKUP(TableWRRanks3242[[#This Row],[Player]],WR!B:O,6,FALSE)</f>
        <v>30.663906000000001</v>
      </c>
      <c r="AK118" s="83">
        <f>VLOOKUP(TableWRRanks3242[[#This Row],[Player]],WR!B:O,7,FALSE)</f>
        <v>17.723737667999995</v>
      </c>
      <c r="AL118" s="83">
        <f>VLOOKUP(TableWRRanks3242[[#This Row],[Player]],WR!B:O,8,FALSE)</f>
        <v>185.05164488064284</v>
      </c>
      <c r="AM118" s="83">
        <f>VLOOKUP(TableWRRanks3242[[#This Row],[Player]],WR!B:O,9,FALSE)</f>
        <v>1.1874904237559998</v>
      </c>
      <c r="AN118" s="57">
        <f>VLOOKUP(TableWRRanks3242[[#This Row],[Player]],WR!B:O,13,FALSE)</f>
        <v>34.491975864600278</v>
      </c>
      <c r="AO118" s="125">
        <f>IF(VLOOKUP(TableWRRanks3242[[#This Row],[RK]],'Ranks w Proj'!AD:AO,12,FALSE)&lt;0,0,VLOOKUP(TableWRRanks3242[[#This Row],[RK]],'Ranks w Proj'!AD:AO,12,FALSE))</f>
        <v>0</v>
      </c>
    </row>
    <row r="119" spans="16:41" x14ac:dyDescent="0.2">
      <c r="P119">
        <v>118</v>
      </c>
      <c r="Q119">
        <f>VLOOKUP(TableRBRanks3141[[#This Row],[RK]],Rankings!A:T,8,FALSE)</f>
        <v>0</v>
      </c>
      <c r="R119" t="str">
        <f>IFERROR(INDEX(TableRBCalcPts[TM],MATCH(TableRBRanks3141[[#This Row],[Player]],TableRBCalcPts[PLAYER],0)),"")</f>
        <v/>
      </c>
      <c r="S119" t="str">
        <f>IFERROR(INDEX(TableRBCalcPts[BYE],MATCH(TableRBRanks3141[[#This Row],[Player]],TableRBCalcPts[PLAYER],0)),"")</f>
        <v/>
      </c>
      <c r="T119" s="83">
        <f>VLOOKUP(TableRBRanks3141[[#This Row],[Player]],RB!B:O,4,FALSE)</f>
        <v>0</v>
      </c>
      <c r="U119" s="83">
        <f>VLOOKUP(TableRBRanks3141[[#This Row],[Player]],RB!B:O,5,FALSE)</f>
        <v>0</v>
      </c>
      <c r="V119" s="83">
        <f>VLOOKUP(TableRBRanks3141[[#This Row],[Player]],RB!B:O,6,FALSE)</f>
        <v>0</v>
      </c>
      <c r="W119" s="83">
        <f>VLOOKUP(TableRBRanks3141[[#This Row],[Player]],RB!B:O,7,FALSE)</f>
        <v>0</v>
      </c>
      <c r="X119" s="83">
        <f>VLOOKUP(TableRBRanks3141[[#This Row],[Player]],RB!B:O,8,FALSE)</f>
        <v>0</v>
      </c>
      <c r="Y119" s="83">
        <f>VLOOKUP(TableRBRanks3141[[#This Row],[Player]],RB!B:O,9,FALSE)</f>
        <v>0</v>
      </c>
      <c r="Z119" s="83">
        <f>VLOOKUP(TableRBRanks3141[[#This Row],[Player]],RB!B:O,10,FALSE)</f>
        <v>0</v>
      </c>
      <c r="AA119" s="57">
        <f>VLOOKUP(TableRBRanks3141[[#This Row],[Player]],RB!B:O,14,FALSE)</f>
        <v>0</v>
      </c>
      <c r="AB119" s="125" t="str">
        <f>IF(VLOOKUP(TableRBRanks3141[[#This Row],[RK]],'Ranks w Proj'!$P:$AB,13,FALSE)&lt;0,0,VLOOKUP(TableRBRanks3141[[#This Row],[RK]],'Ranks w Proj'!$P:$AB,13,FALSE))</f>
        <v/>
      </c>
      <c r="AD119">
        <v>118</v>
      </c>
      <c r="AE119" t="str">
        <f>VLOOKUP(TableWRRanks3242[[#This Row],[RK]],Rankings!A:T,13,FALSE)</f>
        <v>Allen Lazard</v>
      </c>
      <c r="AF119" t="str">
        <f>IFERROR(INDEX(TableWRCalcPts[TM],MATCH(TableWRRanks3242[[#This Row],[Player]],TableWRCalcPts[PLAYER],0)),"")</f>
        <v>NYJ</v>
      </c>
      <c r="AG119">
        <f>IFERROR(INDEX(TableWRCalcPts[BYE],MATCH(TableWRRanks3242[[#This Row],[Player]],TableWRCalcPts[PLAYER],0)),"")</f>
        <v>12</v>
      </c>
      <c r="AH119" s="83">
        <f>VLOOKUP(TableWRRanks3242[[#This Row],[Player]],WR!B:O,4,FALSE)</f>
        <v>0</v>
      </c>
      <c r="AI119" s="83">
        <f>VLOOKUP(TableWRRanks3242[[#This Row],[Player]],WR!B:O,5,FALSE)</f>
        <v>0</v>
      </c>
      <c r="AJ119" s="83">
        <f>VLOOKUP(TableWRRanks3242[[#This Row],[Player]],WR!B:O,6,FALSE)</f>
        <v>30.218107919999987</v>
      </c>
      <c r="AK119" s="83">
        <f>VLOOKUP(TableWRRanks3242[[#This Row],[Player]],WR!B:O,7,FALSE)</f>
        <v>18.191300967839997</v>
      </c>
      <c r="AL119" s="83">
        <f>VLOOKUP(TableWRRanks3242[[#This Row],[Player]],WR!B:O,8,FALSE)</f>
        <v>235.77203635810108</v>
      </c>
      <c r="AM119" s="83">
        <f>VLOOKUP(TableWRRanks3242[[#This Row],[Player]],WR!B:O,9,FALSE)</f>
        <v>1.6312505989738435</v>
      </c>
      <c r="AN119" s="57">
        <f>VLOOKUP(TableWRRanks3242[[#This Row],[Player]],WR!B:O,13,FALSE)</f>
        <v>42.460357713573167</v>
      </c>
      <c r="AO119" s="125">
        <f>IF(VLOOKUP(TableWRRanks3242[[#This Row],[RK]],'Ranks w Proj'!AD:AO,12,FALSE)&lt;0,0,VLOOKUP(TableWRRanks3242[[#This Row],[RK]],'Ranks w Proj'!AD:AO,12,FALSE))</f>
        <v>0</v>
      </c>
    </row>
    <row r="120" spans="16:41" x14ac:dyDescent="0.2">
      <c r="P120">
        <v>119</v>
      </c>
      <c r="Q120">
        <f>VLOOKUP(TableRBRanks3141[[#This Row],[RK]],Rankings!A:T,8,FALSE)</f>
        <v>0</v>
      </c>
      <c r="R120" t="str">
        <f>IFERROR(INDEX(TableRBCalcPts[TM],MATCH(TableRBRanks3141[[#This Row],[Player]],TableRBCalcPts[PLAYER],0)),"")</f>
        <v/>
      </c>
      <c r="S120" t="str">
        <f>IFERROR(INDEX(TableRBCalcPts[BYE],MATCH(TableRBRanks3141[[#This Row],[Player]],TableRBCalcPts[PLAYER],0)),"")</f>
        <v/>
      </c>
      <c r="T120" s="83">
        <f>VLOOKUP(TableRBRanks3141[[#This Row],[Player]],RB!B:O,4,FALSE)</f>
        <v>0</v>
      </c>
      <c r="U120" s="83">
        <f>VLOOKUP(TableRBRanks3141[[#This Row],[Player]],RB!B:O,5,FALSE)</f>
        <v>0</v>
      </c>
      <c r="V120" s="83">
        <f>VLOOKUP(TableRBRanks3141[[#This Row],[Player]],RB!B:O,6,FALSE)</f>
        <v>0</v>
      </c>
      <c r="W120" s="83">
        <f>VLOOKUP(TableRBRanks3141[[#This Row],[Player]],RB!B:O,7,FALSE)</f>
        <v>0</v>
      </c>
      <c r="X120" s="83">
        <f>VLOOKUP(TableRBRanks3141[[#This Row],[Player]],RB!B:O,8,FALSE)</f>
        <v>0</v>
      </c>
      <c r="Y120" s="83">
        <f>VLOOKUP(TableRBRanks3141[[#This Row],[Player]],RB!B:O,9,FALSE)</f>
        <v>0</v>
      </c>
      <c r="Z120" s="83">
        <f>VLOOKUP(TableRBRanks3141[[#This Row],[Player]],RB!B:O,10,FALSE)</f>
        <v>0</v>
      </c>
      <c r="AA120" s="57">
        <f>VLOOKUP(TableRBRanks3141[[#This Row],[Player]],RB!B:O,14,FALSE)</f>
        <v>0</v>
      </c>
      <c r="AB120" s="125" t="str">
        <f>IF(VLOOKUP(TableRBRanks3141[[#This Row],[RK]],'Ranks w Proj'!$P:$AB,13,FALSE)&lt;0,0,VLOOKUP(TableRBRanks3141[[#This Row],[RK]],'Ranks w Proj'!$P:$AB,13,FALSE))</f>
        <v/>
      </c>
      <c r="AD120">
        <v>119</v>
      </c>
      <c r="AE120" t="str">
        <f>VLOOKUP(TableWRRanks3242[[#This Row],[RK]],Rankings!A:T,13,FALSE)</f>
        <v>Deonte Harty</v>
      </c>
      <c r="AF120" t="str">
        <f>IFERROR(INDEX(TableWRCalcPts[TM],MATCH(TableWRRanks3242[[#This Row],[Player]],TableWRCalcPts[PLAYER],0)),"")</f>
        <v>BAL</v>
      </c>
      <c r="AG120">
        <f>IFERROR(INDEX(TableWRCalcPts[BYE],MATCH(TableWRRanks3242[[#This Row],[Player]],TableWRCalcPts[PLAYER],0)),"")</f>
        <v>14</v>
      </c>
      <c r="AH120" s="83">
        <f>VLOOKUP(TableWRRanks3242[[#This Row],[Player]],WR!B:O,4,FALSE)</f>
        <v>0</v>
      </c>
      <c r="AI120" s="83">
        <f>VLOOKUP(TableWRRanks3242[[#This Row],[Player]],WR!B:O,5,FALSE)</f>
        <v>0</v>
      </c>
      <c r="AJ120" s="83">
        <f>VLOOKUP(TableWRRanks3242[[#This Row],[Player]],WR!B:O,6,FALSE)</f>
        <v>26.996796960000001</v>
      </c>
      <c r="AK120" s="83">
        <f>VLOOKUP(TableWRRanks3242[[#This Row],[Player]],WR!B:O,7,FALSE)</f>
        <v>16.252071769920001</v>
      </c>
      <c r="AL120" s="83">
        <f>VLOOKUP(TableWRRanks3242[[#This Row],[Player]],WR!B:O,8,FALSE)</f>
        <v>181.77188829902357</v>
      </c>
      <c r="AM120" s="83">
        <f>VLOOKUP(TableWRRanks3242[[#This Row],[Player]],WR!B:O,9,FALSE)</f>
        <v>1.2351574545139201</v>
      </c>
      <c r="AN120" s="57">
        <f>VLOOKUP(TableWRRanks3242[[#This Row],[Player]],WR!B:O,13,FALSE)</f>
        <v>33.714169441945884</v>
      </c>
      <c r="AO120" s="125">
        <f>IF(VLOOKUP(TableWRRanks3242[[#This Row],[RK]],'Ranks w Proj'!AD:AO,12,FALSE)&lt;0,0,VLOOKUP(TableWRRanks3242[[#This Row],[RK]],'Ranks w Proj'!AD:AO,12,FALSE))</f>
        <v>0</v>
      </c>
    </row>
    <row r="121" spans="16:41" x14ac:dyDescent="0.2">
      <c r="P121">
        <v>120</v>
      </c>
      <c r="Q121">
        <f>VLOOKUP(TableRBRanks3141[[#This Row],[RK]],Rankings!A:T,8,FALSE)</f>
        <v>0</v>
      </c>
      <c r="R121" t="str">
        <f>IFERROR(INDEX(TableRBCalcPts[TM],MATCH(TableRBRanks3141[[#This Row],[Player]],TableRBCalcPts[PLAYER],0)),"")</f>
        <v/>
      </c>
      <c r="S121" t="str">
        <f>IFERROR(INDEX(TableRBCalcPts[BYE],MATCH(TableRBRanks3141[[#This Row],[Player]],TableRBCalcPts[PLAYER],0)),"")</f>
        <v/>
      </c>
      <c r="T121" s="83">
        <f>VLOOKUP(TableRBRanks3141[[#This Row],[Player]],RB!B:O,4,FALSE)</f>
        <v>0</v>
      </c>
      <c r="U121" s="83">
        <f>VLOOKUP(TableRBRanks3141[[#This Row],[Player]],RB!B:O,5,FALSE)</f>
        <v>0</v>
      </c>
      <c r="V121" s="83">
        <f>VLOOKUP(TableRBRanks3141[[#This Row],[Player]],RB!B:O,6,FALSE)</f>
        <v>0</v>
      </c>
      <c r="W121" s="83">
        <f>VLOOKUP(TableRBRanks3141[[#This Row],[Player]],RB!B:O,7,FALSE)</f>
        <v>0</v>
      </c>
      <c r="X121" s="83">
        <f>VLOOKUP(TableRBRanks3141[[#This Row],[Player]],RB!B:O,8,FALSE)</f>
        <v>0</v>
      </c>
      <c r="Y121" s="83">
        <f>VLOOKUP(TableRBRanks3141[[#This Row],[Player]],RB!B:O,9,FALSE)</f>
        <v>0</v>
      </c>
      <c r="Z121" s="83">
        <f>VLOOKUP(TableRBRanks3141[[#This Row],[Player]],RB!B:O,10,FALSE)</f>
        <v>0</v>
      </c>
      <c r="AA121" s="57">
        <f>VLOOKUP(TableRBRanks3141[[#This Row],[Player]],RB!B:O,14,FALSE)</f>
        <v>0</v>
      </c>
      <c r="AB121" s="125" t="str">
        <f>IF(VLOOKUP(TableRBRanks3141[[#This Row],[RK]],'Ranks w Proj'!$P:$AB,13,FALSE)&lt;0,0,VLOOKUP(TableRBRanks3141[[#This Row],[RK]],'Ranks w Proj'!$P:$AB,13,FALSE))</f>
        <v/>
      </c>
      <c r="AD121">
        <v>120</v>
      </c>
      <c r="AE121" t="str">
        <f>VLOOKUP(TableWRRanks3242[[#This Row],[RK]],Rankings!A:T,13,FALSE)</f>
        <v>Jake Bobo</v>
      </c>
      <c r="AF121" t="str">
        <f>IFERROR(INDEX(TableWRCalcPts[TM],MATCH(TableWRRanks3242[[#This Row],[Player]],TableWRCalcPts[PLAYER],0)),"")</f>
        <v>SEA</v>
      </c>
      <c r="AG121">
        <f>IFERROR(INDEX(TableWRCalcPts[BYE],MATCH(TableWRRanks3242[[#This Row],[Player]],TableWRCalcPts[PLAYER],0)),"")</f>
        <v>10</v>
      </c>
      <c r="AH121" s="83">
        <f>VLOOKUP(TableWRRanks3242[[#This Row],[Player]],WR!B:O,4,FALSE)</f>
        <v>0</v>
      </c>
      <c r="AI121" s="83">
        <f>VLOOKUP(TableWRRanks3242[[#This Row],[Player]],WR!B:O,5,FALSE)</f>
        <v>0</v>
      </c>
      <c r="AJ121" s="83">
        <f>VLOOKUP(TableWRRanks3242[[#This Row],[Player]],WR!B:O,6,FALSE)</f>
        <v>26.121708899999998</v>
      </c>
      <c r="AK121" s="83">
        <f>VLOOKUP(TableWRRanks3242[[#This Row],[Player]],WR!B:O,7,FALSE)</f>
        <v>17.188084456199999</v>
      </c>
      <c r="AL121" s="83">
        <f>VLOOKUP(TableWRRanks3242[[#This Row],[Player]],WR!B:O,8,FALSE)</f>
        <v>187.34551148138038</v>
      </c>
      <c r="AM121" s="83">
        <f>VLOOKUP(TableWRRanks3242[[#This Row],[Player]],WR!B:O,9,FALSE)</f>
        <v>1.1687897430215999</v>
      </c>
      <c r="AN121" s="57">
        <f>VLOOKUP(TableWRRanks3242[[#This Row],[Player]],WR!B:O,13,FALSE)</f>
        <v>34.341331834367637</v>
      </c>
      <c r="AO121" s="125">
        <f>IF(VLOOKUP(TableWRRanks3242[[#This Row],[RK]],'Ranks w Proj'!AD:AO,12,FALSE)&lt;0,0,VLOOKUP(TableWRRanks3242[[#This Row],[RK]],'Ranks w Proj'!AD:AO,12,FALSE))</f>
        <v>0</v>
      </c>
    </row>
    <row r="122" spans="16:41" x14ac:dyDescent="0.2">
      <c r="P122">
        <v>121</v>
      </c>
      <c r="Q122">
        <f>VLOOKUP(TableRBRanks3141[[#This Row],[RK]],Rankings!A:T,8,FALSE)</f>
        <v>0</v>
      </c>
      <c r="R122" t="str">
        <f>IFERROR(INDEX(TableRBCalcPts[TM],MATCH(TableRBRanks3141[[#This Row],[Player]],TableRBCalcPts[PLAYER],0)),"")</f>
        <v/>
      </c>
      <c r="S122" t="str">
        <f>IFERROR(INDEX(TableRBCalcPts[BYE],MATCH(TableRBRanks3141[[#This Row],[Player]],TableRBCalcPts[PLAYER],0)),"")</f>
        <v/>
      </c>
      <c r="T122" s="83">
        <f>VLOOKUP(TableRBRanks3141[[#This Row],[Player]],RB!B:O,4,FALSE)</f>
        <v>0</v>
      </c>
      <c r="U122" s="83">
        <f>VLOOKUP(TableRBRanks3141[[#This Row],[Player]],RB!B:O,5,FALSE)</f>
        <v>0</v>
      </c>
      <c r="V122" s="83">
        <f>VLOOKUP(TableRBRanks3141[[#This Row],[Player]],RB!B:O,6,FALSE)</f>
        <v>0</v>
      </c>
      <c r="W122" s="83">
        <f>VLOOKUP(TableRBRanks3141[[#This Row],[Player]],RB!B:O,7,FALSE)</f>
        <v>0</v>
      </c>
      <c r="X122" s="83">
        <f>VLOOKUP(TableRBRanks3141[[#This Row],[Player]],RB!B:O,8,FALSE)</f>
        <v>0</v>
      </c>
      <c r="Y122" s="83">
        <f>VLOOKUP(TableRBRanks3141[[#This Row],[Player]],RB!B:O,9,FALSE)</f>
        <v>0</v>
      </c>
      <c r="Z122" s="83">
        <f>VLOOKUP(TableRBRanks3141[[#This Row],[Player]],RB!B:O,10,FALSE)</f>
        <v>0</v>
      </c>
      <c r="AA122" s="57">
        <f>VLOOKUP(TableRBRanks3141[[#This Row],[Player]],RB!B:O,14,FALSE)</f>
        <v>0</v>
      </c>
      <c r="AB122" s="125" t="str">
        <f>IF(VLOOKUP(TableRBRanks3141[[#This Row],[RK]],'Ranks w Proj'!$P:$AB,13,FALSE)&lt;0,0,VLOOKUP(TableRBRanks3141[[#This Row],[RK]],'Ranks w Proj'!$P:$AB,13,FALSE))</f>
        <v/>
      </c>
      <c r="AD122">
        <v>121</v>
      </c>
      <c r="AE122" t="str">
        <f>VLOOKUP(TableWRRanks3242[[#This Row],[RK]],Rankings!A:T,13,FALSE)</f>
        <v>Treylon Burks</v>
      </c>
      <c r="AF122" t="str">
        <f>IFERROR(INDEX(TableWRCalcPts[TM],MATCH(TableWRRanks3242[[#This Row],[Player]],TableWRCalcPts[PLAYER],0)),"")</f>
        <v>TEN</v>
      </c>
      <c r="AG122">
        <f>IFERROR(INDEX(TableWRCalcPts[BYE],MATCH(TableWRRanks3242[[#This Row],[Player]],TableWRCalcPts[PLAYER],0)),"")</f>
        <v>5</v>
      </c>
      <c r="AH122" s="83">
        <f>VLOOKUP(TableWRRanks3242[[#This Row],[Player]],WR!B:O,4,FALSE)</f>
        <v>0</v>
      </c>
      <c r="AI122" s="83">
        <f>VLOOKUP(TableWRRanks3242[[#This Row],[Player]],WR!B:O,5,FALSE)</f>
        <v>0</v>
      </c>
      <c r="AJ122" s="83">
        <f>VLOOKUP(TableWRRanks3242[[#This Row],[Player]],WR!B:O,6,FALSE)</f>
        <v>21.981692039999995</v>
      </c>
      <c r="AK122" s="83">
        <f>VLOOKUP(TableWRRanks3242[[#This Row],[Player]],WR!B:O,7,FALSE)</f>
        <v>12.859289843399996</v>
      </c>
      <c r="AL122" s="83">
        <f>VLOOKUP(TableWRRanks3242[[#This Row],[Player]],WR!B:O,8,FALSE)</f>
        <v>175.50014692074271</v>
      </c>
      <c r="AM122" s="83">
        <f>VLOOKUP(TableWRRanks3242[[#This Row],[Player]],WR!B:O,9,FALSE)</f>
        <v>0.793082619589497</v>
      </c>
      <c r="AN122" s="57">
        <f>VLOOKUP(TableWRRanks3242[[#This Row],[Player]],WR!B:O,13,FALSE)</f>
        <v>28.738155331311248</v>
      </c>
      <c r="AO122" s="125">
        <f>IF(VLOOKUP(TableWRRanks3242[[#This Row],[RK]],'Ranks w Proj'!AD:AO,12,FALSE)&lt;0,0,VLOOKUP(TableWRRanks3242[[#This Row],[RK]],'Ranks w Proj'!AD:AO,12,FALSE))</f>
        <v>0</v>
      </c>
    </row>
    <row r="123" spans="16:41" x14ac:dyDescent="0.2">
      <c r="P123">
        <v>122</v>
      </c>
      <c r="Q123">
        <f>VLOOKUP(TableRBRanks3141[[#This Row],[RK]],Rankings!A:T,8,FALSE)</f>
        <v>0</v>
      </c>
      <c r="R123" t="str">
        <f>IFERROR(INDEX(TableRBCalcPts[TM],MATCH(TableRBRanks3141[[#This Row],[Player]],TableRBCalcPts[PLAYER],0)),"")</f>
        <v/>
      </c>
      <c r="S123" t="str">
        <f>IFERROR(INDEX(TableRBCalcPts[BYE],MATCH(TableRBRanks3141[[#This Row],[Player]],TableRBCalcPts[PLAYER],0)),"")</f>
        <v/>
      </c>
      <c r="T123" s="83">
        <f>VLOOKUP(TableRBRanks3141[[#This Row],[Player]],RB!B:O,4,FALSE)</f>
        <v>0</v>
      </c>
      <c r="U123" s="83">
        <f>VLOOKUP(TableRBRanks3141[[#This Row],[Player]],RB!B:O,5,FALSE)</f>
        <v>0</v>
      </c>
      <c r="V123" s="83">
        <f>VLOOKUP(TableRBRanks3141[[#This Row],[Player]],RB!B:O,6,FALSE)</f>
        <v>0</v>
      </c>
      <c r="W123" s="83">
        <f>VLOOKUP(TableRBRanks3141[[#This Row],[Player]],RB!B:O,7,FALSE)</f>
        <v>0</v>
      </c>
      <c r="X123" s="83">
        <f>VLOOKUP(TableRBRanks3141[[#This Row],[Player]],RB!B:O,8,FALSE)</f>
        <v>0</v>
      </c>
      <c r="Y123" s="83">
        <f>VLOOKUP(TableRBRanks3141[[#This Row],[Player]],RB!B:O,9,FALSE)</f>
        <v>0</v>
      </c>
      <c r="Z123" s="83">
        <f>VLOOKUP(TableRBRanks3141[[#This Row],[Player]],RB!B:O,10,FALSE)</f>
        <v>0</v>
      </c>
      <c r="AA123" s="57">
        <f>VLOOKUP(TableRBRanks3141[[#This Row],[Player]],RB!B:O,14,FALSE)</f>
        <v>0</v>
      </c>
      <c r="AB123" s="125" t="str">
        <f>IF(VLOOKUP(TableRBRanks3141[[#This Row],[RK]],'Ranks w Proj'!$P:$AB,13,FALSE)&lt;0,0,VLOOKUP(TableRBRanks3141[[#This Row],[RK]],'Ranks w Proj'!$P:$AB,13,FALSE))</f>
        <v/>
      </c>
      <c r="AD123">
        <v>122</v>
      </c>
      <c r="AE123" t="str">
        <f>VLOOKUP(TableWRRanks3242[[#This Row],[RK]],Rankings!A:T,13,FALSE)</f>
        <v>Tutu Atwell</v>
      </c>
      <c r="AF123" t="str">
        <f>IFERROR(INDEX(TableWRCalcPts[TM],MATCH(TableWRRanks3242[[#This Row],[Player]],TableWRCalcPts[PLAYER],0)),"")</f>
        <v>LAR</v>
      </c>
      <c r="AG123">
        <f>IFERROR(INDEX(TableWRCalcPts[BYE],MATCH(TableWRRanks3242[[#This Row],[Player]],TableWRCalcPts[PLAYER],0)),"")</f>
        <v>6</v>
      </c>
      <c r="AH123" s="83">
        <f>VLOOKUP(TableWRRanks3242[[#This Row],[Player]],WR!B:O,4,FALSE)</f>
        <v>19.717208783999997</v>
      </c>
      <c r="AI123" s="83">
        <f>VLOOKUP(TableWRRanks3242[[#This Row],[Player]],WR!B:O,5,FALSE)</f>
        <v>3.5318520929079077E-2</v>
      </c>
      <c r="AJ123" s="83">
        <f>VLOOKUP(TableWRRanks3242[[#This Row],[Player]],WR!B:O,6,FALSE)</f>
        <v>16.301847239999997</v>
      </c>
      <c r="AK123" s="83">
        <f>VLOOKUP(TableWRRanks3242[[#This Row],[Player]],WR!B:O,7,FALSE)</f>
        <v>9.3083547740399961</v>
      </c>
      <c r="AL123" s="83">
        <f>VLOOKUP(TableWRRanks3242[[#This Row],[Player]],WR!B:O,8,FALSE)</f>
        <v>101.55415058477637</v>
      </c>
      <c r="AM123" s="83">
        <f>VLOOKUP(TableWRRanks3242[[#This Row],[Player]],WR!B:O,9,FALSE)</f>
        <v>0.67153944474632432</v>
      </c>
      <c r="AN123" s="57">
        <f>VLOOKUP(TableWRRanks3242[[#This Row],[Player]],WR!B:O,13,FALSE)</f>
        <v>21.022461117950055</v>
      </c>
      <c r="AO123" s="125">
        <f>IF(VLOOKUP(TableWRRanks3242[[#This Row],[RK]],'Ranks w Proj'!AD:AO,12,FALSE)&lt;0,0,VLOOKUP(TableWRRanks3242[[#This Row],[RK]],'Ranks w Proj'!AD:AO,12,FALSE))</f>
        <v>0</v>
      </c>
    </row>
    <row r="124" spans="16:41" x14ac:dyDescent="0.2">
      <c r="P124">
        <v>123</v>
      </c>
      <c r="Q124">
        <f>VLOOKUP(TableRBRanks3141[[#This Row],[RK]],Rankings!A:T,8,FALSE)</f>
        <v>0</v>
      </c>
      <c r="R124" t="str">
        <f>IFERROR(INDEX(TableRBCalcPts[TM],MATCH(TableRBRanks3141[[#This Row],[Player]],TableRBCalcPts[PLAYER],0)),"")</f>
        <v/>
      </c>
      <c r="S124" t="str">
        <f>IFERROR(INDEX(TableRBCalcPts[BYE],MATCH(TableRBRanks3141[[#This Row],[Player]],TableRBCalcPts[PLAYER],0)),"")</f>
        <v/>
      </c>
      <c r="T124" s="83">
        <f>VLOOKUP(TableRBRanks3141[[#This Row],[Player]],RB!B:O,4,FALSE)</f>
        <v>0</v>
      </c>
      <c r="U124" s="83">
        <f>VLOOKUP(TableRBRanks3141[[#This Row],[Player]],RB!B:O,5,FALSE)</f>
        <v>0</v>
      </c>
      <c r="V124" s="83">
        <f>VLOOKUP(TableRBRanks3141[[#This Row],[Player]],RB!B:O,6,FALSE)</f>
        <v>0</v>
      </c>
      <c r="W124" s="83">
        <f>VLOOKUP(TableRBRanks3141[[#This Row],[Player]],RB!B:O,7,FALSE)</f>
        <v>0</v>
      </c>
      <c r="X124" s="83">
        <f>VLOOKUP(TableRBRanks3141[[#This Row],[Player]],RB!B:O,8,FALSE)</f>
        <v>0</v>
      </c>
      <c r="Y124" s="83">
        <f>VLOOKUP(TableRBRanks3141[[#This Row],[Player]],RB!B:O,9,FALSE)</f>
        <v>0</v>
      </c>
      <c r="Z124" s="83">
        <f>VLOOKUP(TableRBRanks3141[[#This Row],[Player]],RB!B:O,10,FALSE)</f>
        <v>0</v>
      </c>
      <c r="AA124" s="57">
        <f>VLOOKUP(TableRBRanks3141[[#This Row],[Player]],RB!B:O,14,FALSE)</f>
        <v>0</v>
      </c>
      <c r="AB124" s="125" t="str">
        <f>IF(VLOOKUP(TableRBRanks3141[[#This Row],[RK]],'Ranks w Proj'!$P:$AB,13,FALSE)&lt;0,0,VLOOKUP(TableRBRanks3141[[#This Row],[RK]],'Ranks w Proj'!$P:$AB,13,FALSE))</f>
        <v/>
      </c>
      <c r="AD124">
        <v>123</v>
      </c>
      <c r="AE124" t="str">
        <f>VLOOKUP(TableWRRanks3242[[#This Row],[RK]],Rankings!A:T,13,FALSE)</f>
        <v>Mack Hollins</v>
      </c>
      <c r="AF124" t="str">
        <f>IFERROR(INDEX(TableWRCalcPts[TM],MATCH(TableWRRanks3242[[#This Row],[Player]],TableWRCalcPts[PLAYER],0)),"")</f>
        <v>BUF</v>
      </c>
      <c r="AG124">
        <f>IFERROR(INDEX(TableWRCalcPts[BYE],MATCH(TableWRRanks3242[[#This Row],[Player]],TableWRCalcPts[PLAYER],0)),"")</f>
        <v>12</v>
      </c>
      <c r="AH124" s="83">
        <f>VLOOKUP(TableWRRanks3242[[#This Row],[Player]],WR!B:O,4,FALSE)</f>
        <v>22.444395903999997</v>
      </c>
      <c r="AI124" s="83">
        <f>VLOOKUP(TableWRRanks3242[[#This Row],[Player]],WR!B:O,5,FALSE)</f>
        <v>0</v>
      </c>
      <c r="AJ124" s="83">
        <f>VLOOKUP(TableWRRanks3242[[#This Row],[Player]],WR!B:O,6,FALSE)</f>
        <v>27.332121599999997</v>
      </c>
      <c r="AK124" s="83">
        <f>VLOOKUP(TableWRRanks3242[[#This Row],[Player]],WR!B:O,7,FALSE)</f>
        <v>16.344608716799996</v>
      </c>
      <c r="AL124" s="83">
        <f>VLOOKUP(TableWRRanks3242[[#This Row],[Player]],WR!B:O,8,FALSE)</f>
        <v>204.30760895999995</v>
      </c>
      <c r="AM124" s="83">
        <f>VLOOKUP(TableWRRanks3242[[#This Row],[Player]],WR!B:O,9,FALSE)</f>
        <v>1.3500494709172779</v>
      </c>
      <c r="AN124" s="57">
        <f>VLOOKUP(TableWRRanks3242[[#This Row],[Player]],WR!B:O,13,FALSE)</f>
        <v>38.947801670303662</v>
      </c>
      <c r="AO124" s="125">
        <f>IF(VLOOKUP(TableWRRanks3242[[#This Row],[RK]],'Ranks w Proj'!AD:AO,12,FALSE)&lt;0,0,VLOOKUP(TableWRRanks3242[[#This Row],[RK]],'Ranks w Proj'!AD:AO,12,FALSE))</f>
        <v>0</v>
      </c>
    </row>
    <row r="125" spans="16:41" x14ac:dyDescent="0.2">
      <c r="P125">
        <v>124</v>
      </c>
      <c r="Q125">
        <f>VLOOKUP(TableRBRanks3141[[#This Row],[RK]],Rankings!A:T,8,FALSE)</f>
        <v>0</v>
      </c>
      <c r="R125" t="str">
        <f>IFERROR(INDEX(TableRBCalcPts[TM],MATCH(TableRBRanks3141[[#This Row],[Player]],TableRBCalcPts[PLAYER],0)),"")</f>
        <v/>
      </c>
      <c r="S125" t="str">
        <f>IFERROR(INDEX(TableRBCalcPts[BYE],MATCH(TableRBRanks3141[[#This Row],[Player]],TableRBCalcPts[PLAYER],0)),"")</f>
        <v/>
      </c>
      <c r="T125" s="83">
        <f>VLOOKUP(TableRBRanks3141[[#This Row],[Player]],RB!B:O,4,FALSE)</f>
        <v>0</v>
      </c>
      <c r="U125" s="83">
        <f>VLOOKUP(TableRBRanks3141[[#This Row],[Player]],RB!B:O,5,FALSE)</f>
        <v>0</v>
      </c>
      <c r="V125" s="83">
        <f>VLOOKUP(TableRBRanks3141[[#This Row],[Player]],RB!B:O,6,FALSE)</f>
        <v>0</v>
      </c>
      <c r="W125" s="83">
        <f>VLOOKUP(TableRBRanks3141[[#This Row],[Player]],RB!B:O,7,FALSE)</f>
        <v>0</v>
      </c>
      <c r="X125" s="83">
        <f>VLOOKUP(TableRBRanks3141[[#This Row],[Player]],RB!B:O,8,FALSE)</f>
        <v>0</v>
      </c>
      <c r="Y125" s="83">
        <f>VLOOKUP(TableRBRanks3141[[#This Row],[Player]],RB!B:O,9,FALSE)</f>
        <v>0</v>
      </c>
      <c r="Z125" s="83">
        <f>VLOOKUP(TableRBRanks3141[[#This Row],[Player]],RB!B:O,10,FALSE)</f>
        <v>0</v>
      </c>
      <c r="AA125" s="57">
        <f>VLOOKUP(TableRBRanks3141[[#This Row],[Player]],RB!B:O,14,FALSE)</f>
        <v>0</v>
      </c>
      <c r="AB125" s="125" t="str">
        <f>IF(VLOOKUP(TableRBRanks3141[[#This Row],[RK]],'Ranks w Proj'!$P:$AB,13,FALSE)&lt;0,0,VLOOKUP(TableRBRanks3141[[#This Row],[RK]],'Ranks w Proj'!$P:$AB,13,FALSE))</f>
        <v/>
      </c>
      <c r="AD125">
        <v>124</v>
      </c>
      <c r="AE125" t="str">
        <f>VLOOKUP(TableWRRanks3242[[#This Row],[RK]],Rankings!A:T,13,FALSE)</f>
        <v>John Metchie</v>
      </c>
      <c r="AF125" t="str">
        <f>IFERROR(INDEX(TableWRCalcPts[TM],MATCH(TableWRRanks3242[[#This Row],[Player]],TableWRCalcPts[PLAYER],0)),"")</f>
        <v>HOU</v>
      </c>
      <c r="AG125">
        <f>IFERROR(INDEX(TableWRCalcPts[BYE],MATCH(TableWRRanks3242[[#This Row],[Player]],TableWRCalcPts[PLAYER],0)),"")</f>
        <v>14</v>
      </c>
      <c r="AH125" s="83">
        <f>VLOOKUP(TableWRRanks3242[[#This Row],[Player]],WR!B:O,4,FALSE)</f>
        <v>0</v>
      </c>
      <c r="AI125" s="83">
        <f>VLOOKUP(TableWRRanks3242[[#This Row],[Player]],WR!B:O,5,FALSE)</f>
        <v>0</v>
      </c>
      <c r="AJ125" s="83">
        <f>VLOOKUP(TableWRRanks3242[[#This Row],[Player]],WR!B:O,6,FALSE)</f>
        <v>23.767743999999997</v>
      </c>
      <c r="AK125" s="83">
        <f>VLOOKUP(TableWRRanks3242[[#This Row],[Player]],WR!B:O,7,FALSE)</f>
        <v>14.569627072000001</v>
      </c>
      <c r="AL125" s="83">
        <f>VLOOKUP(TableWRRanks3242[[#This Row],[Player]],WR!B:O,8,FALSE)</f>
        <v>171.92159944960002</v>
      </c>
      <c r="AM125" s="83">
        <f>VLOOKUP(TableWRRanks3242[[#This Row],[Player]],WR!B:O,9,FALSE)</f>
        <v>1.107291657472</v>
      </c>
      <c r="AN125" s="57">
        <f>VLOOKUP(TableWRRanks3242[[#This Row],[Player]],WR!B:O,13,FALSE)</f>
        <v>31.120723425792004</v>
      </c>
      <c r="AO125" s="125">
        <f>IF(VLOOKUP(TableWRRanks3242[[#This Row],[RK]],'Ranks w Proj'!AD:AO,12,FALSE)&lt;0,0,VLOOKUP(TableWRRanks3242[[#This Row],[RK]],'Ranks w Proj'!AD:AO,12,FALSE))</f>
        <v>0</v>
      </c>
    </row>
    <row r="126" spans="16:41" x14ac:dyDescent="0.2">
      <c r="P126">
        <v>125</v>
      </c>
      <c r="Q126">
        <f>VLOOKUP(TableRBRanks3141[[#This Row],[RK]],Rankings!A:T,8,FALSE)</f>
        <v>0</v>
      </c>
      <c r="R126" t="str">
        <f>IFERROR(INDEX(TableRBCalcPts[TM],MATCH(TableRBRanks3141[[#This Row],[Player]],TableRBCalcPts[PLAYER],0)),"")</f>
        <v/>
      </c>
      <c r="S126" t="str">
        <f>IFERROR(INDEX(TableRBCalcPts[BYE],MATCH(TableRBRanks3141[[#This Row],[Player]],TableRBCalcPts[PLAYER],0)),"")</f>
        <v/>
      </c>
      <c r="T126" s="83">
        <f>VLOOKUP(TableRBRanks3141[[#This Row],[Player]],RB!B:O,4,FALSE)</f>
        <v>0</v>
      </c>
      <c r="U126" s="83">
        <f>VLOOKUP(TableRBRanks3141[[#This Row],[Player]],RB!B:O,5,FALSE)</f>
        <v>0</v>
      </c>
      <c r="V126" s="83">
        <f>VLOOKUP(TableRBRanks3141[[#This Row],[Player]],RB!B:O,6,FALSE)</f>
        <v>0</v>
      </c>
      <c r="W126" s="83">
        <f>VLOOKUP(TableRBRanks3141[[#This Row],[Player]],RB!B:O,7,FALSE)</f>
        <v>0</v>
      </c>
      <c r="X126" s="83">
        <f>VLOOKUP(TableRBRanks3141[[#This Row],[Player]],RB!B:O,8,FALSE)</f>
        <v>0</v>
      </c>
      <c r="Y126" s="83">
        <f>VLOOKUP(TableRBRanks3141[[#This Row],[Player]],RB!B:O,9,FALSE)</f>
        <v>0</v>
      </c>
      <c r="Z126" s="83">
        <f>VLOOKUP(TableRBRanks3141[[#This Row],[Player]],RB!B:O,10,FALSE)</f>
        <v>0</v>
      </c>
      <c r="AA126" s="57">
        <f>VLOOKUP(TableRBRanks3141[[#This Row],[Player]],RB!B:O,14,FALSE)</f>
        <v>0</v>
      </c>
      <c r="AB126" s="125" t="str">
        <f>IF(VLOOKUP(TableRBRanks3141[[#This Row],[RK]],'Ranks w Proj'!$P:$AB,13,FALSE)&lt;0,0,VLOOKUP(TableRBRanks3141[[#This Row],[RK]],'Ranks w Proj'!$P:$AB,13,FALSE))</f>
        <v/>
      </c>
      <c r="AD126">
        <v>125</v>
      </c>
      <c r="AE126" t="str">
        <f>VLOOKUP(TableWRRanks3242[[#This Row],[RK]],Rankings!A:T,13,FALSE)</f>
        <v>Justin Watson</v>
      </c>
      <c r="AF126" t="str">
        <f>IFERROR(INDEX(TableWRCalcPts[TM],MATCH(TableWRRanks3242[[#This Row],[Player]],TableWRCalcPts[PLAYER],0)),"")</f>
        <v>KC</v>
      </c>
      <c r="AG126">
        <f>IFERROR(INDEX(TableWRCalcPts[BYE],MATCH(TableWRRanks3242[[#This Row],[Player]],TableWRCalcPts[PLAYER],0)),"")</f>
        <v>6</v>
      </c>
      <c r="AH126" s="83">
        <f>VLOOKUP(TableWRRanks3242[[#This Row],[Player]],WR!B:O,4,FALSE)</f>
        <v>0</v>
      </c>
      <c r="AI126" s="83">
        <f>VLOOKUP(TableWRRanks3242[[#This Row],[Player]],WR!B:O,5,FALSE)</f>
        <v>0</v>
      </c>
      <c r="AJ126" s="83">
        <f>VLOOKUP(TableWRRanks3242[[#This Row],[Player]],WR!B:O,6,FALSE)</f>
        <v>20.801087999999996</v>
      </c>
      <c r="AK126" s="83">
        <f>VLOOKUP(TableWRRanks3242[[#This Row],[Player]],WR!B:O,7,FALSE)</f>
        <v>10.525350527999995</v>
      </c>
      <c r="AL126" s="83">
        <f>VLOOKUP(TableWRRanks3242[[#This Row],[Player]],WR!B:O,8,FALSE)</f>
        <v>145.67085130751994</v>
      </c>
      <c r="AM126" s="83">
        <f>VLOOKUP(TableWRRanks3242[[#This Row],[Player]],WR!B:O,9,FALSE)</f>
        <v>0.85255339276799968</v>
      </c>
      <c r="AN126" s="57">
        <f>VLOOKUP(TableWRRanks3242[[#This Row],[Player]],WR!B:O,13,FALSE)</f>
        <v>24.945080751359992</v>
      </c>
      <c r="AO126" s="125">
        <f>IF(VLOOKUP(TableWRRanks3242[[#This Row],[RK]],'Ranks w Proj'!AD:AO,12,FALSE)&lt;0,0,VLOOKUP(TableWRRanks3242[[#This Row],[RK]],'Ranks w Proj'!AD:AO,12,FALSE))</f>
        <v>0</v>
      </c>
    </row>
    <row r="127" spans="16:41" x14ac:dyDescent="0.2">
      <c r="P127">
        <v>126</v>
      </c>
      <c r="Q127">
        <f>VLOOKUP(TableRBRanks3141[[#This Row],[RK]],Rankings!A:T,8,FALSE)</f>
        <v>0</v>
      </c>
      <c r="R127" t="str">
        <f>IFERROR(INDEX(TableRBCalcPts[TM],MATCH(TableRBRanks3141[[#This Row],[Player]],TableRBCalcPts[PLAYER],0)),"")</f>
        <v/>
      </c>
      <c r="S127" t="str">
        <f>IFERROR(INDEX(TableRBCalcPts[BYE],MATCH(TableRBRanks3141[[#This Row],[Player]],TableRBCalcPts[PLAYER],0)),"")</f>
        <v/>
      </c>
      <c r="T127" s="83">
        <f>VLOOKUP(TableRBRanks3141[[#This Row],[Player]],RB!B:O,4,FALSE)</f>
        <v>0</v>
      </c>
      <c r="U127" s="83">
        <f>VLOOKUP(TableRBRanks3141[[#This Row],[Player]],RB!B:O,5,FALSE)</f>
        <v>0</v>
      </c>
      <c r="V127" s="83">
        <f>VLOOKUP(TableRBRanks3141[[#This Row],[Player]],RB!B:O,6,FALSE)</f>
        <v>0</v>
      </c>
      <c r="W127" s="83">
        <f>VLOOKUP(TableRBRanks3141[[#This Row],[Player]],RB!B:O,7,FALSE)</f>
        <v>0</v>
      </c>
      <c r="X127" s="83">
        <f>VLOOKUP(TableRBRanks3141[[#This Row],[Player]],RB!B:O,8,FALSE)</f>
        <v>0</v>
      </c>
      <c r="Y127" s="83">
        <f>VLOOKUP(TableRBRanks3141[[#This Row],[Player]],RB!B:O,9,FALSE)</f>
        <v>0</v>
      </c>
      <c r="Z127" s="83">
        <f>VLOOKUP(TableRBRanks3141[[#This Row],[Player]],RB!B:O,10,FALSE)</f>
        <v>0</v>
      </c>
      <c r="AA127" s="57">
        <f>VLOOKUP(TableRBRanks3141[[#This Row],[Player]],RB!B:O,14,FALSE)</f>
        <v>0</v>
      </c>
      <c r="AB127" s="125" t="str">
        <f>IF(VLOOKUP(TableRBRanks3141[[#This Row],[RK]],'Ranks w Proj'!$P:$AB,13,FALSE)&lt;0,0,VLOOKUP(TableRBRanks3141[[#This Row],[RK]],'Ranks w Proj'!$P:$AB,13,FALSE))</f>
        <v/>
      </c>
      <c r="AD127">
        <v>126</v>
      </c>
      <c r="AE127">
        <f>VLOOKUP(TableWRRanks3242[[#This Row],[RK]],Rankings!A:T,13,FALSE)</f>
        <v>0</v>
      </c>
      <c r="AF127" t="str">
        <f>IFERROR(INDEX(TableWRCalcPts[TM],MATCH(TableWRRanks3242[[#This Row],[Player]],TableWRCalcPts[PLAYER],0)),"")</f>
        <v/>
      </c>
      <c r="AG127" t="str">
        <f>IFERROR(INDEX(TableWRCalcPts[BYE],MATCH(TableWRRanks3242[[#This Row],[Player]],TableWRCalcPts[PLAYER],0)),"")</f>
        <v/>
      </c>
      <c r="AH127" s="83">
        <f>VLOOKUP(TableWRRanks3242[[#This Row],[Player]],WR!B:O,4,FALSE)</f>
        <v>0</v>
      </c>
      <c r="AI127" s="83">
        <f>VLOOKUP(TableWRRanks3242[[#This Row],[Player]],WR!B:O,5,FALSE)</f>
        <v>0</v>
      </c>
      <c r="AJ127" s="83">
        <f>VLOOKUP(TableWRRanks3242[[#This Row],[Player]],WR!B:O,6,FALSE)</f>
        <v>0</v>
      </c>
      <c r="AK127" s="83">
        <f>VLOOKUP(TableWRRanks3242[[#This Row],[Player]],WR!B:O,7,FALSE)</f>
        <v>0</v>
      </c>
      <c r="AL127" s="83">
        <f>VLOOKUP(TableWRRanks3242[[#This Row],[Player]],WR!B:O,8,FALSE)</f>
        <v>0</v>
      </c>
      <c r="AM127" s="83">
        <f>VLOOKUP(TableWRRanks3242[[#This Row],[Player]],WR!B:O,9,FALSE)</f>
        <v>0</v>
      </c>
      <c r="AN127" s="57">
        <f>VLOOKUP(TableWRRanks3242[[#This Row],[Player]],WR!B:O,13,FALSE)</f>
        <v>0</v>
      </c>
      <c r="AO127" s="125">
        <f>IF(VLOOKUP(TableWRRanks3242[[#This Row],[RK]],'Ranks w Proj'!AD:AO,12,FALSE)&lt;0,0,VLOOKUP(TableWRRanks3242[[#This Row],[RK]],'Ranks w Proj'!AD:AO,12,FALSE))</f>
        <v>0</v>
      </c>
    </row>
    <row r="128" spans="16:41" x14ac:dyDescent="0.2">
      <c r="P128">
        <v>127</v>
      </c>
      <c r="Q128">
        <f>VLOOKUP(TableRBRanks3141[[#This Row],[RK]],Rankings!A:T,8,FALSE)</f>
        <v>0</v>
      </c>
      <c r="R128" t="str">
        <f>IFERROR(INDEX(TableRBCalcPts[TM],MATCH(TableRBRanks3141[[#This Row],[Player]],TableRBCalcPts[PLAYER],0)),"")</f>
        <v/>
      </c>
      <c r="S128" t="str">
        <f>IFERROR(INDEX(TableRBCalcPts[BYE],MATCH(TableRBRanks3141[[#This Row],[Player]],TableRBCalcPts[PLAYER],0)),"")</f>
        <v/>
      </c>
      <c r="T128" s="83">
        <f>VLOOKUP(TableRBRanks3141[[#This Row],[Player]],RB!B:O,4,FALSE)</f>
        <v>0</v>
      </c>
      <c r="U128" s="83">
        <f>VLOOKUP(TableRBRanks3141[[#This Row],[Player]],RB!B:O,5,FALSE)</f>
        <v>0</v>
      </c>
      <c r="V128" s="83">
        <f>VLOOKUP(TableRBRanks3141[[#This Row],[Player]],RB!B:O,6,FALSE)</f>
        <v>0</v>
      </c>
      <c r="W128" s="83">
        <f>VLOOKUP(TableRBRanks3141[[#This Row],[Player]],RB!B:O,7,FALSE)</f>
        <v>0</v>
      </c>
      <c r="X128" s="83">
        <f>VLOOKUP(TableRBRanks3141[[#This Row],[Player]],RB!B:O,8,FALSE)</f>
        <v>0</v>
      </c>
      <c r="Y128" s="83">
        <f>VLOOKUP(TableRBRanks3141[[#This Row],[Player]],RB!B:O,9,FALSE)</f>
        <v>0</v>
      </c>
      <c r="Z128" s="83">
        <f>VLOOKUP(TableRBRanks3141[[#This Row],[Player]],RB!B:O,10,FALSE)</f>
        <v>0</v>
      </c>
      <c r="AA128" s="57">
        <f>VLOOKUP(TableRBRanks3141[[#This Row],[Player]],RB!B:O,14,FALSE)</f>
        <v>0</v>
      </c>
      <c r="AB128" s="125" t="str">
        <f>IF(VLOOKUP(TableRBRanks3141[[#This Row],[RK]],'Ranks w Proj'!$P:$AB,13,FALSE)&lt;0,0,VLOOKUP(TableRBRanks3141[[#This Row],[RK]],'Ranks w Proj'!$P:$AB,13,FALSE))</f>
        <v/>
      </c>
      <c r="AD128">
        <v>127</v>
      </c>
      <c r="AE128">
        <f>VLOOKUP(TableWRRanks3242[[#This Row],[RK]],Rankings!A:T,13,FALSE)</f>
        <v>0</v>
      </c>
      <c r="AF128" t="str">
        <f>IFERROR(INDEX(TableWRCalcPts[TM],MATCH(TableWRRanks3242[[#This Row],[Player]],TableWRCalcPts[PLAYER],0)),"")</f>
        <v/>
      </c>
      <c r="AG128" t="str">
        <f>IFERROR(INDEX(TableWRCalcPts[BYE],MATCH(TableWRRanks3242[[#This Row],[Player]],TableWRCalcPts[PLAYER],0)),"")</f>
        <v/>
      </c>
      <c r="AH128" s="83">
        <f>VLOOKUP(TableWRRanks3242[[#This Row],[Player]],WR!B:O,4,FALSE)</f>
        <v>0</v>
      </c>
      <c r="AI128" s="83">
        <f>VLOOKUP(TableWRRanks3242[[#This Row],[Player]],WR!B:O,5,FALSE)</f>
        <v>0</v>
      </c>
      <c r="AJ128" s="83">
        <f>VLOOKUP(TableWRRanks3242[[#This Row],[Player]],WR!B:O,6,FALSE)</f>
        <v>0</v>
      </c>
      <c r="AK128" s="83">
        <f>VLOOKUP(TableWRRanks3242[[#This Row],[Player]],WR!B:O,7,FALSE)</f>
        <v>0</v>
      </c>
      <c r="AL128" s="83">
        <f>VLOOKUP(TableWRRanks3242[[#This Row],[Player]],WR!B:O,8,FALSE)</f>
        <v>0</v>
      </c>
      <c r="AM128" s="83">
        <f>VLOOKUP(TableWRRanks3242[[#This Row],[Player]],WR!B:O,9,FALSE)</f>
        <v>0</v>
      </c>
      <c r="AN128" s="57">
        <f>VLOOKUP(TableWRRanks3242[[#This Row],[Player]],WR!B:O,13,FALSE)</f>
        <v>0</v>
      </c>
      <c r="AO128" s="125">
        <f>IF(VLOOKUP(TableWRRanks3242[[#This Row],[RK]],'Ranks w Proj'!AD:AO,12,FALSE)&lt;0,0,VLOOKUP(TableWRRanks3242[[#This Row],[RK]],'Ranks w Proj'!AD:AO,12,FALSE))</f>
        <v>0</v>
      </c>
    </row>
    <row r="129" spans="16:41" x14ac:dyDescent="0.2">
      <c r="P129">
        <v>128</v>
      </c>
      <c r="Q129">
        <f>VLOOKUP(TableRBRanks3141[[#This Row],[RK]],Rankings!A:T,8,FALSE)</f>
        <v>0</v>
      </c>
      <c r="R129" t="str">
        <f>IFERROR(INDEX(TableRBCalcPts[TM],MATCH(TableRBRanks3141[[#This Row],[Player]],TableRBCalcPts[PLAYER],0)),"")</f>
        <v/>
      </c>
      <c r="S129" t="str">
        <f>IFERROR(INDEX(TableRBCalcPts[BYE],MATCH(TableRBRanks3141[[#This Row],[Player]],TableRBCalcPts[PLAYER],0)),"")</f>
        <v/>
      </c>
      <c r="T129" s="83">
        <f>VLOOKUP(TableRBRanks3141[[#This Row],[Player]],RB!B:O,4,FALSE)</f>
        <v>0</v>
      </c>
      <c r="U129" s="83">
        <f>VLOOKUP(TableRBRanks3141[[#This Row],[Player]],RB!B:O,5,FALSE)</f>
        <v>0</v>
      </c>
      <c r="V129" s="83">
        <f>VLOOKUP(TableRBRanks3141[[#This Row],[Player]],RB!B:O,6,FALSE)</f>
        <v>0</v>
      </c>
      <c r="W129" s="83">
        <f>VLOOKUP(TableRBRanks3141[[#This Row],[Player]],RB!B:O,7,FALSE)</f>
        <v>0</v>
      </c>
      <c r="X129" s="83">
        <f>VLOOKUP(TableRBRanks3141[[#This Row],[Player]],RB!B:O,8,FALSE)</f>
        <v>0</v>
      </c>
      <c r="Y129" s="83">
        <f>VLOOKUP(TableRBRanks3141[[#This Row],[Player]],RB!B:O,9,FALSE)</f>
        <v>0</v>
      </c>
      <c r="Z129" s="83">
        <f>VLOOKUP(TableRBRanks3141[[#This Row],[Player]],RB!B:O,10,FALSE)</f>
        <v>0</v>
      </c>
      <c r="AA129" s="57">
        <f>VLOOKUP(TableRBRanks3141[[#This Row],[Player]],RB!B:O,14,FALSE)</f>
        <v>0</v>
      </c>
      <c r="AB129" s="125" t="str">
        <f>IF(VLOOKUP(TableRBRanks3141[[#This Row],[RK]],'Ranks w Proj'!$P:$AB,13,FALSE)&lt;0,0,VLOOKUP(TableRBRanks3141[[#This Row],[RK]],'Ranks w Proj'!$P:$AB,13,FALSE))</f>
        <v/>
      </c>
      <c r="AD129">
        <v>128</v>
      </c>
      <c r="AE129">
        <f>VLOOKUP(TableWRRanks3242[[#This Row],[RK]],Rankings!A:T,13,FALSE)</f>
        <v>0</v>
      </c>
      <c r="AF129" t="str">
        <f>IFERROR(INDEX(TableWRCalcPts[TM],MATCH(TableWRRanks3242[[#This Row],[Player]],TableWRCalcPts[PLAYER],0)),"")</f>
        <v/>
      </c>
      <c r="AG129" t="str">
        <f>IFERROR(INDEX(TableWRCalcPts[BYE],MATCH(TableWRRanks3242[[#This Row],[Player]],TableWRCalcPts[PLAYER],0)),"")</f>
        <v/>
      </c>
      <c r="AH129" s="83">
        <f>VLOOKUP(TableWRRanks3242[[#This Row],[Player]],WR!B:O,4,FALSE)</f>
        <v>0</v>
      </c>
      <c r="AI129" s="83">
        <f>VLOOKUP(TableWRRanks3242[[#This Row],[Player]],WR!B:O,5,FALSE)</f>
        <v>0</v>
      </c>
      <c r="AJ129" s="83">
        <f>VLOOKUP(TableWRRanks3242[[#This Row],[Player]],WR!B:O,6,FALSE)</f>
        <v>0</v>
      </c>
      <c r="AK129" s="83">
        <f>VLOOKUP(TableWRRanks3242[[#This Row],[Player]],WR!B:O,7,FALSE)</f>
        <v>0</v>
      </c>
      <c r="AL129" s="83">
        <f>VLOOKUP(TableWRRanks3242[[#This Row],[Player]],WR!B:O,8,FALSE)</f>
        <v>0</v>
      </c>
      <c r="AM129" s="83">
        <f>VLOOKUP(TableWRRanks3242[[#This Row],[Player]],WR!B:O,9,FALSE)</f>
        <v>0</v>
      </c>
      <c r="AN129" s="57">
        <f>VLOOKUP(TableWRRanks3242[[#This Row],[Player]],WR!B:O,13,FALSE)</f>
        <v>0</v>
      </c>
      <c r="AO129" s="125">
        <f>IF(VLOOKUP(TableWRRanks3242[[#This Row],[RK]],'Ranks w Proj'!AD:AO,12,FALSE)&lt;0,0,VLOOKUP(TableWRRanks3242[[#This Row],[RK]],'Ranks w Proj'!AD:AO,12,FALSE))</f>
        <v>0</v>
      </c>
    </row>
    <row r="130" spans="16:41" x14ac:dyDescent="0.2">
      <c r="P130">
        <v>129</v>
      </c>
      <c r="Q130">
        <f>VLOOKUP(TableRBRanks3141[[#This Row],[RK]],Rankings!A:T,8,FALSE)</f>
        <v>0</v>
      </c>
      <c r="R130" t="str">
        <f>IFERROR(INDEX(TableRBCalcPts[TM],MATCH(TableRBRanks3141[[#This Row],[Player]],TableRBCalcPts[PLAYER],0)),"")</f>
        <v/>
      </c>
      <c r="S130" t="str">
        <f>IFERROR(INDEX(TableRBCalcPts[BYE],MATCH(TableRBRanks3141[[#This Row],[Player]],TableRBCalcPts[PLAYER],0)),"")</f>
        <v/>
      </c>
      <c r="T130" s="83">
        <f>VLOOKUP(TableRBRanks3141[[#This Row],[Player]],RB!B:O,4,FALSE)</f>
        <v>0</v>
      </c>
      <c r="U130" s="83">
        <f>VLOOKUP(TableRBRanks3141[[#This Row],[Player]],RB!B:O,5,FALSE)</f>
        <v>0</v>
      </c>
      <c r="V130" s="83">
        <f>VLOOKUP(TableRBRanks3141[[#This Row],[Player]],RB!B:O,6,FALSE)</f>
        <v>0</v>
      </c>
      <c r="W130" s="83">
        <f>VLOOKUP(TableRBRanks3141[[#This Row],[Player]],RB!B:O,7,FALSE)</f>
        <v>0</v>
      </c>
      <c r="X130" s="83">
        <f>VLOOKUP(TableRBRanks3141[[#This Row],[Player]],RB!B:O,8,FALSE)</f>
        <v>0</v>
      </c>
      <c r="Y130" s="83">
        <f>VLOOKUP(TableRBRanks3141[[#This Row],[Player]],RB!B:O,9,FALSE)</f>
        <v>0</v>
      </c>
      <c r="Z130" s="83">
        <f>VLOOKUP(TableRBRanks3141[[#This Row],[Player]],RB!B:O,10,FALSE)</f>
        <v>0</v>
      </c>
      <c r="AA130" s="57">
        <f>VLOOKUP(TableRBRanks3141[[#This Row],[Player]],RB!B:O,14,FALSE)</f>
        <v>0</v>
      </c>
      <c r="AB130" s="125" t="str">
        <f>IF(VLOOKUP(TableRBRanks3141[[#This Row],[RK]],'Ranks w Proj'!$P:$AB,13,FALSE)&lt;0,0,VLOOKUP(TableRBRanks3141[[#This Row],[RK]],'Ranks w Proj'!$P:$AB,13,FALSE))</f>
        <v/>
      </c>
      <c r="AD130">
        <v>129</v>
      </c>
      <c r="AE130">
        <f>VLOOKUP(TableWRRanks3242[[#This Row],[RK]],Rankings!A:T,13,FALSE)</f>
        <v>0</v>
      </c>
      <c r="AF130" t="str">
        <f>IFERROR(INDEX(TableWRCalcPts[TM],MATCH(TableWRRanks3242[[#This Row],[Player]],TableWRCalcPts[PLAYER],0)),"")</f>
        <v/>
      </c>
      <c r="AG130" t="str">
        <f>IFERROR(INDEX(TableWRCalcPts[BYE],MATCH(TableWRRanks3242[[#This Row],[Player]],TableWRCalcPts[PLAYER],0)),"")</f>
        <v/>
      </c>
      <c r="AH130" s="83">
        <f>VLOOKUP(TableWRRanks3242[[#This Row],[Player]],WR!B:O,4,FALSE)</f>
        <v>0</v>
      </c>
      <c r="AI130" s="83">
        <f>VLOOKUP(TableWRRanks3242[[#This Row],[Player]],WR!B:O,5,FALSE)</f>
        <v>0</v>
      </c>
      <c r="AJ130" s="83">
        <f>VLOOKUP(TableWRRanks3242[[#This Row],[Player]],WR!B:O,6,FALSE)</f>
        <v>0</v>
      </c>
      <c r="AK130" s="83">
        <f>VLOOKUP(TableWRRanks3242[[#This Row],[Player]],WR!B:O,7,FALSE)</f>
        <v>0</v>
      </c>
      <c r="AL130" s="83">
        <f>VLOOKUP(TableWRRanks3242[[#This Row],[Player]],WR!B:O,8,FALSE)</f>
        <v>0</v>
      </c>
      <c r="AM130" s="83">
        <f>VLOOKUP(TableWRRanks3242[[#This Row],[Player]],WR!B:O,9,FALSE)</f>
        <v>0</v>
      </c>
      <c r="AN130" s="57">
        <f>VLOOKUP(TableWRRanks3242[[#This Row],[Player]],WR!B:O,13,FALSE)</f>
        <v>0</v>
      </c>
      <c r="AO130" s="125">
        <f>IF(VLOOKUP(TableWRRanks3242[[#This Row],[RK]],'Ranks w Proj'!AD:AO,12,FALSE)&lt;0,0,VLOOKUP(TableWRRanks3242[[#This Row],[RK]],'Ranks w Proj'!AD:AO,12,FALSE))</f>
        <v>0</v>
      </c>
    </row>
    <row r="131" spans="16:41" x14ac:dyDescent="0.2">
      <c r="P131">
        <v>130</v>
      </c>
      <c r="Q131">
        <f>VLOOKUP(TableRBRanks3141[[#This Row],[RK]],Rankings!A:T,8,FALSE)</f>
        <v>0</v>
      </c>
      <c r="R131" t="str">
        <f>IFERROR(INDEX(TableRBCalcPts[TM],MATCH(TableRBRanks3141[[#This Row],[Player]],TableRBCalcPts[PLAYER],0)),"")</f>
        <v/>
      </c>
      <c r="S131" t="str">
        <f>IFERROR(INDEX(TableRBCalcPts[BYE],MATCH(TableRBRanks3141[[#This Row],[Player]],TableRBCalcPts[PLAYER],0)),"")</f>
        <v/>
      </c>
      <c r="T131" s="83">
        <f>VLOOKUP(TableRBRanks3141[[#This Row],[Player]],RB!B:O,4,FALSE)</f>
        <v>0</v>
      </c>
      <c r="U131" s="83">
        <f>VLOOKUP(TableRBRanks3141[[#This Row],[Player]],RB!B:O,5,FALSE)</f>
        <v>0</v>
      </c>
      <c r="V131" s="83">
        <f>VLOOKUP(TableRBRanks3141[[#This Row],[Player]],RB!B:O,6,FALSE)</f>
        <v>0</v>
      </c>
      <c r="W131" s="83">
        <f>VLOOKUP(TableRBRanks3141[[#This Row],[Player]],RB!B:O,7,FALSE)</f>
        <v>0</v>
      </c>
      <c r="X131" s="83">
        <f>VLOOKUP(TableRBRanks3141[[#This Row],[Player]],RB!B:O,8,FALSE)</f>
        <v>0</v>
      </c>
      <c r="Y131" s="83">
        <f>VLOOKUP(TableRBRanks3141[[#This Row],[Player]],RB!B:O,9,FALSE)</f>
        <v>0</v>
      </c>
      <c r="Z131" s="83">
        <f>VLOOKUP(TableRBRanks3141[[#This Row],[Player]],RB!B:O,10,FALSE)</f>
        <v>0</v>
      </c>
      <c r="AA131" s="57">
        <f>VLOOKUP(TableRBRanks3141[[#This Row],[Player]],RB!B:O,14,FALSE)</f>
        <v>0</v>
      </c>
      <c r="AB131" s="125" t="str">
        <f>IF(VLOOKUP(TableRBRanks3141[[#This Row],[RK]],'Ranks w Proj'!$P:$AB,13,FALSE)&lt;0,0,VLOOKUP(TableRBRanks3141[[#This Row],[RK]],'Ranks w Proj'!$P:$AB,13,FALSE))</f>
        <v/>
      </c>
      <c r="AD131">
        <v>130</v>
      </c>
      <c r="AE131">
        <f>VLOOKUP(TableWRRanks3242[[#This Row],[RK]],Rankings!A:T,13,FALSE)</f>
        <v>0</v>
      </c>
      <c r="AF131" t="str">
        <f>IFERROR(INDEX(TableWRCalcPts[TM],MATCH(TableWRRanks3242[[#This Row],[Player]],TableWRCalcPts[PLAYER],0)),"")</f>
        <v/>
      </c>
      <c r="AG131" t="str">
        <f>IFERROR(INDEX(TableWRCalcPts[BYE],MATCH(TableWRRanks3242[[#This Row],[Player]],TableWRCalcPts[PLAYER],0)),"")</f>
        <v/>
      </c>
      <c r="AH131" s="83">
        <f>VLOOKUP(TableWRRanks3242[[#This Row],[Player]],WR!B:O,4,FALSE)</f>
        <v>0</v>
      </c>
      <c r="AI131" s="83">
        <f>VLOOKUP(TableWRRanks3242[[#This Row],[Player]],WR!B:O,5,FALSE)</f>
        <v>0</v>
      </c>
      <c r="AJ131" s="83">
        <f>VLOOKUP(TableWRRanks3242[[#This Row],[Player]],WR!B:O,6,FALSE)</f>
        <v>0</v>
      </c>
      <c r="AK131" s="83">
        <f>VLOOKUP(TableWRRanks3242[[#This Row],[Player]],WR!B:O,7,FALSE)</f>
        <v>0</v>
      </c>
      <c r="AL131" s="83">
        <f>VLOOKUP(TableWRRanks3242[[#This Row],[Player]],WR!B:O,8,FALSE)</f>
        <v>0</v>
      </c>
      <c r="AM131" s="83">
        <f>VLOOKUP(TableWRRanks3242[[#This Row],[Player]],WR!B:O,9,FALSE)</f>
        <v>0</v>
      </c>
      <c r="AN131" s="57">
        <f>VLOOKUP(TableWRRanks3242[[#This Row],[Player]],WR!B:O,13,FALSE)</f>
        <v>0</v>
      </c>
      <c r="AO131" s="125">
        <f>IF(VLOOKUP(TableWRRanks3242[[#This Row],[RK]],'Ranks w Proj'!AD:AO,12,FALSE)&lt;0,0,VLOOKUP(TableWRRanks3242[[#This Row],[RK]],'Ranks w Proj'!AD:AO,12,FALSE))</f>
        <v>0</v>
      </c>
    </row>
    <row r="132" spans="16:41" x14ac:dyDescent="0.2">
      <c r="P132">
        <v>131</v>
      </c>
      <c r="Q132">
        <f>VLOOKUP(TableRBRanks3141[[#This Row],[RK]],Rankings!A:T,8,FALSE)</f>
        <v>0</v>
      </c>
      <c r="R132" t="str">
        <f>IFERROR(INDEX(TableRBCalcPts[TM],MATCH(TableRBRanks3141[[#This Row],[Player]],TableRBCalcPts[PLAYER],0)),"")</f>
        <v/>
      </c>
      <c r="S132" t="str">
        <f>IFERROR(INDEX(TableRBCalcPts[BYE],MATCH(TableRBRanks3141[[#This Row],[Player]],TableRBCalcPts[PLAYER],0)),"")</f>
        <v/>
      </c>
      <c r="T132" s="83">
        <f>VLOOKUP(TableRBRanks3141[[#This Row],[Player]],RB!B:O,4,FALSE)</f>
        <v>0</v>
      </c>
      <c r="U132" s="83">
        <f>VLOOKUP(TableRBRanks3141[[#This Row],[Player]],RB!B:O,5,FALSE)</f>
        <v>0</v>
      </c>
      <c r="V132" s="83">
        <f>VLOOKUP(TableRBRanks3141[[#This Row],[Player]],RB!B:O,6,FALSE)</f>
        <v>0</v>
      </c>
      <c r="W132" s="83">
        <f>VLOOKUP(TableRBRanks3141[[#This Row],[Player]],RB!B:O,7,FALSE)</f>
        <v>0</v>
      </c>
      <c r="X132" s="83">
        <f>VLOOKUP(TableRBRanks3141[[#This Row],[Player]],RB!B:O,8,FALSE)</f>
        <v>0</v>
      </c>
      <c r="Y132" s="83">
        <f>VLOOKUP(TableRBRanks3141[[#This Row],[Player]],RB!B:O,9,FALSE)</f>
        <v>0</v>
      </c>
      <c r="Z132" s="83">
        <f>VLOOKUP(TableRBRanks3141[[#This Row],[Player]],RB!B:O,10,FALSE)</f>
        <v>0</v>
      </c>
      <c r="AA132" s="57">
        <f>VLOOKUP(TableRBRanks3141[[#This Row],[Player]],RB!B:O,14,FALSE)</f>
        <v>0</v>
      </c>
      <c r="AB132" s="125" t="str">
        <f>IF(VLOOKUP(TableRBRanks3141[[#This Row],[RK]],'Ranks w Proj'!$P:$AB,13,FALSE)&lt;0,0,VLOOKUP(TableRBRanks3141[[#This Row],[RK]],'Ranks w Proj'!$P:$AB,13,FALSE))</f>
        <v/>
      </c>
      <c r="AD132">
        <v>131</v>
      </c>
      <c r="AE132">
        <f>VLOOKUP(TableWRRanks3242[[#This Row],[RK]],Rankings!A:T,13,FALSE)</f>
        <v>0</v>
      </c>
      <c r="AF132" t="str">
        <f>IFERROR(INDEX(TableWRCalcPts[TM],MATCH(TableWRRanks3242[[#This Row],[Player]],TableWRCalcPts[PLAYER],0)),"")</f>
        <v/>
      </c>
      <c r="AG132" t="str">
        <f>IFERROR(INDEX(TableWRCalcPts[BYE],MATCH(TableWRRanks3242[[#This Row],[Player]],TableWRCalcPts[PLAYER],0)),"")</f>
        <v/>
      </c>
      <c r="AH132" s="83">
        <f>VLOOKUP(TableWRRanks3242[[#This Row],[Player]],WR!B:O,4,FALSE)</f>
        <v>0</v>
      </c>
      <c r="AI132" s="83">
        <f>VLOOKUP(TableWRRanks3242[[#This Row],[Player]],WR!B:O,5,FALSE)</f>
        <v>0</v>
      </c>
      <c r="AJ132" s="83">
        <f>VLOOKUP(TableWRRanks3242[[#This Row],[Player]],WR!B:O,6,FALSE)</f>
        <v>0</v>
      </c>
      <c r="AK132" s="83">
        <f>VLOOKUP(TableWRRanks3242[[#This Row],[Player]],WR!B:O,7,FALSE)</f>
        <v>0</v>
      </c>
      <c r="AL132" s="83">
        <f>VLOOKUP(TableWRRanks3242[[#This Row],[Player]],WR!B:O,8,FALSE)</f>
        <v>0</v>
      </c>
      <c r="AM132" s="83">
        <f>VLOOKUP(TableWRRanks3242[[#This Row],[Player]],WR!B:O,9,FALSE)</f>
        <v>0</v>
      </c>
      <c r="AN132" s="57">
        <f>VLOOKUP(TableWRRanks3242[[#This Row],[Player]],WR!B:O,13,FALSE)</f>
        <v>0</v>
      </c>
      <c r="AO132" s="125">
        <f>IF(VLOOKUP(TableWRRanks3242[[#This Row],[RK]],'Ranks w Proj'!AD:AO,12,FALSE)&lt;0,0,VLOOKUP(TableWRRanks3242[[#This Row],[RK]],'Ranks w Proj'!AD:AO,12,FALSE))</f>
        <v>0</v>
      </c>
    </row>
    <row r="133" spans="16:41" x14ac:dyDescent="0.2">
      <c r="P133">
        <v>132</v>
      </c>
      <c r="Q133">
        <f>VLOOKUP(TableRBRanks3141[[#This Row],[RK]],Rankings!A:T,8,FALSE)</f>
        <v>0</v>
      </c>
      <c r="R133" t="str">
        <f>IFERROR(INDEX(TableRBCalcPts[TM],MATCH(TableRBRanks3141[[#This Row],[Player]],TableRBCalcPts[PLAYER],0)),"")</f>
        <v/>
      </c>
      <c r="S133" t="str">
        <f>IFERROR(INDEX(TableRBCalcPts[BYE],MATCH(TableRBRanks3141[[#This Row],[Player]],TableRBCalcPts[PLAYER],0)),"")</f>
        <v/>
      </c>
      <c r="T133" s="83">
        <f>VLOOKUP(TableRBRanks3141[[#This Row],[Player]],RB!B:O,4,FALSE)</f>
        <v>0</v>
      </c>
      <c r="U133" s="83">
        <f>VLOOKUP(TableRBRanks3141[[#This Row],[Player]],RB!B:O,5,FALSE)</f>
        <v>0</v>
      </c>
      <c r="V133" s="83">
        <f>VLOOKUP(TableRBRanks3141[[#This Row],[Player]],RB!B:O,6,FALSE)</f>
        <v>0</v>
      </c>
      <c r="W133" s="83">
        <f>VLOOKUP(TableRBRanks3141[[#This Row],[Player]],RB!B:O,7,FALSE)</f>
        <v>0</v>
      </c>
      <c r="X133" s="83">
        <f>VLOOKUP(TableRBRanks3141[[#This Row],[Player]],RB!B:O,8,FALSE)</f>
        <v>0</v>
      </c>
      <c r="Y133" s="83">
        <f>VLOOKUP(TableRBRanks3141[[#This Row],[Player]],RB!B:O,9,FALSE)</f>
        <v>0</v>
      </c>
      <c r="Z133" s="83">
        <f>VLOOKUP(TableRBRanks3141[[#This Row],[Player]],RB!B:O,10,FALSE)</f>
        <v>0</v>
      </c>
      <c r="AA133" s="57">
        <f>VLOOKUP(TableRBRanks3141[[#This Row],[Player]],RB!B:O,14,FALSE)</f>
        <v>0</v>
      </c>
      <c r="AB133" s="125" t="str">
        <f>IF(VLOOKUP(TableRBRanks3141[[#This Row],[RK]],'Ranks w Proj'!$P:$AB,13,FALSE)&lt;0,0,VLOOKUP(TableRBRanks3141[[#This Row],[RK]],'Ranks w Proj'!$P:$AB,13,FALSE))</f>
        <v/>
      </c>
      <c r="AD133">
        <v>132</v>
      </c>
      <c r="AE133">
        <f>VLOOKUP(TableWRRanks3242[[#This Row],[RK]],Rankings!A:T,13,FALSE)</f>
        <v>0</v>
      </c>
      <c r="AF133" t="str">
        <f>IFERROR(INDEX(TableWRCalcPts[TM],MATCH(TableWRRanks3242[[#This Row],[Player]],TableWRCalcPts[PLAYER],0)),"")</f>
        <v/>
      </c>
      <c r="AG133" t="str">
        <f>IFERROR(INDEX(TableWRCalcPts[BYE],MATCH(TableWRRanks3242[[#This Row],[Player]],TableWRCalcPts[PLAYER],0)),"")</f>
        <v/>
      </c>
      <c r="AH133" s="83">
        <f>VLOOKUP(TableWRRanks3242[[#This Row],[Player]],WR!B:O,4,FALSE)</f>
        <v>0</v>
      </c>
      <c r="AI133" s="83">
        <f>VLOOKUP(TableWRRanks3242[[#This Row],[Player]],WR!B:O,5,FALSE)</f>
        <v>0</v>
      </c>
      <c r="AJ133" s="83">
        <f>VLOOKUP(TableWRRanks3242[[#This Row],[Player]],WR!B:O,6,FALSE)</f>
        <v>0</v>
      </c>
      <c r="AK133" s="83">
        <f>VLOOKUP(TableWRRanks3242[[#This Row],[Player]],WR!B:O,7,FALSE)</f>
        <v>0</v>
      </c>
      <c r="AL133" s="83">
        <f>VLOOKUP(TableWRRanks3242[[#This Row],[Player]],WR!B:O,8,FALSE)</f>
        <v>0</v>
      </c>
      <c r="AM133" s="83">
        <f>VLOOKUP(TableWRRanks3242[[#This Row],[Player]],WR!B:O,9,FALSE)</f>
        <v>0</v>
      </c>
      <c r="AN133" s="57">
        <f>VLOOKUP(TableWRRanks3242[[#This Row],[Player]],WR!B:O,13,FALSE)</f>
        <v>0</v>
      </c>
      <c r="AO133" s="125">
        <f>IF(VLOOKUP(TableWRRanks3242[[#This Row],[RK]],'Ranks w Proj'!AD:AO,12,FALSE)&lt;0,0,VLOOKUP(TableWRRanks3242[[#This Row],[RK]],'Ranks w Proj'!AD:AO,12,FALSE))</f>
        <v>0</v>
      </c>
    </row>
    <row r="134" spans="16:41" x14ac:dyDescent="0.2">
      <c r="P134">
        <v>133</v>
      </c>
      <c r="Q134">
        <f>VLOOKUP(TableRBRanks3141[[#This Row],[RK]],Rankings!A:T,8,FALSE)</f>
        <v>0</v>
      </c>
      <c r="R134" t="str">
        <f>IFERROR(INDEX(TableRBCalcPts[TM],MATCH(TableRBRanks3141[[#This Row],[Player]],TableRBCalcPts[PLAYER],0)),"")</f>
        <v/>
      </c>
      <c r="S134" t="str">
        <f>IFERROR(INDEX(TableRBCalcPts[BYE],MATCH(TableRBRanks3141[[#This Row],[Player]],TableRBCalcPts[PLAYER],0)),"")</f>
        <v/>
      </c>
      <c r="T134" s="83">
        <f>VLOOKUP(TableRBRanks3141[[#This Row],[Player]],RB!B:O,4,FALSE)</f>
        <v>0</v>
      </c>
      <c r="U134" s="83">
        <f>VLOOKUP(TableRBRanks3141[[#This Row],[Player]],RB!B:O,5,FALSE)</f>
        <v>0</v>
      </c>
      <c r="V134" s="83">
        <f>VLOOKUP(TableRBRanks3141[[#This Row],[Player]],RB!B:O,6,FALSE)</f>
        <v>0</v>
      </c>
      <c r="W134" s="83">
        <f>VLOOKUP(TableRBRanks3141[[#This Row],[Player]],RB!B:O,7,FALSE)</f>
        <v>0</v>
      </c>
      <c r="X134" s="83">
        <f>VLOOKUP(TableRBRanks3141[[#This Row],[Player]],RB!B:O,8,FALSE)</f>
        <v>0</v>
      </c>
      <c r="Y134" s="83">
        <f>VLOOKUP(TableRBRanks3141[[#This Row],[Player]],RB!B:O,9,FALSE)</f>
        <v>0</v>
      </c>
      <c r="Z134" s="83">
        <f>VLOOKUP(TableRBRanks3141[[#This Row],[Player]],RB!B:O,10,FALSE)</f>
        <v>0</v>
      </c>
      <c r="AA134" s="57">
        <f>VLOOKUP(TableRBRanks3141[[#This Row],[Player]],RB!B:O,14,FALSE)</f>
        <v>0</v>
      </c>
      <c r="AB134" s="125" t="str">
        <f>IF(VLOOKUP(TableRBRanks3141[[#This Row],[RK]],'Ranks w Proj'!$P:$AB,13,FALSE)&lt;0,0,VLOOKUP(TableRBRanks3141[[#This Row],[RK]],'Ranks w Proj'!$P:$AB,13,FALSE))</f>
        <v/>
      </c>
      <c r="AD134">
        <v>133</v>
      </c>
      <c r="AE134">
        <f>VLOOKUP(TableWRRanks3242[[#This Row],[RK]],Rankings!A:T,13,FALSE)</f>
        <v>0</v>
      </c>
      <c r="AF134" t="str">
        <f>IFERROR(INDEX(TableWRCalcPts[TM],MATCH(TableWRRanks3242[[#This Row],[Player]],TableWRCalcPts[PLAYER],0)),"")</f>
        <v/>
      </c>
      <c r="AG134" t="str">
        <f>IFERROR(INDEX(TableWRCalcPts[BYE],MATCH(TableWRRanks3242[[#This Row],[Player]],TableWRCalcPts[PLAYER],0)),"")</f>
        <v/>
      </c>
      <c r="AH134" s="83">
        <f>VLOOKUP(TableWRRanks3242[[#This Row],[Player]],WR!B:O,4,FALSE)</f>
        <v>0</v>
      </c>
      <c r="AI134" s="83">
        <f>VLOOKUP(TableWRRanks3242[[#This Row],[Player]],WR!B:O,5,FALSE)</f>
        <v>0</v>
      </c>
      <c r="AJ134" s="83">
        <f>VLOOKUP(TableWRRanks3242[[#This Row],[Player]],WR!B:O,6,FALSE)</f>
        <v>0</v>
      </c>
      <c r="AK134" s="83">
        <f>VLOOKUP(TableWRRanks3242[[#This Row],[Player]],WR!B:O,7,FALSE)</f>
        <v>0</v>
      </c>
      <c r="AL134" s="83">
        <f>VLOOKUP(TableWRRanks3242[[#This Row],[Player]],WR!B:O,8,FALSE)</f>
        <v>0</v>
      </c>
      <c r="AM134" s="83">
        <f>VLOOKUP(TableWRRanks3242[[#This Row],[Player]],WR!B:O,9,FALSE)</f>
        <v>0</v>
      </c>
      <c r="AN134" s="57">
        <f>VLOOKUP(TableWRRanks3242[[#This Row],[Player]],WR!B:O,13,FALSE)</f>
        <v>0</v>
      </c>
      <c r="AO134" s="125">
        <f>IF(VLOOKUP(TableWRRanks3242[[#This Row],[RK]],'Ranks w Proj'!AD:AO,12,FALSE)&lt;0,0,VLOOKUP(TableWRRanks3242[[#This Row],[RK]],'Ranks w Proj'!AD:AO,12,FALSE))</f>
        <v>0</v>
      </c>
    </row>
    <row r="135" spans="16:41" x14ac:dyDescent="0.2">
      <c r="P135">
        <v>134</v>
      </c>
      <c r="Q135">
        <f>VLOOKUP(TableRBRanks3141[[#This Row],[RK]],Rankings!A:T,8,FALSE)</f>
        <v>0</v>
      </c>
      <c r="R135" t="str">
        <f>IFERROR(INDEX(TableRBCalcPts[TM],MATCH(TableRBRanks3141[[#This Row],[Player]],TableRBCalcPts[PLAYER],0)),"")</f>
        <v/>
      </c>
      <c r="S135" t="str">
        <f>IFERROR(INDEX(TableRBCalcPts[BYE],MATCH(TableRBRanks3141[[#This Row],[Player]],TableRBCalcPts[PLAYER],0)),"")</f>
        <v/>
      </c>
      <c r="T135" s="83">
        <f>VLOOKUP(TableRBRanks3141[[#This Row],[Player]],RB!B:O,4,FALSE)</f>
        <v>0</v>
      </c>
      <c r="U135" s="83">
        <f>VLOOKUP(TableRBRanks3141[[#This Row],[Player]],RB!B:O,5,FALSE)</f>
        <v>0</v>
      </c>
      <c r="V135" s="83">
        <f>VLOOKUP(TableRBRanks3141[[#This Row],[Player]],RB!B:O,6,FALSE)</f>
        <v>0</v>
      </c>
      <c r="W135" s="83">
        <f>VLOOKUP(TableRBRanks3141[[#This Row],[Player]],RB!B:O,7,FALSE)</f>
        <v>0</v>
      </c>
      <c r="X135" s="83">
        <f>VLOOKUP(TableRBRanks3141[[#This Row],[Player]],RB!B:O,8,FALSE)</f>
        <v>0</v>
      </c>
      <c r="Y135" s="83">
        <f>VLOOKUP(TableRBRanks3141[[#This Row],[Player]],RB!B:O,9,FALSE)</f>
        <v>0</v>
      </c>
      <c r="Z135" s="83">
        <f>VLOOKUP(TableRBRanks3141[[#This Row],[Player]],RB!B:O,10,FALSE)</f>
        <v>0</v>
      </c>
      <c r="AA135" s="57">
        <f>VLOOKUP(TableRBRanks3141[[#This Row],[Player]],RB!B:O,14,FALSE)</f>
        <v>0</v>
      </c>
      <c r="AB135" s="125" t="str">
        <f>IF(VLOOKUP(TableRBRanks3141[[#This Row],[RK]],'Ranks w Proj'!$P:$AB,13,FALSE)&lt;0,0,VLOOKUP(TableRBRanks3141[[#This Row],[RK]],'Ranks w Proj'!$P:$AB,13,FALSE))</f>
        <v/>
      </c>
      <c r="AD135">
        <v>134</v>
      </c>
      <c r="AE135">
        <f>VLOOKUP(TableWRRanks3242[[#This Row],[RK]],Rankings!A:T,13,FALSE)</f>
        <v>0</v>
      </c>
      <c r="AF135" t="str">
        <f>IFERROR(INDEX(TableWRCalcPts[TM],MATCH(TableWRRanks3242[[#This Row],[Player]],TableWRCalcPts[PLAYER],0)),"")</f>
        <v/>
      </c>
      <c r="AG135" t="str">
        <f>IFERROR(INDEX(TableWRCalcPts[BYE],MATCH(TableWRRanks3242[[#This Row],[Player]],TableWRCalcPts[PLAYER],0)),"")</f>
        <v/>
      </c>
      <c r="AH135" s="83">
        <f>VLOOKUP(TableWRRanks3242[[#This Row],[Player]],WR!B:O,4,FALSE)</f>
        <v>0</v>
      </c>
      <c r="AI135" s="83">
        <f>VLOOKUP(TableWRRanks3242[[#This Row],[Player]],WR!B:O,5,FALSE)</f>
        <v>0</v>
      </c>
      <c r="AJ135" s="83">
        <f>VLOOKUP(TableWRRanks3242[[#This Row],[Player]],WR!B:O,6,FALSE)</f>
        <v>0</v>
      </c>
      <c r="AK135" s="83">
        <f>VLOOKUP(TableWRRanks3242[[#This Row],[Player]],WR!B:O,7,FALSE)</f>
        <v>0</v>
      </c>
      <c r="AL135" s="83">
        <f>VLOOKUP(TableWRRanks3242[[#This Row],[Player]],WR!B:O,8,FALSE)</f>
        <v>0</v>
      </c>
      <c r="AM135" s="83">
        <f>VLOOKUP(TableWRRanks3242[[#This Row],[Player]],WR!B:O,9,FALSE)</f>
        <v>0</v>
      </c>
      <c r="AN135" s="57">
        <f>VLOOKUP(TableWRRanks3242[[#This Row],[Player]],WR!B:O,13,FALSE)</f>
        <v>0</v>
      </c>
      <c r="AO135" s="125">
        <f>IF(VLOOKUP(TableWRRanks3242[[#This Row],[RK]],'Ranks w Proj'!AD:AO,12,FALSE)&lt;0,0,VLOOKUP(TableWRRanks3242[[#This Row],[RK]],'Ranks w Proj'!AD:AO,12,FALSE))</f>
        <v>0</v>
      </c>
    </row>
    <row r="136" spans="16:41" x14ac:dyDescent="0.2">
      <c r="P136">
        <v>135</v>
      </c>
      <c r="Q136">
        <f>VLOOKUP(TableRBRanks3141[[#This Row],[RK]],Rankings!A:T,8,FALSE)</f>
        <v>0</v>
      </c>
      <c r="R136" t="str">
        <f>IFERROR(INDEX(TableRBCalcPts[TM],MATCH(TableRBRanks3141[[#This Row],[Player]],TableRBCalcPts[PLAYER],0)),"")</f>
        <v/>
      </c>
      <c r="S136" t="str">
        <f>IFERROR(INDEX(TableRBCalcPts[BYE],MATCH(TableRBRanks3141[[#This Row],[Player]],TableRBCalcPts[PLAYER],0)),"")</f>
        <v/>
      </c>
      <c r="T136" s="83">
        <f>VLOOKUP(TableRBRanks3141[[#This Row],[Player]],RB!B:O,4,FALSE)</f>
        <v>0</v>
      </c>
      <c r="U136" s="83">
        <f>VLOOKUP(TableRBRanks3141[[#This Row],[Player]],RB!B:O,5,FALSE)</f>
        <v>0</v>
      </c>
      <c r="V136" s="83">
        <f>VLOOKUP(TableRBRanks3141[[#This Row],[Player]],RB!B:O,6,FALSE)</f>
        <v>0</v>
      </c>
      <c r="W136" s="83">
        <f>VLOOKUP(TableRBRanks3141[[#This Row],[Player]],RB!B:O,7,FALSE)</f>
        <v>0</v>
      </c>
      <c r="X136" s="83">
        <f>VLOOKUP(TableRBRanks3141[[#This Row],[Player]],RB!B:O,8,FALSE)</f>
        <v>0</v>
      </c>
      <c r="Y136" s="83">
        <f>VLOOKUP(TableRBRanks3141[[#This Row],[Player]],RB!B:O,9,FALSE)</f>
        <v>0</v>
      </c>
      <c r="Z136" s="83">
        <f>VLOOKUP(TableRBRanks3141[[#This Row],[Player]],RB!B:O,10,FALSE)</f>
        <v>0</v>
      </c>
      <c r="AA136" s="57">
        <f>VLOOKUP(TableRBRanks3141[[#This Row],[Player]],RB!B:O,14,FALSE)</f>
        <v>0</v>
      </c>
      <c r="AB136" s="125" t="str">
        <f>IF(VLOOKUP(TableRBRanks3141[[#This Row],[RK]],'Ranks w Proj'!$P:$AB,13,FALSE)&lt;0,0,VLOOKUP(TableRBRanks3141[[#This Row],[RK]],'Ranks w Proj'!$P:$AB,13,FALSE))</f>
        <v/>
      </c>
      <c r="AD136">
        <v>135</v>
      </c>
      <c r="AE136">
        <f>VLOOKUP(TableWRRanks3242[[#This Row],[RK]],Rankings!A:T,13,FALSE)</f>
        <v>0</v>
      </c>
      <c r="AF136" t="str">
        <f>IFERROR(INDEX(TableWRCalcPts[TM],MATCH(TableWRRanks3242[[#This Row],[Player]],TableWRCalcPts[PLAYER],0)),"")</f>
        <v/>
      </c>
      <c r="AG136" t="str">
        <f>IFERROR(INDEX(TableWRCalcPts[BYE],MATCH(TableWRRanks3242[[#This Row],[Player]],TableWRCalcPts[PLAYER],0)),"")</f>
        <v/>
      </c>
      <c r="AH136" s="83">
        <f>VLOOKUP(TableWRRanks3242[[#This Row],[Player]],WR!B:O,4,FALSE)</f>
        <v>0</v>
      </c>
      <c r="AI136" s="83">
        <f>VLOOKUP(TableWRRanks3242[[#This Row],[Player]],WR!B:O,5,FALSE)</f>
        <v>0</v>
      </c>
      <c r="AJ136" s="83">
        <f>VLOOKUP(TableWRRanks3242[[#This Row],[Player]],WR!B:O,6,FALSE)</f>
        <v>0</v>
      </c>
      <c r="AK136" s="83">
        <f>VLOOKUP(TableWRRanks3242[[#This Row],[Player]],WR!B:O,7,FALSE)</f>
        <v>0</v>
      </c>
      <c r="AL136" s="83">
        <f>VLOOKUP(TableWRRanks3242[[#This Row],[Player]],WR!B:O,8,FALSE)</f>
        <v>0</v>
      </c>
      <c r="AM136" s="83">
        <f>VLOOKUP(TableWRRanks3242[[#This Row],[Player]],WR!B:O,9,FALSE)</f>
        <v>0</v>
      </c>
      <c r="AN136" s="57">
        <f>VLOOKUP(TableWRRanks3242[[#This Row],[Player]],WR!B:O,13,FALSE)</f>
        <v>0</v>
      </c>
      <c r="AO136" s="125">
        <f>IF(VLOOKUP(TableWRRanks3242[[#This Row],[RK]],'Ranks w Proj'!AD:AO,12,FALSE)&lt;0,0,VLOOKUP(TableWRRanks3242[[#This Row],[RK]],'Ranks w Proj'!AD:AO,12,FALSE))</f>
        <v>0</v>
      </c>
    </row>
    <row r="137" spans="16:41" x14ac:dyDescent="0.2">
      <c r="P137">
        <v>136</v>
      </c>
      <c r="Q137">
        <f>VLOOKUP(TableRBRanks3141[[#This Row],[RK]],Rankings!A:T,8,FALSE)</f>
        <v>0</v>
      </c>
      <c r="R137" t="str">
        <f>IFERROR(INDEX(TableRBCalcPts[TM],MATCH(TableRBRanks3141[[#This Row],[Player]],TableRBCalcPts[PLAYER],0)),"")</f>
        <v/>
      </c>
      <c r="S137" t="str">
        <f>IFERROR(INDEX(TableRBCalcPts[BYE],MATCH(TableRBRanks3141[[#This Row],[Player]],TableRBCalcPts[PLAYER],0)),"")</f>
        <v/>
      </c>
      <c r="T137" s="83">
        <f>VLOOKUP(TableRBRanks3141[[#This Row],[Player]],RB!B:O,4,FALSE)</f>
        <v>0</v>
      </c>
      <c r="U137" s="83">
        <f>VLOOKUP(TableRBRanks3141[[#This Row],[Player]],RB!B:O,5,FALSE)</f>
        <v>0</v>
      </c>
      <c r="V137" s="83">
        <f>VLOOKUP(TableRBRanks3141[[#This Row],[Player]],RB!B:O,6,FALSE)</f>
        <v>0</v>
      </c>
      <c r="W137" s="83">
        <f>VLOOKUP(TableRBRanks3141[[#This Row],[Player]],RB!B:O,7,FALSE)</f>
        <v>0</v>
      </c>
      <c r="X137" s="83">
        <f>VLOOKUP(TableRBRanks3141[[#This Row],[Player]],RB!B:O,8,FALSE)</f>
        <v>0</v>
      </c>
      <c r="Y137" s="83">
        <f>VLOOKUP(TableRBRanks3141[[#This Row],[Player]],RB!B:O,9,FALSE)</f>
        <v>0</v>
      </c>
      <c r="Z137" s="83">
        <f>VLOOKUP(TableRBRanks3141[[#This Row],[Player]],RB!B:O,10,FALSE)</f>
        <v>0</v>
      </c>
      <c r="AA137" s="57">
        <f>VLOOKUP(TableRBRanks3141[[#This Row],[Player]],RB!B:O,14,FALSE)</f>
        <v>0</v>
      </c>
      <c r="AB137" s="125" t="str">
        <f>IF(VLOOKUP(TableRBRanks3141[[#This Row],[RK]],'Ranks w Proj'!$P:$AB,13,FALSE)&lt;0,0,VLOOKUP(TableRBRanks3141[[#This Row],[RK]],'Ranks w Proj'!$P:$AB,13,FALSE))</f>
        <v/>
      </c>
      <c r="AD137">
        <v>136</v>
      </c>
      <c r="AE137">
        <f>VLOOKUP(TableWRRanks3242[[#This Row],[RK]],Rankings!A:T,13,FALSE)</f>
        <v>0</v>
      </c>
      <c r="AF137" t="str">
        <f>IFERROR(INDEX(TableWRCalcPts[TM],MATCH(TableWRRanks3242[[#This Row],[Player]],TableWRCalcPts[PLAYER],0)),"")</f>
        <v/>
      </c>
      <c r="AG137" t="str">
        <f>IFERROR(INDEX(TableWRCalcPts[BYE],MATCH(TableWRRanks3242[[#This Row],[Player]],TableWRCalcPts[PLAYER],0)),"")</f>
        <v/>
      </c>
      <c r="AH137" s="83">
        <f>VLOOKUP(TableWRRanks3242[[#This Row],[Player]],WR!B:O,4,FALSE)</f>
        <v>0</v>
      </c>
      <c r="AI137" s="83">
        <f>VLOOKUP(TableWRRanks3242[[#This Row],[Player]],WR!B:O,5,FALSE)</f>
        <v>0</v>
      </c>
      <c r="AJ137" s="83">
        <f>VLOOKUP(TableWRRanks3242[[#This Row],[Player]],WR!B:O,6,FALSE)</f>
        <v>0</v>
      </c>
      <c r="AK137" s="83">
        <f>VLOOKUP(TableWRRanks3242[[#This Row],[Player]],WR!B:O,7,FALSE)</f>
        <v>0</v>
      </c>
      <c r="AL137" s="83">
        <f>VLOOKUP(TableWRRanks3242[[#This Row],[Player]],WR!B:O,8,FALSE)</f>
        <v>0</v>
      </c>
      <c r="AM137" s="83">
        <f>VLOOKUP(TableWRRanks3242[[#This Row],[Player]],WR!B:O,9,FALSE)</f>
        <v>0</v>
      </c>
      <c r="AN137" s="57">
        <f>VLOOKUP(TableWRRanks3242[[#This Row],[Player]],WR!B:O,13,FALSE)</f>
        <v>0</v>
      </c>
      <c r="AO137" s="125">
        <f>IF(VLOOKUP(TableWRRanks3242[[#This Row],[RK]],'Ranks w Proj'!AD:AO,12,FALSE)&lt;0,0,VLOOKUP(TableWRRanks3242[[#This Row],[RK]],'Ranks w Proj'!AD:AO,12,FALSE))</f>
        <v>0</v>
      </c>
    </row>
    <row r="138" spans="16:41" x14ac:dyDescent="0.2">
      <c r="P138">
        <v>137</v>
      </c>
      <c r="Q138">
        <f>VLOOKUP(TableRBRanks3141[[#This Row],[RK]],Rankings!A:T,8,FALSE)</f>
        <v>0</v>
      </c>
      <c r="R138" t="str">
        <f>IFERROR(INDEX(TableRBCalcPts[TM],MATCH(TableRBRanks3141[[#This Row],[Player]],TableRBCalcPts[PLAYER],0)),"")</f>
        <v/>
      </c>
      <c r="S138" t="str">
        <f>IFERROR(INDEX(TableRBCalcPts[BYE],MATCH(TableRBRanks3141[[#This Row],[Player]],TableRBCalcPts[PLAYER],0)),"")</f>
        <v/>
      </c>
      <c r="T138" s="83">
        <f>VLOOKUP(TableRBRanks3141[[#This Row],[Player]],RB!B:O,4,FALSE)</f>
        <v>0</v>
      </c>
      <c r="U138" s="83">
        <f>VLOOKUP(TableRBRanks3141[[#This Row],[Player]],RB!B:O,5,FALSE)</f>
        <v>0</v>
      </c>
      <c r="V138" s="83">
        <f>VLOOKUP(TableRBRanks3141[[#This Row],[Player]],RB!B:O,6,FALSE)</f>
        <v>0</v>
      </c>
      <c r="W138" s="83">
        <f>VLOOKUP(TableRBRanks3141[[#This Row],[Player]],RB!B:O,7,FALSE)</f>
        <v>0</v>
      </c>
      <c r="X138" s="83">
        <f>VLOOKUP(TableRBRanks3141[[#This Row],[Player]],RB!B:O,8,FALSE)</f>
        <v>0</v>
      </c>
      <c r="Y138" s="83">
        <f>VLOOKUP(TableRBRanks3141[[#This Row],[Player]],RB!B:O,9,FALSE)</f>
        <v>0</v>
      </c>
      <c r="Z138" s="83">
        <f>VLOOKUP(TableRBRanks3141[[#This Row],[Player]],RB!B:O,10,FALSE)</f>
        <v>0</v>
      </c>
      <c r="AA138" s="57">
        <f>VLOOKUP(TableRBRanks3141[[#This Row],[Player]],RB!B:O,14,FALSE)</f>
        <v>0</v>
      </c>
      <c r="AB138" s="125" t="str">
        <f>IF(VLOOKUP(TableRBRanks3141[[#This Row],[RK]],'Ranks w Proj'!$P:$AB,13,FALSE)&lt;0,0,VLOOKUP(TableRBRanks3141[[#This Row],[RK]],'Ranks w Proj'!$P:$AB,13,FALSE))</f>
        <v/>
      </c>
      <c r="AD138">
        <v>137</v>
      </c>
      <c r="AE138">
        <f>VLOOKUP(TableWRRanks3242[[#This Row],[RK]],Rankings!A:T,13,FALSE)</f>
        <v>0</v>
      </c>
      <c r="AF138" t="str">
        <f>IFERROR(INDEX(TableWRCalcPts[TM],MATCH(TableWRRanks3242[[#This Row],[Player]],TableWRCalcPts[PLAYER],0)),"")</f>
        <v/>
      </c>
      <c r="AG138" t="str">
        <f>IFERROR(INDEX(TableWRCalcPts[BYE],MATCH(TableWRRanks3242[[#This Row],[Player]],TableWRCalcPts[PLAYER],0)),"")</f>
        <v/>
      </c>
      <c r="AH138" s="83">
        <f>VLOOKUP(TableWRRanks3242[[#This Row],[Player]],WR!B:O,4,FALSE)</f>
        <v>0</v>
      </c>
      <c r="AI138" s="83">
        <f>VLOOKUP(TableWRRanks3242[[#This Row],[Player]],WR!B:O,5,FALSE)</f>
        <v>0</v>
      </c>
      <c r="AJ138" s="83">
        <f>VLOOKUP(TableWRRanks3242[[#This Row],[Player]],WR!B:O,6,FALSE)</f>
        <v>0</v>
      </c>
      <c r="AK138" s="83">
        <f>VLOOKUP(TableWRRanks3242[[#This Row],[Player]],WR!B:O,7,FALSE)</f>
        <v>0</v>
      </c>
      <c r="AL138" s="83">
        <f>VLOOKUP(TableWRRanks3242[[#This Row],[Player]],WR!B:O,8,FALSE)</f>
        <v>0</v>
      </c>
      <c r="AM138" s="83">
        <f>VLOOKUP(TableWRRanks3242[[#This Row],[Player]],WR!B:O,9,FALSE)</f>
        <v>0</v>
      </c>
      <c r="AN138" s="57">
        <f>VLOOKUP(TableWRRanks3242[[#This Row],[Player]],WR!B:O,13,FALSE)</f>
        <v>0</v>
      </c>
      <c r="AO138" s="125">
        <f>IF(VLOOKUP(TableWRRanks3242[[#This Row],[RK]],'Ranks w Proj'!AD:AO,12,FALSE)&lt;0,0,VLOOKUP(TableWRRanks3242[[#This Row],[RK]],'Ranks w Proj'!AD:AO,12,FALSE))</f>
        <v>0</v>
      </c>
    </row>
    <row r="139" spans="16:41" x14ac:dyDescent="0.2">
      <c r="P139">
        <v>138</v>
      </c>
      <c r="Q139">
        <f>VLOOKUP(TableRBRanks3141[[#This Row],[RK]],Rankings!A:T,8,FALSE)</f>
        <v>0</v>
      </c>
      <c r="R139" t="str">
        <f>IFERROR(INDEX(TableRBCalcPts[TM],MATCH(TableRBRanks3141[[#This Row],[Player]],TableRBCalcPts[PLAYER],0)),"")</f>
        <v/>
      </c>
      <c r="S139" t="str">
        <f>IFERROR(INDEX(TableRBCalcPts[BYE],MATCH(TableRBRanks3141[[#This Row],[Player]],TableRBCalcPts[PLAYER],0)),"")</f>
        <v/>
      </c>
      <c r="T139" s="83">
        <f>VLOOKUP(TableRBRanks3141[[#This Row],[Player]],RB!B:O,4,FALSE)</f>
        <v>0</v>
      </c>
      <c r="U139" s="83">
        <f>VLOOKUP(TableRBRanks3141[[#This Row],[Player]],RB!B:O,5,FALSE)</f>
        <v>0</v>
      </c>
      <c r="V139" s="83">
        <f>VLOOKUP(TableRBRanks3141[[#This Row],[Player]],RB!B:O,6,FALSE)</f>
        <v>0</v>
      </c>
      <c r="W139" s="83">
        <f>VLOOKUP(TableRBRanks3141[[#This Row],[Player]],RB!B:O,7,FALSE)</f>
        <v>0</v>
      </c>
      <c r="X139" s="83">
        <f>VLOOKUP(TableRBRanks3141[[#This Row],[Player]],RB!B:O,8,FALSE)</f>
        <v>0</v>
      </c>
      <c r="Y139" s="83">
        <f>VLOOKUP(TableRBRanks3141[[#This Row],[Player]],RB!B:O,9,FALSE)</f>
        <v>0</v>
      </c>
      <c r="Z139" s="83">
        <f>VLOOKUP(TableRBRanks3141[[#This Row],[Player]],RB!B:O,10,FALSE)</f>
        <v>0</v>
      </c>
      <c r="AA139" s="57">
        <f>VLOOKUP(TableRBRanks3141[[#This Row],[Player]],RB!B:O,14,FALSE)</f>
        <v>0</v>
      </c>
      <c r="AB139" s="125" t="str">
        <f>IF(VLOOKUP(TableRBRanks3141[[#This Row],[RK]],'Ranks w Proj'!$P:$AB,13,FALSE)&lt;0,0,VLOOKUP(TableRBRanks3141[[#This Row],[RK]],'Ranks w Proj'!$P:$AB,13,FALSE))</f>
        <v/>
      </c>
      <c r="AD139">
        <v>138</v>
      </c>
      <c r="AE139">
        <f>VLOOKUP(TableWRRanks3242[[#This Row],[RK]],Rankings!A:T,13,FALSE)</f>
        <v>0</v>
      </c>
      <c r="AF139" t="str">
        <f>IFERROR(INDEX(TableWRCalcPts[TM],MATCH(TableWRRanks3242[[#This Row],[Player]],TableWRCalcPts[PLAYER],0)),"")</f>
        <v/>
      </c>
      <c r="AG139" t="str">
        <f>IFERROR(INDEX(TableWRCalcPts[BYE],MATCH(TableWRRanks3242[[#This Row],[Player]],TableWRCalcPts[PLAYER],0)),"")</f>
        <v/>
      </c>
      <c r="AH139" s="83">
        <f>VLOOKUP(TableWRRanks3242[[#This Row],[Player]],WR!B:O,4,FALSE)</f>
        <v>0</v>
      </c>
      <c r="AI139" s="83">
        <f>VLOOKUP(TableWRRanks3242[[#This Row],[Player]],WR!B:O,5,FALSE)</f>
        <v>0</v>
      </c>
      <c r="AJ139" s="83">
        <f>VLOOKUP(TableWRRanks3242[[#This Row],[Player]],WR!B:O,6,FALSE)</f>
        <v>0</v>
      </c>
      <c r="AK139" s="83">
        <f>VLOOKUP(TableWRRanks3242[[#This Row],[Player]],WR!B:O,7,FALSE)</f>
        <v>0</v>
      </c>
      <c r="AL139" s="83">
        <f>VLOOKUP(TableWRRanks3242[[#This Row],[Player]],WR!B:O,8,FALSE)</f>
        <v>0</v>
      </c>
      <c r="AM139" s="83">
        <f>VLOOKUP(TableWRRanks3242[[#This Row],[Player]],WR!B:O,9,FALSE)</f>
        <v>0</v>
      </c>
      <c r="AN139" s="57">
        <f>VLOOKUP(TableWRRanks3242[[#This Row],[Player]],WR!B:O,13,FALSE)</f>
        <v>0</v>
      </c>
      <c r="AO139" s="125">
        <f>IF(VLOOKUP(TableWRRanks3242[[#This Row],[RK]],'Ranks w Proj'!AD:AO,12,FALSE)&lt;0,0,VLOOKUP(TableWRRanks3242[[#This Row],[RK]],'Ranks w Proj'!AD:AO,12,FALSE))</f>
        <v>0</v>
      </c>
    </row>
    <row r="140" spans="16:41" x14ac:dyDescent="0.2">
      <c r="P140">
        <v>139</v>
      </c>
      <c r="Q140">
        <f>VLOOKUP(TableRBRanks3141[[#This Row],[RK]],Rankings!A:T,8,FALSE)</f>
        <v>0</v>
      </c>
      <c r="R140" t="str">
        <f>IFERROR(INDEX(TableRBCalcPts[TM],MATCH(TableRBRanks3141[[#This Row],[Player]],TableRBCalcPts[PLAYER],0)),"")</f>
        <v/>
      </c>
      <c r="S140" t="str">
        <f>IFERROR(INDEX(TableRBCalcPts[BYE],MATCH(TableRBRanks3141[[#This Row],[Player]],TableRBCalcPts[PLAYER],0)),"")</f>
        <v/>
      </c>
      <c r="T140" s="83">
        <f>VLOOKUP(TableRBRanks3141[[#This Row],[Player]],RB!B:O,4,FALSE)</f>
        <v>0</v>
      </c>
      <c r="U140" s="83">
        <f>VLOOKUP(TableRBRanks3141[[#This Row],[Player]],RB!B:O,5,FALSE)</f>
        <v>0</v>
      </c>
      <c r="V140" s="83">
        <f>VLOOKUP(TableRBRanks3141[[#This Row],[Player]],RB!B:O,6,FALSE)</f>
        <v>0</v>
      </c>
      <c r="W140" s="83">
        <f>VLOOKUP(TableRBRanks3141[[#This Row],[Player]],RB!B:O,7,FALSE)</f>
        <v>0</v>
      </c>
      <c r="X140" s="83">
        <f>VLOOKUP(TableRBRanks3141[[#This Row],[Player]],RB!B:O,8,FALSE)</f>
        <v>0</v>
      </c>
      <c r="Y140" s="83">
        <f>VLOOKUP(TableRBRanks3141[[#This Row],[Player]],RB!B:O,9,FALSE)</f>
        <v>0</v>
      </c>
      <c r="Z140" s="83">
        <f>VLOOKUP(TableRBRanks3141[[#This Row],[Player]],RB!B:O,10,FALSE)</f>
        <v>0</v>
      </c>
      <c r="AA140" s="57">
        <f>VLOOKUP(TableRBRanks3141[[#This Row],[Player]],RB!B:O,14,FALSE)</f>
        <v>0</v>
      </c>
      <c r="AB140" s="125" t="str">
        <f>IF(VLOOKUP(TableRBRanks3141[[#This Row],[RK]],'Ranks w Proj'!$P:$AB,13,FALSE)&lt;0,0,VLOOKUP(TableRBRanks3141[[#This Row],[RK]],'Ranks w Proj'!$P:$AB,13,FALSE))</f>
        <v/>
      </c>
      <c r="AD140">
        <v>139</v>
      </c>
      <c r="AE140">
        <f>VLOOKUP(TableWRRanks3242[[#This Row],[RK]],Rankings!A:T,13,FALSE)</f>
        <v>0</v>
      </c>
      <c r="AF140" t="str">
        <f>IFERROR(INDEX(TableWRCalcPts[TM],MATCH(TableWRRanks3242[[#This Row],[Player]],TableWRCalcPts[PLAYER],0)),"")</f>
        <v/>
      </c>
      <c r="AG140" t="str">
        <f>IFERROR(INDEX(TableWRCalcPts[BYE],MATCH(TableWRRanks3242[[#This Row],[Player]],TableWRCalcPts[PLAYER],0)),"")</f>
        <v/>
      </c>
      <c r="AH140" s="83">
        <f>VLOOKUP(TableWRRanks3242[[#This Row],[Player]],WR!B:O,4,FALSE)</f>
        <v>0</v>
      </c>
      <c r="AI140" s="83">
        <f>VLOOKUP(TableWRRanks3242[[#This Row],[Player]],WR!B:O,5,FALSE)</f>
        <v>0</v>
      </c>
      <c r="AJ140" s="83">
        <f>VLOOKUP(TableWRRanks3242[[#This Row],[Player]],WR!B:O,6,FALSE)</f>
        <v>0</v>
      </c>
      <c r="AK140" s="83">
        <f>VLOOKUP(TableWRRanks3242[[#This Row],[Player]],WR!B:O,7,FALSE)</f>
        <v>0</v>
      </c>
      <c r="AL140" s="83">
        <f>VLOOKUP(TableWRRanks3242[[#This Row],[Player]],WR!B:O,8,FALSE)</f>
        <v>0</v>
      </c>
      <c r="AM140" s="83">
        <f>VLOOKUP(TableWRRanks3242[[#This Row],[Player]],WR!B:O,9,FALSE)</f>
        <v>0</v>
      </c>
      <c r="AN140" s="57">
        <f>VLOOKUP(TableWRRanks3242[[#This Row],[Player]],WR!B:O,13,FALSE)</f>
        <v>0</v>
      </c>
      <c r="AO140" s="125">
        <f>IF(VLOOKUP(TableWRRanks3242[[#This Row],[RK]],'Ranks w Proj'!AD:AO,12,FALSE)&lt;0,0,VLOOKUP(TableWRRanks3242[[#This Row],[RK]],'Ranks w Proj'!AD:AO,12,FALSE))</f>
        <v>0</v>
      </c>
    </row>
    <row r="141" spans="16:41" x14ac:dyDescent="0.2">
      <c r="P141">
        <v>140</v>
      </c>
      <c r="Q141">
        <f>VLOOKUP(TableRBRanks3141[[#This Row],[RK]],Rankings!A:T,8,FALSE)</f>
        <v>0</v>
      </c>
      <c r="R141" t="str">
        <f>IFERROR(INDEX(TableRBCalcPts[TM],MATCH(TableRBRanks3141[[#This Row],[Player]],TableRBCalcPts[PLAYER],0)),"")</f>
        <v/>
      </c>
      <c r="S141" t="str">
        <f>IFERROR(INDEX(TableRBCalcPts[BYE],MATCH(TableRBRanks3141[[#This Row],[Player]],TableRBCalcPts[PLAYER],0)),"")</f>
        <v/>
      </c>
      <c r="T141" s="83">
        <f>VLOOKUP(TableRBRanks3141[[#This Row],[Player]],RB!B:O,4,FALSE)</f>
        <v>0</v>
      </c>
      <c r="U141" s="83">
        <f>VLOOKUP(TableRBRanks3141[[#This Row],[Player]],RB!B:O,5,FALSE)</f>
        <v>0</v>
      </c>
      <c r="V141" s="83">
        <f>VLOOKUP(TableRBRanks3141[[#This Row],[Player]],RB!B:O,6,FALSE)</f>
        <v>0</v>
      </c>
      <c r="W141" s="83">
        <f>VLOOKUP(TableRBRanks3141[[#This Row],[Player]],RB!B:O,7,FALSE)</f>
        <v>0</v>
      </c>
      <c r="X141" s="83">
        <f>VLOOKUP(TableRBRanks3141[[#This Row],[Player]],RB!B:O,8,FALSE)</f>
        <v>0</v>
      </c>
      <c r="Y141" s="83">
        <f>VLOOKUP(TableRBRanks3141[[#This Row],[Player]],RB!B:O,9,FALSE)</f>
        <v>0</v>
      </c>
      <c r="Z141" s="83">
        <f>VLOOKUP(TableRBRanks3141[[#This Row],[Player]],RB!B:O,10,FALSE)</f>
        <v>0</v>
      </c>
      <c r="AA141" s="57">
        <f>VLOOKUP(TableRBRanks3141[[#This Row],[Player]],RB!B:O,14,FALSE)</f>
        <v>0</v>
      </c>
      <c r="AB141" s="125" t="str">
        <f>IF(VLOOKUP(TableRBRanks3141[[#This Row],[RK]],'Ranks w Proj'!$P:$AB,13,FALSE)&lt;0,0,VLOOKUP(TableRBRanks3141[[#This Row],[RK]],'Ranks w Proj'!$P:$AB,13,FALSE))</f>
        <v/>
      </c>
      <c r="AD141">
        <v>140</v>
      </c>
      <c r="AE141">
        <f>VLOOKUP(TableWRRanks3242[[#This Row],[RK]],Rankings!A:T,13,FALSE)</f>
        <v>0</v>
      </c>
      <c r="AF141" t="str">
        <f>IFERROR(INDEX(TableWRCalcPts[TM],MATCH(TableWRRanks3242[[#This Row],[Player]],TableWRCalcPts[PLAYER],0)),"")</f>
        <v/>
      </c>
      <c r="AG141" t="str">
        <f>IFERROR(INDEX(TableWRCalcPts[BYE],MATCH(TableWRRanks3242[[#This Row],[Player]],TableWRCalcPts[PLAYER],0)),"")</f>
        <v/>
      </c>
      <c r="AH141" s="83">
        <f>VLOOKUP(TableWRRanks3242[[#This Row],[Player]],WR!B:O,4,FALSE)</f>
        <v>0</v>
      </c>
      <c r="AI141" s="83">
        <f>VLOOKUP(TableWRRanks3242[[#This Row],[Player]],WR!B:O,5,FALSE)</f>
        <v>0</v>
      </c>
      <c r="AJ141" s="83">
        <f>VLOOKUP(TableWRRanks3242[[#This Row],[Player]],WR!B:O,6,FALSE)</f>
        <v>0</v>
      </c>
      <c r="AK141" s="83">
        <f>VLOOKUP(TableWRRanks3242[[#This Row],[Player]],WR!B:O,7,FALSE)</f>
        <v>0</v>
      </c>
      <c r="AL141" s="83">
        <f>VLOOKUP(TableWRRanks3242[[#This Row],[Player]],WR!B:O,8,FALSE)</f>
        <v>0</v>
      </c>
      <c r="AM141" s="83">
        <f>VLOOKUP(TableWRRanks3242[[#This Row],[Player]],WR!B:O,9,FALSE)</f>
        <v>0</v>
      </c>
      <c r="AN141" s="57">
        <f>VLOOKUP(TableWRRanks3242[[#This Row],[Player]],WR!B:O,13,FALSE)</f>
        <v>0</v>
      </c>
      <c r="AO141" s="125">
        <f>IF(VLOOKUP(TableWRRanks3242[[#This Row],[RK]],'Ranks w Proj'!AD:AO,12,FALSE)&lt;0,0,VLOOKUP(TableWRRanks3242[[#This Row],[RK]],'Ranks w Proj'!AD:AO,12,FALSE))</f>
        <v>0</v>
      </c>
    </row>
    <row r="142" spans="16:41" x14ac:dyDescent="0.2">
      <c r="P142">
        <v>141</v>
      </c>
      <c r="Q142">
        <f>VLOOKUP(TableRBRanks3141[[#This Row],[RK]],Rankings!A:T,8,FALSE)</f>
        <v>0</v>
      </c>
      <c r="R142" t="str">
        <f>IFERROR(INDEX(TableRBCalcPts[TM],MATCH(TableRBRanks3141[[#This Row],[Player]],TableRBCalcPts[PLAYER],0)),"")</f>
        <v/>
      </c>
      <c r="S142" t="str">
        <f>IFERROR(INDEX(TableRBCalcPts[BYE],MATCH(TableRBRanks3141[[#This Row],[Player]],TableRBCalcPts[PLAYER],0)),"")</f>
        <v/>
      </c>
      <c r="T142" s="83">
        <f>VLOOKUP(TableRBRanks3141[[#This Row],[Player]],RB!B:O,4,FALSE)</f>
        <v>0</v>
      </c>
      <c r="U142" s="83">
        <f>VLOOKUP(TableRBRanks3141[[#This Row],[Player]],RB!B:O,5,FALSE)</f>
        <v>0</v>
      </c>
      <c r="V142" s="83">
        <f>VLOOKUP(TableRBRanks3141[[#This Row],[Player]],RB!B:O,6,FALSE)</f>
        <v>0</v>
      </c>
      <c r="W142" s="83">
        <f>VLOOKUP(TableRBRanks3141[[#This Row],[Player]],RB!B:O,7,FALSE)</f>
        <v>0</v>
      </c>
      <c r="X142" s="83">
        <f>VLOOKUP(TableRBRanks3141[[#This Row],[Player]],RB!B:O,8,FALSE)</f>
        <v>0</v>
      </c>
      <c r="Y142" s="83">
        <f>VLOOKUP(TableRBRanks3141[[#This Row],[Player]],RB!B:O,9,FALSE)</f>
        <v>0</v>
      </c>
      <c r="Z142" s="83">
        <f>VLOOKUP(TableRBRanks3141[[#This Row],[Player]],RB!B:O,10,FALSE)</f>
        <v>0</v>
      </c>
      <c r="AA142" s="57">
        <f>VLOOKUP(TableRBRanks3141[[#This Row],[Player]],RB!B:O,14,FALSE)</f>
        <v>0</v>
      </c>
      <c r="AB142" s="125" t="str">
        <f>IF(VLOOKUP(TableRBRanks3141[[#This Row],[RK]],'Ranks w Proj'!$P:$AB,13,FALSE)&lt;0,0,VLOOKUP(TableRBRanks3141[[#This Row],[RK]],'Ranks w Proj'!$P:$AB,13,FALSE))</f>
        <v/>
      </c>
      <c r="AD142">
        <v>141</v>
      </c>
      <c r="AE142">
        <f>VLOOKUP(TableWRRanks3242[[#This Row],[RK]],Rankings!A:T,13,FALSE)</f>
        <v>0</v>
      </c>
      <c r="AF142" t="str">
        <f>IFERROR(INDEX(TableWRCalcPts[TM],MATCH(TableWRRanks3242[[#This Row],[Player]],TableWRCalcPts[PLAYER],0)),"")</f>
        <v/>
      </c>
      <c r="AG142" t="str">
        <f>IFERROR(INDEX(TableWRCalcPts[BYE],MATCH(TableWRRanks3242[[#This Row],[Player]],TableWRCalcPts[PLAYER],0)),"")</f>
        <v/>
      </c>
      <c r="AH142" s="83">
        <f>VLOOKUP(TableWRRanks3242[[#This Row],[Player]],WR!B:O,4,FALSE)</f>
        <v>0</v>
      </c>
      <c r="AI142" s="83">
        <f>VLOOKUP(TableWRRanks3242[[#This Row],[Player]],WR!B:O,5,FALSE)</f>
        <v>0</v>
      </c>
      <c r="AJ142" s="83">
        <f>VLOOKUP(TableWRRanks3242[[#This Row],[Player]],WR!B:O,6,FALSE)</f>
        <v>0</v>
      </c>
      <c r="AK142" s="83">
        <f>VLOOKUP(TableWRRanks3242[[#This Row],[Player]],WR!B:O,7,FALSE)</f>
        <v>0</v>
      </c>
      <c r="AL142" s="83">
        <f>VLOOKUP(TableWRRanks3242[[#This Row],[Player]],WR!B:O,8,FALSE)</f>
        <v>0</v>
      </c>
      <c r="AM142" s="83">
        <f>VLOOKUP(TableWRRanks3242[[#This Row],[Player]],WR!B:O,9,FALSE)</f>
        <v>0</v>
      </c>
      <c r="AN142" s="57">
        <f>VLOOKUP(TableWRRanks3242[[#This Row],[Player]],WR!B:O,13,FALSE)</f>
        <v>0</v>
      </c>
      <c r="AO142" s="125">
        <f>IF(VLOOKUP(TableWRRanks3242[[#This Row],[RK]],'Ranks w Proj'!AD:AO,12,FALSE)&lt;0,0,VLOOKUP(TableWRRanks3242[[#This Row],[RK]],'Ranks w Proj'!AD:AO,12,FALSE))</f>
        <v>0</v>
      </c>
    </row>
    <row r="143" spans="16:41" x14ac:dyDescent="0.2">
      <c r="P143">
        <v>142</v>
      </c>
      <c r="Q143">
        <f>VLOOKUP(TableRBRanks3141[[#This Row],[RK]],Rankings!A:T,8,FALSE)</f>
        <v>0</v>
      </c>
      <c r="R143" t="str">
        <f>IFERROR(INDEX(TableRBCalcPts[TM],MATCH(TableRBRanks3141[[#This Row],[Player]],TableRBCalcPts[PLAYER],0)),"")</f>
        <v/>
      </c>
      <c r="S143" t="str">
        <f>IFERROR(INDEX(TableRBCalcPts[BYE],MATCH(TableRBRanks3141[[#This Row],[Player]],TableRBCalcPts[PLAYER],0)),"")</f>
        <v/>
      </c>
      <c r="T143" s="83">
        <f>VLOOKUP(TableRBRanks3141[[#This Row],[Player]],RB!B:O,4,FALSE)</f>
        <v>0</v>
      </c>
      <c r="U143" s="83">
        <f>VLOOKUP(TableRBRanks3141[[#This Row],[Player]],RB!B:O,5,FALSE)</f>
        <v>0</v>
      </c>
      <c r="V143" s="83">
        <f>VLOOKUP(TableRBRanks3141[[#This Row],[Player]],RB!B:O,6,FALSE)</f>
        <v>0</v>
      </c>
      <c r="W143" s="83">
        <f>VLOOKUP(TableRBRanks3141[[#This Row],[Player]],RB!B:O,7,FALSE)</f>
        <v>0</v>
      </c>
      <c r="X143" s="83">
        <f>VLOOKUP(TableRBRanks3141[[#This Row],[Player]],RB!B:O,8,FALSE)</f>
        <v>0</v>
      </c>
      <c r="Y143" s="83">
        <f>VLOOKUP(TableRBRanks3141[[#This Row],[Player]],RB!B:O,9,FALSE)</f>
        <v>0</v>
      </c>
      <c r="Z143" s="83">
        <f>VLOOKUP(TableRBRanks3141[[#This Row],[Player]],RB!B:O,10,FALSE)</f>
        <v>0</v>
      </c>
      <c r="AA143" s="57">
        <f>VLOOKUP(TableRBRanks3141[[#This Row],[Player]],RB!B:O,14,FALSE)</f>
        <v>0</v>
      </c>
      <c r="AB143" s="125" t="str">
        <f>IF(VLOOKUP(TableRBRanks3141[[#This Row],[RK]],'Ranks w Proj'!$P:$AB,13,FALSE)&lt;0,0,VLOOKUP(TableRBRanks3141[[#This Row],[RK]],'Ranks w Proj'!$P:$AB,13,FALSE))</f>
        <v/>
      </c>
      <c r="AD143">
        <v>142</v>
      </c>
      <c r="AE143">
        <f>VLOOKUP(TableWRRanks3242[[#This Row],[RK]],Rankings!A:T,13,FALSE)</f>
        <v>0</v>
      </c>
      <c r="AF143" t="str">
        <f>IFERROR(INDEX(TableWRCalcPts[TM],MATCH(TableWRRanks3242[[#This Row],[Player]],TableWRCalcPts[PLAYER],0)),"")</f>
        <v/>
      </c>
      <c r="AG143" t="str">
        <f>IFERROR(INDEX(TableWRCalcPts[BYE],MATCH(TableWRRanks3242[[#This Row],[Player]],TableWRCalcPts[PLAYER],0)),"")</f>
        <v/>
      </c>
      <c r="AH143" s="83">
        <f>VLOOKUP(TableWRRanks3242[[#This Row],[Player]],WR!B:O,4,FALSE)</f>
        <v>0</v>
      </c>
      <c r="AI143" s="83">
        <f>VLOOKUP(TableWRRanks3242[[#This Row],[Player]],WR!B:O,5,FALSE)</f>
        <v>0</v>
      </c>
      <c r="AJ143" s="83">
        <f>VLOOKUP(TableWRRanks3242[[#This Row],[Player]],WR!B:O,6,FALSE)</f>
        <v>0</v>
      </c>
      <c r="AK143" s="83">
        <f>VLOOKUP(TableWRRanks3242[[#This Row],[Player]],WR!B:O,7,FALSE)</f>
        <v>0</v>
      </c>
      <c r="AL143" s="83">
        <f>VLOOKUP(TableWRRanks3242[[#This Row],[Player]],WR!B:O,8,FALSE)</f>
        <v>0</v>
      </c>
      <c r="AM143" s="83">
        <f>VLOOKUP(TableWRRanks3242[[#This Row],[Player]],WR!B:O,9,FALSE)</f>
        <v>0</v>
      </c>
      <c r="AN143" s="57">
        <f>VLOOKUP(TableWRRanks3242[[#This Row],[Player]],WR!B:O,13,FALSE)</f>
        <v>0</v>
      </c>
      <c r="AO143" s="125">
        <f>IF(VLOOKUP(TableWRRanks3242[[#This Row],[RK]],'Ranks w Proj'!AD:AO,12,FALSE)&lt;0,0,VLOOKUP(TableWRRanks3242[[#This Row],[RK]],'Ranks w Proj'!AD:AO,12,FALSE))</f>
        <v>0</v>
      </c>
    </row>
    <row r="144" spans="16:41" x14ac:dyDescent="0.2">
      <c r="P144">
        <v>143</v>
      </c>
      <c r="Q144">
        <f>VLOOKUP(TableRBRanks3141[[#This Row],[RK]],Rankings!A:T,8,FALSE)</f>
        <v>0</v>
      </c>
      <c r="R144" t="str">
        <f>IFERROR(INDEX(TableRBCalcPts[TM],MATCH(TableRBRanks3141[[#This Row],[Player]],TableRBCalcPts[PLAYER],0)),"")</f>
        <v/>
      </c>
      <c r="S144" t="str">
        <f>IFERROR(INDEX(TableRBCalcPts[BYE],MATCH(TableRBRanks3141[[#This Row],[Player]],TableRBCalcPts[PLAYER],0)),"")</f>
        <v/>
      </c>
      <c r="T144" s="83">
        <f>VLOOKUP(TableRBRanks3141[[#This Row],[Player]],RB!B:O,4,FALSE)</f>
        <v>0</v>
      </c>
      <c r="U144" s="83">
        <f>VLOOKUP(TableRBRanks3141[[#This Row],[Player]],RB!B:O,5,FALSE)</f>
        <v>0</v>
      </c>
      <c r="V144" s="83">
        <f>VLOOKUP(TableRBRanks3141[[#This Row],[Player]],RB!B:O,6,FALSE)</f>
        <v>0</v>
      </c>
      <c r="W144" s="83">
        <f>VLOOKUP(TableRBRanks3141[[#This Row],[Player]],RB!B:O,7,FALSE)</f>
        <v>0</v>
      </c>
      <c r="X144" s="83">
        <f>VLOOKUP(TableRBRanks3141[[#This Row],[Player]],RB!B:O,8,FALSE)</f>
        <v>0</v>
      </c>
      <c r="Y144" s="83">
        <f>VLOOKUP(TableRBRanks3141[[#This Row],[Player]],RB!B:O,9,FALSE)</f>
        <v>0</v>
      </c>
      <c r="Z144" s="83">
        <f>VLOOKUP(TableRBRanks3141[[#This Row],[Player]],RB!B:O,10,FALSE)</f>
        <v>0</v>
      </c>
      <c r="AA144" s="57">
        <f>VLOOKUP(TableRBRanks3141[[#This Row],[Player]],RB!B:O,14,FALSE)</f>
        <v>0</v>
      </c>
      <c r="AB144" s="125" t="str">
        <f>IF(VLOOKUP(TableRBRanks3141[[#This Row],[RK]],'Ranks w Proj'!$P:$AB,13,FALSE)&lt;0,0,VLOOKUP(TableRBRanks3141[[#This Row],[RK]],'Ranks w Proj'!$P:$AB,13,FALSE))</f>
        <v/>
      </c>
      <c r="AD144">
        <v>143</v>
      </c>
      <c r="AE144">
        <f>VLOOKUP(TableWRRanks3242[[#This Row],[RK]],Rankings!A:T,13,FALSE)</f>
        <v>0</v>
      </c>
      <c r="AF144" t="str">
        <f>IFERROR(INDEX(TableWRCalcPts[TM],MATCH(TableWRRanks3242[[#This Row],[Player]],TableWRCalcPts[PLAYER],0)),"")</f>
        <v/>
      </c>
      <c r="AG144" t="str">
        <f>IFERROR(INDEX(TableWRCalcPts[BYE],MATCH(TableWRRanks3242[[#This Row],[Player]],TableWRCalcPts[PLAYER],0)),"")</f>
        <v/>
      </c>
      <c r="AH144" s="83">
        <f>VLOOKUP(TableWRRanks3242[[#This Row],[Player]],WR!B:O,4,FALSE)</f>
        <v>0</v>
      </c>
      <c r="AI144" s="83">
        <f>VLOOKUP(TableWRRanks3242[[#This Row],[Player]],WR!B:O,5,FALSE)</f>
        <v>0</v>
      </c>
      <c r="AJ144" s="83">
        <f>VLOOKUP(TableWRRanks3242[[#This Row],[Player]],WR!B:O,6,FALSE)</f>
        <v>0</v>
      </c>
      <c r="AK144" s="83">
        <f>VLOOKUP(TableWRRanks3242[[#This Row],[Player]],WR!B:O,7,FALSE)</f>
        <v>0</v>
      </c>
      <c r="AL144" s="83">
        <f>VLOOKUP(TableWRRanks3242[[#This Row],[Player]],WR!B:O,8,FALSE)</f>
        <v>0</v>
      </c>
      <c r="AM144" s="83">
        <f>VLOOKUP(TableWRRanks3242[[#This Row],[Player]],WR!B:O,9,FALSE)</f>
        <v>0</v>
      </c>
      <c r="AN144" s="57">
        <f>VLOOKUP(TableWRRanks3242[[#This Row],[Player]],WR!B:O,13,FALSE)</f>
        <v>0</v>
      </c>
      <c r="AO144" s="125">
        <f>IF(VLOOKUP(TableWRRanks3242[[#This Row],[RK]],'Ranks w Proj'!AD:AO,12,FALSE)&lt;0,0,VLOOKUP(TableWRRanks3242[[#This Row],[RK]],'Ranks w Proj'!AD:AO,12,FALSE))</f>
        <v>0</v>
      </c>
    </row>
    <row r="145" spans="16:41" x14ac:dyDescent="0.2">
      <c r="P145">
        <v>144</v>
      </c>
      <c r="Q145">
        <f>VLOOKUP(TableRBRanks3141[[#This Row],[RK]],Rankings!A:T,8,FALSE)</f>
        <v>0</v>
      </c>
      <c r="R145" t="str">
        <f>IFERROR(INDEX(TableRBCalcPts[TM],MATCH(TableRBRanks3141[[#This Row],[Player]],TableRBCalcPts[PLAYER],0)),"")</f>
        <v/>
      </c>
      <c r="S145" t="str">
        <f>IFERROR(INDEX(TableRBCalcPts[BYE],MATCH(TableRBRanks3141[[#This Row],[Player]],TableRBCalcPts[PLAYER],0)),"")</f>
        <v/>
      </c>
      <c r="T145" s="83">
        <f>VLOOKUP(TableRBRanks3141[[#This Row],[Player]],RB!B:O,4,FALSE)</f>
        <v>0</v>
      </c>
      <c r="U145" s="83">
        <f>VLOOKUP(TableRBRanks3141[[#This Row],[Player]],RB!B:O,5,FALSE)</f>
        <v>0</v>
      </c>
      <c r="V145" s="83">
        <f>VLOOKUP(TableRBRanks3141[[#This Row],[Player]],RB!B:O,6,FALSE)</f>
        <v>0</v>
      </c>
      <c r="W145" s="83">
        <f>VLOOKUP(TableRBRanks3141[[#This Row],[Player]],RB!B:O,7,FALSE)</f>
        <v>0</v>
      </c>
      <c r="X145" s="83">
        <f>VLOOKUP(TableRBRanks3141[[#This Row],[Player]],RB!B:O,8,FALSE)</f>
        <v>0</v>
      </c>
      <c r="Y145" s="83">
        <f>VLOOKUP(TableRBRanks3141[[#This Row],[Player]],RB!B:O,9,FALSE)</f>
        <v>0</v>
      </c>
      <c r="Z145" s="83">
        <f>VLOOKUP(TableRBRanks3141[[#This Row],[Player]],RB!B:O,10,FALSE)</f>
        <v>0</v>
      </c>
      <c r="AA145" s="57">
        <f>VLOOKUP(TableRBRanks3141[[#This Row],[Player]],RB!B:O,14,FALSE)</f>
        <v>0</v>
      </c>
      <c r="AB145" s="125" t="str">
        <f>IF(VLOOKUP(TableRBRanks3141[[#This Row],[RK]],'Ranks w Proj'!$P:$AB,13,FALSE)&lt;0,0,VLOOKUP(TableRBRanks3141[[#This Row],[RK]],'Ranks w Proj'!$P:$AB,13,FALSE))</f>
        <v/>
      </c>
      <c r="AD145">
        <v>144</v>
      </c>
      <c r="AE145">
        <f>VLOOKUP(TableWRRanks3242[[#This Row],[RK]],Rankings!A:T,13,FALSE)</f>
        <v>0</v>
      </c>
      <c r="AF145" t="str">
        <f>IFERROR(INDEX(TableWRCalcPts[TM],MATCH(TableWRRanks3242[[#This Row],[Player]],TableWRCalcPts[PLAYER],0)),"")</f>
        <v/>
      </c>
      <c r="AG145" t="str">
        <f>IFERROR(INDEX(TableWRCalcPts[BYE],MATCH(TableWRRanks3242[[#This Row],[Player]],TableWRCalcPts[PLAYER],0)),"")</f>
        <v/>
      </c>
      <c r="AH145" s="83">
        <f>VLOOKUP(TableWRRanks3242[[#This Row],[Player]],WR!B:O,4,FALSE)</f>
        <v>0</v>
      </c>
      <c r="AI145" s="83">
        <f>VLOOKUP(TableWRRanks3242[[#This Row],[Player]],WR!B:O,5,FALSE)</f>
        <v>0</v>
      </c>
      <c r="AJ145" s="83">
        <f>VLOOKUP(TableWRRanks3242[[#This Row],[Player]],WR!B:O,6,FALSE)</f>
        <v>0</v>
      </c>
      <c r="AK145" s="83">
        <f>VLOOKUP(TableWRRanks3242[[#This Row],[Player]],WR!B:O,7,FALSE)</f>
        <v>0</v>
      </c>
      <c r="AL145" s="83">
        <f>VLOOKUP(TableWRRanks3242[[#This Row],[Player]],WR!B:O,8,FALSE)</f>
        <v>0</v>
      </c>
      <c r="AM145" s="83">
        <f>VLOOKUP(TableWRRanks3242[[#This Row],[Player]],WR!B:O,9,FALSE)</f>
        <v>0</v>
      </c>
      <c r="AN145" s="57">
        <f>VLOOKUP(TableWRRanks3242[[#This Row],[Player]],WR!B:O,13,FALSE)</f>
        <v>0</v>
      </c>
      <c r="AO145" s="125">
        <f>IF(VLOOKUP(TableWRRanks3242[[#This Row],[RK]],'Ranks w Proj'!AD:AO,12,FALSE)&lt;0,0,VLOOKUP(TableWRRanks3242[[#This Row],[RK]],'Ranks w Proj'!AD:AO,12,FALSE))</f>
        <v>0</v>
      </c>
    </row>
    <row r="146" spans="16:41" x14ac:dyDescent="0.2">
      <c r="P146">
        <v>145</v>
      </c>
      <c r="Q146">
        <f>VLOOKUP(TableRBRanks3141[[#This Row],[RK]],Rankings!A:T,8,FALSE)</f>
        <v>0</v>
      </c>
      <c r="R146" t="str">
        <f>IFERROR(INDEX(TableRBCalcPts[TM],MATCH(TableRBRanks3141[[#This Row],[Player]],TableRBCalcPts[PLAYER],0)),"")</f>
        <v/>
      </c>
      <c r="S146" t="str">
        <f>IFERROR(INDEX(TableRBCalcPts[BYE],MATCH(TableRBRanks3141[[#This Row],[Player]],TableRBCalcPts[PLAYER],0)),"")</f>
        <v/>
      </c>
      <c r="T146" s="83">
        <f>VLOOKUP(TableRBRanks3141[[#This Row],[Player]],RB!B:O,4,FALSE)</f>
        <v>0</v>
      </c>
      <c r="U146" s="83">
        <f>VLOOKUP(TableRBRanks3141[[#This Row],[Player]],RB!B:O,5,FALSE)</f>
        <v>0</v>
      </c>
      <c r="V146" s="83">
        <f>VLOOKUP(TableRBRanks3141[[#This Row],[Player]],RB!B:O,6,FALSE)</f>
        <v>0</v>
      </c>
      <c r="W146" s="83">
        <f>VLOOKUP(TableRBRanks3141[[#This Row],[Player]],RB!B:O,7,FALSE)</f>
        <v>0</v>
      </c>
      <c r="X146" s="83">
        <f>VLOOKUP(TableRBRanks3141[[#This Row],[Player]],RB!B:O,8,FALSE)</f>
        <v>0</v>
      </c>
      <c r="Y146" s="83">
        <f>VLOOKUP(TableRBRanks3141[[#This Row],[Player]],RB!B:O,9,FALSE)</f>
        <v>0</v>
      </c>
      <c r="Z146" s="83">
        <f>VLOOKUP(TableRBRanks3141[[#This Row],[Player]],RB!B:O,10,FALSE)</f>
        <v>0</v>
      </c>
      <c r="AA146" s="57">
        <f>VLOOKUP(TableRBRanks3141[[#This Row],[Player]],RB!B:O,14,FALSE)</f>
        <v>0</v>
      </c>
      <c r="AB146" s="125" t="str">
        <f>IF(VLOOKUP(TableRBRanks3141[[#This Row],[RK]],'Ranks w Proj'!$P:$AB,13,FALSE)&lt;0,0,VLOOKUP(TableRBRanks3141[[#This Row],[RK]],'Ranks w Proj'!$P:$AB,13,FALSE))</f>
        <v/>
      </c>
      <c r="AD146">
        <v>145</v>
      </c>
      <c r="AE146">
        <f>VLOOKUP(TableWRRanks3242[[#This Row],[RK]],Rankings!A:T,13,FALSE)</f>
        <v>0</v>
      </c>
      <c r="AF146" t="str">
        <f>IFERROR(INDEX(TableWRCalcPts[TM],MATCH(TableWRRanks3242[[#This Row],[Player]],TableWRCalcPts[PLAYER],0)),"")</f>
        <v/>
      </c>
      <c r="AG146" t="str">
        <f>IFERROR(INDEX(TableWRCalcPts[BYE],MATCH(TableWRRanks3242[[#This Row],[Player]],TableWRCalcPts[PLAYER],0)),"")</f>
        <v/>
      </c>
      <c r="AH146" s="83">
        <f>VLOOKUP(TableWRRanks3242[[#This Row],[Player]],WR!B:O,4,FALSE)</f>
        <v>0</v>
      </c>
      <c r="AI146" s="83">
        <f>VLOOKUP(TableWRRanks3242[[#This Row],[Player]],WR!B:O,5,FALSE)</f>
        <v>0</v>
      </c>
      <c r="AJ146" s="83">
        <f>VLOOKUP(TableWRRanks3242[[#This Row],[Player]],WR!B:O,6,FALSE)</f>
        <v>0</v>
      </c>
      <c r="AK146" s="83">
        <f>VLOOKUP(TableWRRanks3242[[#This Row],[Player]],WR!B:O,7,FALSE)</f>
        <v>0</v>
      </c>
      <c r="AL146" s="83">
        <f>VLOOKUP(TableWRRanks3242[[#This Row],[Player]],WR!B:O,8,FALSE)</f>
        <v>0</v>
      </c>
      <c r="AM146" s="83">
        <f>VLOOKUP(TableWRRanks3242[[#This Row],[Player]],WR!B:O,9,FALSE)</f>
        <v>0</v>
      </c>
      <c r="AN146" s="57">
        <f>VLOOKUP(TableWRRanks3242[[#This Row],[Player]],WR!B:O,13,FALSE)</f>
        <v>0</v>
      </c>
      <c r="AO146" s="125">
        <f>IF(VLOOKUP(TableWRRanks3242[[#This Row],[RK]],'Ranks w Proj'!AD:AO,12,FALSE)&lt;0,0,VLOOKUP(TableWRRanks3242[[#This Row],[RK]],'Ranks w Proj'!AD:AO,12,FALSE))</f>
        <v>0</v>
      </c>
    </row>
    <row r="147" spans="16:41" x14ac:dyDescent="0.2">
      <c r="P147">
        <v>146</v>
      </c>
      <c r="Q147">
        <f>VLOOKUP(TableRBRanks3141[[#This Row],[RK]],Rankings!A:T,8,FALSE)</f>
        <v>0</v>
      </c>
      <c r="R147" t="str">
        <f>IFERROR(INDEX(TableRBCalcPts[TM],MATCH(TableRBRanks3141[[#This Row],[Player]],TableRBCalcPts[PLAYER],0)),"")</f>
        <v/>
      </c>
      <c r="S147" t="str">
        <f>IFERROR(INDEX(TableRBCalcPts[BYE],MATCH(TableRBRanks3141[[#This Row],[Player]],TableRBCalcPts[PLAYER],0)),"")</f>
        <v/>
      </c>
      <c r="T147" s="83">
        <f>VLOOKUP(TableRBRanks3141[[#This Row],[Player]],RB!B:O,4,FALSE)</f>
        <v>0</v>
      </c>
      <c r="U147" s="83">
        <f>VLOOKUP(TableRBRanks3141[[#This Row],[Player]],RB!B:O,5,FALSE)</f>
        <v>0</v>
      </c>
      <c r="V147" s="83">
        <f>VLOOKUP(TableRBRanks3141[[#This Row],[Player]],RB!B:O,6,FALSE)</f>
        <v>0</v>
      </c>
      <c r="W147" s="83">
        <f>VLOOKUP(TableRBRanks3141[[#This Row],[Player]],RB!B:O,7,FALSE)</f>
        <v>0</v>
      </c>
      <c r="X147" s="83">
        <f>VLOOKUP(TableRBRanks3141[[#This Row],[Player]],RB!B:O,8,FALSE)</f>
        <v>0</v>
      </c>
      <c r="Y147" s="83">
        <f>VLOOKUP(TableRBRanks3141[[#This Row],[Player]],RB!B:O,9,FALSE)</f>
        <v>0</v>
      </c>
      <c r="Z147" s="83">
        <f>VLOOKUP(TableRBRanks3141[[#This Row],[Player]],RB!B:O,10,FALSE)</f>
        <v>0</v>
      </c>
      <c r="AA147" s="57">
        <f>VLOOKUP(TableRBRanks3141[[#This Row],[Player]],RB!B:O,14,FALSE)</f>
        <v>0</v>
      </c>
      <c r="AB147" s="125" t="str">
        <f>IF(VLOOKUP(TableRBRanks3141[[#This Row],[RK]],'Ranks w Proj'!$P:$AB,13,FALSE)&lt;0,0,VLOOKUP(TableRBRanks3141[[#This Row],[RK]],'Ranks w Proj'!$P:$AB,13,FALSE))</f>
        <v/>
      </c>
      <c r="AD147">
        <v>146</v>
      </c>
      <c r="AE147">
        <f>VLOOKUP(TableWRRanks3242[[#This Row],[RK]],Rankings!A:T,13,FALSE)</f>
        <v>0</v>
      </c>
      <c r="AF147" t="str">
        <f>IFERROR(INDEX(TableWRCalcPts[TM],MATCH(TableWRRanks3242[[#This Row],[Player]],TableWRCalcPts[PLAYER],0)),"")</f>
        <v/>
      </c>
      <c r="AG147" t="str">
        <f>IFERROR(INDEX(TableWRCalcPts[BYE],MATCH(TableWRRanks3242[[#This Row],[Player]],TableWRCalcPts[PLAYER],0)),"")</f>
        <v/>
      </c>
      <c r="AH147" s="83">
        <f>VLOOKUP(TableWRRanks3242[[#This Row],[Player]],WR!B:O,4,FALSE)</f>
        <v>0</v>
      </c>
      <c r="AI147" s="83">
        <f>VLOOKUP(TableWRRanks3242[[#This Row],[Player]],WR!B:O,5,FALSE)</f>
        <v>0</v>
      </c>
      <c r="AJ147" s="83">
        <f>VLOOKUP(TableWRRanks3242[[#This Row],[Player]],WR!B:O,6,FALSE)</f>
        <v>0</v>
      </c>
      <c r="AK147" s="83">
        <f>VLOOKUP(TableWRRanks3242[[#This Row],[Player]],WR!B:O,7,FALSE)</f>
        <v>0</v>
      </c>
      <c r="AL147" s="83">
        <f>VLOOKUP(TableWRRanks3242[[#This Row],[Player]],WR!B:O,8,FALSE)</f>
        <v>0</v>
      </c>
      <c r="AM147" s="83">
        <f>VLOOKUP(TableWRRanks3242[[#This Row],[Player]],WR!B:O,9,FALSE)</f>
        <v>0</v>
      </c>
      <c r="AN147" s="57">
        <f>VLOOKUP(TableWRRanks3242[[#This Row],[Player]],WR!B:O,13,FALSE)</f>
        <v>0</v>
      </c>
      <c r="AO147" s="125">
        <f>IF(VLOOKUP(TableWRRanks3242[[#This Row],[RK]],'Ranks w Proj'!AD:AO,12,FALSE)&lt;0,0,VLOOKUP(TableWRRanks3242[[#This Row],[RK]],'Ranks w Proj'!AD:AO,12,FALSE))</f>
        <v>0</v>
      </c>
    </row>
    <row r="148" spans="16:41" x14ac:dyDescent="0.2">
      <c r="P148">
        <v>147</v>
      </c>
      <c r="Q148">
        <f>VLOOKUP(TableRBRanks3141[[#This Row],[RK]],Rankings!A:T,8,FALSE)</f>
        <v>0</v>
      </c>
      <c r="R148" t="str">
        <f>IFERROR(INDEX(TableRBCalcPts[TM],MATCH(TableRBRanks3141[[#This Row],[Player]],TableRBCalcPts[PLAYER],0)),"")</f>
        <v/>
      </c>
      <c r="S148" t="str">
        <f>IFERROR(INDEX(TableRBCalcPts[BYE],MATCH(TableRBRanks3141[[#This Row],[Player]],TableRBCalcPts[PLAYER],0)),"")</f>
        <v/>
      </c>
      <c r="T148" s="83">
        <f>VLOOKUP(TableRBRanks3141[[#This Row],[Player]],RB!B:O,4,FALSE)</f>
        <v>0</v>
      </c>
      <c r="U148" s="83">
        <f>VLOOKUP(TableRBRanks3141[[#This Row],[Player]],RB!B:O,5,FALSE)</f>
        <v>0</v>
      </c>
      <c r="V148" s="83">
        <f>VLOOKUP(TableRBRanks3141[[#This Row],[Player]],RB!B:O,6,FALSE)</f>
        <v>0</v>
      </c>
      <c r="W148" s="83">
        <f>VLOOKUP(TableRBRanks3141[[#This Row],[Player]],RB!B:O,7,FALSE)</f>
        <v>0</v>
      </c>
      <c r="X148" s="83">
        <f>VLOOKUP(TableRBRanks3141[[#This Row],[Player]],RB!B:O,8,FALSE)</f>
        <v>0</v>
      </c>
      <c r="Y148" s="83">
        <f>VLOOKUP(TableRBRanks3141[[#This Row],[Player]],RB!B:O,9,FALSE)</f>
        <v>0</v>
      </c>
      <c r="Z148" s="83">
        <f>VLOOKUP(TableRBRanks3141[[#This Row],[Player]],RB!B:O,10,FALSE)</f>
        <v>0</v>
      </c>
      <c r="AA148" s="57">
        <f>VLOOKUP(TableRBRanks3141[[#This Row],[Player]],RB!B:O,14,FALSE)</f>
        <v>0</v>
      </c>
      <c r="AB148" s="125" t="str">
        <f>IF(VLOOKUP(TableRBRanks3141[[#This Row],[RK]],'Ranks w Proj'!$P:$AB,13,FALSE)&lt;0,0,VLOOKUP(TableRBRanks3141[[#This Row],[RK]],'Ranks w Proj'!$P:$AB,13,FALSE))</f>
        <v/>
      </c>
      <c r="AD148">
        <v>147</v>
      </c>
      <c r="AE148">
        <f>VLOOKUP(TableWRRanks3242[[#This Row],[RK]],Rankings!A:T,13,FALSE)</f>
        <v>0</v>
      </c>
      <c r="AF148" t="str">
        <f>IFERROR(INDEX(TableWRCalcPts[TM],MATCH(TableWRRanks3242[[#This Row],[Player]],TableWRCalcPts[PLAYER],0)),"")</f>
        <v/>
      </c>
      <c r="AG148" t="str">
        <f>IFERROR(INDEX(TableWRCalcPts[BYE],MATCH(TableWRRanks3242[[#This Row],[Player]],TableWRCalcPts[PLAYER],0)),"")</f>
        <v/>
      </c>
      <c r="AH148" s="83">
        <f>VLOOKUP(TableWRRanks3242[[#This Row],[Player]],WR!B:O,4,FALSE)</f>
        <v>0</v>
      </c>
      <c r="AI148" s="83">
        <f>VLOOKUP(TableWRRanks3242[[#This Row],[Player]],WR!B:O,5,FALSE)</f>
        <v>0</v>
      </c>
      <c r="AJ148" s="83">
        <f>VLOOKUP(TableWRRanks3242[[#This Row],[Player]],WR!B:O,6,FALSE)</f>
        <v>0</v>
      </c>
      <c r="AK148" s="83">
        <f>VLOOKUP(TableWRRanks3242[[#This Row],[Player]],WR!B:O,7,FALSE)</f>
        <v>0</v>
      </c>
      <c r="AL148" s="83">
        <f>VLOOKUP(TableWRRanks3242[[#This Row],[Player]],WR!B:O,8,FALSE)</f>
        <v>0</v>
      </c>
      <c r="AM148" s="83">
        <f>VLOOKUP(TableWRRanks3242[[#This Row],[Player]],WR!B:O,9,FALSE)</f>
        <v>0</v>
      </c>
      <c r="AN148" s="57">
        <f>VLOOKUP(TableWRRanks3242[[#This Row],[Player]],WR!B:O,13,FALSE)</f>
        <v>0</v>
      </c>
      <c r="AO148" s="125">
        <f>IF(VLOOKUP(TableWRRanks3242[[#This Row],[RK]],'Ranks w Proj'!AD:AO,12,FALSE)&lt;0,0,VLOOKUP(TableWRRanks3242[[#This Row],[RK]],'Ranks w Proj'!AD:AO,12,FALSE))</f>
        <v>0</v>
      </c>
    </row>
    <row r="149" spans="16:41" x14ac:dyDescent="0.2">
      <c r="P149">
        <v>148</v>
      </c>
      <c r="Q149">
        <f>VLOOKUP(TableRBRanks3141[[#This Row],[RK]],Rankings!A:T,8,FALSE)</f>
        <v>0</v>
      </c>
      <c r="R149" t="str">
        <f>IFERROR(INDEX(TableRBCalcPts[TM],MATCH(TableRBRanks3141[[#This Row],[Player]],TableRBCalcPts[PLAYER],0)),"")</f>
        <v/>
      </c>
      <c r="S149" t="str">
        <f>IFERROR(INDEX(TableRBCalcPts[BYE],MATCH(TableRBRanks3141[[#This Row],[Player]],TableRBCalcPts[PLAYER],0)),"")</f>
        <v/>
      </c>
      <c r="T149" s="83">
        <f>VLOOKUP(TableRBRanks3141[[#This Row],[Player]],RB!B:O,4,FALSE)</f>
        <v>0</v>
      </c>
      <c r="U149" s="83">
        <f>VLOOKUP(TableRBRanks3141[[#This Row],[Player]],RB!B:O,5,FALSE)</f>
        <v>0</v>
      </c>
      <c r="V149" s="83">
        <f>VLOOKUP(TableRBRanks3141[[#This Row],[Player]],RB!B:O,6,FALSE)</f>
        <v>0</v>
      </c>
      <c r="W149" s="83">
        <f>VLOOKUP(TableRBRanks3141[[#This Row],[Player]],RB!B:O,7,FALSE)</f>
        <v>0</v>
      </c>
      <c r="X149" s="83">
        <f>VLOOKUP(TableRBRanks3141[[#This Row],[Player]],RB!B:O,8,FALSE)</f>
        <v>0</v>
      </c>
      <c r="Y149" s="83">
        <f>VLOOKUP(TableRBRanks3141[[#This Row],[Player]],RB!B:O,9,FALSE)</f>
        <v>0</v>
      </c>
      <c r="Z149" s="83">
        <f>VLOOKUP(TableRBRanks3141[[#This Row],[Player]],RB!B:O,10,FALSE)</f>
        <v>0</v>
      </c>
      <c r="AA149" s="57">
        <f>VLOOKUP(TableRBRanks3141[[#This Row],[Player]],RB!B:O,14,FALSE)</f>
        <v>0</v>
      </c>
      <c r="AB149" s="125" t="str">
        <f>IF(VLOOKUP(TableRBRanks3141[[#This Row],[RK]],'Ranks w Proj'!$P:$AB,13,FALSE)&lt;0,0,VLOOKUP(TableRBRanks3141[[#This Row],[RK]],'Ranks w Proj'!$P:$AB,13,FALSE))</f>
        <v/>
      </c>
      <c r="AD149">
        <v>148</v>
      </c>
      <c r="AE149">
        <f>VLOOKUP(TableWRRanks3242[[#This Row],[RK]],Rankings!A:T,13,FALSE)</f>
        <v>0</v>
      </c>
      <c r="AF149" t="str">
        <f>IFERROR(INDEX(TableWRCalcPts[TM],MATCH(TableWRRanks3242[[#This Row],[Player]],TableWRCalcPts[PLAYER],0)),"")</f>
        <v/>
      </c>
      <c r="AG149" t="str">
        <f>IFERROR(INDEX(TableWRCalcPts[BYE],MATCH(TableWRRanks3242[[#This Row],[Player]],TableWRCalcPts[PLAYER],0)),"")</f>
        <v/>
      </c>
      <c r="AH149" s="83">
        <f>VLOOKUP(TableWRRanks3242[[#This Row],[Player]],WR!B:O,4,FALSE)</f>
        <v>0</v>
      </c>
      <c r="AI149" s="83">
        <f>VLOOKUP(TableWRRanks3242[[#This Row],[Player]],WR!B:O,5,FALSE)</f>
        <v>0</v>
      </c>
      <c r="AJ149" s="83">
        <f>VLOOKUP(TableWRRanks3242[[#This Row],[Player]],WR!B:O,6,FALSE)</f>
        <v>0</v>
      </c>
      <c r="AK149" s="83">
        <f>VLOOKUP(TableWRRanks3242[[#This Row],[Player]],WR!B:O,7,FALSE)</f>
        <v>0</v>
      </c>
      <c r="AL149" s="83">
        <f>VLOOKUP(TableWRRanks3242[[#This Row],[Player]],WR!B:O,8,FALSE)</f>
        <v>0</v>
      </c>
      <c r="AM149" s="83">
        <f>VLOOKUP(TableWRRanks3242[[#This Row],[Player]],WR!B:O,9,FALSE)</f>
        <v>0</v>
      </c>
      <c r="AN149" s="57">
        <f>VLOOKUP(TableWRRanks3242[[#This Row],[Player]],WR!B:O,13,FALSE)</f>
        <v>0</v>
      </c>
      <c r="AO149" s="125">
        <f>IF(VLOOKUP(TableWRRanks3242[[#This Row],[RK]],'Ranks w Proj'!AD:AO,12,FALSE)&lt;0,0,VLOOKUP(TableWRRanks3242[[#This Row],[RK]],'Ranks w Proj'!AD:AO,12,FALSE))</f>
        <v>0</v>
      </c>
    </row>
    <row r="150" spans="16:41" x14ac:dyDescent="0.2">
      <c r="P150">
        <v>149</v>
      </c>
      <c r="Q150">
        <f>VLOOKUP(TableRBRanks3141[[#This Row],[RK]],Rankings!A:T,8,FALSE)</f>
        <v>0</v>
      </c>
      <c r="R150" t="str">
        <f>IFERROR(INDEX(TableRBCalcPts[TM],MATCH(TableRBRanks3141[[#This Row],[Player]],TableRBCalcPts[PLAYER],0)),"")</f>
        <v/>
      </c>
      <c r="S150" t="str">
        <f>IFERROR(INDEX(TableRBCalcPts[BYE],MATCH(TableRBRanks3141[[#This Row],[Player]],TableRBCalcPts[PLAYER],0)),"")</f>
        <v/>
      </c>
      <c r="T150" s="83">
        <f>VLOOKUP(TableRBRanks3141[[#This Row],[Player]],RB!B:O,4,FALSE)</f>
        <v>0</v>
      </c>
      <c r="U150" s="83">
        <f>VLOOKUP(TableRBRanks3141[[#This Row],[Player]],RB!B:O,5,FALSE)</f>
        <v>0</v>
      </c>
      <c r="V150" s="83">
        <f>VLOOKUP(TableRBRanks3141[[#This Row],[Player]],RB!B:O,6,FALSE)</f>
        <v>0</v>
      </c>
      <c r="W150" s="83">
        <f>VLOOKUP(TableRBRanks3141[[#This Row],[Player]],RB!B:O,7,FALSE)</f>
        <v>0</v>
      </c>
      <c r="X150" s="83">
        <f>VLOOKUP(TableRBRanks3141[[#This Row],[Player]],RB!B:O,8,FALSE)</f>
        <v>0</v>
      </c>
      <c r="Y150" s="83">
        <f>VLOOKUP(TableRBRanks3141[[#This Row],[Player]],RB!B:O,9,FALSE)</f>
        <v>0</v>
      </c>
      <c r="Z150" s="83">
        <f>VLOOKUP(TableRBRanks3141[[#This Row],[Player]],RB!B:O,10,FALSE)</f>
        <v>0</v>
      </c>
      <c r="AA150" s="57">
        <f>VLOOKUP(TableRBRanks3141[[#This Row],[Player]],RB!B:O,14,FALSE)</f>
        <v>0</v>
      </c>
      <c r="AB150" s="125" t="str">
        <f>IF(VLOOKUP(TableRBRanks3141[[#This Row],[RK]],'Ranks w Proj'!$P:$AB,13,FALSE)&lt;0,0,VLOOKUP(TableRBRanks3141[[#This Row],[RK]],'Ranks w Proj'!$P:$AB,13,FALSE))</f>
        <v/>
      </c>
      <c r="AD150">
        <v>149</v>
      </c>
      <c r="AE150">
        <f>VLOOKUP(TableWRRanks3242[[#This Row],[RK]],Rankings!A:T,13,FALSE)</f>
        <v>0</v>
      </c>
      <c r="AF150" t="str">
        <f>IFERROR(INDEX(TableWRCalcPts[TM],MATCH(TableWRRanks3242[[#This Row],[Player]],TableWRCalcPts[PLAYER],0)),"")</f>
        <v/>
      </c>
      <c r="AG150" t="str">
        <f>IFERROR(INDEX(TableWRCalcPts[BYE],MATCH(TableWRRanks3242[[#This Row],[Player]],TableWRCalcPts[PLAYER],0)),"")</f>
        <v/>
      </c>
      <c r="AH150" s="83">
        <f>VLOOKUP(TableWRRanks3242[[#This Row],[Player]],WR!B:O,4,FALSE)</f>
        <v>0</v>
      </c>
      <c r="AI150" s="83">
        <f>VLOOKUP(TableWRRanks3242[[#This Row],[Player]],WR!B:O,5,FALSE)</f>
        <v>0</v>
      </c>
      <c r="AJ150" s="83">
        <f>VLOOKUP(TableWRRanks3242[[#This Row],[Player]],WR!B:O,6,FALSE)</f>
        <v>0</v>
      </c>
      <c r="AK150" s="83">
        <f>VLOOKUP(TableWRRanks3242[[#This Row],[Player]],WR!B:O,7,FALSE)</f>
        <v>0</v>
      </c>
      <c r="AL150" s="83">
        <f>VLOOKUP(TableWRRanks3242[[#This Row],[Player]],WR!B:O,8,FALSE)</f>
        <v>0</v>
      </c>
      <c r="AM150" s="83">
        <f>VLOOKUP(TableWRRanks3242[[#This Row],[Player]],WR!B:O,9,FALSE)</f>
        <v>0</v>
      </c>
      <c r="AN150" s="57">
        <f>VLOOKUP(TableWRRanks3242[[#This Row],[Player]],WR!B:O,13,FALSE)</f>
        <v>0</v>
      </c>
      <c r="AO150" s="125">
        <f>IF(VLOOKUP(TableWRRanks3242[[#This Row],[RK]],'Ranks w Proj'!AD:AO,12,FALSE)&lt;0,0,VLOOKUP(TableWRRanks3242[[#This Row],[RK]],'Ranks w Proj'!AD:AO,12,FALSE))</f>
        <v>0</v>
      </c>
    </row>
    <row r="151" spans="16:41" x14ac:dyDescent="0.2">
      <c r="P151">
        <v>150</v>
      </c>
      <c r="Q151">
        <f>VLOOKUP(TableRBRanks3141[[#This Row],[RK]],Rankings!A:T,8,FALSE)</f>
        <v>0</v>
      </c>
      <c r="R151" t="str">
        <f>IFERROR(INDEX(TableRBCalcPts[TM],MATCH(TableRBRanks3141[[#This Row],[Player]],TableRBCalcPts[PLAYER],0)),"")</f>
        <v/>
      </c>
      <c r="S151" t="str">
        <f>IFERROR(INDEX(TableRBCalcPts[BYE],MATCH(TableRBRanks3141[[#This Row],[Player]],TableRBCalcPts[PLAYER],0)),"")</f>
        <v/>
      </c>
      <c r="T151" s="83">
        <f>VLOOKUP(TableRBRanks3141[[#This Row],[Player]],RB!B:O,4,FALSE)</f>
        <v>0</v>
      </c>
      <c r="U151" s="83">
        <f>VLOOKUP(TableRBRanks3141[[#This Row],[Player]],RB!B:O,5,FALSE)</f>
        <v>0</v>
      </c>
      <c r="V151" s="83">
        <f>VLOOKUP(TableRBRanks3141[[#This Row],[Player]],RB!B:O,6,FALSE)</f>
        <v>0</v>
      </c>
      <c r="W151" s="83">
        <f>VLOOKUP(TableRBRanks3141[[#This Row],[Player]],RB!B:O,7,FALSE)</f>
        <v>0</v>
      </c>
      <c r="X151" s="83">
        <f>VLOOKUP(TableRBRanks3141[[#This Row],[Player]],RB!B:O,8,FALSE)</f>
        <v>0</v>
      </c>
      <c r="Y151" s="83">
        <f>VLOOKUP(TableRBRanks3141[[#This Row],[Player]],RB!B:O,9,FALSE)</f>
        <v>0</v>
      </c>
      <c r="Z151" s="83">
        <f>VLOOKUP(TableRBRanks3141[[#This Row],[Player]],RB!B:O,10,FALSE)</f>
        <v>0</v>
      </c>
      <c r="AA151" s="57">
        <f>VLOOKUP(TableRBRanks3141[[#This Row],[Player]],RB!B:O,14,FALSE)</f>
        <v>0</v>
      </c>
      <c r="AB151" s="125" t="str">
        <f>IF(VLOOKUP(TableRBRanks3141[[#This Row],[RK]],'Ranks w Proj'!$P:$AB,13,FALSE)&lt;0,0,VLOOKUP(TableRBRanks3141[[#This Row],[RK]],'Ranks w Proj'!$P:$AB,13,FALSE))</f>
        <v/>
      </c>
      <c r="AD151">
        <v>150</v>
      </c>
      <c r="AE151">
        <f>VLOOKUP(TableWRRanks3242[[#This Row],[RK]],Rankings!A:T,13,FALSE)</f>
        <v>0</v>
      </c>
      <c r="AF151" t="str">
        <f>IFERROR(INDEX(TableWRCalcPts[TM],MATCH(TableWRRanks3242[[#This Row],[Player]],TableWRCalcPts[PLAYER],0)),"")</f>
        <v/>
      </c>
      <c r="AG151" t="str">
        <f>IFERROR(INDEX(TableWRCalcPts[BYE],MATCH(TableWRRanks3242[[#This Row],[Player]],TableWRCalcPts[PLAYER],0)),"")</f>
        <v/>
      </c>
      <c r="AH151" s="83">
        <f>VLOOKUP(TableWRRanks3242[[#This Row],[Player]],WR!B:O,4,FALSE)</f>
        <v>0</v>
      </c>
      <c r="AI151" s="83">
        <f>VLOOKUP(TableWRRanks3242[[#This Row],[Player]],WR!B:O,5,FALSE)</f>
        <v>0</v>
      </c>
      <c r="AJ151" s="83">
        <f>VLOOKUP(TableWRRanks3242[[#This Row],[Player]],WR!B:O,6,FALSE)</f>
        <v>0</v>
      </c>
      <c r="AK151" s="83">
        <f>VLOOKUP(TableWRRanks3242[[#This Row],[Player]],WR!B:O,7,FALSE)</f>
        <v>0</v>
      </c>
      <c r="AL151" s="83">
        <f>VLOOKUP(TableWRRanks3242[[#This Row],[Player]],WR!B:O,8,FALSE)</f>
        <v>0</v>
      </c>
      <c r="AM151" s="83">
        <f>VLOOKUP(TableWRRanks3242[[#This Row],[Player]],WR!B:O,9,FALSE)</f>
        <v>0</v>
      </c>
      <c r="AN151" s="57">
        <f>VLOOKUP(TableWRRanks3242[[#This Row],[Player]],WR!B:O,13,FALSE)</f>
        <v>0</v>
      </c>
      <c r="AO151" s="125">
        <f>IF(VLOOKUP(TableWRRanks3242[[#This Row],[RK]],'Ranks w Proj'!AD:AO,12,FALSE)&lt;0,0,VLOOKUP(TableWRRanks3242[[#This Row],[RK]],'Ranks w Proj'!AD:AO,12,FALSE))</f>
        <v>0</v>
      </c>
    </row>
    <row r="152" spans="16:41" x14ac:dyDescent="0.2">
      <c r="P152">
        <v>151</v>
      </c>
      <c r="Q152">
        <f>VLOOKUP(TableRBRanks3141[[#This Row],[RK]],Rankings!A:T,8,FALSE)</f>
        <v>0</v>
      </c>
      <c r="R152" t="str">
        <f>IFERROR(INDEX(TableRBCalcPts[TM],MATCH(TableRBRanks3141[[#This Row],[Player]],TableRBCalcPts[PLAYER],0)),"")</f>
        <v/>
      </c>
      <c r="S152" t="str">
        <f>IFERROR(INDEX(TableRBCalcPts[BYE],MATCH(TableRBRanks3141[[#This Row],[Player]],TableRBCalcPts[PLAYER],0)),"")</f>
        <v/>
      </c>
      <c r="T152" s="83">
        <f>VLOOKUP(TableRBRanks3141[[#This Row],[Player]],RB!B:O,4,FALSE)</f>
        <v>0</v>
      </c>
      <c r="U152" s="83">
        <f>VLOOKUP(TableRBRanks3141[[#This Row],[Player]],RB!B:O,5,FALSE)</f>
        <v>0</v>
      </c>
      <c r="V152" s="83">
        <f>VLOOKUP(TableRBRanks3141[[#This Row],[Player]],RB!B:O,6,FALSE)</f>
        <v>0</v>
      </c>
      <c r="W152" s="83">
        <f>VLOOKUP(TableRBRanks3141[[#This Row],[Player]],RB!B:O,7,FALSE)</f>
        <v>0</v>
      </c>
      <c r="X152" s="83">
        <f>VLOOKUP(TableRBRanks3141[[#This Row],[Player]],RB!B:O,8,FALSE)</f>
        <v>0</v>
      </c>
      <c r="Y152" s="83">
        <f>VLOOKUP(TableRBRanks3141[[#This Row],[Player]],RB!B:O,9,FALSE)</f>
        <v>0</v>
      </c>
      <c r="Z152" s="83">
        <f>VLOOKUP(TableRBRanks3141[[#This Row],[Player]],RB!B:O,10,FALSE)</f>
        <v>0</v>
      </c>
      <c r="AA152" s="57">
        <f>VLOOKUP(TableRBRanks3141[[#This Row],[Player]],RB!B:O,14,FALSE)</f>
        <v>0</v>
      </c>
      <c r="AB152" s="125" t="str">
        <f>IF(VLOOKUP(TableRBRanks3141[[#This Row],[RK]],'Ranks w Proj'!$P:$AB,13,FALSE)&lt;0,0,VLOOKUP(TableRBRanks3141[[#This Row],[RK]],'Ranks w Proj'!$P:$AB,13,FALSE))</f>
        <v/>
      </c>
      <c r="AD152">
        <v>151</v>
      </c>
      <c r="AE152">
        <f>VLOOKUP(TableWRRanks3242[[#This Row],[RK]],Rankings!A:T,13,FALSE)</f>
        <v>0</v>
      </c>
      <c r="AF152" t="str">
        <f>IFERROR(INDEX(TableWRCalcPts[TM],MATCH(TableWRRanks3242[[#This Row],[Player]],TableWRCalcPts[PLAYER],0)),"")</f>
        <v/>
      </c>
      <c r="AG152" t="str">
        <f>IFERROR(INDEX(TableWRCalcPts[BYE],MATCH(TableWRRanks3242[[#This Row],[Player]],TableWRCalcPts[PLAYER],0)),"")</f>
        <v/>
      </c>
      <c r="AH152" s="83">
        <f>VLOOKUP(TableWRRanks3242[[#This Row],[Player]],WR!B:O,4,FALSE)</f>
        <v>0</v>
      </c>
      <c r="AI152" s="83">
        <f>VLOOKUP(TableWRRanks3242[[#This Row],[Player]],WR!B:O,5,FALSE)</f>
        <v>0</v>
      </c>
      <c r="AJ152" s="83">
        <f>VLOOKUP(TableWRRanks3242[[#This Row],[Player]],WR!B:O,6,FALSE)</f>
        <v>0</v>
      </c>
      <c r="AK152" s="83">
        <f>VLOOKUP(TableWRRanks3242[[#This Row],[Player]],WR!B:O,7,FALSE)</f>
        <v>0</v>
      </c>
      <c r="AL152" s="83">
        <f>VLOOKUP(TableWRRanks3242[[#This Row],[Player]],WR!B:O,8,FALSE)</f>
        <v>0</v>
      </c>
      <c r="AM152" s="83">
        <f>VLOOKUP(TableWRRanks3242[[#This Row],[Player]],WR!B:O,9,FALSE)</f>
        <v>0</v>
      </c>
      <c r="AN152" s="57">
        <f>VLOOKUP(TableWRRanks3242[[#This Row],[Player]],WR!B:O,13,FALSE)</f>
        <v>0</v>
      </c>
      <c r="AO152" s="125">
        <f>IF(VLOOKUP(TableWRRanks3242[[#This Row],[RK]],'Ranks w Proj'!AD:AO,12,FALSE)&lt;0,0,VLOOKUP(TableWRRanks3242[[#This Row],[RK]],'Ranks w Proj'!AD:AO,12,FALSE))</f>
        <v>0</v>
      </c>
    </row>
    <row r="153" spans="16:41" x14ac:dyDescent="0.2">
      <c r="P153">
        <v>152</v>
      </c>
      <c r="Q153">
        <f>VLOOKUP(TableRBRanks3141[[#This Row],[RK]],Rankings!A:T,8,FALSE)</f>
        <v>0</v>
      </c>
      <c r="R153" t="str">
        <f>IFERROR(INDEX(TableRBCalcPts[TM],MATCH(TableRBRanks3141[[#This Row],[Player]],TableRBCalcPts[PLAYER],0)),"")</f>
        <v/>
      </c>
      <c r="S153" t="str">
        <f>IFERROR(INDEX(TableRBCalcPts[BYE],MATCH(TableRBRanks3141[[#This Row],[Player]],TableRBCalcPts[PLAYER],0)),"")</f>
        <v/>
      </c>
      <c r="T153" s="83">
        <f>VLOOKUP(TableRBRanks3141[[#This Row],[Player]],RB!B:O,4,FALSE)</f>
        <v>0</v>
      </c>
      <c r="U153" s="83">
        <f>VLOOKUP(TableRBRanks3141[[#This Row],[Player]],RB!B:O,5,FALSE)</f>
        <v>0</v>
      </c>
      <c r="V153" s="83">
        <f>VLOOKUP(TableRBRanks3141[[#This Row],[Player]],RB!B:O,6,FALSE)</f>
        <v>0</v>
      </c>
      <c r="W153" s="83">
        <f>VLOOKUP(TableRBRanks3141[[#This Row],[Player]],RB!B:O,7,FALSE)</f>
        <v>0</v>
      </c>
      <c r="X153" s="83">
        <f>VLOOKUP(TableRBRanks3141[[#This Row],[Player]],RB!B:O,8,FALSE)</f>
        <v>0</v>
      </c>
      <c r="Y153" s="83">
        <f>VLOOKUP(TableRBRanks3141[[#This Row],[Player]],RB!B:O,9,FALSE)</f>
        <v>0</v>
      </c>
      <c r="Z153" s="83">
        <f>VLOOKUP(TableRBRanks3141[[#This Row],[Player]],RB!B:O,10,FALSE)</f>
        <v>0</v>
      </c>
      <c r="AA153" s="57">
        <f>VLOOKUP(TableRBRanks3141[[#This Row],[Player]],RB!B:O,14,FALSE)</f>
        <v>0</v>
      </c>
      <c r="AB153" s="125" t="str">
        <f>IF(VLOOKUP(TableRBRanks3141[[#This Row],[RK]],'Ranks w Proj'!$P:$AB,13,FALSE)&lt;0,0,VLOOKUP(TableRBRanks3141[[#This Row],[RK]],'Ranks w Proj'!$P:$AB,13,FALSE))</f>
        <v/>
      </c>
      <c r="AD153">
        <v>152</v>
      </c>
      <c r="AE153">
        <f>VLOOKUP(TableWRRanks3242[[#This Row],[RK]],Rankings!A:T,13,FALSE)</f>
        <v>0</v>
      </c>
      <c r="AF153" t="str">
        <f>IFERROR(INDEX(TableWRCalcPts[TM],MATCH(TableWRRanks3242[[#This Row],[Player]],TableWRCalcPts[PLAYER],0)),"")</f>
        <v/>
      </c>
      <c r="AG153" t="str">
        <f>IFERROR(INDEX(TableWRCalcPts[BYE],MATCH(TableWRRanks3242[[#This Row],[Player]],TableWRCalcPts[PLAYER],0)),"")</f>
        <v/>
      </c>
      <c r="AH153" s="83">
        <f>VLOOKUP(TableWRRanks3242[[#This Row],[Player]],WR!B:O,4,FALSE)</f>
        <v>0</v>
      </c>
      <c r="AI153" s="83">
        <f>VLOOKUP(TableWRRanks3242[[#This Row],[Player]],WR!B:O,5,FALSE)</f>
        <v>0</v>
      </c>
      <c r="AJ153" s="83">
        <f>VLOOKUP(TableWRRanks3242[[#This Row],[Player]],WR!B:O,6,FALSE)</f>
        <v>0</v>
      </c>
      <c r="AK153" s="83">
        <f>VLOOKUP(TableWRRanks3242[[#This Row],[Player]],WR!B:O,7,FALSE)</f>
        <v>0</v>
      </c>
      <c r="AL153" s="83">
        <f>VLOOKUP(TableWRRanks3242[[#This Row],[Player]],WR!B:O,8,FALSE)</f>
        <v>0</v>
      </c>
      <c r="AM153" s="83">
        <f>VLOOKUP(TableWRRanks3242[[#This Row],[Player]],WR!B:O,9,FALSE)</f>
        <v>0</v>
      </c>
      <c r="AN153" s="57">
        <f>VLOOKUP(TableWRRanks3242[[#This Row],[Player]],WR!B:O,13,FALSE)</f>
        <v>0</v>
      </c>
      <c r="AO153" s="125">
        <f>IF(VLOOKUP(TableWRRanks3242[[#This Row],[RK]],'Ranks w Proj'!AD:AO,12,FALSE)&lt;0,0,VLOOKUP(TableWRRanks3242[[#This Row],[RK]],'Ranks w Proj'!AD:AO,12,FALSE))</f>
        <v>0</v>
      </c>
    </row>
    <row r="154" spans="16:41" x14ac:dyDescent="0.2">
      <c r="P154">
        <v>153</v>
      </c>
      <c r="Q154">
        <f>VLOOKUP(TableRBRanks3141[[#This Row],[RK]],Rankings!A:T,8,FALSE)</f>
        <v>0</v>
      </c>
      <c r="R154" t="str">
        <f>IFERROR(INDEX(TableRBCalcPts[TM],MATCH(TableRBRanks3141[[#This Row],[Player]],TableRBCalcPts[PLAYER],0)),"")</f>
        <v/>
      </c>
      <c r="S154" t="str">
        <f>IFERROR(INDEX(TableRBCalcPts[BYE],MATCH(TableRBRanks3141[[#This Row],[Player]],TableRBCalcPts[PLAYER],0)),"")</f>
        <v/>
      </c>
      <c r="T154" s="83">
        <f>VLOOKUP(TableRBRanks3141[[#This Row],[Player]],RB!B:O,4,FALSE)</f>
        <v>0</v>
      </c>
      <c r="U154" s="83">
        <f>VLOOKUP(TableRBRanks3141[[#This Row],[Player]],RB!B:O,5,FALSE)</f>
        <v>0</v>
      </c>
      <c r="V154" s="83">
        <f>VLOOKUP(TableRBRanks3141[[#This Row],[Player]],RB!B:O,6,FALSE)</f>
        <v>0</v>
      </c>
      <c r="W154" s="83">
        <f>VLOOKUP(TableRBRanks3141[[#This Row],[Player]],RB!B:O,7,FALSE)</f>
        <v>0</v>
      </c>
      <c r="X154" s="83">
        <f>VLOOKUP(TableRBRanks3141[[#This Row],[Player]],RB!B:O,8,FALSE)</f>
        <v>0</v>
      </c>
      <c r="Y154" s="83">
        <f>VLOOKUP(TableRBRanks3141[[#This Row],[Player]],RB!B:O,9,FALSE)</f>
        <v>0</v>
      </c>
      <c r="Z154" s="83">
        <f>VLOOKUP(TableRBRanks3141[[#This Row],[Player]],RB!B:O,10,FALSE)</f>
        <v>0</v>
      </c>
      <c r="AA154" s="57">
        <f>VLOOKUP(TableRBRanks3141[[#This Row],[Player]],RB!B:O,14,FALSE)</f>
        <v>0</v>
      </c>
      <c r="AB154" s="125" t="str">
        <f>IF(VLOOKUP(TableRBRanks3141[[#This Row],[RK]],'Ranks w Proj'!$P:$AB,13,FALSE)&lt;0,0,VLOOKUP(TableRBRanks3141[[#This Row],[RK]],'Ranks w Proj'!$P:$AB,13,FALSE))</f>
        <v/>
      </c>
      <c r="AD154">
        <v>153</v>
      </c>
      <c r="AE154">
        <f>VLOOKUP(TableWRRanks3242[[#This Row],[RK]],Rankings!A:T,13,FALSE)</f>
        <v>0</v>
      </c>
      <c r="AF154" t="str">
        <f>IFERROR(INDEX(TableWRCalcPts[TM],MATCH(TableWRRanks3242[[#This Row],[Player]],TableWRCalcPts[PLAYER],0)),"")</f>
        <v/>
      </c>
      <c r="AG154" t="str">
        <f>IFERROR(INDEX(TableWRCalcPts[BYE],MATCH(TableWRRanks3242[[#This Row],[Player]],TableWRCalcPts[PLAYER],0)),"")</f>
        <v/>
      </c>
      <c r="AH154" s="83">
        <f>VLOOKUP(TableWRRanks3242[[#This Row],[Player]],WR!B:O,4,FALSE)</f>
        <v>0</v>
      </c>
      <c r="AI154" s="83">
        <f>VLOOKUP(TableWRRanks3242[[#This Row],[Player]],WR!B:O,5,FALSE)</f>
        <v>0</v>
      </c>
      <c r="AJ154" s="83">
        <f>VLOOKUP(TableWRRanks3242[[#This Row],[Player]],WR!B:O,6,FALSE)</f>
        <v>0</v>
      </c>
      <c r="AK154" s="83">
        <f>VLOOKUP(TableWRRanks3242[[#This Row],[Player]],WR!B:O,7,FALSE)</f>
        <v>0</v>
      </c>
      <c r="AL154" s="83">
        <f>VLOOKUP(TableWRRanks3242[[#This Row],[Player]],WR!B:O,8,FALSE)</f>
        <v>0</v>
      </c>
      <c r="AM154" s="83">
        <f>VLOOKUP(TableWRRanks3242[[#This Row],[Player]],WR!B:O,9,FALSE)</f>
        <v>0</v>
      </c>
      <c r="AN154" s="57">
        <f>VLOOKUP(TableWRRanks3242[[#This Row],[Player]],WR!B:O,13,FALSE)</f>
        <v>0</v>
      </c>
      <c r="AO154" s="125">
        <f>IF(VLOOKUP(TableWRRanks3242[[#This Row],[RK]],'Ranks w Proj'!AD:AO,12,FALSE)&lt;0,0,VLOOKUP(TableWRRanks3242[[#This Row],[RK]],'Ranks w Proj'!AD:AO,12,FALSE))</f>
        <v>0</v>
      </c>
    </row>
    <row r="155" spans="16:41" x14ac:dyDescent="0.2">
      <c r="P155">
        <v>154</v>
      </c>
      <c r="Q155">
        <f>VLOOKUP(TableRBRanks3141[[#This Row],[RK]],Rankings!A:T,8,FALSE)</f>
        <v>0</v>
      </c>
      <c r="R155" t="str">
        <f>IFERROR(INDEX(TableRBCalcPts[TM],MATCH(TableRBRanks3141[[#This Row],[Player]],TableRBCalcPts[PLAYER],0)),"")</f>
        <v/>
      </c>
      <c r="S155" t="str">
        <f>IFERROR(INDEX(TableRBCalcPts[BYE],MATCH(TableRBRanks3141[[#This Row],[Player]],TableRBCalcPts[PLAYER],0)),"")</f>
        <v/>
      </c>
      <c r="T155" s="83">
        <f>VLOOKUP(TableRBRanks3141[[#This Row],[Player]],RB!B:O,4,FALSE)</f>
        <v>0</v>
      </c>
      <c r="U155" s="83">
        <f>VLOOKUP(TableRBRanks3141[[#This Row],[Player]],RB!B:O,5,FALSE)</f>
        <v>0</v>
      </c>
      <c r="V155" s="83">
        <f>VLOOKUP(TableRBRanks3141[[#This Row],[Player]],RB!B:O,6,FALSE)</f>
        <v>0</v>
      </c>
      <c r="W155" s="83">
        <f>VLOOKUP(TableRBRanks3141[[#This Row],[Player]],RB!B:O,7,FALSE)</f>
        <v>0</v>
      </c>
      <c r="X155" s="83">
        <f>VLOOKUP(TableRBRanks3141[[#This Row],[Player]],RB!B:O,8,FALSE)</f>
        <v>0</v>
      </c>
      <c r="Y155" s="83">
        <f>VLOOKUP(TableRBRanks3141[[#This Row],[Player]],RB!B:O,9,FALSE)</f>
        <v>0</v>
      </c>
      <c r="Z155" s="83">
        <f>VLOOKUP(TableRBRanks3141[[#This Row],[Player]],RB!B:O,10,FALSE)</f>
        <v>0</v>
      </c>
      <c r="AA155" s="57">
        <f>VLOOKUP(TableRBRanks3141[[#This Row],[Player]],RB!B:O,14,FALSE)</f>
        <v>0</v>
      </c>
      <c r="AB155" s="125" t="str">
        <f>IF(VLOOKUP(TableRBRanks3141[[#This Row],[RK]],'Ranks w Proj'!$P:$AB,13,FALSE)&lt;0,0,VLOOKUP(TableRBRanks3141[[#This Row],[RK]],'Ranks w Proj'!$P:$AB,13,FALSE))</f>
        <v/>
      </c>
      <c r="AD155">
        <v>154</v>
      </c>
      <c r="AE155">
        <f>VLOOKUP(TableWRRanks3242[[#This Row],[RK]],Rankings!A:T,13,FALSE)</f>
        <v>0</v>
      </c>
      <c r="AF155" t="str">
        <f>IFERROR(INDEX(TableWRCalcPts[TM],MATCH(TableWRRanks3242[[#This Row],[Player]],TableWRCalcPts[PLAYER],0)),"")</f>
        <v/>
      </c>
      <c r="AG155" t="str">
        <f>IFERROR(INDEX(TableWRCalcPts[BYE],MATCH(TableWRRanks3242[[#This Row],[Player]],TableWRCalcPts[PLAYER],0)),"")</f>
        <v/>
      </c>
      <c r="AH155" s="83">
        <f>VLOOKUP(TableWRRanks3242[[#This Row],[Player]],WR!B:O,4,FALSE)</f>
        <v>0</v>
      </c>
      <c r="AI155" s="83">
        <f>VLOOKUP(TableWRRanks3242[[#This Row],[Player]],WR!B:O,5,FALSE)</f>
        <v>0</v>
      </c>
      <c r="AJ155" s="83">
        <f>VLOOKUP(TableWRRanks3242[[#This Row],[Player]],WR!B:O,6,FALSE)</f>
        <v>0</v>
      </c>
      <c r="AK155" s="83">
        <f>VLOOKUP(TableWRRanks3242[[#This Row],[Player]],WR!B:O,7,FALSE)</f>
        <v>0</v>
      </c>
      <c r="AL155" s="83">
        <f>VLOOKUP(TableWRRanks3242[[#This Row],[Player]],WR!B:O,8,FALSE)</f>
        <v>0</v>
      </c>
      <c r="AM155" s="83">
        <f>VLOOKUP(TableWRRanks3242[[#This Row],[Player]],WR!B:O,9,FALSE)</f>
        <v>0</v>
      </c>
      <c r="AN155" s="57">
        <f>VLOOKUP(TableWRRanks3242[[#This Row],[Player]],WR!B:O,13,FALSE)</f>
        <v>0</v>
      </c>
      <c r="AO155" s="125">
        <f>IF(VLOOKUP(TableWRRanks3242[[#This Row],[RK]],'Ranks w Proj'!AD:AO,12,FALSE)&lt;0,0,VLOOKUP(TableWRRanks3242[[#This Row],[RK]],'Ranks w Proj'!AD:AO,12,FALSE))</f>
        <v>0</v>
      </c>
    </row>
    <row r="156" spans="16:41" x14ac:dyDescent="0.2">
      <c r="P156">
        <v>155</v>
      </c>
      <c r="Q156">
        <f>VLOOKUP(TableRBRanks3141[[#This Row],[RK]],Rankings!A:T,8,FALSE)</f>
        <v>0</v>
      </c>
      <c r="R156" t="str">
        <f>IFERROR(INDEX(TableRBCalcPts[TM],MATCH(TableRBRanks3141[[#This Row],[Player]],TableRBCalcPts[PLAYER],0)),"")</f>
        <v/>
      </c>
      <c r="S156" t="str">
        <f>IFERROR(INDEX(TableRBCalcPts[BYE],MATCH(TableRBRanks3141[[#This Row],[Player]],TableRBCalcPts[PLAYER],0)),"")</f>
        <v/>
      </c>
      <c r="T156" s="83">
        <f>VLOOKUP(TableRBRanks3141[[#This Row],[Player]],RB!B:O,4,FALSE)</f>
        <v>0</v>
      </c>
      <c r="U156" s="83">
        <f>VLOOKUP(TableRBRanks3141[[#This Row],[Player]],RB!B:O,5,FALSE)</f>
        <v>0</v>
      </c>
      <c r="V156" s="83">
        <f>VLOOKUP(TableRBRanks3141[[#This Row],[Player]],RB!B:O,6,FALSE)</f>
        <v>0</v>
      </c>
      <c r="W156" s="83">
        <f>VLOOKUP(TableRBRanks3141[[#This Row],[Player]],RB!B:O,7,FALSE)</f>
        <v>0</v>
      </c>
      <c r="X156" s="83">
        <f>VLOOKUP(TableRBRanks3141[[#This Row],[Player]],RB!B:O,8,FALSE)</f>
        <v>0</v>
      </c>
      <c r="Y156" s="83">
        <f>VLOOKUP(TableRBRanks3141[[#This Row],[Player]],RB!B:O,9,FALSE)</f>
        <v>0</v>
      </c>
      <c r="Z156" s="83">
        <f>VLOOKUP(TableRBRanks3141[[#This Row],[Player]],RB!B:O,10,FALSE)</f>
        <v>0</v>
      </c>
      <c r="AA156" s="57">
        <f>VLOOKUP(TableRBRanks3141[[#This Row],[Player]],RB!B:O,14,FALSE)</f>
        <v>0</v>
      </c>
      <c r="AB156" s="125" t="str">
        <f>IF(VLOOKUP(TableRBRanks3141[[#This Row],[RK]],'Ranks w Proj'!$P:$AB,13,FALSE)&lt;0,0,VLOOKUP(TableRBRanks3141[[#This Row],[RK]],'Ranks w Proj'!$P:$AB,13,FALSE))</f>
        <v/>
      </c>
      <c r="AD156">
        <v>155</v>
      </c>
      <c r="AE156">
        <f>VLOOKUP(TableWRRanks3242[[#This Row],[RK]],Rankings!A:T,13,FALSE)</f>
        <v>0</v>
      </c>
      <c r="AF156" t="str">
        <f>IFERROR(INDEX(TableWRCalcPts[TM],MATCH(TableWRRanks3242[[#This Row],[Player]],TableWRCalcPts[PLAYER],0)),"")</f>
        <v/>
      </c>
      <c r="AG156" t="str">
        <f>IFERROR(INDEX(TableWRCalcPts[BYE],MATCH(TableWRRanks3242[[#This Row],[Player]],TableWRCalcPts[PLAYER],0)),"")</f>
        <v/>
      </c>
      <c r="AH156" s="83">
        <f>VLOOKUP(TableWRRanks3242[[#This Row],[Player]],WR!B:O,4,FALSE)</f>
        <v>0</v>
      </c>
      <c r="AI156" s="83">
        <f>VLOOKUP(TableWRRanks3242[[#This Row],[Player]],WR!B:O,5,FALSE)</f>
        <v>0</v>
      </c>
      <c r="AJ156" s="83">
        <f>VLOOKUP(TableWRRanks3242[[#This Row],[Player]],WR!B:O,6,FALSE)</f>
        <v>0</v>
      </c>
      <c r="AK156" s="83">
        <f>VLOOKUP(TableWRRanks3242[[#This Row],[Player]],WR!B:O,7,FALSE)</f>
        <v>0</v>
      </c>
      <c r="AL156" s="83">
        <f>VLOOKUP(TableWRRanks3242[[#This Row],[Player]],WR!B:O,8,FALSE)</f>
        <v>0</v>
      </c>
      <c r="AM156" s="83">
        <f>VLOOKUP(TableWRRanks3242[[#This Row],[Player]],WR!B:O,9,FALSE)</f>
        <v>0</v>
      </c>
      <c r="AN156" s="57">
        <f>VLOOKUP(TableWRRanks3242[[#This Row],[Player]],WR!B:O,13,FALSE)</f>
        <v>0</v>
      </c>
      <c r="AO156" s="125">
        <f>IF(VLOOKUP(TableWRRanks3242[[#This Row],[RK]],'Ranks w Proj'!AD:AO,12,FALSE)&lt;0,0,VLOOKUP(TableWRRanks3242[[#This Row],[RK]],'Ranks w Proj'!AD:AO,12,FALSE))</f>
        <v>0</v>
      </c>
    </row>
    <row r="157" spans="16:41" x14ac:dyDescent="0.2">
      <c r="P157">
        <v>156</v>
      </c>
      <c r="Q157">
        <f>VLOOKUP(TableRBRanks3141[[#This Row],[RK]],Rankings!A:T,8,FALSE)</f>
        <v>0</v>
      </c>
      <c r="R157" t="str">
        <f>IFERROR(INDEX(TableRBCalcPts[TM],MATCH(TableRBRanks3141[[#This Row],[Player]],TableRBCalcPts[PLAYER],0)),"")</f>
        <v/>
      </c>
      <c r="S157" t="str">
        <f>IFERROR(INDEX(TableRBCalcPts[BYE],MATCH(TableRBRanks3141[[#This Row],[Player]],TableRBCalcPts[PLAYER],0)),"")</f>
        <v/>
      </c>
      <c r="T157" s="83">
        <f>VLOOKUP(TableRBRanks3141[[#This Row],[Player]],RB!B:O,4,FALSE)</f>
        <v>0</v>
      </c>
      <c r="U157" s="83">
        <f>VLOOKUP(TableRBRanks3141[[#This Row],[Player]],RB!B:O,5,FALSE)</f>
        <v>0</v>
      </c>
      <c r="V157" s="83">
        <f>VLOOKUP(TableRBRanks3141[[#This Row],[Player]],RB!B:O,6,FALSE)</f>
        <v>0</v>
      </c>
      <c r="W157" s="83">
        <f>VLOOKUP(TableRBRanks3141[[#This Row],[Player]],RB!B:O,7,FALSE)</f>
        <v>0</v>
      </c>
      <c r="X157" s="83">
        <f>VLOOKUP(TableRBRanks3141[[#This Row],[Player]],RB!B:O,8,FALSE)</f>
        <v>0</v>
      </c>
      <c r="Y157" s="83">
        <f>VLOOKUP(TableRBRanks3141[[#This Row],[Player]],RB!B:O,9,FALSE)</f>
        <v>0</v>
      </c>
      <c r="Z157" s="83">
        <f>VLOOKUP(TableRBRanks3141[[#This Row],[Player]],RB!B:O,10,FALSE)</f>
        <v>0</v>
      </c>
      <c r="AA157" s="57">
        <f>VLOOKUP(TableRBRanks3141[[#This Row],[Player]],RB!B:O,14,FALSE)</f>
        <v>0</v>
      </c>
      <c r="AB157" s="125" t="str">
        <f>IF(VLOOKUP(TableRBRanks3141[[#This Row],[RK]],'Ranks w Proj'!$P:$AB,13,FALSE)&lt;0,0,VLOOKUP(TableRBRanks3141[[#This Row],[RK]],'Ranks w Proj'!$P:$AB,13,FALSE))</f>
        <v/>
      </c>
      <c r="AD157">
        <v>156</v>
      </c>
      <c r="AE157">
        <f>VLOOKUP(TableWRRanks3242[[#This Row],[RK]],Rankings!A:T,13,FALSE)</f>
        <v>0</v>
      </c>
      <c r="AF157" t="str">
        <f>IFERROR(INDEX(TableWRCalcPts[TM],MATCH(TableWRRanks3242[[#This Row],[Player]],TableWRCalcPts[PLAYER],0)),"")</f>
        <v/>
      </c>
      <c r="AG157" t="str">
        <f>IFERROR(INDEX(TableWRCalcPts[BYE],MATCH(TableWRRanks3242[[#This Row],[Player]],TableWRCalcPts[PLAYER],0)),"")</f>
        <v/>
      </c>
      <c r="AH157" s="83">
        <f>VLOOKUP(TableWRRanks3242[[#This Row],[Player]],WR!B:O,4,FALSE)</f>
        <v>0</v>
      </c>
      <c r="AI157" s="83">
        <f>VLOOKUP(TableWRRanks3242[[#This Row],[Player]],WR!B:O,5,FALSE)</f>
        <v>0</v>
      </c>
      <c r="AJ157" s="83">
        <f>VLOOKUP(TableWRRanks3242[[#This Row],[Player]],WR!B:O,6,FALSE)</f>
        <v>0</v>
      </c>
      <c r="AK157" s="83">
        <f>VLOOKUP(TableWRRanks3242[[#This Row],[Player]],WR!B:O,7,FALSE)</f>
        <v>0</v>
      </c>
      <c r="AL157" s="83">
        <f>VLOOKUP(TableWRRanks3242[[#This Row],[Player]],WR!B:O,8,FALSE)</f>
        <v>0</v>
      </c>
      <c r="AM157" s="83">
        <f>VLOOKUP(TableWRRanks3242[[#This Row],[Player]],WR!B:O,9,FALSE)</f>
        <v>0</v>
      </c>
      <c r="AN157" s="57">
        <f>VLOOKUP(TableWRRanks3242[[#This Row],[Player]],WR!B:O,13,FALSE)</f>
        <v>0</v>
      </c>
      <c r="AO157" s="125">
        <f>IF(VLOOKUP(TableWRRanks3242[[#This Row],[RK]],'Ranks w Proj'!AD:AO,12,FALSE)&lt;0,0,VLOOKUP(TableWRRanks3242[[#This Row],[RK]],'Ranks w Proj'!AD:AO,12,FALSE))</f>
        <v>0</v>
      </c>
    </row>
    <row r="158" spans="16:41" x14ac:dyDescent="0.2">
      <c r="P158">
        <v>157</v>
      </c>
      <c r="Q158">
        <f>VLOOKUP(TableRBRanks3141[[#This Row],[RK]],Rankings!A:T,8,FALSE)</f>
        <v>0</v>
      </c>
      <c r="R158" t="str">
        <f>IFERROR(INDEX(TableRBCalcPts[TM],MATCH(TableRBRanks3141[[#This Row],[Player]],TableRBCalcPts[PLAYER],0)),"")</f>
        <v/>
      </c>
      <c r="S158" t="str">
        <f>IFERROR(INDEX(TableRBCalcPts[BYE],MATCH(TableRBRanks3141[[#This Row],[Player]],TableRBCalcPts[PLAYER],0)),"")</f>
        <v/>
      </c>
      <c r="T158" s="83">
        <f>VLOOKUP(TableRBRanks3141[[#This Row],[Player]],RB!B:O,4,FALSE)</f>
        <v>0</v>
      </c>
      <c r="U158" s="83">
        <f>VLOOKUP(TableRBRanks3141[[#This Row],[Player]],RB!B:O,5,FALSE)</f>
        <v>0</v>
      </c>
      <c r="V158" s="83">
        <f>VLOOKUP(TableRBRanks3141[[#This Row],[Player]],RB!B:O,6,FALSE)</f>
        <v>0</v>
      </c>
      <c r="W158" s="83">
        <f>VLOOKUP(TableRBRanks3141[[#This Row],[Player]],RB!B:O,7,FALSE)</f>
        <v>0</v>
      </c>
      <c r="X158" s="83">
        <f>VLOOKUP(TableRBRanks3141[[#This Row],[Player]],RB!B:O,8,FALSE)</f>
        <v>0</v>
      </c>
      <c r="Y158" s="83">
        <f>VLOOKUP(TableRBRanks3141[[#This Row],[Player]],RB!B:O,9,FALSE)</f>
        <v>0</v>
      </c>
      <c r="Z158" s="83">
        <f>VLOOKUP(TableRBRanks3141[[#This Row],[Player]],RB!B:O,10,FALSE)</f>
        <v>0</v>
      </c>
      <c r="AA158" s="57">
        <f>VLOOKUP(TableRBRanks3141[[#This Row],[Player]],RB!B:O,14,FALSE)</f>
        <v>0</v>
      </c>
      <c r="AB158" s="125" t="str">
        <f>IF(VLOOKUP(TableRBRanks3141[[#This Row],[RK]],'Ranks w Proj'!$P:$AB,13,FALSE)&lt;0,0,VLOOKUP(TableRBRanks3141[[#This Row],[RK]],'Ranks w Proj'!$P:$AB,13,FALSE))</f>
        <v/>
      </c>
      <c r="AD158">
        <v>157</v>
      </c>
      <c r="AE158">
        <f>VLOOKUP(TableWRRanks3242[[#This Row],[RK]],Rankings!A:T,13,FALSE)</f>
        <v>0</v>
      </c>
      <c r="AF158" t="str">
        <f>IFERROR(INDEX(TableWRCalcPts[TM],MATCH(TableWRRanks3242[[#This Row],[Player]],TableWRCalcPts[PLAYER],0)),"")</f>
        <v/>
      </c>
      <c r="AG158" t="str">
        <f>IFERROR(INDEX(TableWRCalcPts[BYE],MATCH(TableWRRanks3242[[#This Row],[Player]],TableWRCalcPts[PLAYER],0)),"")</f>
        <v/>
      </c>
      <c r="AH158" s="83">
        <f>VLOOKUP(TableWRRanks3242[[#This Row],[Player]],WR!B:O,4,FALSE)</f>
        <v>0</v>
      </c>
      <c r="AI158" s="83">
        <f>VLOOKUP(TableWRRanks3242[[#This Row],[Player]],WR!B:O,5,FALSE)</f>
        <v>0</v>
      </c>
      <c r="AJ158" s="83">
        <f>VLOOKUP(TableWRRanks3242[[#This Row],[Player]],WR!B:O,6,FALSE)</f>
        <v>0</v>
      </c>
      <c r="AK158" s="83">
        <f>VLOOKUP(TableWRRanks3242[[#This Row],[Player]],WR!B:O,7,FALSE)</f>
        <v>0</v>
      </c>
      <c r="AL158" s="83">
        <f>VLOOKUP(TableWRRanks3242[[#This Row],[Player]],WR!B:O,8,FALSE)</f>
        <v>0</v>
      </c>
      <c r="AM158" s="83">
        <f>VLOOKUP(TableWRRanks3242[[#This Row],[Player]],WR!B:O,9,FALSE)</f>
        <v>0</v>
      </c>
      <c r="AN158" s="57">
        <f>VLOOKUP(TableWRRanks3242[[#This Row],[Player]],WR!B:O,13,FALSE)</f>
        <v>0</v>
      </c>
      <c r="AO158" s="125">
        <f>IF(VLOOKUP(TableWRRanks3242[[#This Row],[RK]],'Ranks w Proj'!AD:AO,12,FALSE)&lt;0,0,VLOOKUP(TableWRRanks3242[[#This Row],[RK]],'Ranks w Proj'!AD:AO,12,FALSE))</f>
        <v>0</v>
      </c>
    </row>
    <row r="159" spans="16:41" x14ac:dyDescent="0.2">
      <c r="P159">
        <v>158</v>
      </c>
      <c r="Q159">
        <f>VLOOKUP(TableRBRanks3141[[#This Row],[RK]],Rankings!A:T,8,FALSE)</f>
        <v>0</v>
      </c>
      <c r="R159" t="str">
        <f>IFERROR(INDEX(TableRBCalcPts[TM],MATCH(TableRBRanks3141[[#This Row],[Player]],TableRBCalcPts[PLAYER],0)),"")</f>
        <v/>
      </c>
      <c r="S159" t="str">
        <f>IFERROR(INDEX(TableRBCalcPts[BYE],MATCH(TableRBRanks3141[[#This Row],[Player]],TableRBCalcPts[PLAYER],0)),"")</f>
        <v/>
      </c>
      <c r="T159" s="83">
        <f>VLOOKUP(TableRBRanks3141[[#This Row],[Player]],RB!B:O,4,FALSE)</f>
        <v>0</v>
      </c>
      <c r="U159" s="83">
        <f>VLOOKUP(TableRBRanks3141[[#This Row],[Player]],RB!B:O,5,FALSE)</f>
        <v>0</v>
      </c>
      <c r="V159" s="83">
        <f>VLOOKUP(TableRBRanks3141[[#This Row],[Player]],RB!B:O,6,FALSE)</f>
        <v>0</v>
      </c>
      <c r="W159" s="83">
        <f>VLOOKUP(TableRBRanks3141[[#This Row],[Player]],RB!B:O,7,FALSE)</f>
        <v>0</v>
      </c>
      <c r="X159" s="83">
        <f>VLOOKUP(TableRBRanks3141[[#This Row],[Player]],RB!B:O,8,FALSE)</f>
        <v>0</v>
      </c>
      <c r="Y159" s="83">
        <f>VLOOKUP(TableRBRanks3141[[#This Row],[Player]],RB!B:O,9,FALSE)</f>
        <v>0</v>
      </c>
      <c r="Z159" s="83">
        <f>VLOOKUP(TableRBRanks3141[[#This Row],[Player]],RB!B:O,10,FALSE)</f>
        <v>0</v>
      </c>
      <c r="AA159" s="57">
        <f>VLOOKUP(TableRBRanks3141[[#This Row],[Player]],RB!B:O,14,FALSE)</f>
        <v>0</v>
      </c>
      <c r="AB159" s="125" t="str">
        <f>IF(VLOOKUP(TableRBRanks3141[[#This Row],[RK]],'Ranks w Proj'!$P:$AB,13,FALSE)&lt;0,0,VLOOKUP(TableRBRanks3141[[#This Row],[RK]],'Ranks w Proj'!$P:$AB,13,FALSE))</f>
        <v/>
      </c>
      <c r="AD159">
        <v>158</v>
      </c>
      <c r="AE159">
        <f>VLOOKUP(TableWRRanks3242[[#This Row],[RK]],Rankings!A:T,13,FALSE)</f>
        <v>0</v>
      </c>
      <c r="AF159" t="str">
        <f>IFERROR(INDEX(TableWRCalcPts[TM],MATCH(TableWRRanks3242[[#This Row],[Player]],TableWRCalcPts[PLAYER],0)),"")</f>
        <v/>
      </c>
      <c r="AG159" t="str">
        <f>IFERROR(INDEX(TableWRCalcPts[BYE],MATCH(TableWRRanks3242[[#This Row],[Player]],TableWRCalcPts[PLAYER],0)),"")</f>
        <v/>
      </c>
      <c r="AH159" s="83">
        <f>VLOOKUP(TableWRRanks3242[[#This Row],[Player]],WR!B:O,4,FALSE)</f>
        <v>0</v>
      </c>
      <c r="AI159" s="83">
        <f>VLOOKUP(TableWRRanks3242[[#This Row],[Player]],WR!B:O,5,FALSE)</f>
        <v>0</v>
      </c>
      <c r="AJ159" s="83">
        <f>VLOOKUP(TableWRRanks3242[[#This Row],[Player]],WR!B:O,6,FALSE)</f>
        <v>0</v>
      </c>
      <c r="AK159" s="83">
        <f>VLOOKUP(TableWRRanks3242[[#This Row],[Player]],WR!B:O,7,FALSE)</f>
        <v>0</v>
      </c>
      <c r="AL159" s="83">
        <f>VLOOKUP(TableWRRanks3242[[#This Row],[Player]],WR!B:O,8,FALSE)</f>
        <v>0</v>
      </c>
      <c r="AM159" s="83">
        <f>VLOOKUP(TableWRRanks3242[[#This Row],[Player]],WR!B:O,9,FALSE)</f>
        <v>0</v>
      </c>
      <c r="AN159" s="57">
        <f>VLOOKUP(TableWRRanks3242[[#This Row],[Player]],WR!B:O,13,FALSE)</f>
        <v>0</v>
      </c>
      <c r="AO159" s="125">
        <f>IF(VLOOKUP(TableWRRanks3242[[#This Row],[RK]],'Ranks w Proj'!AD:AO,12,FALSE)&lt;0,0,VLOOKUP(TableWRRanks3242[[#This Row],[RK]],'Ranks w Proj'!AD:AO,12,FALSE))</f>
        <v>0</v>
      </c>
    </row>
    <row r="160" spans="16:41" x14ac:dyDescent="0.2">
      <c r="P160">
        <v>159</v>
      </c>
      <c r="Q160">
        <f>VLOOKUP(TableRBRanks3141[[#This Row],[RK]],Rankings!A:T,8,FALSE)</f>
        <v>0</v>
      </c>
      <c r="R160" t="str">
        <f>IFERROR(INDEX(TableRBCalcPts[TM],MATCH(TableRBRanks3141[[#This Row],[Player]],TableRBCalcPts[PLAYER],0)),"")</f>
        <v/>
      </c>
      <c r="S160" t="str">
        <f>IFERROR(INDEX(TableRBCalcPts[BYE],MATCH(TableRBRanks3141[[#This Row],[Player]],TableRBCalcPts[PLAYER],0)),"")</f>
        <v/>
      </c>
      <c r="T160" s="83">
        <f>VLOOKUP(TableRBRanks3141[[#This Row],[Player]],RB!B:O,4,FALSE)</f>
        <v>0</v>
      </c>
      <c r="U160" s="83">
        <f>VLOOKUP(TableRBRanks3141[[#This Row],[Player]],RB!B:O,5,FALSE)</f>
        <v>0</v>
      </c>
      <c r="V160" s="83">
        <f>VLOOKUP(TableRBRanks3141[[#This Row],[Player]],RB!B:O,6,FALSE)</f>
        <v>0</v>
      </c>
      <c r="W160" s="83">
        <f>VLOOKUP(TableRBRanks3141[[#This Row],[Player]],RB!B:O,7,FALSE)</f>
        <v>0</v>
      </c>
      <c r="X160" s="83">
        <f>VLOOKUP(TableRBRanks3141[[#This Row],[Player]],RB!B:O,8,FALSE)</f>
        <v>0</v>
      </c>
      <c r="Y160" s="83">
        <f>VLOOKUP(TableRBRanks3141[[#This Row],[Player]],RB!B:O,9,FALSE)</f>
        <v>0</v>
      </c>
      <c r="Z160" s="83">
        <f>VLOOKUP(TableRBRanks3141[[#This Row],[Player]],RB!B:O,10,FALSE)</f>
        <v>0</v>
      </c>
      <c r="AA160" s="57">
        <f>VLOOKUP(TableRBRanks3141[[#This Row],[Player]],RB!B:O,14,FALSE)</f>
        <v>0</v>
      </c>
      <c r="AB160" s="125" t="str">
        <f>IF(VLOOKUP(TableRBRanks3141[[#This Row],[RK]],'Ranks w Proj'!$P:$AB,13,FALSE)&lt;0,0,VLOOKUP(TableRBRanks3141[[#This Row],[RK]],'Ranks w Proj'!$P:$AB,13,FALSE))</f>
        <v/>
      </c>
      <c r="AD160">
        <v>159</v>
      </c>
      <c r="AE160">
        <f>VLOOKUP(TableWRRanks3242[[#This Row],[RK]],Rankings!A:T,13,FALSE)</f>
        <v>0</v>
      </c>
      <c r="AF160" t="str">
        <f>IFERROR(INDEX(TableWRCalcPts[TM],MATCH(TableWRRanks3242[[#This Row],[Player]],TableWRCalcPts[PLAYER],0)),"")</f>
        <v/>
      </c>
      <c r="AG160" t="str">
        <f>IFERROR(INDEX(TableWRCalcPts[BYE],MATCH(TableWRRanks3242[[#This Row],[Player]],TableWRCalcPts[PLAYER],0)),"")</f>
        <v/>
      </c>
      <c r="AH160" s="83">
        <f>VLOOKUP(TableWRRanks3242[[#This Row],[Player]],WR!B:O,4,FALSE)</f>
        <v>0</v>
      </c>
      <c r="AI160" s="83">
        <f>VLOOKUP(TableWRRanks3242[[#This Row],[Player]],WR!B:O,5,FALSE)</f>
        <v>0</v>
      </c>
      <c r="AJ160" s="83">
        <f>VLOOKUP(TableWRRanks3242[[#This Row],[Player]],WR!B:O,6,FALSE)</f>
        <v>0</v>
      </c>
      <c r="AK160" s="83">
        <f>VLOOKUP(TableWRRanks3242[[#This Row],[Player]],WR!B:O,7,FALSE)</f>
        <v>0</v>
      </c>
      <c r="AL160" s="83">
        <f>VLOOKUP(TableWRRanks3242[[#This Row],[Player]],WR!B:O,8,FALSE)</f>
        <v>0</v>
      </c>
      <c r="AM160" s="83">
        <f>VLOOKUP(TableWRRanks3242[[#This Row],[Player]],WR!B:O,9,FALSE)</f>
        <v>0</v>
      </c>
      <c r="AN160" s="57">
        <f>VLOOKUP(TableWRRanks3242[[#This Row],[Player]],WR!B:O,13,FALSE)</f>
        <v>0</v>
      </c>
      <c r="AO160" s="125">
        <f>IF(VLOOKUP(TableWRRanks3242[[#This Row],[RK]],'Ranks w Proj'!AD:AO,12,FALSE)&lt;0,0,VLOOKUP(TableWRRanks3242[[#This Row],[RK]],'Ranks w Proj'!AD:AO,12,FALSE))</f>
        <v>0</v>
      </c>
    </row>
    <row r="161" spans="16:41" x14ac:dyDescent="0.2">
      <c r="P161">
        <v>160</v>
      </c>
      <c r="Q161">
        <f>VLOOKUP(TableRBRanks3141[[#This Row],[RK]],Rankings!A:T,8,FALSE)</f>
        <v>0</v>
      </c>
      <c r="R161" t="str">
        <f>IFERROR(INDEX(TableRBCalcPts[TM],MATCH(TableRBRanks3141[[#This Row],[Player]],TableRBCalcPts[PLAYER],0)),"")</f>
        <v/>
      </c>
      <c r="S161" t="str">
        <f>IFERROR(INDEX(TableRBCalcPts[BYE],MATCH(TableRBRanks3141[[#This Row],[Player]],TableRBCalcPts[PLAYER],0)),"")</f>
        <v/>
      </c>
      <c r="T161" s="83">
        <f>VLOOKUP(TableRBRanks3141[[#This Row],[Player]],RB!B:O,4,FALSE)</f>
        <v>0</v>
      </c>
      <c r="U161" s="83">
        <f>VLOOKUP(TableRBRanks3141[[#This Row],[Player]],RB!B:O,5,FALSE)</f>
        <v>0</v>
      </c>
      <c r="V161" s="83">
        <f>VLOOKUP(TableRBRanks3141[[#This Row],[Player]],RB!B:O,6,FALSE)</f>
        <v>0</v>
      </c>
      <c r="W161" s="83">
        <f>VLOOKUP(TableRBRanks3141[[#This Row],[Player]],RB!B:O,7,FALSE)</f>
        <v>0</v>
      </c>
      <c r="X161" s="83">
        <f>VLOOKUP(TableRBRanks3141[[#This Row],[Player]],RB!B:O,8,FALSE)</f>
        <v>0</v>
      </c>
      <c r="Y161" s="83">
        <f>VLOOKUP(TableRBRanks3141[[#This Row],[Player]],RB!B:O,9,FALSE)</f>
        <v>0</v>
      </c>
      <c r="Z161" s="83">
        <f>VLOOKUP(TableRBRanks3141[[#This Row],[Player]],RB!B:O,10,FALSE)</f>
        <v>0</v>
      </c>
      <c r="AA161" s="57">
        <f>VLOOKUP(TableRBRanks3141[[#This Row],[Player]],RB!B:O,14,FALSE)</f>
        <v>0</v>
      </c>
      <c r="AB161" s="125" t="str">
        <f>IF(VLOOKUP(TableRBRanks3141[[#This Row],[RK]],'Ranks w Proj'!$P:$AB,13,FALSE)&lt;0,0,VLOOKUP(TableRBRanks3141[[#This Row],[RK]],'Ranks w Proj'!$P:$AB,13,FALSE))</f>
        <v/>
      </c>
      <c r="AD161">
        <v>160</v>
      </c>
      <c r="AE161">
        <f>VLOOKUP(TableWRRanks3242[[#This Row],[RK]],Rankings!A:T,13,FALSE)</f>
        <v>0</v>
      </c>
      <c r="AF161" t="str">
        <f>IFERROR(INDEX(TableWRCalcPts[TM],MATCH(TableWRRanks3242[[#This Row],[Player]],TableWRCalcPts[PLAYER],0)),"")</f>
        <v/>
      </c>
      <c r="AG161" t="str">
        <f>IFERROR(INDEX(TableWRCalcPts[BYE],MATCH(TableWRRanks3242[[#This Row],[Player]],TableWRCalcPts[PLAYER],0)),"")</f>
        <v/>
      </c>
      <c r="AH161" s="83">
        <f>VLOOKUP(TableWRRanks3242[[#This Row],[Player]],WR!B:O,4,FALSE)</f>
        <v>0</v>
      </c>
      <c r="AI161" s="83">
        <f>VLOOKUP(TableWRRanks3242[[#This Row],[Player]],WR!B:O,5,FALSE)</f>
        <v>0</v>
      </c>
      <c r="AJ161" s="83">
        <f>VLOOKUP(TableWRRanks3242[[#This Row],[Player]],WR!B:O,6,FALSE)</f>
        <v>0</v>
      </c>
      <c r="AK161" s="83">
        <f>VLOOKUP(TableWRRanks3242[[#This Row],[Player]],WR!B:O,7,FALSE)</f>
        <v>0</v>
      </c>
      <c r="AL161" s="83">
        <f>VLOOKUP(TableWRRanks3242[[#This Row],[Player]],WR!B:O,8,FALSE)</f>
        <v>0</v>
      </c>
      <c r="AM161" s="83">
        <f>VLOOKUP(TableWRRanks3242[[#This Row],[Player]],WR!B:O,9,FALSE)</f>
        <v>0</v>
      </c>
      <c r="AN161" s="57">
        <f>VLOOKUP(TableWRRanks3242[[#This Row],[Player]],WR!B:O,13,FALSE)</f>
        <v>0</v>
      </c>
      <c r="AO161" s="125">
        <f>IF(VLOOKUP(TableWRRanks3242[[#This Row],[RK]],'Ranks w Proj'!AD:AO,12,FALSE)&lt;0,0,VLOOKUP(TableWRRanks3242[[#This Row],[RK]],'Ranks w Proj'!AD:AO,12,FALSE))</f>
        <v>0</v>
      </c>
    </row>
    <row r="162" spans="16:41" x14ac:dyDescent="0.2">
      <c r="P162">
        <v>161</v>
      </c>
      <c r="Q162">
        <f>VLOOKUP(TableRBRanks3141[[#This Row],[RK]],Rankings!A:T,8,FALSE)</f>
        <v>0</v>
      </c>
      <c r="R162" t="str">
        <f>IFERROR(INDEX(TableRBCalcPts[TM],MATCH(TableRBRanks3141[[#This Row],[Player]],TableRBCalcPts[PLAYER],0)),"")</f>
        <v/>
      </c>
      <c r="S162" t="str">
        <f>IFERROR(INDEX(TableRBCalcPts[BYE],MATCH(TableRBRanks3141[[#This Row],[Player]],TableRBCalcPts[PLAYER],0)),"")</f>
        <v/>
      </c>
      <c r="T162" s="83">
        <f>VLOOKUP(TableRBRanks3141[[#This Row],[Player]],RB!B:O,4,FALSE)</f>
        <v>0</v>
      </c>
      <c r="U162" s="83">
        <f>VLOOKUP(TableRBRanks3141[[#This Row],[Player]],RB!B:O,5,FALSE)</f>
        <v>0</v>
      </c>
      <c r="V162" s="83">
        <f>VLOOKUP(TableRBRanks3141[[#This Row],[Player]],RB!B:O,6,FALSE)</f>
        <v>0</v>
      </c>
      <c r="W162" s="83">
        <f>VLOOKUP(TableRBRanks3141[[#This Row],[Player]],RB!B:O,7,FALSE)</f>
        <v>0</v>
      </c>
      <c r="X162" s="83">
        <f>VLOOKUP(TableRBRanks3141[[#This Row],[Player]],RB!B:O,8,FALSE)</f>
        <v>0</v>
      </c>
      <c r="Y162" s="83">
        <f>VLOOKUP(TableRBRanks3141[[#This Row],[Player]],RB!B:O,9,FALSE)</f>
        <v>0</v>
      </c>
      <c r="Z162" s="83">
        <f>VLOOKUP(TableRBRanks3141[[#This Row],[Player]],RB!B:O,10,FALSE)</f>
        <v>0</v>
      </c>
      <c r="AA162" s="57">
        <f>VLOOKUP(TableRBRanks3141[[#This Row],[Player]],RB!B:O,14,FALSE)</f>
        <v>0</v>
      </c>
      <c r="AB162" s="125" t="str">
        <f>IF(VLOOKUP(TableRBRanks3141[[#This Row],[RK]],'Ranks w Proj'!$P:$AB,13,FALSE)&lt;0,0,VLOOKUP(TableRBRanks3141[[#This Row],[RK]],'Ranks w Proj'!$P:$AB,13,FALSE))</f>
        <v/>
      </c>
      <c r="AD162">
        <v>161</v>
      </c>
      <c r="AE162">
        <f>VLOOKUP(TableWRRanks3242[[#This Row],[RK]],Rankings!A:T,13,FALSE)</f>
        <v>0</v>
      </c>
      <c r="AF162" t="str">
        <f>IFERROR(INDEX(TableWRCalcPts[TM],MATCH(TableWRRanks3242[[#This Row],[Player]],TableWRCalcPts[PLAYER],0)),"")</f>
        <v/>
      </c>
      <c r="AG162" t="str">
        <f>IFERROR(INDEX(TableWRCalcPts[BYE],MATCH(TableWRRanks3242[[#This Row],[Player]],TableWRCalcPts[PLAYER],0)),"")</f>
        <v/>
      </c>
      <c r="AH162" s="83">
        <f>VLOOKUP(TableWRRanks3242[[#This Row],[Player]],WR!B:O,4,FALSE)</f>
        <v>0</v>
      </c>
      <c r="AI162" s="83">
        <f>VLOOKUP(TableWRRanks3242[[#This Row],[Player]],WR!B:O,5,FALSE)</f>
        <v>0</v>
      </c>
      <c r="AJ162" s="83">
        <f>VLOOKUP(TableWRRanks3242[[#This Row],[Player]],WR!B:O,6,FALSE)</f>
        <v>0</v>
      </c>
      <c r="AK162" s="83">
        <f>VLOOKUP(TableWRRanks3242[[#This Row],[Player]],WR!B:O,7,FALSE)</f>
        <v>0</v>
      </c>
      <c r="AL162" s="83">
        <f>VLOOKUP(TableWRRanks3242[[#This Row],[Player]],WR!B:O,8,FALSE)</f>
        <v>0</v>
      </c>
      <c r="AM162" s="83">
        <f>VLOOKUP(TableWRRanks3242[[#This Row],[Player]],WR!B:O,9,FALSE)</f>
        <v>0</v>
      </c>
      <c r="AN162" s="57">
        <f>VLOOKUP(TableWRRanks3242[[#This Row],[Player]],WR!B:O,13,FALSE)</f>
        <v>0</v>
      </c>
      <c r="AO162" s="125">
        <f>IF(VLOOKUP(TableWRRanks3242[[#This Row],[RK]],'Ranks w Proj'!AD:AO,12,FALSE)&lt;0,0,VLOOKUP(TableWRRanks3242[[#This Row],[RK]],'Ranks w Proj'!AD:AO,12,FALSE))</f>
        <v>0</v>
      </c>
    </row>
    <row r="163" spans="16:41" x14ac:dyDescent="0.2">
      <c r="P163">
        <v>162</v>
      </c>
      <c r="Q163">
        <f>VLOOKUP(TableRBRanks3141[[#This Row],[RK]],Rankings!A:T,8,FALSE)</f>
        <v>0</v>
      </c>
      <c r="R163" t="str">
        <f>IFERROR(INDEX(TableRBCalcPts[TM],MATCH(TableRBRanks3141[[#This Row],[Player]],TableRBCalcPts[PLAYER],0)),"")</f>
        <v/>
      </c>
      <c r="S163" t="str">
        <f>IFERROR(INDEX(TableRBCalcPts[BYE],MATCH(TableRBRanks3141[[#This Row],[Player]],TableRBCalcPts[PLAYER],0)),"")</f>
        <v/>
      </c>
      <c r="T163" s="83">
        <f>VLOOKUP(TableRBRanks3141[[#This Row],[Player]],RB!B:O,4,FALSE)</f>
        <v>0</v>
      </c>
      <c r="U163" s="83">
        <f>VLOOKUP(TableRBRanks3141[[#This Row],[Player]],RB!B:O,5,FALSE)</f>
        <v>0</v>
      </c>
      <c r="V163" s="83">
        <f>VLOOKUP(TableRBRanks3141[[#This Row],[Player]],RB!B:O,6,FALSE)</f>
        <v>0</v>
      </c>
      <c r="W163" s="83">
        <f>VLOOKUP(TableRBRanks3141[[#This Row],[Player]],RB!B:O,7,FALSE)</f>
        <v>0</v>
      </c>
      <c r="X163" s="83">
        <f>VLOOKUP(TableRBRanks3141[[#This Row],[Player]],RB!B:O,8,FALSE)</f>
        <v>0</v>
      </c>
      <c r="Y163" s="83">
        <f>VLOOKUP(TableRBRanks3141[[#This Row],[Player]],RB!B:O,9,FALSE)</f>
        <v>0</v>
      </c>
      <c r="Z163" s="83">
        <f>VLOOKUP(TableRBRanks3141[[#This Row],[Player]],RB!B:O,10,FALSE)</f>
        <v>0</v>
      </c>
      <c r="AA163" s="57">
        <f>VLOOKUP(TableRBRanks3141[[#This Row],[Player]],RB!B:O,14,FALSE)</f>
        <v>0</v>
      </c>
      <c r="AB163" s="125" t="str">
        <f>IF(VLOOKUP(TableRBRanks3141[[#This Row],[RK]],'Ranks w Proj'!$P:$AB,13,FALSE)&lt;0,0,VLOOKUP(TableRBRanks3141[[#This Row],[RK]],'Ranks w Proj'!$P:$AB,13,FALSE))</f>
        <v/>
      </c>
      <c r="AD163">
        <v>162</v>
      </c>
      <c r="AE163">
        <f>VLOOKUP(TableWRRanks3242[[#This Row],[RK]],Rankings!A:T,13,FALSE)</f>
        <v>0</v>
      </c>
      <c r="AF163" t="str">
        <f>IFERROR(INDEX(TableWRCalcPts[TM],MATCH(TableWRRanks3242[[#This Row],[Player]],TableWRCalcPts[PLAYER],0)),"")</f>
        <v/>
      </c>
      <c r="AG163" t="str">
        <f>IFERROR(INDEX(TableWRCalcPts[BYE],MATCH(TableWRRanks3242[[#This Row],[Player]],TableWRCalcPts[PLAYER],0)),"")</f>
        <v/>
      </c>
      <c r="AH163" s="83">
        <f>VLOOKUP(TableWRRanks3242[[#This Row],[Player]],WR!B:O,4,FALSE)</f>
        <v>0</v>
      </c>
      <c r="AI163" s="83">
        <f>VLOOKUP(TableWRRanks3242[[#This Row],[Player]],WR!B:O,5,FALSE)</f>
        <v>0</v>
      </c>
      <c r="AJ163" s="83">
        <f>VLOOKUP(TableWRRanks3242[[#This Row],[Player]],WR!B:O,6,FALSE)</f>
        <v>0</v>
      </c>
      <c r="AK163" s="83">
        <f>VLOOKUP(TableWRRanks3242[[#This Row],[Player]],WR!B:O,7,FALSE)</f>
        <v>0</v>
      </c>
      <c r="AL163" s="83">
        <f>VLOOKUP(TableWRRanks3242[[#This Row],[Player]],WR!B:O,8,FALSE)</f>
        <v>0</v>
      </c>
      <c r="AM163" s="83">
        <f>VLOOKUP(TableWRRanks3242[[#This Row],[Player]],WR!B:O,9,FALSE)</f>
        <v>0</v>
      </c>
      <c r="AN163" s="57">
        <f>VLOOKUP(TableWRRanks3242[[#This Row],[Player]],WR!B:O,13,FALSE)</f>
        <v>0</v>
      </c>
      <c r="AO163" s="125">
        <f>IF(VLOOKUP(TableWRRanks3242[[#This Row],[RK]],'Ranks w Proj'!AD:AO,12,FALSE)&lt;0,0,VLOOKUP(TableWRRanks3242[[#This Row],[RK]],'Ranks w Proj'!AD:AO,12,FALSE))</f>
        <v>0</v>
      </c>
    </row>
    <row r="164" spans="16:41" x14ac:dyDescent="0.2">
      <c r="P164">
        <v>163</v>
      </c>
      <c r="Q164">
        <f>VLOOKUP(TableRBRanks3141[[#This Row],[RK]],Rankings!A:T,8,FALSE)</f>
        <v>0</v>
      </c>
      <c r="R164" t="str">
        <f>IFERROR(INDEX(TableRBCalcPts[TM],MATCH(TableRBRanks3141[[#This Row],[Player]],TableRBCalcPts[PLAYER],0)),"")</f>
        <v/>
      </c>
      <c r="S164" t="str">
        <f>IFERROR(INDEX(TableRBCalcPts[BYE],MATCH(TableRBRanks3141[[#This Row],[Player]],TableRBCalcPts[PLAYER],0)),"")</f>
        <v/>
      </c>
      <c r="T164" s="83">
        <f>VLOOKUP(TableRBRanks3141[[#This Row],[Player]],RB!B:O,4,FALSE)</f>
        <v>0</v>
      </c>
      <c r="U164" s="83">
        <f>VLOOKUP(TableRBRanks3141[[#This Row],[Player]],RB!B:O,5,FALSE)</f>
        <v>0</v>
      </c>
      <c r="V164" s="83">
        <f>VLOOKUP(TableRBRanks3141[[#This Row],[Player]],RB!B:O,6,FALSE)</f>
        <v>0</v>
      </c>
      <c r="W164" s="83">
        <f>VLOOKUP(TableRBRanks3141[[#This Row],[Player]],RB!B:O,7,FALSE)</f>
        <v>0</v>
      </c>
      <c r="X164" s="83">
        <f>VLOOKUP(TableRBRanks3141[[#This Row],[Player]],RB!B:O,8,FALSE)</f>
        <v>0</v>
      </c>
      <c r="Y164" s="83">
        <f>VLOOKUP(TableRBRanks3141[[#This Row],[Player]],RB!B:O,9,FALSE)</f>
        <v>0</v>
      </c>
      <c r="Z164" s="83">
        <f>VLOOKUP(TableRBRanks3141[[#This Row],[Player]],RB!B:O,10,FALSE)</f>
        <v>0</v>
      </c>
      <c r="AA164" s="57">
        <f>VLOOKUP(TableRBRanks3141[[#This Row],[Player]],RB!B:O,14,FALSE)</f>
        <v>0</v>
      </c>
      <c r="AB164" s="125" t="str">
        <f>IF(VLOOKUP(TableRBRanks3141[[#This Row],[RK]],'Ranks w Proj'!$P:$AB,13,FALSE)&lt;0,0,VLOOKUP(TableRBRanks3141[[#This Row],[RK]],'Ranks w Proj'!$P:$AB,13,FALSE))</f>
        <v/>
      </c>
      <c r="AD164">
        <v>163</v>
      </c>
      <c r="AE164">
        <f>VLOOKUP(TableWRRanks3242[[#This Row],[RK]],Rankings!A:T,13,FALSE)</f>
        <v>0</v>
      </c>
      <c r="AF164" t="str">
        <f>IFERROR(INDEX(TableWRCalcPts[TM],MATCH(TableWRRanks3242[[#This Row],[Player]],TableWRCalcPts[PLAYER],0)),"")</f>
        <v/>
      </c>
      <c r="AG164" t="str">
        <f>IFERROR(INDEX(TableWRCalcPts[BYE],MATCH(TableWRRanks3242[[#This Row],[Player]],TableWRCalcPts[PLAYER],0)),"")</f>
        <v/>
      </c>
      <c r="AH164" s="83">
        <f>VLOOKUP(TableWRRanks3242[[#This Row],[Player]],WR!B:O,4,FALSE)</f>
        <v>0</v>
      </c>
      <c r="AI164" s="83">
        <f>VLOOKUP(TableWRRanks3242[[#This Row],[Player]],WR!B:O,5,FALSE)</f>
        <v>0</v>
      </c>
      <c r="AJ164" s="83">
        <f>VLOOKUP(TableWRRanks3242[[#This Row],[Player]],WR!B:O,6,FALSE)</f>
        <v>0</v>
      </c>
      <c r="AK164" s="83">
        <f>VLOOKUP(TableWRRanks3242[[#This Row],[Player]],WR!B:O,7,FALSE)</f>
        <v>0</v>
      </c>
      <c r="AL164" s="83">
        <f>VLOOKUP(TableWRRanks3242[[#This Row],[Player]],WR!B:O,8,FALSE)</f>
        <v>0</v>
      </c>
      <c r="AM164" s="83">
        <f>VLOOKUP(TableWRRanks3242[[#This Row],[Player]],WR!B:O,9,FALSE)</f>
        <v>0</v>
      </c>
      <c r="AN164" s="57">
        <f>VLOOKUP(TableWRRanks3242[[#This Row],[Player]],WR!B:O,13,FALSE)</f>
        <v>0</v>
      </c>
      <c r="AO164" s="125">
        <f>IF(VLOOKUP(TableWRRanks3242[[#This Row],[RK]],'Ranks w Proj'!AD:AO,12,FALSE)&lt;0,0,VLOOKUP(TableWRRanks3242[[#This Row],[RK]],'Ranks w Proj'!AD:AO,12,FALSE))</f>
        <v>0</v>
      </c>
    </row>
    <row r="165" spans="16:41" x14ac:dyDescent="0.2">
      <c r="P165">
        <v>164</v>
      </c>
      <c r="Q165">
        <f>VLOOKUP(TableRBRanks3141[[#This Row],[RK]],Rankings!A:T,8,FALSE)</f>
        <v>0</v>
      </c>
      <c r="R165" t="str">
        <f>IFERROR(INDEX(TableRBCalcPts[TM],MATCH(TableRBRanks3141[[#This Row],[Player]],TableRBCalcPts[PLAYER],0)),"")</f>
        <v/>
      </c>
      <c r="S165" t="str">
        <f>IFERROR(INDEX(TableRBCalcPts[BYE],MATCH(TableRBRanks3141[[#This Row],[Player]],TableRBCalcPts[PLAYER],0)),"")</f>
        <v/>
      </c>
      <c r="T165" s="83">
        <f>VLOOKUP(TableRBRanks3141[[#This Row],[Player]],RB!B:O,4,FALSE)</f>
        <v>0</v>
      </c>
      <c r="U165" s="83">
        <f>VLOOKUP(TableRBRanks3141[[#This Row],[Player]],RB!B:O,5,FALSE)</f>
        <v>0</v>
      </c>
      <c r="V165" s="83">
        <f>VLOOKUP(TableRBRanks3141[[#This Row],[Player]],RB!B:O,6,FALSE)</f>
        <v>0</v>
      </c>
      <c r="W165" s="83">
        <f>VLOOKUP(TableRBRanks3141[[#This Row],[Player]],RB!B:O,7,FALSE)</f>
        <v>0</v>
      </c>
      <c r="X165" s="83">
        <f>VLOOKUP(TableRBRanks3141[[#This Row],[Player]],RB!B:O,8,FALSE)</f>
        <v>0</v>
      </c>
      <c r="Y165" s="83">
        <f>VLOOKUP(TableRBRanks3141[[#This Row],[Player]],RB!B:O,9,FALSE)</f>
        <v>0</v>
      </c>
      <c r="Z165" s="83">
        <f>VLOOKUP(TableRBRanks3141[[#This Row],[Player]],RB!B:O,10,FALSE)</f>
        <v>0</v>
      </c>
      <c r="AA165" s="57">
        <f>VLOOKUP(TableRBRanks3141[[#This Row],[Player]],RB!B:O,14,FALSE)</f>
        <v>0</v>
      </c>
      <c r="AB165" s="125" t="str">
        <f>IF(VLOOKUP(TableRBRanks3141[[#This Row],[RK]],'Ranks w Proj'!$P:$AB,13,FALSE)&lt;0,0,VLOOKUP(TableRBRanks3141[[#This Row],[RK]],'Ranks w Proj'!$P:$AB,13,FALSE))</f>
        <v/>
      </c>
      <c r="AD165">
        <v>164</v>
      </c>
      <c r="AE165">
        <f>VLOOKUP(TableWRRanks3242[[#This Row],[RK]],Rankings!A:T,13,FALSE)</f>
        <v>0</v>
      </c>
      <c r="AF165" t="str">
        <f>IFERROR(INDEX(TableWRCalcPts[TM],MATCH(TableWRRanks3242[[#This Row],[Player]],TableWRCalcPts[PLAYER],0)),"")</f>
        <v/>
      </c>
      <c r="AG165" t="str">
        <f>IFERROR(INDEX(TableWRCalcPts[BYE],MATCH(TableWRRanks3242[[#This Row],[Player]],TableWRCalcPts[PLAYER],0)),"")</f>
        <v/>
      </c>
      <c r="AH165" s="83">
        <f>VLOOKUP(TableWRRanks3242[[#This Row],[Player]],WR!B:O,4,FALSE)</f>
        <v>0</v>
      </c>
      <c r="AI165" s="83">
        <f>VLOOKUP(TableWRRanks3242[[#This Row],[Player]],WR!B:O,5,FALSE)</f>
        <v>0</v>
      </c>
      <c r="AJ165" s="83">
        <f>VLOOKUP(TableWRRanks3242[[#This Row],[Player]],WR!B:O,6,FALSE)</f>
        <v>0</v>
      </c>
      <c r="AK165" s="83">
        <f>VLOOKUP(TableWRRanks3242[[#This Row],[Player]],WR!B:O,7,FALSE)</f>
        <v>0</v>
      </c>
      <c r="AL165" s="83">
        <f>VLOOKUP(TableWRRanks3242[[#This Row],[Player]],WR!B:O,8,FALSE)</f>
        <v>0</v>
      </c>
      <c r="AM165" s="83">
        <f>VLOOKUP(TableWRRanks3242[[#This Row],[Player]],WR!B:O,9,FALSE)</f>
        <v>0</v>
      </c>
      <c r="AN165" s="57">
        <f>VLOOKUP(TableWRRanks3242[[#This Row],[Player]],WR!B:O,13,FALSE)</f>
        <v>0</v>
      </c>
      <c r="AO165" s="125">
        <f>IF(VLOOKUP(TableWRRanks3242[[#This Row],[RK]],'Ranks w Proj'!AD:AO,12,FALSE)&lt;0,0,VLOOKUP(TableWRRanks3242[[#This Row],[RK]],'Ranks w Proj'!AD:AO,12,FALSE))</f>
        <v>0</v>
      </c>
    </row>
    <row r="166" spans="16:41" x14ac:dyDescent="0.2">
      <c r="P166">
        <v>165</v>
      </c>
      <c r="Q166">
        <f>VLOOKUP(TableRBRanks3141[[#This Row],[RK]],Rankings!A:T,8,FALSE)</f>
        <v>0</v>
      </c>
      <c r="R166" t="str">
        <f>IFERROR(INDEX(TableRBCalcPts[TM],MATCH(TableRBRanks3141[[#This Row],[Player]],TableRBCalcPts[PLAYER],0)),"")</f>
        <v/>
      </c>
      <c r="S166" t="str">
        <f>IFERROR(INDEX(TableRBCalcPts[BYE],MATCH(TableRBRanks3141[[#This Row],[Player]],TableRBCalcPts[PLAYER],0)),"")</f>
        <v/>
      </c>
      <c r="T166" s="83">
        <f>VLOOKUP(TableRBRanks3141[[#This Row],[Player]],RB!B:O,4,FALSE)</f>
        <v>0</v>
      </c>
      <c r="U166" s="83">
        <f>VLOOKUP(TableRBRanks3141[[#This Row],[Player]],RB!B:O,5,FALSE)</f>
        <v>0</v>
      </c>
      <c r="V166" s="83">
        <f>VLOOKUP(TableRBRanks3141[[#This Row],[Player]],RB!B:O,6,FALSE)</f>
        <v>0</v>
      </c>
      <c r="W166" s="83">
        <f>VLOOKUP(TableRBRanks3141[[#This Row],[Player]],RB!B:O,7,FALSE)</f>
        <v>0</v>
      </c>
      <c r="X166" s="83">
        <f>VLOOKUP(TableRBRanks3141[[#This Row],[Player]],RB!B:O,8,FALSE)</f>
        <v>0</v>
      </c>
      <c r="Y166" s="83">
        <f>VLOOKUP(TableRBRanks3141[[#This Row],[Player]],RB!B:O,9,FALSE)</f>
        <v>0</v>
      </c>
      <c r="Z166" s="83">
        <f>VLOOKUP(TableRBRanks3141[[#This Row],[Player]],RB!B:O,10,FALSE)</f>
        <v>0</v>
      </c>
      <c r="AA166" s="57">
        <f>VLOOKUP(TableRBRanks3141[[#This Row],[Player]],RB!B:O,14,FALSE)</f>
        <v>0</v>
      </c>
      <c r="AB166" s="125" t="str">
        <f>IF(VLOOKUP(TableRBRanks3141[[#This Row],[RK]],'Ranks w Proj'!$P:$AB,13,FALSE)&lt;0,0,VLOOKUP(TableRBRanks3141[[#This Row],[RK]],'Ranks w Proj'!$P:$AB,13,FALSE))</f>
        <v/>
      </c>
      <c r="AD166">
        <v>165</v>
      </c>
      <c r="AE166">
        <f>VLOOKUP(TableWRRanks3242[[#This Row],[RK]],Rankings!A:T,13,FALSE)</f>
        <v>0</v>
      </c>
      <c r="AF166" t="str">
        <f>IFERROR(INDEX(TableWRCalcPts[TM],MATCH(TableWRRanks3242[[#This Row],[Player]],TableWRCalcPts[PLAYER],0)),"")</f>
        <v/>
      </c>
      <c r="AG166" t="str">
        <f>IFERROR(INDEX(TableWRCalcPts[BYE],MATCH(TableWRRanks3242[[#This Row],[Player]],TableWRCalcPts[PLAYER],0)),"")</f>
        <v/>
      </c>
      <c r="AH166" s="83">
        <f>VLOOKUP(TableWRRanks3242[[#This Row],[Player]],WR!B:O,4,FALSE)</f>
        <v>0</v>
      </c>
      <c r="AI166" s="83">
        <f>VLOOKUP(TableWRRanks3242[[#This Row],[Player]],WR!B:O,5,FALSE)</f>
        <v>0</v>
      </c>
      <c r="AJ166" s="83">
        <f>VLOOKUP(TableWRRanks3242[[#This Row],[Player]],WR!B:O,6,FALSE)</f>
        <v>0</v>
      </c>
      <c r="AK166" s="83">
        <f>VLOOKUP(TableWRRanks3242[[#This Row],[Player]],WR!B:O,7,FALSE)</f>
        <v>0</v>
      </c>
      <c r="AL166" s="83">
        <f>VLOOKUP(TableWRRanks3242[[#This Row],[Player]],WR!B:O,8,FALSE)</f>
        <v>0</v>
      </c>
      <c r="AM166" s="83">
        <f>VLOOKUP(TableWRRanks3242[[#This Row],[Player]],WR!B:O,9,FALSE)</f>
        <v>0</v>
      </c>
      <c r="AN166" s="57">
        <f>VLOOKUP(TableWRRanks3242[[#This Row],[Player]],WR!B:O,13,FALSE)</f>
        <v>0</v>
      </c>
      <c r="AO166" s="125">
        <f>IF(VLOOKUP(TableWRRanks3242[[#This Row],[RK]],'Ranks w Proj'!AD:AO,12,FALSE)&lt;0,0,VLOOKUP(TableWRRanks3242[[#This Row],[RK]],'Ranks w Proj'!AD:AO,12,FALSE))</f>
        <v>0</v>
      </c>
    </row>
    <row r="167" spans="16:41" x14ac:dyDescent="0.2">
      <c r="P167">
        <v>166</v>
      </c>
      <c r="Q167">
        <f>VLOOKUP(TableRBRanks3141[[#This Row],[RK]],Rankings!A:T,8,FALSE)</f>
        <v>0</v>
      </c>
      <c r="R167" t="str">
        <f>IFERROR(INDEX(TableRBCalcPts[TM],MATCH(TableRBRanks3141[[#This Row],[Player]],TableRBCalcPts[PLAYER],0)),"")</f>
        <v/>
      </c>
      <c r="S167" t="str">
        <f>IFERROR(INDEX(TableRBCalcPts[BYE],MATCH(TableRBRanks3141[[#This Row],[Player]],TableRBCalcPts[PLAYER],0)),"")</f>
        <v/>
      </c>
      <c r="T167" s="83">
        <f>VLOOKUP(TableRBRanks3141[[#This Row],[Player]],RB!B:O,4,FALSE)</f>
        <v>0</v>
      </c>
      <c r="U167" s="83">
        <f>VLOOKUP(TableRBRanks3141[[#This Row],[Player]],RB!B:O,5,FALSE)</f>
        <v>0</v>
      </c>
      <c r="V167" s="83">
        <f>VLOOKUP(TableRBRanks3141[[#This Row],[Player]],RB!B:O,6,FALSE)</f>
        <v>0</v>
      </c>
      <c r="W167" s="83">
        <f>VLOOKUP(TableRBRanks3141[[#This Row],[Player]],RB!B:O,7,FALSE)</f>
        <v>0</v>
      </c>
      <c r="X167" s="83">
        <f>VLOOKUP(TableRBRanks3141[[#This Row],[Player]],RB!B:O,8,FALSE)</f>
        <v>0</v>
      </c>
      <c r="Y167" s="83">
        <f>VLOOKUP(TableRBRanks3141[[#This Row],[Player]],RB!B:O,9,FALSE)</f>
        <v>0</v>
      </c>
      <c r="Z167" s="83">
        <f>VLOOKUP(TableRBRanks3141[[#This Row],[Player]],RB!B:O,10,FALSE)</f>
        <v>0</v>
      </c>
      <c r="AA167" s="57">
        <f>VLOOKUP(TableRBRanks3141[[#This Row],[Player]],RB!B:O,14,FALSE)</f>
        <v>0</v>
      </c>
      <c r="AB167" s="125" t="str">
        <f>IF(VLOOKUP(TableRBRanks3141[[#This Row],[RK]],'Ranks w Proj'!$P:$AB,13,FALSE)&lt;0,0,VLOOKUP(TableRBRanks3141[[#This Row],[RK]],'Ranks w Proj'!$P:$AB,13,FALSE))</f>
        <v/>
      </c>
      <c r="AD167">
        <v>166</v>
      </c>
      <c r="AE167">
        <f>VLOOKUP(TableWRRanks3242[[#This Row],[RK]],Rankings!A:T,13,FALSE)</f>
        <v>0</v>
      </c>
      <c r="AF167" t="str">
        <f>IFERROR(INDEX(TableWRCalcPts[TM],MATCH(TableWRRanks3242[[#This Row],[Player]],TableWRCalcPts[PLAYER],0)),"")</f>
        <v/>
      </c>
      <c r="AG167" t="str">
        <f>IFERROR(INDEX(TableWRCalcPts[BYE],MATCH(TableWRRanks3242[[#This Row],[Player]],TableWRCalcPts[PLAYER],0)),"")</f>
        <v/>
      </c>
      <c r="AH167" s="83">
        <f>VLOOKUP(TableWRRanks3242[[#This Row],[Player]],WR!B:O,4,FALSE)</f>
        <v>0</v>
      </c>
      <c r="AI167" s="83">
        <f>VLOOKUP(TableWRRanks3242[[#This Row],[Player]],WR!B:O,5,FALSE)</f>
        <v>0</v>
      </c>
      <c r="AJ167" s="83">
        <f>VLOOKUP(TableWRRanks3242[[#This Row],[Player]],WR!B:O,6,FALSE)</f>
        <v>0</v>
      </c>
      <c r="AK167" s="83">
        <f>VLOOKUP(TableWRRanks3242[[#This Row],[Player]],WR!B:O,7,FALSE)</f>
        <v>0</v>
      </c>
      <c r="AL167" s="83">
        <f>VLOOKUP(TableWRRanks3242[[#This Row],[Player]],WR!B:O,8,FALSE)</f>
        <v>0</v>
      </c>
      <c r="AM167" s="83">
        <f>VLOOKUP(TableWRRanks3242[[#This Row],[Player]],WR!B:O,9,FALSE)</f>
        <v>0</v>
      </c>
      <c r="AN167" s="57">
        <f>VLOOKUP(TableWRRanks3242[[#This Row],[Player]],WR!B:O,13,FALSE)</f>
        <v>0</v>
      </c>
      <c r="AO167" s="125">
        <f>IF(VLOOKUP(TableWRRanks3242[[#This Row],[RK]],'Ranks w Proj'!AD:AO,12,FALSE)&lt;0,0,VLOOKUP(TableWRRanks3242[[#This Row],[RK]],'Ranks w Proj'!AD:AO,12,FALSE))</f>
        <v>0</v>
      </c>
    </row>
    <row r="168" spans="16:41" x14ac:dyDescent="0.2">
      <c r="P168">
        <v>167</v>
      </c>
      <c r="Q168">
        <f>VLOOKUP(TableRBRanks3141[[#This Row],[RK]],Rankings!A:T,8,FALSE)</f>
        <v>0</v>
      </c>
      <c r="R168" t="str">
        <f>IFERROR(INDEX(TableRBCalcPts[TM],MATCH(TableRBRanks3141[[#This Row],[Player]],TableRBCalcPts[PLAYER],0)),"")</f>
        <v/>
      </c>
      <c r="S168" t="str">
        <f>IFERROR(INDEX(TableRBCalcPts[BYE],MATCH(TableRBRanks3141[[#This Row],[Player]],TableRBCalcPts[PLAYER],0)),"")</f>
        <v/>
      </c>
      <c r="T168" s="83">
        <f>VLOOKUP(TableRBRanks3141[[#This Row],[Player]],RB!B:O,4,FALSE)</f>
        <v>0</v>
      </c>
      <c r="U168" s="83">
        <f>VLOOKUP(TableRBRanks3141[[#This Row],[Player]],RB!B:O,5,FALSE)</f>
        <v>0</v>
      </c>
      <c r="V168" s="83">
        <f>VLOOKUP(TableRBRanks3141[[#This Row],[Player]],RB!B:O,6,FALSE)</f>
        <v>0</v>
      </c>
      <c r="W168" s="83">
        <f>VLOOKUP(TableRBRanks3141[[#This Row],[Player]],RB!B:O,7,FALSE)</f>
        <v>0</v>
      </c>
      <c r="X168" s="83">
        <f>VLOOKUP(TableRBRanks3141[[#This Row],[Player]],RB!B:O,8,FALSE)</f>
        <v>0</v>
      </c>
      <c r="Y168" s="83">
        <f>VLOOKUP(TableRBRanks3141[[#This Row],[Player]],RB!B:O,9,FALSE)</f>
        <v>0</v>
      </c>
      <c r="Z168" s="83">
        <f>VLOOKUP(TableRBRanks3141[[#This Row],[Player]],RB!B:O,10,FALSE)</f>
        <v>0</v>
      </c>
      <c r="AA168" s="57">
        <f>VLOOKUP(TableRBRanks3141[[#This Row],[Player]],RB!B:O,14,FALSE)</f>
        <v>0</v>
      </c>
      <c r="AB168" s="125" t="str">
        <f>IF(VLOOKUP(TableRBRanks3141[[#This Row],[RK]],'Ranks w Proj'!$P:$AB,13,FALSE)&lt;0,0,VLOOKUP(TableRBRanks3141[[#This Row],[RK]],'Ranks w Proj'!$P:$AB,13,FALSE))</f>
        <v/>
      </c>
      <c r="AD168">
        <v>167</v>
      </c>
      <c r="AE168">
        <f>VLOOKUP(TableWRRanks3242[[#This Row],[RK]],Rankings!A:T,13,FALSE)</f>
        <v>0</v>
      </c>
      <c r="AF168" t="str">
        <f>IFERROR(INDEX(TableWRCalcPts[TM],MATCH(TableWRRanks3242[[#This Row],[Player]],TableWRCalcPts[PLAYER],0)),"")</f>
        <v/>
      </c>
      <c r="AG168" t="str">
        <f>IFERROR(INDEX(TableWRCalcPts[BYE],MATCH(TableWRRanks3242[[#This Row],[Player]],TableWRCalcPts[PLAYER],0)),"")</f>
        <v/>
      </c>
      <c r="AH168" s="83">
        <f>VLOOKUP(TableWRRanks3242[[#This Row],[Player]],WR!B:O,4,FALSE)</f>
        <v>0</v>
      </c>
      <c r="AI168" s="83">
        <f>VLOOKUP(TableWRRanks3242[[#This Row],[Player]],WR!B:O,5,FALSE)</f>
        <v>0</v>
      </c>
      <c r="AJ168" s="83">
        <f>VLOOKUP(TableWRRanks3242[[#This Row],[Player]],WR!B:O,6,FALSE)</f>
        <v>0</v>
      </c>
      <c r="AK168" s="83">
        <f>VLOOKUP(TableWRRanks3242[[#This Row],[Player]],WR!B:O,7,FALSE)</f>
        <v>0</v>
      </c>
      <c r="AL168" s="83">
        <f>VLOOKUP(TableWRRanks3242[[#This Row],[Player]],WR!B:O,8,FALSE)</f>
        <v>0</v>
      </c>
      <c r="AM168" s="83">
        <f>VLOOKUP(TableWRRanks3242[[#This Row],[Player]],WR!B:O,9,FALSE)</f>
        <v>0</v>
      </c>
      <c r="AN168" s="57">
        <f>VLOOKUP(TableWRRanks3242[[#This Row],[Player]],WR!B:O,13,FALSE)</f>
        <v>0</v>
      </c>
      <c r="AO168" s="125">
        <f>IF(VLOOKUP(TableWRRanks3242[[#This Row],[RK]],'Ranks w Proj'!AD:AO,12,FALSE)&lt;0,0,VLOOKUP(TableWRRanks3242[[#This Row],[RK]],'Ranks w Proj'!AD:AO,12,FALSE))</f>
        <v>0</v>
      </c>
    </row>
    <row r="169" spans="16:41" x14ac:dyDescent="0.2">
      <c r="P169">
        <v>168</v>
      </c>
      <c r="Q169">
        <f>VLOOKUP(TableRBRanks3141[[#This Row],[RK]],Rankings!A:T,8,FALSE)</f>
        <v>0</v>
      </c>
      <c r="R169" t="str">
        <f>IFERROR(INDEX(TableRBCalcPts[TM],MATCH(TableRBRanks3141[[#This Row],[Player]],TableRBCalcPts[PLAYER],0)),"")</f>
        <v/>
      </c>
      <c r="S169" t="str">
        <f>IFERROR(INDEX(TableRBCalcPts[BYE],MATCH(TableRBRanks3141[[#This Row],[Player]],TableRBCalcPts[PLAYER],0)),"")</f>
        <v/>
      </c>
      <c r="T169" s="83">
        <f>VLOOKUP(TableRBRanks3141[[#This Row],[Player]],RB!B:O,4,FALSE)</f>
        <v>0</v>
      </c>
      <c r="U169" s="83">
        <f>VLOOKUP(TableRBRanks3141[[#This Row],[Player]],RB!B:O,5,FALSE)</f>
        <v>0</v>
      </c>
      <c r="V169" s="83">
        <f>VLOOKUP(TableRBRanks3141[[#This Row],[Player]],RB!B:O,6,FALSE)</f>
        <v>0</v>
      </c>
      <c r="W169" s="83">
        <f>VLOOKUP(TableRBRanks3141[[#This Row],[Player]],RB!B:O,7,FALSE)</f>
        <v>0</v>
      </c>
      <c r="X169" s="83">
        <f>VLOOKUP(TableRBRanks3141[[#This Row],[Player]],RB!B:O,8,FALSE)</f>
        <v>0</v>
      </c>
      <c r="Y169" s="83">
        <f>VLOOKUP(TableRBRanks3141[[#This Row],[Player]],RB!B:O,9,FALSE)</f>
        <v>0</v>
      </c>
      <c r="Z169" s="83">
        <f>VLOOKUP(TableRBRanks3141[[#This Row],[Player]],RB!B:O,10,FALSE)</f>
        <v>0</v>
      </c>
      <c r="AA169" s="57">
        <f>VLOOKUP(TableRBRanks3141[[#This Row],[Player]],RB!B:O,14,FALSE)</f>
        <v>0</v>
      </c>
      <c r="AB169" s="125" t="str">
        <f>IF(VLOOKUP(TableRBRanks3141[[#This Row],[RK]],'Ranks w Proj'!$P:$AB,13,FALSE)&lt;0,0,VLOOKUP(TableRBRanks3141[[#This Row],[RK]],'Ranks w Proj'!$P:$AB,13,FALSE))</f>
        <v/>
      </c>
      <c r="AD169">
        <v>168</v>
      </c>
      <c r="AE169">
        <f>VLOOKUP(TableWRRanks3242[[#This Row],[RK]],Rankings!A:T,13,FALSE)</f>
        <v>0</v>
      </c>
      <c r="AF169" t="str">
        <f>IFERROR(INDEX(TableWRCalcPts[TM],MATCH(TableWRRanks3242[[#This Row],[Player]],TableWRCalcPts[PLAYER],0)),"")</f>
        <v/>
      </c>
      <c r="AG169" t="str">
        <f>IFERROR(INDEX(TableWRCalcPts[BYE],MATCH(TableWRRanks3242[[#This Row],[Player]],TableWRCalcPts[PLAYER],0)),"")</f>
        <v/>
      </c>
      <c r="AH169" s="83">
        <f>VLOOKUP(TableWRRanks3242[[#This Row],[Player]],WR!B:O,4,FALSE)</f>
        <v>0</v>
      </c>
      <c r="AI169" s="83">
        <f>VLOOKUP(TableWRRanks3242[[#This Row],[Player]],WR!B:O,5,FALSE)</f>
        <v>0</v>
      </c>
      <c r="AJ169" s="83">
        <f>VLOOKUP(TableWRRanks3242[[#This Row],[Player]],WR!B:O,6,FALSE)</f>
        <v>0</v>
      </c>
      <c r="AK169" s="83">
        <f>VLOOKUP(TableWRRanks3242[[#This Row],[Player]],WR!B:O,7,FALSE)</f>
        <v>0</v>
      </c>
      <c r="AL169" s="83">
        <f>VLOOKUP(TableWRRanks3242[[#This Row],[Player]],WR!B:O,8,FALSE)</f>
        <v>0</v>
      </c>
      <c r="AM169" s="83">
        <f>VLOOKUP(TableWRRanks3242[[#This Row],[Player]],WR!B:O,9,FALSE)</f>
        <v>0</v>
      </c>
      <c r="AN169" s="57">
        <f>VLOOKUP(TableWRRanks3242[[#This Row],[Player]],WR!B:O,13,FALSE)</f>
        <v>0</v>
      </c>
      <c r="AO169" s="125">
        <f>IF(VLOOKUP(TableWRRanks3242[[#This Row],[RK]],'Ranks w Proj'!AD:AO,12,FALSE)&lt;0,0,VLOOKUP(TableWRRanks3242[[#This Row],[RK]],'Ranks w Proj'!AD:AO,12,FALSE))</f>
        <v>0</v>
      </c>
    </row>
    <row r="170" spans="16:41" x14ac:dyDescent="0.2">
      <c r="P170">
        <v>169</v>
      </c>
      <c r="Q170">
        <f>VLOOKUP(TableRBRanks3141[[#This Row],[RK]],Rankings!A:T,8,FALSE)</f>
        <v>0</v>
      </c>
      <c r="R170" t="str">
        <f>IFERROR(INDEX(TableRBCalcPts[TM],MATCH(TableRBRanks3141[[#This Row],[Player]],TableRBCalcPts[PLAYER],0)),"")</f>
        <v/>
      </c>
      <c r="S170" t="str">
        <f>IFERROR(INDEX(TableRBCalcPts[BYE],MATCH(TableRBRanks3141[[#This Row],[Player]],TableRBCalcPts[PLAYER],0)),"")</f>
        <v/>
      </c>
      <c r="T170" s="83">
        <f>VLOOKUP(TableRBRanks3141[[#This Row],[Player]],RB!B:O,4,FALSE)</f>
        <v>0</v>
      </c>
      <c r="U170" s="83">
        <f>VLOOKUP(TableRBRanks3141[[#This Row],[Player]],RB!B:O,5,FALSE)</f>
        <v>0</v>
      </c>
      <c r="V170" s="83">
        <f>VLOOKUP(TableRBRanks3141[[#This Row],[Player]],RB!B:O,6,FALSE)</f>
        <v>0</v>
      </c>
      <c r="W170" s="83">
        <f>VLOOKUP(TableRBRanks3141[[#This Row],[Player]],RB!B:O,7,FALSE)</f>
        <v>0</v>
      </c>
      <c r="X170" s="83">
        <f>VLOOKUP(TableRBRanks3141[[#This Row],[Player]],RB!B:O,8,FALSE)</f>
        <v>0</v>
      </c>
      <c r="Y170" s="83">
        <f>VLOOKUP(TableRBRanks3141[[#This Row],[Player]],RB!B:O,9,FALSE)</f>
        <v>0</v>
      </c>
      <c r="Z170" s="83">
        <f>VLOOKUP(TableRBRanks3141[[#This Row],[Player]],RB!B:O,10,FALSE)</f>
        <v>0</v>
      </c>
      <c r="AA170" s="57">
        <f>VLOOKUP(TableRBRanks3141[[#This Row],[Player]],RB!B:O,14,FALSE)</f>
        <v>0</v>
      </c>
      <c r="AB170" s="125" t="str">
        <f>IF(VLOOKUP(TableRBRanks3141[[#This Row],[RK]],'Ranks w Proj'!$P:$AB,13,FALSE)&lt;0,0,VLOOKUP(TableRBRanks3141[[#This Row],[RK]],'Ranks w Proj'!$P:$AB,13,FALSE))</f>
        <v/>
      </c>
      <c r="AD170">
        <v>169</v>
      </c>
      <c r="AE170">
        <f>VLOOKUP(TableWRRanks3242[[#This Row],[RK]],Rankings!A:T,13,FALSE)</f>
        <v>0</v>
      </c>
      <c r="AF170" t="str">
        <f>IFERROR(INDEX(TableWRCalcPts[TM],MATCH(TableWRRanks3242[[#This Row],[Player]],TableWRCalcPts[PLAYER],0)),"")</f>
        <v/>
      </c>
      <c r="AG170" t="str">
        <f>IFERROR(INDEX(TableWRCalcPts[BYE],MATCH(TableWRRanks3242[[#This Row],[Player]],TableWRCalcPts[PLAYER],0)),"")</f>
        <v/>
      </c>
      <c r="AH170" s="83">
        <f>VLOOKUP(TableWRRanks3242[[#This Row],[Player]],WR!B:O,4,FALSE)</f>
        <v>0</v>
      </c>
      <c r="AI170" s="83">
        <f>VLOOKUP(TableWRRanks3242[[#This Row],[Player]],WR!B:O,5,FALSE)</f>
        <v>0</v>
      </c>
      <c r="AJ170" s="83">
        <f>VLOOKUP(TableWRRanks3242[[#This Row],[Player]],WR!B:O,6,FALSE)</f>
        <v>0</v>
      </c>
      <c r="AK170" s="83">
        <f>VLOOKUP(TableWRRanks3242[[#This Row],[Player]],WR!B:O,7,FALSE)</f>
        <v>0</v>
      </c>
      <c r="AL170" s="83">
        <f>VLOOKUP(TableWRRanks3242[[#This Row],[Player]],WR!B:O,8,FALSE)</f>
        <v>0</v>
      </c>
      <c r="AM170" s="83">
        <f>VLOOKUP(TableWRRanks3242[[#This Row],[Player]],WR!B:O,9,FALSE)</f>
        <v>0</v>
      </c>
      <c r="AN170" s="57">
        <f>VLOOKUP(TableWRRanks3242[[#This Row],[Player]],WR!B:O,13,FALSE)</f>
        <v>0</v>
      </c>
      <c r="AO170" s="125">
        <f>IF(VLOOKUP(TableWRRanks3242[[#This Row],[RK]],'Ranks w Proj'!AD:AO,12,FALSE)&lt;0,0,VLOOKUP(TableWRRanks3242[[#This Row],[RK]],'Ranks w Proj'!AD:AO,12,FALSE))</f>
        <v>0</v>
      </c>
    </row>
    <row r="171" spans="16:41" x14ac:dyDescent="0.2">
      <c r="P171">
        <v>170</v>
      </c>
      <c r="Q171">
        <f>VLOOKUP(TableRBRanks3141[[#This Row],[RK]],Rankings!A:T,8,FALSE)</f>
        <v>0</v>
      </c>
      <c r="R171" t="str">
        <f>IFERROR(INDEX(TableRBCalcPts[TM],MATCH(TableRBRanks3141[[#This Row],[Player]],TableRBCalcPts[PLAYER],0)),"")</f>
        <v/>
      </c>
      <c r="S171" t="str">
        <f>IFERROR(INDEX(TableRBCalcPts[BYE],MATCH(TableRBRanks3141[[#This Row],[Player]],TableRBCalcPts[PLAYER],0)),"")</f>
        <v/>
      </c>
      <c r="T171" s="83">
        <f>VLOOKUP(TableRBRanks3141[[#This Row],[Player]],RB!B:O,4,FALSE)</f>
        <v>0</v>
      </c>
      <c r="U171" s="83">
        <f>VLOOKUP(TableRBRanks3141[[#This Row],[Player]],RB!B:O,5,FALSE)</f>
        <v>0</v>
      </c>
      <c r="V171" s="83">
        <f>VLOOKUP(TableRBRanks3141[[#This Row],[Player]],RB!B:O,6,FALSE)</f>
        <v>0</v>
      </c>
      <c r="W171" s="83">
        <f>VLOOKUP(TableRBRanks3141[[#This Row],[Player]],RB!B:O,7,FALSE)</f>
        <v>0</v>
      </c>
      <c r="X171" s="83">
        <f>VLOOKUP(TableRBRanks3141[[#This Row],[Player]],RB!B:O,8,FALSE)</f>
        <v>0</v>
      </c>
      <c r="Y171" s="83">
        <f>VLOOKUP(TableRBRanks3141[[#This Row],[Player]],RB!B:O,9,FALSE)</f>
        <v>0</v>
      </c>
      <c r="Z171" s="83">
        <f>VLOOKUP(TableRBRanks3141[[#This Row],[Player]],RB!B:O,10,FALSE)</f>
        <v>0</v>
      </c>
      <c r="AA171" s="57">
        <f>VLOOKUP(TableRBRanks3141[[#This Row],[Player]],RB!B:O,14,FALSE)</f>
        <v>0</v>
      </c>
      <c r="AB171" s="125" t="str">
        <f>IF(VLOOKUP(TableRBRanks3141[[#This Row],[RK]],'Ranks w Proj'!$P:$AB,13,FALSE)&lt;0,0,VLOOKUP(TableRBRanks3141[[#This Row],[RK]],'Ranks w Proj'!$P:$AB,13,FALSE))</f>
        <v/>
      </c>
      <c r="AD171">
        <v>170</v>
      </c>
      <c r="AE171">
        <f>VLOOKUP(TableWRRanks3242[[#This Row],[RK]],Rankings!A:T,13,FALSE)</f>
        <v>0</v>
      </c>
      <c r="AF171" t="str">
        <f>IFERROR(INDEX(TableWRCalcPts[TM],MATCH(TableWRRanks3242[[#This Row],[Player]],TableWRCalcPts[PLAYER],0)),"")</f>
        <v/>
      </c>
      <c r="AG171" t="str">
        <f>IFERROR(INDEX(TableWRCalcPts[BYE],MATCH(TableWRRanks3242[[#This Row],[Player]],TableWRCalcPts[PLAYER],0)),"")</f>
        <v/>
      </c>
      <c r="AH171" s="83">
        <f>VLOOKUP(TableWRRanks3242[[#This Row],[Player]],WR!B:O,4,FALSE)</f>
        <v>0</v>
      </c>
      <c r="AI171" s="83">
        <f>VLOOKUP(TableWRRanks3242[[#This Row],[Player]],WR!B:O,5,FALSE)</f>
        <v>0</v>
      </c>
      <c r="AJ171" s="83">
        <f>VLOOKUP(TableWRRanks3242[[#This Row],[Player]],WR!B:O,6,FALSE)</f>
        <v>0</v>
      </c>
      <c r="AK171" s="83">
        <f>VLOOKUP(TableWRRanks3242[[#This Row],[Player]],WR!B:O,7,FALSE)</f>
        <v>0</v>
      </c>
      <c r="AL171" s="83">
        <f>VLOOKUP(TableWRRanks3242[[#This Row],[Player]],WR!B:O,8,FALSE)</f>
        <v>0</v>
      </c>
      <c r="AM171" s="83">
        <f>VLOOKUP(TableWRRanks3242[[#This Row],[Player]],WR!B:O,9,FALSE)</f>
        <v>0</v>
      </c>
      <c r="AN171" s="57">
        <f>VLOOKUP(TableWRRanks3242[[#This Row],[Player]],WR!B:O,13,FALSE)</f>
        <v>0</v>
      </c>
      <c r="AO171" s="125">
        <f>IF(VLOOKUP(TableWRRanks3242[[#This Row],[RK]],'Ranks w Proj'!AD:AO,12,FALSE)&lt;0,0,VLOOKUP(TableWRRanks3242[[#This Row],[RK]],'Ranks w Proj'!AD:AO,12,FALSE))</f>
        <v>0</v>
      </c>
    </row>
    <row r="172" spans="16:41" x14ac:dyDescent="0.2">
      <c r="AD172">
        <v>171</v>
      </c>
      <c r="AE172">
        <f>VLOOKUP(TableWRRanks3242[[#This Row],[RK]],Rankings!A:T,13,FALSE)</f>
        <v>0</v>
      </c>
      <c r="AF172" t="str">
        <f>IFERROR(INDEX(TableWRCalcPts[TM],MATCH(TableWRRanks3242[[#This Row],[Player]],TableWRCalcPts[PLAYER],0)),"")</f>
        <v/>
      </c>
      <c r="AG172" t="str">
        <f>IFERROR(INDEX(TableWRCalcPts[BYE],MATCH(TableWRRanks3242[[#This Row],[Player]],TableWRCalcPts[PLAYER],0)),"")</f>
        <v/>
      </c>
      <c r="AH172" s="83">
        <f>VLOOKUP(TableWRRanks3242[[#This Row],[Player]],WR!B:O,4,FALSE)</f>
        <v>0</v>
      </c>
      <c r="AI172" s="83">
        <f>VLOOKUP(TableWRRanks3242[[#This Row],[Player]],WR!B:O,5,FALSE)</f>
        <v>0</v>
      </c>
      <c r="AJ172" s="83">
        <f>VLOOKUP(TableWRRanks3242[[#This Row],[Player]],WR!B:O,6,FALSE)</f>
        <v>0</v>
      </c>
      <c r="AK172" s="83">
        <f>VLOOKUP(TableWRRanks3242[[#This Row],[Player]],WR!B:O,7,FALSE)</f>
        <v>0</v>
      </c>
      <c r="AL172" s="83">
        <f>VLOOKUP(TableWRRanks3242[[#This Row],[Player]],WR!B:O,8,FALSE)</f>
        <v>0</v>
      </c>
      <c r="AM172" s="83">
        <f>VLOOKUP(TableWRRanks3242[[#This Row],[Player]],WR!B:O,9,FALSE)</f>
        <v>0</v>
      </c>
      <c r="AN172" s="57">
        <f>VLOOKUP(TableWRRanks3242[[#This Row],[Player]],WR!B:O,13,FALSE)</f>
        <v>0</v>
      </c>
      <c r="AO172" s="125">
        <f>IF(VLOOKUP(TableWRRanks3242[[#This Row],[RK]],'Ranks w Proj'!AD:AO,12,FALSE)&lt;0,0,VLOOKUP(TableWRRanks3242[[#This Row],[RK]],'Ranks w Proj'!AD:AO,12,FALSE))</f>
        <v>0</v>
      </c>
    </row>
    <row r="173" spans="16:41" x14ac:dyDescent="0.2">
      <c r="AD173">
        <v>172</v>
      </c>
      <c r="AE173">
        <f>VLOOKUP(TableWRRanks3242[[#This Row],[RK]],Rankings!A:T,13,FALSE)</f>
        <v>0</v>
      </c>
      <c r="AF173" t="str">
        <f>IFERROR(INDEX(TableWRCalcPts[TM],MATCH(TableWRRanks3242[[#This Row],[Player]],TableWRCalcPts[PLAYER],0)),"")</f>
        <v/>
      </c>
      <c r="AG173" t="str">
        <f>IFERROR(INDEX(TableWRCalcPts[BYE],MATCH(TableWRRanks3242[[#This Row],[Player]],TableWRCalcPts[PLAYER],0)),"")</f>
        <v/>
      </c>
      <c r="AH173" s="83">
        <f>VLOOKUP(TableWRRanks3242[[#This Row],[Player]],WR!B:O,4,FALSE)</f>
        <v>0</v>
      </c>
      <c r="AI173" s="83">
        <f>VLOOKUP(TableWRRanks3242[[#This Row],[Player]],WR!B:O,5,FALSE)</f>
        <v>0</v>
      </c>
      <c r="AJ173" s="83">
        <f>VLOOKUP(TableWRRanks3242[[#This Row],[Player]],WR!B:O,6,FALSE)</f>
        <v>0</v>
      </c>
      <c r="AK173" s="83">
        <f>VLOOKUP(TableWRRanks3242[[#This Row],[Player]],WR!B:O,7,FALSE)</f>
        <v>0</v>
      </c>
      <c r="AL173" s="83">
        <f>VLOOKUP(TableWRRanks3242[[#This Row],[Player]],WR!B:O,8,FALSE)</f>
        <v>0</v>
      </c>
      <c r="AM173" s="83">
        <f>VLOOKUP(TableWRRanks3242[[#This Row],[Player]],WR!B:O,9,FALSE)</f>
        <v>0</v>
      </c>
      <c r="AN173" s="57">
        <f>VLOOKUP(TableWRRanks3242[[#This Row],[Player]],WR!B:O,13,FALSE)</f>
        <v>0</v>
      </c>
      <c r="AO173" s="125">
        <f>IF(VLOOKUP(TableWRRanks3242[[#This Row],[RK]],'Ranks w Proj'!AD:AO,12,FALSE)&lt;0,0,VLOOKUP(TableWRRanks3242[[#This Row],[RK]],'Ranks w Proj'!AD:AO,12,FALSE))</f>
        <v>0</v>
      </c>
    </row>
    <row r="174" spans="16:41" x14ac:dyDescent="0.2">
      <c r="AD174">
        <v>173</v>
      </c>
      <c r="AE174">
        <f>VLOOKUP(TableWRRanks3242[[#This Row],[RK]],Rankings!A:T,13,FALSE)</f>
        <v>0</v>
      </c>
      <c r="AF174" t="str">
        <f>IFERROR(INDEX(TableWRCalcPts[TM],MATCH(TableWRRanks3242[[#This Row],[Player]],TableWRCalcPts[PLAYER],0)),"")</f>
        <v/>
      </c>
      <c r="AG174" t="str">
        <f>IFERROR(INDEX(TableWRCalcPts[BYE],MATCH(TableWRRanks3242[[#This Row],[Player]],TableWRCalcPts[PLAYER],0)),"")</f>
        <v/>
      </c>
      <c r="AH174" s="83">
        <f>VLOOKUP(TableWRRanks3242[[#This Row],[Player]],WR!B:O,4,FALSE)</f>
        <v>0</v>
      </c>
      <c r="AI174" s="83">
        <f>VLOOKUP(TableWRRanks3242[[#This Row],[Player]],WR!B:O,5,FALSE)</f>
        <v>0</v>
      </c>
      <c r="AJ174" s="83">
        <f>VLOOKUP(TableWRRanks3242[[#This Row],[Player]],WR!B:O,6,FALSE)</f>
        <v>0</v>
      </c>
      <c r="AK174" s="83">
        <f>VLOOKUP(TableWRRanks3242[[#This Row],[Player]],WR!B:O,7,FALSE)</f>
        <v>0</v>
      </c>
      <c r="AL174" s="83">
        <f>VLOOKUP(TableWRRanks3242[[#This Row],[Player]],WR!B:O,8,FALSE)</f>
        <v>0</v>
      </c>
      <c r="AM174" s="83">
        <f>VLOOKUP(TableWRRanks3242[[#This Row],[Player]],WR!B:O,9,FALSE)</f>
        <v>0</v>
      </c>
      <c r="AN174" s="57">
        <f>VLOOKUP(TableWRRanks3242[[#This Row],[Player]],WR!B:O,13,FALSE)</f>
        <v>0</v>
      </c>
      <c r="AO174" s="125">
        <f>IF(VLOOKUP(TableWRRanks3242[[#This Row],[RK]],'Ranks w Proj'!AD:AO,12,FALSE)&lt;0,0,VLOOKUP(TableWRRanks3242[[#This Row],[RK]],'Ranks w Proj'!AD:AO,12,FALSE))</f>
        <v>0</v>
      </c>
    </row>
    <row r="175" spans="16:41" x14ac:dyDescent="0.2">
      <c r="AD175">
        <v>174</v>
      </c>
      <c r="AE175">
        <f>VLOOKUP(TableWRRanks3242[[#This Row],[RK]],Rankings!A:T,13,FALSE)</f>
        <v>0</v>
      </c>
      <c r="AF175" t="str">
        <f>IFERROR(INDEX(TableWRCalcPts[TM],MATCH(TableWRRanks3242[[#This Row],[Player]],TableWRCalcPts[PLAYER],0)),"")</f>
        <v/>
      </c>
      <c r="AG175" t="str">
        <f>IFERROR(INDEX(TableWRCalcPts[BYE],MATCH(TableWRRanks3242[[#This Row],[Player]],TableWRCalcPts[PLAYER],0)),"")</f>
        <v/>
      </c>
      <c r="AH175" s="83">
        <f>VLOOKUP(TableWRRanks3242[[#This Row],[Player]],WR!B:O,4,FALSE)</f>
        <v>0</v>
      </c>
      <c r="AI175" s="83">
        <f>VLOOKUP(TableWRRanks3242[[#This Row],[Player]],WR!B:O,5,FALSE)</f>
        <v>0</v>
      </c>
      <c r="AJ175" s="83">
        <f>VLOOKUP(TableWRRanks3242[[#This Row],[Player]],WR!B:O,6,FALSE)</f>
        <v>0</v>
      </c>
      <c r="AK175" s="83">
        <f>VLOOKUP(TableWRRanks3242[[#This Row],[Player]],WR!B:O,7,FALSE)</f>
        <v>0</v>
      </c>
      <c r="AL175" s="83">
        <f>VLOOKUP(TableWRRanks3242[[#This Row],[Player]],WR!B:O,8,FALSE)</f>
        <v>0</v>
      </c>
      <c r="AM175" s="83">
        <f>VLOOKUP(TableWRRanks3242[[#This Row],[Player]],WR!B:O,9,FALSE)</f>
        <v>0</v>
      </c>
      <c r="AN175" s="57">
        <f>VLOOKUP(TableWRRanks3242[[#This Row],[Player]],WR!B:O,13,FALSE)</f>
        <v>0</v>
      </c>
      <c r="AO175" s="125">
        <f>IF(VLOOKUP(TableWRRanks3242[[#This Row],[RK]],'Ranks w Proj'!AD:AO,12,FALSE)&lt;0,0,VLOOKUP(TableWRRanks3242[[#This Row],[RK]],'Ranks w Proj'!AD:AO,12,FALSE))</f>
        <v>0</v>
      </c>
    </row>
    <row r="176" spans="16:41" x14ac:dyDescent="0.2">
      <c r="AD176">
        <v>175</v>
      </c>
      <c r="AE176">
        <f>VLOOKUP(TableWRRanks3242[[#This Row],[RK]],Rankings!A:T,13,FALSE)</f>
        <v>0</v>
      </c>
      <c r="AF176" t="str">
        <f>IFERROR(INDEX(TableWRCalcPts[TM],MATCH(TableWRRanks3242[[#This Row],[Player]],TableWRCalcPts[PLAYER],0)),"")</f>
        <v/>
      </c>
      <c r="AG176" t="str">
        <f>IFERROR(INDEX(TableWRCalcPts[BYE],MATCH(TableWRRanks3242[[#This Row],[Player]],TableWRCalcPts[PLAYER],0)),"")</f>
        <v/>
      </c>
      <c r="AH176" s="83">
        <f>VLOOKUP(TableWRRanks3242[[#This Row],[Player]],WR!B:O,4,FALSE)</f>
        <v>0</v>
      </c>
      <c r="AI176" s="83">
        <f>VLOOKUP(TableWRRanks3242[[#This Row],[Player]],WR!B:O,5,FALSE)</f>
        <v>0</v>
      </c>
      <c r="AJ176" s="83">
        <f>VLOOKUP(TableWRRanks3242[[#This Row],[Player]],WR!B:O,6,FALSE)</f>
        <v>0</v>
      </c>
      <c r="AK176" s="83">
        <f>VLOOKUP(TableWRRanks3242[[#This Row],[Player]],WR!B:O,7,FALSE)</f>
        <v>0</v>
      </c>
      <c r="AL176" s="83">
        <f>VLOOKUP(TableWRRanks3242[[#This Row],[Player]],WR!B:O,8,FALSE)</f>
        <v>0</v>
      </c>
      <c r="AM176" s="83">
        <f>VLOOKUP(TableWRRanks3242[[#This Row],[Player]],WR!B:O,9,FALSE)</f>
        <v>0</v>
      </c>
      <c r="AN176" s="57">
        <f>VLOOKUP(TableWRRanks3242[[#This Row],[Player]],WR!B:O,13,FALSE)</f>
        <v>0</v>
      </c>
      <c r="AO176" s="125">
        <f>IF(VLOOKUP(TableWRRanks3242[[#This Row],[RK]],'Ranks w Proj'!AD:AO,12,FALSE)&lt;0,0,VLOOKUP(TableWRRanks3242[[#This Row],[RK]],'Ranks w Proj'!AD:AO,12,FALSE))</f>
        <v>0</v>
      </c>
    </row>
    <row r="177" spans="30:41" x14ac:dyDescent="0.2">
      <c r="AD177">
        <v>176</v>
      </c>
      <c r="AE177">
        <f>VLOOKUP(TableWRRanks3242[[#This Row],[RK]],Rankings!A:T,13,FALSE)</f>
        <v>0</v>
      </c>
      <c r="AF177" t="str">
        <f>IFERROR(INDEX(TableWRCalcPts[TM],MATCH(TableWRRanks3242[[#This Row],[Player]],TableWRCalcPts[PLAYER],0)),"")</f>
        <v/>
      </c>
      <c r="AG177" t="str">
        <f>IFERROR(INDEX(TableWRCalcPts[BYE],MATCH(TableWRRanks3242[[#This Row],[Player]],TableWRCalcPts[PLAYER],0)),"")</f>
        <v/>
      </c>
      <c r="AH177" s="83">
        <f>VLOOKUP(TableWRRanks3242[[#This Row],[Player]],WR!B:O,4,FALSE)</f>
        <v>0</v>
      </c>
      <c r="AI177" s="83">
        <f>VLOOKUP(TableWRRanks3242[[#This Row],[Player]],WR!B:O,5,FALSE)</f>
        <v>0</v>
      </c>
      <c r="AJ177" s="83">
        <f>VLOOKUP(TableWRRanks3242[[#This Row],[Player]],WR!B:O,6,FALSE)</f>
        <v>0</v>
      </c>
      <c r="AK177" s="83">
        <f>VLOOKUP(TableWRRanks3242[[#This Row],[Player]],WR!B:O,7,FALSE)</f>
        <v>0</v>
      </c>
      <c r="AL177" s="83">
        <f>VLOOKUP(TableWRRanks3242[[#This Row],[Player]],WR!B:O,8,FALSE)</f>
        <v>0</v>
      </c>
      <c r="AM177" s="83">
        <f>VLOOKUP(TableWRRanks3242[[#This Row],[Player]],WR!B:O,9,FALSE)</f>
        <v>0</v>
      </c>
      <c r="AN177" s="57">
        <f>VLOOKUP(TableWRRanks3242[[#This Row],[Player]],WR!B:O,13,FALSE)</f>
        <v>0</v>
      </c>
      <c r="AO177" s="125" t="str">
        <f>IF(VLOOKUP(TableWRRanks3242[[#This Row],[RK]],'Ranks w Proj'!AD:AO,12,FALSE)&lt;0,0,VLOOKUP(TableWRRanks3242[[#This Row],[RK]],'Ranks w Proj'!AD:AO,12,FALSE))</f>
        <v/>
      </c>
    </row>
    <row r="178" spans="30:41" x14ac:dyDescent="0.2">
      <c r="AD178">
        <v>177</v>
      </c>
      <c r="AE178">
        <f>VLOOKUP(TableWRRanks3242[[#This Row],[RK]],Rankings!A:T,13,FALSE)</f>
        <v>0</v>
      </c>
      <c r="AF178" t="str">
        <f>IFERROR(INDEX(TableWRCalcPts[TM],MATCH(TableWRRanks3242[[#This Row],[Player]],TableWRCalcPts[PLAYER],0)),"")</f>
        <v/>
      </c>
      <c r="AG178" t="str">
        <f>IFERROR(INDEX(TableWRCalcPts[BYE],MATCH(TableWRRanks3242[[#This Row],[Player]],TableWRCalcPts[PLAYER],0)),"")</f>
        <v/>
      </c>
      <c r="AH178" s="83">
        <f>VLOOKUP(TableWRRanks3242[[#This Row],[Player]],WR!B:O,4,FALSE)</f>
        <v>0</v>
      </c>
      <c r="AI178" s="83">
        <f>VLOOKUP(TableWRRanks3242[[#This Row],[Player]],WR!B:O,5,FALSE)</f>
        <v>0</v>
      </c>
      <c r="AJ178" s="83">
        <f>VLOOKUP(TableWRRanks3242[[#This Row],[Player]],WR!B:O,6,FALSE)</f>
        <v>0</v>
      </c>
      <c r="AK178" s="83">
        <f>VLOOKUP(TableWRRanks3242[[#This Row],[Player]],WR!B:O,7,FALSE)</f>
        <v>0</v>
      </c>
      <c r="AL178" s="83">
        <f>VLOOKUP(TableWRRanks3242[[#This Row],[Player]],WR!B:O,8,FALSE)</f>
        <v>0</v>
      </c>
      <c r="AM178" s="83">
        <f>VLOOKUP(TableWRRanks3242[[#This Row],[Player]],WR!B:O,9,FALSE)</f>
        <v>0</v>
      </c>
      <c r="AN178" s="57">
        <f>VLOOKUP(TableWRRanks3242[[#This Row],[Player]],WR!B:O,13,FALSE)</f>
        <v>0</v>
      </c>
      <c r="AO178" s="125" t="str">
        <f>IF(VLOOKUP(TableWRRanks3242[[#This Row],[RK]],'Ranks w Proj'!AD:AO,12,FALSE)&lt;0,0,VLOOKUP(TableWRRanks3242[[#This Row],[RK]],'Ranks w Proj'!AD:AO,12,FALSE))</f>
        <v/>
      </c>
    </row>
    <row r="179" spans="30:41" x14ac:dyDescent="0.2">
      <c r="AD179">
        <v>178</v>
      </c>
      <c r="AE179">
        <f>VLOOKUP(TableWRRanks3242[[#This Row],[RK]],Rankings!A:T,13,FALSE)</f>
        <v>0</v>
      </c>
      <c r="AF179" t="str">
        <f>IFERROR(INDEX(TableWRCalcPts[TM],MATCH(TableWRRanks3242[[#This Row],[Player]],TableWRCalcPts[PLAYER],0)),"")</f>
        <v/>
      </c>
      <c r="AG179" t="str">
        <f>IFERROR(INDEX(TableWRCalcPts[BYE],MATCH(TableWRRanks3242[[#This Row],[Player]],TableWRCalcPts[PLAYER],0)),"")</f>
        <v/>
      </c>
      <c r="AH179" s="83">
        <f>VLOOKUP(TableWRRanks3242[[#This Row],[Player]],WR!B:O,4,FALSE)</f>
        <v>0</v>
      </c>
      <c r="AI179" s="83">
        <f>VLOOKUP(TableWRRanks3242[[#This Row],[Player]],WR!B:O,5,FALSE)</f>
        <v>0</v>
      </c>
      <c r="AJ179" s="83">
        <f>VLOOKUP(TableWRRanks3242[[#This Row],[Player]],WR!B:O,6,FALSE)</f>
        <v>0</v>
      </c>
      <c r="AK179" s="83">
        <f>VLOOKUP(TableWRRanks3242[[#This Row],[Player]],WR!B:O,7,FALSE)</f>
        <v>0</v>
      </c>
      <c r="AL179" s="83">
        <f>VLOOKUP(TableWRRanks3242[[#This Row],[Player]],WR!B:O,8,FALSE)</f>
        <v>0</v>
      </c>
      <c r="AM179" s="83">
        <f>VLOOKUP(TableWRRanks3242[[#This Row],[Player]],WR!B:O,9,FALSE)</f>
        <v>0</v>
      </c>
      <c r="AN179" s="57">
        <f>VLOOKUP(TableWRRanks3242[[#This Row],[Player]],WR!B:O,13,FALSE)</f>
        <v>0</v>
      </c>
      <c r="AO179" s="125" t="str">
        <f>IF(VLOOKUP(TableWRRanks3242[[#This Row],[RK]],'Ranks w Proj'!AD:AO,12,FALSE)&lt;0,0,VLOOKUP(TableWRRanks3242[[#This Row],[RK]],'Ranks w Proj'!AD:AO,12,FALSE))</f>
        <v/>
      </c>
    </row>
    <row r="180" spans="30:41" x14ac:dyDescent="0.2">
      <c r="AD180">
        <v>179</v>
      </c>
      <c r="AE180">
        <f>VLOOKUP(TableWRRanks3242[[#This Row],[RK]],Rankings!A:T,13,FALSE)</f>
        <v>0</v>
      </c>
      <c r="AF180" t="str">
        <f>IFERROR(INDEX(TableWRCalcPts[TM],MATCH(TableWRRanks3242[[#This Row],[Player]],TableWRCalcPts[PLAYER],0)),"")</f>
        <v/>
      </c>
      <c r="AG180" t="str">
        <f>IFERROR(INDEX(TableWRCalcPts[BYE],MATCH(TableWRRanks3242[[#This Row],[Player]],TableWRCalcPts[PLAYER],0)),"")</f>
        <v/>
      </c>
      <c r="AH180" s="83">
        <f>VLOOKUP(TableWRRanks3242[[#This Row],[Player]],WR!B:O,4,FALSE)</f>
        <v>0</v>
      </c>
      <c r="AI180" s="83">
        <f>VLOOKUP(TableWRRanks3242[[#This Row],[Player]],WR!B:O,5,FALSE)</f>
        <v>0</v>
      </c>
      <c r="AJ180" s="83">
        <f>VLOOKUP(TableWRRanks3242[[#This Row],[Player]],WR!B:O,6,FALSE)</f>
        <v>0</v>
      </c>
      <c r="AK180" s="83">
        <f>VLOOKUP(TableWRRanks3242[[#This Row],[Player]],WR!B:O,7,FALSE)</f>
        <v>0</v>
      </c>
      <c r="AL180" s="83">
        <f>VLOOKUP(TableWRRanks3242[[#This Row],[Player]],WR!B:O,8,FALSE)</f>
        <v>0</v>
      </c>
      <c r="AM180" s="83">
        <f>VLOOKUP(TableWRRanks3242[[#This Row],[Player]],WR!B:O,9,FALSE)</f>
        <v>0</v>
      </c>
      <c r="AN180" s="57">
        <f>VLOOKUP(TableWRRanks3242[[#This Row],[Player]],WR!B:O,13,FALSE)</f>
        <v>0</v>
      </c>
      <c r="AO180" s="125" t="str">
        <f>IF(VLOOKUP(TableWRRanks3242[[#This Row],[RK]],'Ranks w Proj'!AD:AO,12,FALSE)&lt;0,0,VLOOKUP(TableWRRanks3242[[#This Row],[RK]],'Ranks w Proj'!AD:AO,12,FALSE))</f>
        <v/>
      </c>
    </row>
    <row r="181" spans="30:41" x14ac:dyDescent="0.2">
      <c r="AD181">
        <v>180</v>
      </c>
      <c r="AE181">
        <f>VLOOKUP(TableWRRanks3242[[#This Row],[RK]],Rankings!A:T,13,FALSE)</f>
        <v>0</v>
      </c>
      <c r="AF181" t="str">
        <f>IFERROR(INDEX(TableWRCalcPts[TM],MATCH(TableWRRanks3242[[#This Row],[Player]],TableWRCalcPts[PLAYER],0)),"")</f>
        <v/>
      </c>
      <c r="AG181" t="str">
        <f>IFERROR(INDEX(TableWRCalcPts[BYE],MATCH(TableWRRanks3242[[#This Row],[Player]],TableWRCalcPts[PLAYER],0)),"")</f>
        <v/>
      </c>
      <c r="AH181" s="83">
        <f>VLOOKUP(TableWRRanks3242[[#This Row],[Player]],WR!B:O,4,FALSE)</f>
        <v>0</v>
      </c>
      <c r="AI181" s="83">
        <f>VLOOKUP(TableWRRanks3242[[#This Row],[Player]],WR!B:O,5,FALSE)</f>
        <v>0</v>
      </c>
      <c r="AJ181" s="83">
        <f>VLOOKUP(TableWRRanks3242[[#This Row],[Player]],WR!B:O,6,FALSE)</f>
        <v>0</v>
      </c>
      <c r="AK181" s="83">
        <f>VLOOKUP(TableWRRanks3242[[#This Row],[Player]],WR!B:O,7,FALSE)</f>
        <v>0</v>
      </c>
      <c r="AL181" s="83">
        <f>VLOOKUP(TableWRRanks3242[[#This Row],[Player]],WR!B:O,8,FALSE)</f>
        <v>0</v>
      </c>
      <c r="AM181" s="83">
        <f>VLOOKUP(TableWRRanks3242[[#This Row],[Player]],WR!B:O,9,FALSE)</f>
        <v>0</v>
      </c>
      <c r="AN181" s="57">
        <f>VLOOKUP(TableWRRanks3242[[#This Row],[Player]],WR!B:O,13,FALSE)</f>
        <v>0</v>
      </c>
      <c r="AO181" s="125" t="str">
        <f>IF(VLOOKUP(TableWRRanks3242[[#This Row],[RK]],'Ranks w Proj'!AD:AO,12,FALSE)&lt;0,0,VLOOKUP(TableWRRanks3242[[#This Row],[RK]],'Ranks w Proj'!AD:AO,12,FALSE))</f>
        <v/>
      </c>
    </row>
    <row r="182" spans="30:41" x14ac:dyDescent="0.2">
      <c r="AD182">
        <v>181</v>
      </c>
      <c r="AE182">
        <f>VLOOKUP(TableWRRanks3242[[#This Row],[RK]],Rankings!A:T,13,FALSE)</f>
        <v>0</v>
      </c>
      <c r="AF182" t="str">
        <f>IFERROR(INDEX(TableWRCalcPts[TM],MATCH(TableWRRanks3242[[#This Row],[Player]],TableWRCalcPts[PLAYER],0)),"")</f>
        <v/>
      </c>
      <c r="AG182" t="str">
        <f>IFERROR(INDEX(TableWRCalcPts[BYE],MATCH(TableWRRanks3242[[#This Row],[Player]],TableWRCalcPts[PLAYER],0)),"")</f>
        <v/>
      </c>
      <c r="AH182" s="83">
        <f>VLOOKUP(TableWRRanks3242[[#This Row],[Player]],WR!B:O,4,FALSE)</f>
        <v>0</v>
      </c>
      <c r="AI182" s="83">
        <f>VLOOKUP(TableWRRanks3242[[#This Row],[Player]],WR!B:O,5,FALSE)</f>
        <v>0</v>
      </c>
      <c r="AJ182" s="83">
        <f>VLOOKUP(TableWRRanks3242[[#This Row],[Player]],WR!B:O,6,FALSE)</f>
        <v>0</v>
      </c>
      <c r="AK182" s="83">
        <f>VLOOKUP(TableWRRanks3242[[#This Row],[Player]],WR!B:O,7,FALSE)</f>
        <v>0</v>
      </c>
      <c r="AL182" s="83">
        <f>VLOOKUP(TableWRRanks3242[[#This Row],[Player]],WR!B:O,8,FALSE)</f>
        <v>0</v>
      </c>
      <c r="AM182" s="83">
        <f>VLOOKUP(TableWRRanks3242[[#This Row],[Player]],WR!B:O,9,FALSE)</f>
        <v>0</v>
      </c>
      <c r="AN182" s="57">
        <f>VLOOKUP(TableWRRanks3242[[#This Row],[Player]],WR!B:O,13,FALSE)</f>
        <v>0</v>
      </c>
      <c r="AO182" s="125" t="str">
        <f>IF(VLOOKUP(TableWRRanks3242[[#This Row],[RK]],'Ranks w Proj'!AD:AO,12,FALSE)&lt;0,0,VLOOKUP(TableWRRanks3242[[#This Row],[RK]],'Ranks w Proj'!AD:AO,12,FALSE))</f>
        <v/>
      </c>
    </row>
    <row r="183" spans="30:41" x14ac:dyDescent="0.2">
      <c r="AD183">
        <v>182</v>
      </c>
      <c r="AE183">
        <f>VLOOKUP(TableWRRanks3242[[#This Row],[RK]],Rankings!A:T,13,FALSE)</f>
        <v>0</v>
      </c>
      <c r="AF183" t="str">
        <f>IFERROR(INDEX(TableWRCalcPts[TM],MATCH(TableWRRanks3242[[#This Row],[Player]],TableWRCalcPts[PLAYER],0)),"")</f>
        <v/>
      </c>
      <c r="AG183" t="str">
        <f>IFERROR(INDEX(TableWRCalcPts[BYE],MATCH(TableWRRanks3242[[#This Row],[Player]],TableWRCalcPts[PLAYER],0)),"")</f>
        <v/>
      </c>
      <c r="AH183" s="83">
        <f>VLOOKUP(TableWRRanks3242[[#This Row],[Player]],WR!B:O,4,FALSE)</f>
        <v>0</v>
      </c>
      <c r="AI183" s="83">
        <f>VLOOKUP(TableWRRanks3242[[#This Row],[Player]],WR!B:O,5,FALSE)</f>
        <v>0</v>
      </c>
      <c r="AJ183" s="83">
        <f>VLOOKUP(TableWRRanks3242[[#This Row],[Player]],WR!B:O,6,FALSE)</f>
        <v>0</v>
      </c>
      <c r="AK183" s="83">
        <f>VLOOKUP(TableWRRanks3242[[#This Row],[Player]],WR!B:O,7,FALSE)</f>
        <v>0</v>
      </c>
      <c r="AL183" s="83">
        <f>VLOOKUP(TableWRRanks3242[[#This Row],[Player]],WR!B:O,8,FALSE)</f>
        <v>0</v>
      </c>
      <c r="AM183" s="83">
        <f>VLOOKUP(TableWRRanks3242[[#This Row],[Player]],WR!B:O,9,FALSE)</f>
        <v>0</v>
      </c>
      <c r="AN183" s="57">
        <f>VLOOKUP(TableWRRanks3242[[#This Row],[Player]],WR!B:O,13,FALSE)</f>
        <v>0</v>
      </c>
      <c r="AO183" s="125" t="str">
        <f>IF(VLOOKUP(TableWRRanks3242[[#This Row],[RK]],'Ranks w Proj'!AD:AO,12,FALSE)&lt;0,0,VLOOKUP(TableWRRanks3242[[#This Row],[RK]],'Ranks w Proj'!AD:AO,12,FALSE))</f>
        <v/>
      </c>
    </row>
    <row r="184" spans="30:41" x14ac:dyDescent="0.2">
      <c r="AD184">
        <v>183</v>
      </c>
      <c r="AE184">
        <f>VLOOKUP(TableWRRanks3242[[#This Row],[RK]],Rankings!A:T,13,FALSE)</f>
        <v>0</v>
      </c>
      <c r="AF184" t="str">
        <f>IFERROR(INDEX(TableWRCalcPts[TM],MATCH(TableWRRanks3242[[#This Row],[Player]],TableWRCalcPts[PLAYER],0)),"")</f>
        <v/>
      </c>
      <c r="AG184" t="str">
        <f>IFERROR(INDEX(TableWRCalcPts[BYE],MATCH(TableWRRanks3242[[#This Row],[Player]],TableWRCalcPts[PLAYER],0)),"")</f>
        <v/>
      </c>
      <c r="AH184" s="83">
        <f>VLOOKUP(TableWRRanks3242[[#This Row],[Player]],WR!B:O,4,FALSE)</f>
        <v>0</v>
      </c>
      <c r="AI184" s="83">
        <f>VLOOKUP(TableWRRanks3242[[#This Row],[Player]],WR!B:O,5,FALSE)</f>
        <v>0</v>
      </c>
      <c r="AJ184" s="83">
        <f>VLOOKUP(TableWRRanks3242[[#This Row],[Player]],WR!B:O,6,FALSE)</f>
        <v>0</v>
      </c>
      <c r="AK184" s="83">
        <f>VLOOKUP(TableWRRanks3242[[#This Row],[Player]],WR!B:O,7,FALSE)</f>
        <v>0</v>
      </c>
      <c r="AL184" s="83">
        <f>VLOOKUP(TableWRRanks3242[[#This Row],[Player]],WR!B:O,8,FALSE)</f>
        <v>0</v>
      </c>
      <c r="AM184" s="83">
        <f>VLOOKUP(TableWRRanks3242[[#This Row],[Player]],WR!B:O,9,FALSE)</f>
        <v>0</v>
      </c>
      <c r="AN184" s="57">
        <f>VLOOKUP(TableWRRanks3242[[#This Row],[Player]],WR!B:O,13,FALSE)</f>
        <v>0</v>
      </c>
      <c r="AO184" s="125" t="str">
        <f>IF(VLOOKUP(TableWRRanks3242[[#This Row],[RK]],'Ranks w Proj'!AD:AO,12,FALSE)&lt;0,0,VLOOKUP(TableWRRanks3242[[#This Row],[RK]],'Ranks w Proj'!AD:AO,12,FALSE))</f>
        <v/>
      </c>
    </row>
    <row r="185" spans="30:41" x14ac:dyDescent="0.2">
      <c r="AD185">
        <v>184</v>
      </c>
      <c r="AE185">
        <f>VLOOKUP(TableWRRanks3242[[#This Row],[RK]],Rankings!A:T,13,FALSE)</f>
        <v>0</v>
      </c>
      <c r="AF185" t="str">
        <f>IFERROR(INDEX(TableWRCalcPts[TM],MATCH(TableWRRanks3242[[#This Row],[Player]],TableWRCalcPts[PLAYER],0)),"")</f>
        <v/>
      </c>
      <c r="AG185" t="str">
        <f>IFERROR(INDEX(TableWRCalcPts[BYE],MATCH(TableWRRanks3242[[#This Row],[Player]],TableWRCalcPts[PLAYER],0)),"")</f>
        <v/>
      </c>
      <c r="AH185" s="83">
        <f>VLOOKUP(TableWRRanks3242[[#This Row],[Player]],WR!B:O,4,FALSE)</f>
        <v>0</v>
      </c>
      <c r="AI185" s="83">
        <f>VLOOKUP(TableWRRanks3242[[#This Row],[Player]],WR!B:O,5,FALSE)</f>
        <v>0</v>
      </c>
      <c r="AJ185" s="83">
        <f>VLOOKUP(TableWRRanks3242[[#This Row],[Player]],WR!B:O,6,FALSE)</f>
        <v>0</v>
      </c>
      <c r="AK185" s="83">
        <f>VLOOKUP(TableWRRanks3242[[#This Row],[Player]],WR!B:O,7,FALSE)</f>
        <v>0</v>
      </c>
      <c r="AL185" s="83">
        <f>VLOOKUP(TableWRRanks3242[[#This Row],[Player]],WR!B:O,8,FALSE)</f>
        <v>0</v>
      </c>
      <c r="AM185" s="83">
        <f>VLOOKUP(TableWRRanks3242[[#This Row],[Player]],WR!B:O,9,FALSE)</f>
        <v>0</v>
      </c>
      <c r="AN185" s="57">
        <f>VLOOKUP(TableWRRanks3242[[#This Row],[Player]],WR!B:O,13,FALSE)</f>
        <v>0</v>
      </c>
      <c r="AO185" s="125" t="str">
        <f>IF(VLOOKUP(TableWRRanks3242[[#This Row],[RK]],'Ranks w Proj'!AD:AO,12,FALSE)&lt;0,0,VLOOKUP(TableWRRanks3242[[#This Row],[RK]],'Ranks w Proj'!AD:AO,12,FALSE))</f>
        <v/>
      </c>
    </row>
    <row r="186" spans="30:41" x14ac:dyDescent="0.2">
      <c r="AD186">
        <v>185</v>
      </c>
      <c r="AE186">
        <f>VLOOKUP(TableWRRanks3242[[#This Row],[RK]],Rankings!A:T,13,FALSE)</f>
        <v>0</v>
      </c>
      <c r="AF186" t="str">
        <f>IFERROR(INDEX(TableWRCalcPts[TM],MATCH(TableWRRanks3242[[#This Row],[Player]],TableWRCalcPts[PLAYER],0)),"")</f>
        <v/>
      </c>
      <c r="AG186" t="str">
        <f>IFERROR(INDEX(TableWRCalcPts[BYE],MATCH(TableWRRanks3242[[#This Row],[Player]],TableWRCalcPts[PLAYER],0)),"")</f>
        <v/>
      </c>
      <c r="AH186" s="83">
        <f>VLOOKUP(TableWRRanks3242[[#This Row],[Player]],WR!B:O,4,FALSE)</f>
        <v>0</v>
      </c>
      <c r="AI186" s="83">
        <f>VLOOKUP(TableWRRanks3242[[#This Row],[Player]],WR!B:O,5,FALSE)</f>
        <v>0</v>
      </c>
      <c r="AJ186" s="83">
        <f>VLOOKUP(TableWRRanks3242[[#This Row],[Player]],WR!B:O,6,FALSE)</f>
        <v>0</v>
      </c>
      <c r="AK186" s="83">
        <f>VLOOKUP(TableWRRanks3242[[#This Row],[Player]],WR!B:O,7,FALSE)</f>
        <v>0</v>
      </c>
      <c r="AL186" s="83">
        <f>VLOOKUP(TableWRRanks3242[[#This Row],[Player]],WR!B:O,8,FALSE)</f>
        <v>0</v>
      </c>
      <c r="AM186" s="83">
        <f>VLOOKUP(TableWRRanks3242[[#This Row],[Player]],WR!B:O,9,FALSE)</f>
        <v>0</v>
      </c>
      <c r="AN186" s="57">
        <f>VLOOKUP(TableWRRanks3242[[#This Row],[Player]],WR!B:O,13,FALSE)</f>
        <v>0</v>
      </c>
      <c r="AO186" s="125" t="str">
        <f>IF(VLOOKUP(TableWRRanks3242[[#This Row],[RK]],'Ranks w Proj'!AD:AO,12,FALSE)&lt;0,0,VLOOKUP(TableWRRanks3242[[#This Row],[RK]],'Ranks w Proj'!AD:AO,12,FALSE))</f>
        <v/>
      </c>
    </row>
    <row r="187" spans="30:41" x14ac:dyDescent="0.2">
      <c r="AD187">
        <v>186</v>
      </c>
      <c r="AE187" t="e">
        <f>VLOOKUP(TableWRRanks3242[[#This Row],[RK]],Rankings!A:T,13,FALSE)</f>
        <v>#N/A</v>
      </c>
      <c r="AF187" t="str">
        <f>IFERROR(INDEX(TableWRCalcPts[TM],MATCH(TableWRRanks3242[[#This Row],[Player]],TableWRCalcPts[PLAYER],0)),"")</f>
        <v/>
      </c>
      <c r="AG187" t="str">
        <f>IFERROR(INDEX(TableWRCalcPts[BYE],MATCH(TableWRRanks3242[[#This Row],[Player]],TableWRCalcPts[PLAYER],0)),"")</f>
        <v/>
      </c>
      <c r="AH187" s="83" t="e">
        <f>VLOOKUP(TableWRRanks3242[[#This Row],[Player]],WR!B:O,4,FALSE)</f>
        <v>#N/A</v>
      </c>
      <c r="AI187" s="83" t="e">
        <f>VLOOKUP(TableWRRanks3242[[#This Row],[Player]],WR!B:O,5,FALSE)</f>
        <v>#N/A</v>
      </c>
      <c r="AJ187" s="83" t="e">
        <f>VLOOKUP(TableWRRanks3242[[#This Row],[Player]],WR!B:O,6,FALSE)</f>
        <v>#N/A</v>
      </c>
      <c r="AK187" s="83" t="e">
        <f>VLOOKUP(TableWRRanks3242[[#This Row],[Player]],WR!B:O,7,FALSE)</f>
        <v>#N/A</v>
      </c>
      <c r="AL187" s="83" t="e">
        <f>VLOOKUP(TableWRRanks3242[[#This Row],[Player]],WR!B:O,8,FALSE)</f>
        <v>#N/A</v>
      </c>
      <c r="AM187" s="83" t="e">
        <f>VLOOKUP(TableWRRanks3242[[#This Row],[Player]],WR!B:O,9,FALSE)</f>
        <v>#N/A</v>
      </c>
      <c r="AN187" s="57" t="e">
        <f>VLOOKUP(TableWRRanks3242[[#This Row],[Player]],WR!B:O,13,FALSE)</f>
        <v>#N/A</v>
      </c>
      <c r="AO187" s="125" t="str">
        <f>IF(VLOOKUP(TableWRRanks3242[[#This Row],[RK]],'Ranks w Proj'!AD:AO,12,FALSE)&lt;0,0,VLOOKUP(TableWRRanks3242[[#This Row],[RK]],'Ranks w Proj'!AD:AO,12,FALSE))</f>
        <v/>
      </c>
    </row>
    <row r="188" spans="30:41" x14ac:dyDescent="0.2">
      <c r="AD188">
        <v>187</v>
      </c>
      <c r="AE188" t="e">
        <f>VLOOKUP(TableWRRanks3242[[#This Row],[RK]],Rankings!A:T,13,FALSE)</f>
        <v>#N/A</v>
      </c>
      <c r="AF188" t="str">
        <f>IFERROR(INDEX(TableWRCalcPts[TM],MATCH(TableWRRanks3242[[#This Row],[Player]],TableWRCalcPts[PLAYER],0)),"")</f>
        <v/>
      </c>
      <c r="AG188" t="str">
        <f>IFERROR(INDEX(TableWRCalcPts[BYE],MATCH(TableWRRanks3242[[#This Row],[Player]],TableWRCalcPts[PLAYER],0)),"")</f>
        <v/>
      </c>
      <c r="AH188" s="83" t="e">
        <f>VLOOKUP(TableWRRanks3242[[#This Row],[Player]],WR!B:O,4,FALSE)</f>
        <v>#N/A</v>
      </c>
      <c r="AI188" s="83" t="e">
        <f>VLOOKUP(TableWRRanks3242[[#This Row],[Player]],WR!B:O,5,FALSE)</f>
        <v>#N/A</v>
      </c>
      <c r="AJ188" s="83" t="e">
        <f>VLOOKUP(TableWRRanks3242[[#This Row],[Player]],WR!B:O,6,FALSE)</f>
        <v>#N/A</v>
      </c>
      <c r="AK188" s="83" t="e">
        <f>VLOOKUP(TableWRRanks3242[[#This Row],[Player]],WR!B:O,7,FALSE)</f>
        <v>#N/A</v>
      </c>
      <c r="AL188" s="83" t="e">
        <f>VLOOKUP(TableWRRanks3242[[#This Row],[Player]],WR!B:O,8,FALSE)</f>
        <v>#N/A</v>
      </c>
      <c r="AM188" s="83" t="e">
        <f>VLOOKUP(TableWRRanks3242[[#This Row],[Player]],WR!B:O,9,FALSE)</f>
        <v>#N/A</v>
      </c>
      <c r="AN188" s="57" t="e">
        <f>VLOOKUP(TableWRRanks3242[[#This Row],[Player]],WR!B:O,13,FALSE)</f>
        <v>#N/A</v>
      </c>
      <c r="AO188" s="125" t="str">
        <f>IF(VLOOKUP(TableWRRanks3242[[#This Row],[RK]],'Ranks w Proj'!AD:AO,12,FALSE)&lt;0,0,VLOOKUP(TableWRRanks3242[[#This Row],[RK]],'Ranks w Proj'!AD:AO,12,FALSE))</f>
        <v/>
      </c>
    </row>
    <row r="189" spans="30:41" x14ac:dyDescent="0.2">
      <c r="AD189">
        <v>188</v>
      </c>
      <c r="AE189" t="e">
        <f>VLOOKUP(TableWRRanks3242[[#This Row],[RK]],Rankings!A:T,13,FALSE)</f>
        <v>#N/A</v>
      </c>
      <c r="AF189" t="str">
        <f>IFERROR(INDEX(TableWRCalcPts[TM],MATCH(TableWRRanks3242[[#This Row],[Player]],TableWRCalcPts[PLAYER],0)),"")</f>
        <v/>
      </c>
      <c r="AG189" t="str">
        <f>IFERROR(INDEX(TableWRCalcPts[BYE],MATCH(TableWRRanks3242[[#This Row],[Player]],TableWRCalcPts[PLAYER],0)),"")</f>
        <v/>
      </c>
      <c r="AH189" s="83" t="e">
        <f>VLOOKUP(TableWRRanks3242[[#This Row],[Player]],WR!B:O,4,FALSE)</f>
        <v>#N/A</v>
      </c>
      <c r="AI189" s="83" t="e">
        <f>VLOOKUP(TableWRRanks3242[[#This Row],[Player]],WR!B:O,5,FALSE)</f>
        <v>#N/A</v>
      </c>
      <c r="AJ189" s="83" t="e">
        <f>VLOOKUP(TableWRRanks3242[[#This Row],[Player]],WR!B:O,6,FALSE)</f>
        <v>#N/A</v>
      </c>
      <c r="AK189" s="83" t="e">
        <f>VLOOKUP(TableWRRanks3242[[#This Row],[Player]],WR!B:O,7,FALSE)</f>
        <v>#N/A</v>
      </c>
      <c r="AL189" s="83" t="e">
        <f>VLOOKUP(TableWRRanks3242[[#This Row],[Player]],WR!B:O,8,FALSE)</f>
        <v>#N/A</v>
      </c>
      <c r="AM189" s="83" t="e">
        <f>VLOOKUP(TableWRRanks3242[[#This Row],[Player]],WR!B:O,9,FALSE)</f>
        <v>#N/A</v>
      </c>
      <c r="AN189" s="57" t="e">
        <f>VLOOKUP(TableWRRanks3242[[#This Row],[Player]],WR!B:O,13,FALSE)</f>
        <v>#N/A</v>
      </c>
      <c r="AO189" s="125" t="str">
        <f>IF(VLOOKUP(TableWRRanks3242[[#This Row],[RK]],'Ranks w Proj'!AD:AO,12,FALSE)&lt;0,0,VLOOKUP(TableWRRanks3242[[#This Row],[RK]],'Ranks w Proj'!AD:AO,12,FALSE))</f>
        <v/>
      </c>
    </row>
    <row r="190" spans="30:41" x14ac:dyDescent="0.2">
      <c r="AD190">
        <v>189</v>
      </c>
      <c r="AE190" t="e">
        <f>VLOOKUP(TableWRRanks3242[[#This Row],[RK]],Rankings!A:T,13,FALSE)</f>
        <v>#N/A</v>
      </c>
      <c r="AF190" t="str">
        <f>IFERROR(INDEX(TableWRCalcPts[TM],MATCH(TableWRRanks3242[[#This Row],[Player]],TableWRCalcPts[PLAYER],0)),"")</f>
        <v/>
      </c>
      <c r="AG190" t="str">
        <f>IFERROR(INDEX(TableWRCalcPts[BYE],MATCH(TableWRRanks3242[[#This Row],[Player]],TableWRCalcPts[PLAYER],0)),"")</f>
        <v/>
      </c>
      <c r="AH190" s="83" t="e">
        <f>VLOOKUP(TableWRRanks3242[[#This Row],[Player]],WR!B:O,4,FALSE)</f>
        <v>#N/A</v>
      </c>
      <c r="AI190" s="83" t="e">
        <f>VLOOKUP(TableWRRanks3242[[#This Row],[Player]],WR!B:O,5,FALSE)</f>
        <v>#N/A</v>
      </c>
      <c r="AJ190" s="83" t="e">
        <f>VLOOKUP(TableWRRanks3242[[#This Row],[Player]],WR!B:O,6,FALSE)</f>
        <v>#N/A</v>
      </c>
      <c r="AK190" s="83" t="e">
        <f>VLOOKUP(TableWRRanks3242[[#This Row],[Player]],WR!B:O,7,FALSE)</f>
        <v>#N/A</v>
      </c>
      <c r="AL190" s="83" t="e">
        <f>VLOOKUP(TableWRRanks3242[[#This Row],[Player]],WR!B:O,8,FALSE)</f>
        <v>#N/A</v>
      </c>
      <c r="AM190" s="83" t="e">
        <f>VLOOKUP(TableWRRanks3242[[#This Row],[Player]],WR!B:O,9,FALSE)</f>
        <v>#N/A</v>
      </c>
      <c r="AN190" s="57" t="e">
        <f>VLOOKUP(TableWRRanks3242[[#This Row],[Player]],WR!B:O,13,FALSE)</f>
        <v>#N/A</v>
      </c>
      <c r="AO190" s="125" t="str">
        <f>IF(VLOOKUP(TableWRRanks3242[[#This Row],[RK]],'Ranks w Proj'!AD:AO,12,FALSE)&lt;0,0,VLOOKUP(TableWRRanks3242[[#This Row],[RK]],'Ranks w Proj'!AD:AO,12,FALSE))</f>
        <v/>
      </c>
    </row>
    <row r="191" spans="30:41" x14ac:dyDescent="0.2">
      <c r="AD191">
        <v>190</v>
      </c>
      <c r="AE191" t="e">
        <f>VLOOKUP(TableWRRanks3242[[#This Row],[RK]],Rankings!A:T,13,FALSE)</f>
        <v>#N/A</v>
      </c>
      <c r="AF191" t="str">
        <f>IFERROR(INDEX(TableWRCalcPts[TM],MATCH(TableWRRanks3242[[#This Row],[Player]],TableWRCalcPts[PLAYER],0)),"")</f>
        <v/>
      </c>
      <c r="AG191" t="str">
        <f>IFERROR(INDEX(TableWRCalcPts[BYE],MATCH(TableWRRanks3242[[#This Row],[Player]],TableWRCalcPts[PLAYER],0)),"")</f>
        <v/>
      </c>
      <c r="AH191" s="83" t="e">
        <f>VLOOKUP(TableWRRanks3242[[#This Row],[Player]],WR!B:O,4,FALSE)</f>
        <v>#N/A</v>
      </c>
      <c r="AI191" s="83" t="e">
        <f>VLOOKUP(TableWRRanks3242[[#This Row],[Player]],WR!B:O,5,FALSE)</f>
        <v>#N/A</v>
      </c>
      <c r="AJ191" s="83" t="e">
        <f>VLOOKUP(TableWRRanks3242[[#This Row],[Player]],WR!B:O,6,FALSE)</f>
        <v>#N/A</v>
      </c>
      <c r="AK191" s="83" t="e">
        <f>VLOOKUP(TableWRRanks3242[[#This Row],[Player]],WR!B:O,7,FALSE)</f>
        <v>#N/A</v>
      </c>
      <c r="AL191" s="83" t="e">
        <f>VLOOKUP(TableWRRanks3242[[#This Row],[Player]],WR!B:O,8,FALSE)</f>
        <v>#N/A</v>
      </c>
      <c r="AM191" s="83" t="e">
        <f>VLOOKUP(TableWRRanks3242[[#This Row],[Player]],WR!B:O,9,FALSE)</f>
        <v>#N/A</v>
      </c>
      <c r="AN191" s="57" t="e">
        <f>VLOOKUP(TableWRRanks3242[[#This Row],[Player]],WR!B:O,13,FALSE)</f>
        <v>#N/A</v>
      </c>
      <c r="AO191" s="125" t="str">
        <f>IF(VLOOKUP(TableWRRanks3242[[#This Row],[RK]],'Ranks w Proj'!AD:AO,12,FALSE)&lt;0,0,VLOOKUP(TableWRRanks3242[[#This Row],[RK]],'Ranks w Proj'!AD:AO,12,FALSE))</f>
        <v/>
      </c>
    </row>
    <row r="192" spans="30:41" x14ac:dyDescent="0.2">
      <c r="AD192">
        <v>191</v>
      </c>
      <c r="AE192" t="e">
        <f>VLOOKUP(TableWRRanks3242[[#This Row],[RK]],Rankings!A:T,13,FALSE)</f>
        <v>#N/A</v>
      </c>
      <c r="AF192" t="str">
        <f>IFERROR(INDEX(TableWRCalcPts[TM],MATCH(TableWRRanks3242[[#This Row],[Player]],TableWRCalcPts[PLAYER],0)),"")</f>
        <v/>
      </c>
      <c r="AG192" t="str">
        <f>IFERROR(INDEX(TableWRCalcPts[BYE],MATCH(TableWRRanks3242[[#This Row],[Player]],TableWRCalcPts[PLAYER],0)),"")</f>
        <v/>
      </c>
      <c r="AH192" s="83" t="e">
        <f>VLOOKUP(TableWRRanks3242[[#This Row],[Player]],WR!B:O,4,FALSE)</f>
        <v>#N/A</v>
      </c>
      <c r="AI192" s="83" t="e">
        <f>VLOOKUP(TableWRRanks3242[[#This Row],[Player]],WR!B:O,5,FALSE)</f>
        <v>#N/A</v>
      </c>
      <c r="AJ192" s="83" t="e">
        <f>VLOOKUP(TableWRRanks3242[[#This Row],[Player]],WR!B:O,6,FALSE)</f>
        <v>#N/A</v>
      </c>
      <c r="AK192" s="83" t="e">
        <f>VLOOKUP(TableWRRanks3242[[#This Row],[Player]],WR!B:O,7,FALSE)</f>
        <v>#N/A</v>
      </c>
      <c r="AL192" s="83" t="e">
        <f>VLOOKUP(TableWRRanks3242[[#This Row],[Player]],WR!B:O,8,FALSE)</f>
        <v>#N/A</v>
      </c>
      <c r="AM192" s="83" t="e">
        <f>VLOOKUP(TableWRRanks3242[[#This Row],[Player]],WR!B:O,9,FALSE)</f>
        <v>#N/A</v>
      </c>
      <c r="AN192" s="57" t="e">
        <f>VLOOKUP(TableWRRanks3242[[#This Row],[Player]],WR!B:O,13,FALSE)</f>
        <v>#N/A</v>
      </c>
      <c r="AO192" s="125" t="str">
        <f>IF(VLOOKUP(TableWRRanks3242[[#This Row],[RK]],'Ranks w Proj'!AD:AO,12,FALSE)&lt;0,0,VLOOKUP(TableWRRanks3242[[#This Row],[RK]],'Ranks w Proj'!AD:AO,12,FALSE))</f>
        <v/>
      </c>
    </row>
    <row r="193" spans="30:41" x14ac:dyDescent="0.2">
      <c r="AD193">
        <v>192</v>
      </c>
      <c r="AE193" t="e">
        <f>VLOOKUP(TableWRRanks3242[[#This Row],[RK]],Rankings!A:T,13,FALSE)</f>
        <v>#N/A</v>
      </c>
      <c r="AF193" t="str">
        <f>IFERROR(INDEX(TableWRCalcPts[TM],MATCH(TableWRRanks3242[[#This Row],[Player]],TableWRCalcPts[PLAYER],0)),"")</f>
        <v/>
      </c>
      <c r="AG193" t="str">
        <f>IFERROR(INDEX(TableWRCalcPts[BYE],MATCH(TableWRRanks3242[[#This Row],[Player]],TableWRCalcPts[PLAYER],0)),"")</f>
        <v/>
      </c>
      <c r="AH193" s="83" t="e">
        <f>VLOOKUP(TableWRRanks3242[[#This Row],[Player]],WR!B:O,4,FALSE)</f>
        <v>#N/A</v>
      </c>
      <c r="AI193" s="83" t="e">
        <f>VLOOKUP(TableWRRanks3242[[#This Row],[Player]],WR!B:O,5,FALSE)</f>
        <v>#N/A</v>
      </c>
      <c r="AJ193" s="83" t="e">
        <f>VLOOKUP(TableWRRanks3242[[#This Row],[Player]],WR!B:O,6,FALSE)</f>
        <v>#N/A</v>
      </c>
      <c r="AK193" s="83" t="e">
        <f>VLOOKUP(TableWRRanks3242[[#This Row],[Player]],WR!B:O,7,FALSE)</f>
        <v>#N/A</v>
      </c>
      <c r="AL193" s="83" t="e">
        <f>VLOOKUP(TableWRRanks3242[[#This Row],[Player]],WR!B:O,8,FALSE)</f>
        <v>#N/A</v>
      </c>
      <c r="AM193" s="83" t="e">
        <f>VLOOKUP(TableWRRanks3242[[#This Row],[Player]],WR!B:O,9,FALSE)</f>
        <v>#N/A</v>
      </c>
      <c r="AN193" s="57" t="e">
        <f>VLOOKUP(TableWRRanks3242[[#This Row],[Player]],WR!B:O,13,FALSE)</f>
        <v>#N/A</v>
      </c>
      <c r="AO193" s="125" t="str">
        <f>IF(VLOOKUP(TableWRRanks3242[[#This Row],[RK]],'Ranks w Proj'!AD:AO,12,FALSE)&lt;0,0,VLOOKUP(TableWRRanks3242[[#This Row],[RK]],'Ranks w Proj'!AD:AO,12,FALSE))</f>
        <v/>
      </c>
    </row>
    <row r="194" spans="30:41" x14ac:dyDescent="0.2">
      <c r="AD194">
        <v>193</v>
      </c>
      <c r="AE194" t="e">
        <f>VLOOKUP(TableWRRanks3242[[#This Row],[RK]],Rankings!A:T,13,FALSE)</f>
        <v>#N/A</v>
      </c>
      <c r="AF194" t="str">
        <f>IFERROR(INDEX(TableWRCalcPts[TM],MATCH(TableWRRanks3242[[#This Row],[Player]],TableWRCalcPts[PLAYER],0)),"")</f>
        <v/>
      </c>
      <c r="AG194" t="str">
        <f>IFERROR(INDEX(TableWRCalcPts[BYE],MATCH(TableWRRanks3242[[#This Row],[Player]],TableWRCalcPts[PLAYER],0)),"")</f>
        <v/>
      </c>
      <c r="AH194" s="83" t="e">
        <f>VLOOKUP(TableWRRanks3242[[#This Row],[Player]],WR!B:O,4,FALSE)</f>
        <v>#N/A</v>
      </c>
      <c r="AI194" s="83" t="e">
        <f>VLOOKUP(TableWRRanks3242[[#This Row],[Player]],WR!B:O,5,FALSE)</f>
        <v>#N/A</v>
      </c>
      <c r="AJ194" s="83" t="e">
        <f>VLOOKUP(TableWRRanks3242[[#This Row],[Player]],WR!B:O,6,FALSE)</f>
        <v>#N/A</v>
      </c>
      <c r="AK194" s="83" t="e">
        <f>VLOOKUP(TableWRRanks3242[[#This Row],[Player]],WR!B:O,7,FALSE)</f>
        <v>#N/A</v>
      </c>
      <c r="AL194" s="83" t="e">
        <f>VLOOKUP(TableWRRanks3242[[#This Row],[Player]],WR!B:O,8,FALSE)</f>
        <v>#N/A</v>
      </c>
      <c r="AM194" s="83" t="e">
        <f>VLOOKUP(TableWRRanks3242[[#This Row],[Player]],WR!B:O,9,FALSE)</f>
        <v>#N/A</v>
      </c>
      <c r="AN194" s="57" t="e">
        <f>VLOOKUP(TableWRRanks3242[[#This Row],[Player]],WR!B:O,13,FALSE)</f>
        <v>#N/A</v>
      </c>
      <c r="AO194" s="125" t="str">
        <f>IF(VLOOKUP(TableWRRanks3242[[#This Row],[RK]],'Ranks w Proj'!AD:AO,12,FALSE)&lt;0,0,VLOOKUP(TableWRRanks3242[[#This Row],[RK]],'Ranks w Proj'!AD:AO,12,FALSE))</f>
        <v/>
      </c>
    </row>
    <row r="195" spans="30:41" x14ac:dyDescent="0.2">
      <c r="AD195">
        <v>194</v>
      </c>
      <c r="AE195" t="e">
        <f>VLOOKUP(TableWRRanks3242[[#This Row],[RK]],Rankings!A:T,13,FALSE)</f>
        <v>#N/A</v>
      </c>
      <c r="AF195" t="str">
        <f>IFERROR(INDEX(TableWRCalcPts[TM],MATCH(TableWRRanks3242[[#This Row],[Player]],TableWRCalcPts[PLAYER],0)),"")</f>
        <v/>
      </c>
      <c r="AG195" t="str">
        <f>IFERROR(INDEX(TableWRCalcPts[BYE],MATCH(TableWRRanks3242[[#This Row],[Player]],TableWRCalcPts[PLAYER],0)),"")</f>
        <v/>
      </c>
      <c r="AH195" s="83" t="e">
        <f>VLOOKUP(TableWRRanks3242[[#This Row],[Player]],WR!B:O,4,FALSE)</f>
        <v>#N/A</v>
      </c>
      <c r="AI195" s="83" t="e">
        <f>VLOOKUP(TableWRRanks3242[[#This Row],[Player]],WR!B:O,5,FALSE)</f>
        <v>#N/A</v>
      </c>
      <c r="AJ195" s="83" t="e">
        <f>VLOOKUP(TableWRRanks3242[[#This Row],[Player]],WR!B:O,6,FALSE)</f>
        <v>#N/A</v>
      </c>
      <c r="AK195" s="83" t="e">
        <f>VLOOKUP(TableWRRanks3242[[#This Row],[Player]],WR!B:O,7,FALSE)</f>
        <v>#N/A</v>
      </c>
      <c r="AL195" s="83" t="e">
        <f>VLOOKUP(TableWRRanks3242[[#This Row],[Player]],WR!B:O,8,FALSE)</f>
        <v>#N/A</v>
      </c>
      <c r="AM195" s="83" t="e">
        <f>VLOOKUP(TableWRRanks3242[[#This Row],[Player]],WR!B:O,9,FALSE)</f>
        <v>#N/A</v>
      </c>
      <c r="AN195" s="57" t="e">
        <f>VLOOKUP(TableWRRanks3242[[#This Row],[Player]],WR!B:O,13,FALSE)</f>
        <v>#N/A</v>
      </c>
      <c r="AO195" s="125" t="str">
        <f>IF(VLOOKUP(TableWRRanks3242[[#This Row],[RK]],'Ranks w Proj'!AD:AO,12,FALSE)&lt;0,0,VLOOKUP(TableWRRanks3242[[#This Row],[RK]],'Ranks w Proj'!AD:AO,12,FALSE))</f>
        <v/>
      </c>
    </row>
    <row r="196" spans="30:41" x14ac:dyDescent="0.2">
      <c r="AD196">
        <v>195</v>
      </c>
      <c r="AE196" t="e">
        <f>VLOOKUP(TableWRRanks3242[[#This Row],[RK]],Rankings!A:T,13,FALSE)</f>
        <v>#N/A</v>
      </c>
      <c r="AF196" t="str">
        <f>IFERROR(INDEX(TableWRCalcPts[TM],MATCH(TableWRRanks3242[[#This Row],[Player]],TableWRCalcPts[PLAYER],0)),"")</f>
        <v/>
      </c>
      <c r="AG196" t="str">
        <f>IFERROR(INDEX(TableWRCalcPts[BYE],MATCH(TableWRRanks3242[[#This Row],[Player]],TableWRCalcPts[PLAYER],0)),"")</f>
        <v/>
      </c>
      <c r="AH196" s="83" t="e">
        <f>VLOOKUP(TableWRRanks3242[[#This Row],[Player]],WR!B:O,4,FALSE)</f>
        <v>#N/A</v>
      </c>
      <c r="AI196" s="83" t="e">
        <f>VLOOKUP(TableWRRanks3242[[#This Row],[Player]],WR!B:O,5,FALSE)</f>
        <v>#N/A</v>
      </c>
      <c r="AJ196" s="83" t="e">
        <f>VLOOKUP(TableWRRanks3242[[#This Row],[Player]],WR!B:O,6,FALSE)</f>
        <v>#N/A</v>
      </c>
      <c r="AK196" s="83" t="e">
        <f>VLOOKUP(TableWRRanks3242[[#This Row],[Player]],WR!B:O,7,FALSE)</f>
        <v>#N/A</v>
      </c>
      <c r="AL196" s="83" t="e">
        <f>VLOOKUP(TableWRRanks3242[[#This Row],[Player]],WR!B:O,8,FALSE)</f>
        <v>#N/A</v>
      </c>
      <c r="AM196" s="83" t="e">
        <f>VLOOKUP(TableWRRanks3242[[#This Row],[Player]],WR!B:O,9,FALSE)</f>
        <v>#N/A</v>
      </c>
      <c r="AN196" s="57" t="e">
        <f>VLOOKUP(TableWRRanks3242[[#This Row],[Player]],WR!B:O,13,FALSE)</f>
        <v>#N/A</v>
      </c>
      <c r="AO196" s="125" t="str">
        <f>IF(VLOOKUP(TableWRRanks3242[[#This Row],[RK]],'Ranks w Proj'!AD:AO,12,FALSE)&lt;0,0,VLOOKUP(TableWRRanks3242[[#This Row],[RK]],'Ranks w Proj'!AD:AO,12,FALSE))</f>
        <v/>
      </c>
    </row>
    <row r="197" spans="30:41" x14ac:dyDescent="0.2">
      <c r="AD197">
        <v>196</v>
      </c>
      <c r="AE197" t="e">
        <f>VLOOKUP(TableWRRanks3242[[#This Row],[RK]],Rankings!A:T,13,FALSE)</f>
        <v>#N/A</v>
      </c>
      <c r="AF197" t="str">
        <f>IFERROR(INDEX(TableWRCalcPts[TM],MATCH(TableWRRanks3242[[#This Row],[Player]],TableWRCalcPts[PLAYER],0)),"")</f>
        <v/>
      </c>
      <c r="AG197" t="str">
        <f>IFERROR(INDEX(TableWRCalcPts[BYE],MATCH(TableWRRanks3242[[#This Row],[Player]],TableWRCalcPts[PLAYER],0)),"")</f>
        <v/>
      </c>
      <c r="AH197" s="83" t="e">
        <f>VLOOKUP(TableWRRanks3242[[#This Row],[Player]],WR!B:O,4,FALSE)</f>
        <v>#N/A</v>
      </c>
      <c r="AI197" s="83" t="e">
        <f>VLOOKUP(TableWRRanks3242[[#This Row],[Player]],WR!B:O,5,FALSE)</f>
        <v>#N/A</v>
      </c>
      <c r="AJ197" s="83" t="e">
        <f>VLOOKUP(TableWRRanks3242[[#This Row],[Player]],WR!B:O,6,FALSE)</f>
        <v>#N/A</v>
      </c>
      <c r="AK197" s="83" t="e">
        <f>VLOOKUP(TableWRRanks3242[[#This Row],[Player]],WR!B:O,7,FALSE)</f>
        <v>#N/A</v>
      </c>
      <c r="AL197" s="83" t="e">
        <f>VLOOKUP(TableWRRanks3242[[#This Row],[Player]],WR!B:O,8,FALSE)</f>
        <v>#N/A</v>
      </c>
      <c r="AM197" s="83" t="e">
        <f>VLOOKUP(TableWRRanks3242[[#This Row],[Player]],WR!B:O,9,FALSE)</f>
        <v>#N/A</v>
      </c>
      <c r="AN197" s="57" t="e">
        <f>VLOOKUP(TableWRRanks3242[[#This Row],[Player]],WR!B:O,13,FALSE)</f>
        <v>#N/A</v>
      </c>
      <c r="AO197" s="125" t="str">
        <f>IF(VLOOKUP(TableWRRanks3242[[#This Row],[RK]],'Ranks w Proj'!AD:AO,12,FALSE)&lt;0,0,VLOOKUP(TableWRRanks3242[[#This Row],[RK]],'Ranks w Proj'!AD:AO,12,FALSE))</f>
        <v/>
      </c>
    </row>
    <row r="198" spans="30:41" x14ac:dyDescent="0.2">
      <c r="AD198">
        <v>197</v>
      </c>
      <c r="AE198" t="e">
        <f>VLOOKUP(TableWRRanks3242[[#This Row],[RK]],Rankings!A:T,13,FALSE)</f>
        <v>#N/A</v>
      </c>
      <c r="AF198" t="str">
        <f>IFERROR(INDEX(TableWRCalcPts[TM],MATCH(TableWRRanks3242[[#This Row],[Player]],TableWRCalcPts[PLAYER],0)),"")</f>
        <v/>
      </c>
      <c r="AG198" t="str">
        <f>IFERROR(INDEX(TableWRCalcPts[BYE],MATCH(TableWRRanks3242[[#This Row],[Player]],TableWRCalcPts[PLAYER],0)),"")</f>
        <v/>
      </c>
      <c r="AH198" s="83" t="e">
        <f>VLOOKUP(TableWRRanks3242[[#This Row],[Player]],WR!B:O,4,FALSE)</f>
        <v>#N/A</v>
      </c>
      <c r="AI198" s="83" t="e">
        <f>VLOOKUP(TableWRRanks3242[[#This Row],[Player]],WR!B:O,5,FALSE)</f>
        <v>#N/A</v>
      </c>
      <c r="AJ198" s="83" t="e">
        <f>VLOOKUP(TableWRRanks3242[[#This Row],[Player]],WR!B:O,6,FALSE)</f>
        <v>#N/A</v>
      </c>
      <c r="AK198" s="83" t="e">
        <f>VLOOKUP(TableWRRanks3242[[#This Row],[Player]],WR!B:O,7,FALSE)</f>
        <v>#N/A</v>
      </c>
      <c r="AL198" s="83" t="e">
        <f>VLOOKUP(TableWRRanks3242[[#This Row],[Player]],WR!B:O,8,FALSE)</f>
        <v>#N/A</v>
      </c>
      <c r="AM198" s="83" t="e">
        <f>VLOOKUP(TableWRRanks3242[[#This Row],[Player]],WR!B:O,9,FALSE)</f>
        <v>#N/A</v>
      </c>
      <c r="AN198" s="57" t="e">
        <f>VLOOKUP(TableWRRanks3242[[#This Row],[Player]],WR!B:O,13,FALSE)</f>
        <v>#N/A</v>
      </c>
      <c r="AO198" s="125" t="str">
        <f>IF(VLOOKUP(TableWRRanks3242[[#This Row],[RK]],'Ranks w Proj'!AD:AO,12,FALSE)&lt;0,0,VLOOKUP(TableWRRanks3242[[#This Row],[RK]],'Ranks w Proj'!AD:AO,12,FALSE))</f>
        <v/>
      </c>
    </row>
    <row r="199" spans="30:41" x14ac:dyDescent="0.2">
      <c r="AD199">
        <v>198</v>
      </c>
      <c r="AE199" t="e">
        <f>VLOOKUP(TableWRRanks3242[[#This Row],[RK]],Rankings!A:T,13,FALSE)</f>
        <v>#N/A</v>
      </c>
      <c r="AF199" t="str">
        <f>IFERROR(INDEX(TableWRCalcPts[TM],MATCH(TableWRRanks3242[[#This Row],[Player]],TableWRCalcPts[PLAYER],0)),"")</f>
        <v/>
      </c>
      <c r="AG199" t="str">
        <f>IFERROR(INDEX(TableWRCalcPts[BYE],MATCH(TableWRRanks3242[[#This Row],[Player]],TableWRCalcPts[PLAYER],0)),"")</f>
        <v/>
      </c>
      <c r="AH199" s="83" t="e">
        <f>VLOOKUP(TableWRRanks3242[[#This Row],[Player]],WR!B:O,4,FALSE)</f>
        <v>#N/A</v>
      </c>
      <c r="AI199" s="83" t="e">
        <f>VLOOKUP(TableWRRanks3242[[#This Row],[Player]],WR!B:O,5,FALSE)</f>
        <v>#N/A</v>
      </c>
      <c r="AJ199" s="83" t="e">
        <f>VLOOKUP(TableWRRanks3242[[#This Row],[Player]],WR!B:O,6,FALSE)</f>
        <v>#N/A</v>
      </c>
      <c r="AK199" s="83" t="e">
        <f>VLOOKUP(TableWRRanks3242[[#This Row],[Player]],WR!B:O,7,FALSE)</f>
        <v>#N/A</v>
      </c>
      <c r="AL199" s="83" t="e">
        <f>VLOOKUP(TableWRRanks3242[[#This Row],[Player]],WR!B:O,8,FALSE)</f>
        <v>#N/A</v>
      </c>
      <c r="AM199" s="83" t="e">
        <f>VLOOKUP(TableWRRanks3242[[#This Row],[Player]],WR!B:O,9,FALSE)</f>
        <v>#N/A</v>
      </c>
      <c r="AN199" s="57" t="e">
        <f>VLOOKUP(TableWRRanks3242[[#This Row],[Player]],WR!B:O,13,FALSE)</f>
        <v>#N/A</v>
      </c>
      <c r="AO199" s="125" t="str">
        <f>IF(VLOOKUP(TableWRRanks3242[[#This Row],[RK]],'Ranks w Proj'!AD:AO,12,FALSE)&lt;0,0,VLOOKUP(TableWRRanks3242[[#This Row],[RK]],'Ranks w Proj'!AD:AO,12,FALSE))</f>
        <v/>
      </c>
    </row>
    <row r="200" spans="30:41" x14ac:dyDescent="0.2">
      <c r="AD200">
        <v>199</v>
      </c>
      <c r="AE200" t="e">
        <f>VLOOKUP(TableWRRanks3242[[#This Row],[RK]],Rankings!A:T,13,FALSE)</f>
        <v>#N/A</v>
      </c>
      <c r="AF200" t="str">
        <f>IFERROR(INDEX(TableWRCalcPts[TM],MATCH(TableWRRanks3242[[#This Row],[Player]],TableWRCalcPts[PLAYER],0)),"")</f>
        <v/>
      </c>
      <c r="AG200" t="str">
        <f>IFERROR(INDEX(TableWRCalcPts[BYE],MATCH(TableWRRanks3242[[#This Row],[Player]],TableWRCalcPts[PLAYER],0)),"")</f>
        <v/>
      </c>
      <c r="AH200" s="83" t="e">
        <f>VLOOKUP(TableWRRanks3242[[#This Row],[Player]],WR!B:O,4,FALSE)</f>
        <v>#N/A</v>
      </c>
      <c r="AI200" s="83" t="e">
        <f>VLOOKUP(TableWRRanks3242[[#This Row],[Player]],WR!B:O,5,FALSE)</f>
        <v>#N/A</v>
      </c>
      <c r="AJ200" s="83" t="e">
        <f>VLOOKUP(TableWRRanks3242[[#This Row],[Player]],WR!B:O,6,FALSE)</f>
        <v>#N/A</v>
      </c>
      <c r="AK200" s="83" t="e">
        <f>VLOOKUP(TableWRRanks3242[[#This Row],[Player]],WR!B:O,7,FALSE)</f>
        <v>#N/A</v>
      </c>
      <c r="AL200" s="83" t="e">
        <f>VLOOKUP(TableWRRanks3242[[#This Row],[Player]],WR!B:O,8,FALSE)</f>
        <v>#N/A</v>
      </c>
      <c r="AM200" s="83" t="e">
        <f>VLOOKUP(TableWRRanks3242[[#This Row],[Player]],WR!B:O,9,FALSE)</f>
        <v>#N/A</v>
      </c>
      <c r="AN200" s="57" t="e">
        <f>VLOOKUP(TableWRRanks3242[[#This Row],[Player]],WR!B:O,13,FALSE)</f>
        <v>#N/A</v>
      </c>
      <c r="AO200" s="125" t="str">
        <f>IF(VLOOKUP(TableWRRanks3242[[#This Row],[RK]],'Ranks w Proj'!AD:AO,12,FALSE)&lt;0,0,VLOOKUP(TableWRRanks3242[[#This Row],[RK]],'Ranks w Proj'!AD:AO,12,FALSE))</f>
        <v/>
      </c>
    </row>
    <row r="201" spans="30:41" x14ac:dyDescent="0.2">
      <c r="AD201">
        <v>200</v>
      </c>
      <c r="AE201" t="e">
        <f>VLOOKUP(TableWRRanks3242[[#This Row],[RK]],Rankings!A:T,13,FALSE)</f>
        <v>#N/A</v>
      </c>
      <c r="AF201" t="str">
        <f>IFERROR(INDEX(TableWRCalcPts[TM],MATCH(TableWRRanks3242[[#This Row],[Player]],TableWRCalcPts[PLAYER],0)),"")</f>
        <v/>
      </c>
      <c r="AG201" t="str">
        <f>IFERROR(INDEX(TableWRCalcPts[BYE],MATCH(TableWRRanks3242[[#This Row],[Player]],TableWRCalcPts[PLAYER],0)),"")</f>
        <v/>
      </c>
      <c r="AH201" s="83" t="e">
        <f>VLOOKUP(TableWRRanks3242[[#This Row],[Player]],WR!B:O,4,FALSE)</f>
        <v>#N/A</v>
      </c>
      <c r="AI201" s="83" t="e">
        <f>VLOOKUP(TableWRRanks3242[[#This Row],[Player]],WR!B:O,5,FALSE)</f>
        <v>#N/A</v>
      </c>
      <c r="AJ201" s="83" t="e">
        <f>VLOOKUP(TableWRRanks3242[[#This Row],[Player]],WR!B:O,6,FALSE)</f>
        <v>#N/A</v>
      </c>
      <c r="AK201" s="83" t="e">
        <f>VLOOKUP(TableWRRanks3242[[#This Row],[Player]],WR!B:O,7,FALSE)</f>
        <v>#N/A</v>
      </c>
      <c r="AL201" s="83" t="e">
        <f>VLOOKUP(TableWRRanks3242[[#This Row],[Player]],WR!B:O,8,FALSE)</f>
        <v>#N/A</v>
      </c>
      <c r="AM201" s="83" t="e">
        <f>VLOOKUP(TableWRRanks3242[[#This Row],[Player]],WR!B:O,9,FALSE)</f>
        <v>#N/A</v>
      </c>
      <c r="AN201" s="57" t="e">
        <f>VLOOKUP(TableWRRanks3242[[#This Row],[Player]],WR!B:O,13,FALSE)</f>
        <v>#N/A</v>
      </c>
      <c r="AO201" s="125" t="str">
        <f>IF(VLOOKUP(TableWRRanks3242[[#This Row],[RK]],'Ranks w Proj'!AD:AO,12,FALSE)&lt;0,0,VLOOKUP(TableWRRanks3242[[#This Row],[RK]],'Ranks w Proj'!AD:AO,12,FALSE))</f>
        <v/>
      </c>
    </row>
    <row r="202" spans="30:41" x14ac:dyDescent="0.2">
      <c r="AD202">
        <v>201</v>
      </c>
      <c r="AE202" t="e">
        <f>VLOOKUP(TableWRRanks3242[[#This Row],[RK]],Rankings!A:T,13,FALSE)</f>
        <v>#N/A</v>
      </c>
      <c r="AF202" t="str">
        <f>IFERROR(INDEX(TableWRCalcPts[TM],MATCH(TableWRRanks3242[[#This Row],[Player]],TableWRCalcPts[PLAYER],0)),"")</f>
        <v/>
      </c>
      <c r="AG202" t="str">
        <f>IFERROR(INDEX(TableWRCalcPts[BYE],MATCH(TableWRRanks3242[[#This Row],[Player]],TableWRCalcPts[PLAYER],0)),"")</f>
        <v/>
      </c>
      <c r="AH202" s="83" t="e">
        <f>VLOOKUP(TableWRRanks3242[[#This Row],[Player]],WR!B:O,4,FALSE)</f>
        <v>#N/A</v>
      </c>
      <c r="AI202" s="83" t="e">
        <f>VLOOKUP(TableWRRanks3242[[#This Row],[Player]],WR!B:O,5,FALSE)</f>
        <v>#N/A</v>
      </c>
      <c r="AJ202" s="83" t="e">
        <f>VLOOKUP(TableWRRanks3242[[#This Row],[Player]],WR!B:O,6,FALSE)</f>
        <v>#N/A</v>
      </c>
      <c r="AK202" s="83" t="e">
        <f>VLOOKUP(TableWRRanks3242[[#This Row],[Player]],WR!B:O,7,FALSE)</f>
        <v>#N/A</v>
      </c>
      <c r="AL202" s="83" t="e">
        <f>VLOOKUP(TableWRRanks3242[[#This Row],[Player]],WR!B:O,8,FALSE)</f>
        <v>#N/A</v>
      </c>
      <c r="AM202" s="83" t="e">
        <f>VLOOKUP(TableWRRanks3242[[#This Row],[Player]],WR!B:O,9,FALSE)</f>
        <v>#N/A</v>
      </c>
      <c r="AN202" s="57" t="e">
        <f>VLOOKUP(TableWRRanks3242[[#This Row],[Player]],WR!B:O,13,FALSE)</f>
        <v>#N/A</v>
      </c>
      <c r="AO202" s="125" t="str">
        <f>IF(VLOOKUP(TableWRRanks3242[[#This Row],[RK]],'Ranks w Proj'!AD:AO,12,FALSE)&lt;0,0,VLOOKUP(TableWRRanks3242[[#This Row],[RK]],'Ranks w Proj'!AD:AO,12,FALSE))</f>
        <v/>
      </c>
    </row>
    <row r="203" spans="30:41" x14ac:dyDescent="0.2">
      <c r="AD203">
        <v>202</v>
      </c>
      <c r="AE203" t="e">
        <f>VLOOKUP(TableWRRanks3242[[#This Row],[RK]],Rankings!A:T,13,FALSE)</f>
        <v>#N/A</v>
      </c>
      <c r="AF203" t="str">
        <f>IFERROR(INDEX(TableWRCalcPts[TM],MATCH(TableWRRanks3242[[#This Row],[Player]],TableWRCalcPts[PLAYER],0)),"")</f>
        <v/>
      </c>
      <c r="AG203" t="str">
        <f>IFERROR(INDEX(TableWRCalcPts[BYE],MATCH(TableWRRanks3242[[#This Row],[Player]],TableWRCalcPts[PLAYER],0)),"")</f>
        <v/>
      </c>
      <c r="AH203" s="83" t="e">
        <f>VLOOKUP(TableWRRanks3242[[#This Row],[Player]],WR!B:O,4,FALSE)</f>
        <v>#N/A</v>
      </c>
      <c r="AI203" s="83" t="e">
        <f>VLOOKUP(TableWRRanks3242[[#This Row],[Player]],WR!B:O,5,FALSE)</f>
        <v>#N/A</v>
      </c>
      <c r="AJ203" s="83" t="e">
        <f>VLOOKUP(TableWRRanks3242[[#This Row],[Player]],WR!B:O,6,FALSE)</f>
        <v>#N/A</v>
      </c>
      <c r="AK203" s="83" t="e">
        <f>VLOOKUP(TableWRRanks3242[[#This Row],[Player]],WR!B:O,7,FALSE)</f>
        <v>#N/A</v>
      </c>
      <c r="AL203" s="83" t="e">
        <f>VLOOKUP(TableWRRanks3242[[#This Row],[Player]],WR!B:O,8,FALSE)</f>
        <v>#N/A</v>
      </c>
      <c r="AM203" s="83" t="e">
        <f>VLOOKUP(TableWRRanks3242[[#This Row],[Player]],WR!B:O,9,FALSE)</f>
        <v>#N/A</v>
      </c>
      <c r="AN203" s="57" t="e">
        <f>VLOOKUP(TableWRRanks3242[[#This Row],[Player]],WR!B:O,13,FALSE)</f>
        <v>#N/A</v>
      </c>
      <c r="AO203" s="125" t="str">
        <f>IF(VLOOKUP(TableWRRanks3242[[#This Row],[RK]],'Ranks w Proj'!AD:AO,12,FALSE)&lt;0,0,VLOOKUP(TableWRRanks3242[[#This Row],[RK]],'Ranks w Proj'!AD:AO,12,FALSE))</f>
        <v/>
      </c>
    </row>
    <row r="204" spans="30:41" x14ac:dyDescent="0.2">
      <c r="AD204">
        <v>203</v>
      </c>
      <c r="AE204" t="e">
        <f>VLOOKUP(TableWRRanks3242[[#This Row],[RK]],Rankings!A:T,13,FALSE)</f>
        <v>#N/A</v>
      </c>
      <c r="AF204" t="str">
        <f>IFERROR(INDEX(TableWRCalcPts[TM],MATCH(TableWRRanks3242[[#This Row],[Player]],TableWRCalcPts[PLAYER],0)),"")</f>
        <v/>
      </c>
      <c r="AG204" t="str">
        <f>IFERROR(INDEX(TableWRCalcPts[BYE],MATCH(TableWRRanks3242[[#This Row],[Player]],TableWRCalcPts[PLAYER],0)),"")</f>
        <v/>
      </c>
      <c r="AH204" s="83" t="e">
        <f>VLOOKUP(TableWRRanks3242[[#This Row],[Player]],WR!B:O,4,FALSE)</f>
        <v>#N/A</v>
      </c>
      <c r="AI204" s="83" t="e">
        <f>VLOOKUP(TableWRRanks3242[[#This Row],[Player]],WR!B:O,5,FALSE)</f>
        <v>#N/A</v>
      </c>
      <c r="AJ204" s="83" t="e">
        <f>VLOOKUP(TableWRRanks3242[[#This Row],[Player]],WR!B:O,6,FALSE)</f>
        <v>#N/A</v>
      </c>
      <c r="AK204" s="83" t="e">
        <f>VLOOKUP(TableWRRanks3242[[#This Row],[Player]],WR!B:O,7,FALSE)</f>
        <v>#N/A</v>
      </c>
      <c r="AL204" s="83" t="e">
        <f>VLOOKUP(TableWRRanks3242[[#This Row],[Player]],WR!B:O,8,FALSE)</f>
        <v>#N/A</v>
      </c>
      <c r="AM204" s="83" t="e">
        <f>VLOOKUP(TableWRRanks3242[[#This Row],[Player]],WR!B:O,9,FALSE)</f>
        <v>#N/A</v>
      </c>
      <c r="AN204" s="57" t="e">
        <f>VLOOKUP(TableWRRanks3242[[#This Row],[Player]],WR!B:O,13,FALSE)</f>
        <v>#N/A</v>
      </c>
      <c r="AO204" s="125" t="str">
        <f>IF(VLOOKUP(TableWRRanks3242[[#This Row],[RK]],'Ranks w Proj'!AD:AO,12,FALSE)&lt;0,0,VLOOKUP(TableWRRanks3242[[#This Row],[RK]],'Ranks w Proj'!AD:AO,12,FALSE))</f>
        <v/>
      </c>
    </row>
    <row r="205" spans="30:41" x14ac:dyDescent="0.2">
      <c r="AD205">
        <v>204</v>
      </c>
      <c r="AE205" t="e">
        <f>VLOOKUP(TableWRRanks3242[[#This Row],[RK]],Rankings!A:T,13,FALSE)</f>
        <v>#N/A</v>
      </c>
      <c r="AF205" t="str">
        <f>IFERROR(INDEX(TableWRCalcPts[TM],MATCH(TableWRRanks3242[[#This Row],[Player]],TableWRCalcPts[PLAYER],0)),"")</f>
        <v/>
      </c>
      <c r="AG205" t="str">
        <f>IFERROR(INDEX(TableWRCalcPts[BYE],MATCH(TableWRRanks3242[[#This Row],[Player]],TableWRCalcPts[PLAYER],0)),"")</f>
        <v/>
      </c>
      <c r="AH205" s="83" t="e">
        <f>VLOOKUP(TableWRRanks3242[[#This Row],[Player]],WR!B:O,4,FALSE)</f>
        <v>#N/A</v>
      </c>
      <c r="AI205" s="83" t="e">
        <f>VLOOKUP(TableWRRanks3242[[#This Row],[Player]],WR!B:O,5,FALSE)</f>
        <v>#N/A</v>
      </c>
      <c r="AJ205" s="83" t="e">
        <f>VLOOKUP(TableWRRanks3242[[#This Row],[Player]],WR!B:O,6,FALSE)</f>
        <v>#N/A</v>
      </c>
      <c r="AK205" s="83" t="e">
        <f>VLOOKUP(TableWRRanks3242[[#This Row],[Player]],WR!B:O,7,FALSE)</f>
        <v>#N/A</v>
      </c>
      <c r="AL205" s="83" t="e">
        <f>VLOOKUP(TableWRRanks3242[[#This Row],[Player]],WR!B:O,8,FALSE)</f>
        <v>#N/A</v>
      </c>
      <c r="AM205" s="83" t="e">
        <f>VLOOKUP(TableWRRanks3242[[#This Row],[Player]],WR!B:O,9,FALSE)</f>
        <v>#N/A</v>
      </c>
      <c r="AN205" s="57" t="e">
        <f>VLOOKUP(TableWRRanks3242[[#This Row],[Player]],WR!B:O,13,FALSE)</f>
        <v>#N/A</v>
      </c>
      <c r="AO205" s="125" t="str">
        <f>IF(VLOOKUP(TableWRRanks3242[[#This Row],[RK]],'Ranks w Proj'!AD:AO,12,FALSE)&lt;0,0,VLOOKUP(TableWRRanks3242[[#This Row],[RK]],'Ranks w Proj'!AD:AO,12,FALSE))</f>
        <v/>
      </c>
    </row>
    <row r="206" spans="30:41" x14ac:dyDescent="0.2">
      <c r="AD206">
        <v>205</v>
      </c>
      <c r="AE206" t="e">
        <f>VLOOKUP(TableWRRanks3242[[#This Row],[RK]],Rankings!A:T,13,FALSE)</f>
        <v>#N/A</v>
      </c>
      <c r="AF206" t="str">
        <f>IFERROR(INDEX(TableWRCalcPts[TM],MATCH(TableWRRanks3242[[#This Row],[Player]],TableWRCalcPts[PLAYER],0)),"")</f>
        <v/>
      </c>
      <c r="AG206" t="str">
        <f>IFERROR(INDEX(TableWRCalcPts[BYE],MATCH(TableWRRanks3242[[#This Row],[Player]],TableWRCalcPts[PLAYER],0)),"")</f>
        <v/>
      </c>
      <c r="AH206" s="83" t="e">
        <f>VLOOKUP(TableWRRanks3242[[#This Row],[Player]],WR!B:O,4,FALSE)</f>
        <v>#N/A</v>
      </c>
      <c r="AI206" s="83" t="e">
        <f>VLOOKUP(TableWRRanks3242[[#This Row],[Player]],WR!B:O,5,FALSE)</f>
        <v>#N/A</v>
      </c>
      <c r="AJ206" s="83" t="e">
        <f>VLOOKUP(TableWRRanks3242[[#This Row],[Player]],WR!B:O,6,FALSE)</f>
        <v>#N/A</v>
      </c>
      <c r="AK206" s="83" t="e">
        <f>VLOOKUP(TableWRRanks3242[[#This Row],[Player]],WR!B:O,7,FALSE)</f>
        <v>#N/A</v>
      </c>
      <c r="AL206" s="83" t="e">
        <f>VLOOKUP(TableWRRanks3242[[#This Row],[Player]],WR!B:O,8,FALSE)</f>
        <v>#N/A</v>
      </c>
      <c r="AM206" s="83" t="e">
        <f>VLOOKUP(TableWRRanks3242[[#This Row],[Player]],WR!B:O,9,FALSE)</f>
        <v>#N/A</v>
      </c>
      <c r="AN206" s="57" t="e">
        <f>VLOOKUP(TableWRRanks3242[[#This Row],[Player]],WR!B:O,13,FALSE)</f>
        <v>#N/A</v>
      </c>
      <c r="AO206" s="125" t="str">
        <f>IF(VLOOKUP(TableWRRanks3242[[#This Row],[RK]],'Ranks w Proj'!AD:AO,12,FALSE)&lt;0,0,VLOOKUP(TableWRRanks3242[[#This Row],[RK]],'Ranks w Proj'!AD:AO,12,FALSE))</f>
        <v/>
      </c>
    </row>
    <row r="207" spans="30:41" x14ac:dyDescent="0.2">
      <c r="AD207">
        <v>206</v>
      </c>
      <c r="AE207" t="e">
        <f>VLOOKUP(TableWRRanks3242[[#This Row],[RK]],Rankings!A:T,13,FALSE)</f>
        <v>#N/A</v>
      </c>
      <c r="AF207" t="str">
        <f>IFERROR(INDEX(TableWRCalcPts[TM],MATCH(TableWRRanks3242[[#This Row],[Player]],TableWRCalcPts[PLAYER],0)),"")</f>
        <v/>
      </c>
      <c r="AG207" t="str">
        <f>IFERROR(INDEX(TableWRCalcPts[BYE],MATCH(TableWRRanks3242[[#This Row],[Player]],TableWRCalcPts[PLAYER],0)),"")</f>
        <v/>
      </c>
      <c r="AH207" s="83" t="e">
        <f>VLOOKUP(TableWRRanks3242[[#This Row],[Player]],WR!B:O,4,FALSE)</f>
        <v>#N/A</v>
      </c>
      <c r="AI207" s="83" t="e">
        <f>VLOOKUP(TableWRRanks3242[[#This Row],[Player]],WR!B:O,5,FALSE)</f>
        <v>#N/A</v>
      </c>
      <c r="AJ207" s="83" t="e">
        <f>VLOOKUP(TableWRRanks3242[[#This Row],[Player]],WR!B:O,6,FALSE)</f>
        <v>#N/A</v>
      </c>
      <c r="AK207" s="83" t="e">
        <f>VLOOKUP(TableWRRanks3242[[#This Row],[Player]],WR!B:O,7,FALSE)</f>
        <v>#N/A</v>
      </c>
      <c r="AL207" s="83" t="e">
        <f>VLOOKUP(TableWRRanks3242[[#This Row],[Player]],WR!B:O,8,FALSE)</f>
        <v>#N/A</v>
      </c>
      <c r="AM207" s="83" t="e">
        <f>VLOOKUP(TableWRRanks3242[[#This Row],[Player]],WR!B:O,9,FALSE)</f>
        <v>#N/A</v>
      </c>
      <c r="AN207" s="57" t="e">
        <f>VLOOKUP(TableWRRanks3242[[#This Row],[Player]],WR!B:O,13,FALSE)</f>
        <v>#N/A</v>
      </c>
      <c r="AO207" s="125" t="str">
        <f>IF(VLOOKUP(TableWRRanks3242[[#This Row],[RK]],'Ranks w Proj'!AD:AO,12,FALSE)&lt;0,0,VLOOKUP(TableWRRanks3242[[#This Row],[RK]],'Ranks w Proj'!AD:AO,12,FALSE))</f>
        <v/>
      </c>
    </row>
    <row r="208" spans="30:41" x14ac:dyDescent="0.2">
      <c r="AD208">
        <v>207</v>
      </c>
      <c r="AE208" t="e">
        <f>VLOOKUP(TableWRRanks3242[[#This Row],[RK]],Rankings!A:T,13,FALSE)</f>
        <v>#N/A</v>
      </c>
      <c r="AF208" t="str">
        <f>IFERROR(INDEX(TableWRCalcPts[TM],MATCH(TableWRRanks3242[[#This Row],[Player]],TableWRCalcPts[PLAYER],0)),"")</f>
        <v/>
      </c>
      <c r="AG208" t="str">
        <f>IFERROR(INDEX(TableWRCalcPts[BYE],MATCH(TableWRRanks3242[[#This Row],[Player]],TableWRCalcPts[PLAYER],0)),"")</f>
        <v/>
      </c>
      <c r="AH208" s="83" t="e">
        <f>VLOOKUP(TableWRRanks3242[[#This Row],[Player]],WR!B:O,4,FALSE)</f>
        <v>#N/A</v>
      </c>
      <c r="AI208" s="83" t="e">
        <f>VLOOKUP(TableWRRanks3242[[#This Row],[Player]],WR!B:O,5,FALSE)</f>
        <v>#N/A</v>
      </c>
      <c r="AJ208" s="83" t="e">
        <f>VLOOKUP(TableWRRanks3242[[#This Row],[Player]],WR!B:O,6,FALSE)</f>
        <v>#N/A</v>
      </c>
      <c r="AK208" s="83" t="e">
        <f>VLOOKUP(TableWRRanks3242[[#This Row],[Player]],WR!B:O,7,FALSE)</f>
        <v>#N/A</v>
      </c>
      <c r="AL208" s="83" t="e">
        <f>VLOOKUP(TableWRRanks3242[[#This Row],[Player]],WR!B:O,8,FALSE)</f>
        <v>#N/A</v>
      </c>
      <c r="AM208" s="83" t="e">
        <f>VLOOKUP(TableWRRanks3242[[#This Row],[Player]],WR!B:O,9,FALSE)</f>
        <v>#N/A</v>
      </c>
      <c r="AN208" s="57" t="e">
        <f>VLOOKUP(TableWRRanks3242[[#This Row],[Player]],WR!B:O,13,FALSE)</f>
        <v>#N/A</v>
      </c>
      <c r="AO208" s="125" t="str">
        <f>IF(VLOOKUP(TableWRRanks3242[[#This Row],[RK]],'Ranks w Proj'!AD:AO,12,FALSE)&lt;0,0,VLOOKUP(TableWRRanks3242[[#This Row],[RK]],'Ranks w Proj'!AD:AO,12,FALSE))</f>
        <v/>
      </c>
    </row>
    <row r="209" spans="30:41" x14ac:dyDescent="0.2">
      <c r="AD209">
        <v>208</v>
      </c>
      <c r="AE209" t="e">
        <f>VLOOKUP(TableWRRanks3242[[#This Row],[RK]],Rankings!A:T,13,FALSE)</f>
        <v>#N/A</v>
      </c>
      <c r="AF209" t="str">
        <f>IFERROR(INDEX(TableWRCalcPts[TM],MATCH(TableWRRanks3242[[#This Row],[Player]],TableWRCalcPts[PLAYER],0)),"")</f>
        <v/>
      </c>
      <c r="AG209" t="str">
        <f>IFERROR(INDEX(TableWRCalcPts[BYE],MATCH(TableWRRanks3242[[#This Row],[Player]],TableWRCalcPts[PLAYER],0)),"")</f>
        <v/>
      </c>
      <c r="AH209" s="83" t="e">
        <f>VLOOKUP(TableWRRanks3242[[#This Row],[Player]],WR!B:O,4,FALSE)</f>
        <v>#N/A</v>
      </c>
      <c r="AI209" s="83" t="e">
        <f>VLOOKUP(TableWRRanks3242[[#This Row],[Player]],WR!B:O,5,FALSE)</f>
        <v>#N/A</v>
      </c>
      <c r="AJ209" s="83" t="e">
        <f>VLOOKUP(TableWRRanks3242[[#This Row],[Player]],WR!B:O,6,FALSE)</f>
        <v>#N/A</v>
      </c>
      <c r="AK209" s="83" t="e">
        <f>VLOOKUP(TableWRRanks3242[[#This Row],[Player]],WR!B:O,7,FALSE)</f>
        <v>#N/A</v>
      </c>
      <c r="AL209" s="83" t="e">
        <f>VLOOKUP(TableWRRanks3242[[#This Row],[Player]],WR!B:O,8,FALSE)</f>
        <v>#N/A</v>
      </c>
      <c r="AM209" s="83" t="e">
        <f>VLOOKUP(TableWRRanks3242[[#This Row],[Player]],WR!B:O,9,FALSE)</f>
        <v>#N/A</v>
      </c>
      <c r="AN209" s="57" t="e">
        <f>VLOOKUP(TableWRRanks3242[[#This Row],[Player]],WR!B:O,13,FALSE)</f>
        <v>#N/A</v>
      </c>
      <c r="AO209" s="125" t="str">
        <f>IF(VLOOKUP(TableWRRanks3242[[#This Row],[RK]],'Ranks w Proj'!AD:AO,12,FALSE)&lt;0,0,VLOOKUP(TableWRRanks3242[[#This Row],[RK]],'Ranks w Proj'!AD:AO,12,FALSE))</f>
        <v/>
      </c>
    </row>
    <row r="210" spans="30:41" x14ac:dyDescent="0.2">
      <c r="AD210">
        <v>209</v>
      </c>
      <c r="AE210" t="e">
        <f>VLOOKUP(TableWRRanks3242[[#This Row],[RK]],Rankings!A:T,13,FALSE)</f>
        <v>#N/A</v>
      </c>
      <c r="AF210" t="str">
        <f>IFERROR(INDEX(TableWRCalcPts[TM],MATCH(TableWRRanks3242[[#This Row],[Player]],TableWRCalcPts[PLAYER],0)),"")</f>
        <v/>
      </c>
      <c r="AG210" t="str">
        <f>IFERROR(INDEX(TableWRCalcPts[BYE],MATCH(TableWRRanks3242[[#This Row],[Player]],TableWRCalcPts[PLAYER],0)),"")</f>
        <v/>
      </c>
      <c r="AH210" s="83" t="e">
        <f>VLOOKUP(TableWRRanks3242[[#This Row],[Player]],WR!B:O,4,FALSE)</f>
        <v>#N/A</v>
      </c>
      <c r="AI210" s="83" t="e">
        <f>VLOOKUP(TableWRRanks3242[[#This Row],[Player]],WR!B:O,5,FALSE)</f>
        <v>#N/A</v>
      </c>
      <c r="AJ210" s="83" t="e">
        <f>VLOOKUP(TableWRRanks3242[[#This Row],[Player]],WR!B:O,6,FALSE)</f>
        <v>#N/A</v>
      </c>
      <c r="AK210" s="83" t="e">
        <f>VLOOKUP(TableWRRanks3242[[#This Row],[Player]],WR!B:O,7,FALSE)</f>
        <v>#N/A</v>
      </c>
      <c r="AL210" s="83" t="e">
        <f>VLOOKUP(TableWRRanks3242[[#This Row],[Player]],WR!B:O,8,FALSE)</f>
        <v>#N/A</v>
      </c>
      <c r="AM210" s="83" t="e">
        <f>VLOOKUP(TableWRRanks3242[[#This Row],[Player]],WR!B:O,9,FALSE)</f>
        <v>#N/A</v>
      </c>
      <c r="AN210" s="57" t="e">
        <f>VLOOKUP(TableWRRanks3242[[#This Row],[Player]],WR!B:O,13,FALSE)</f>
        <v>#N/A</v>
      </c>
      <c r="AO210" s="125" t="str">
        <f>IF(VLOOKUP(TableWRRanks3242[[#This Row],[RK]],'Ranks w Proj'!AD:AO,12,FALSE)&lt;0,0,VLOOKUP(TableWRRanks3242[[#This Row],[RK]],'Ranks w Proj'!AD:AO,12,FALSE))</f>
        <v/>
      </c>
    </row>
    <row r="211" spans="30:41" x14ac:dyDescent="0.2">
      <c r="AD211">
        <v>210</v>
      </c>
      <c r="AE211" t="e">
        <f>VLOOKUP(TableWRRanks3242[[#This Row],[RK]],Rankings!A:T,13,FALSE)</f>
        <v>#N/A</v>
      </c>
      <c r="AF211" t="str">
        <f>IFERROR(INDEX(TableWRCalcPts[TM],MATCH(TableWRRanks3242[[#This Row],[Player]],TableWRCalcPts[PLAYER],0)),"")</f>
        <v/>
      </c>
      <c r="AG211" t="str">
        <f>IFERROR(INDEX(TableWRCalcPts[BYE],MATCH(TableWRRanks3242[[#This Row],[Player]],TableWRCalcPts[PLAYER],0)),"")</f>
        <v/>
      </c>
      <c r="AH211" s="83" t="e">
        <f>VLOOKUP(TableWRRanks3242[[#This Row],[Player]],WR!B:O,4,FALSE)</f>
        <v>#N/A</v>
      </c>
      <c r="AI211" s="83" t="e">
        <f>VLOOKUP(TableWRRanks3242[[#This Row],[Player]],WR!B:O,5,FALSE)</f>
        <v>#N/A</v>
      </c>
      <c r="AJ211" s="83" t="e">
        <f>VLOOKUP(TableWRRanks3242[[#This Row],[Player]],WR!B:O,6,FALSE)</f>
        <v>#N/A</v>
      </c>
      <c r="AK211" s="83" t="e">
        <f>VLOOKUP(TableWRRanks3242[[#This Row],[Player]],WR!B:O,7,FALSE)</f>
        <v>#N/A</v>
      </c>
      <c r="AL211" s="83" t="e">
        <f>VLOOKUP(TableWRRanks3242[[#This Row],[Player]],WR!B:O,8,FALSE)</f>
        <v>#N/A</v>
      </c>
      <c r="AM211" s="83" t="e">
        <f>VLOOKUP(TableWRRanks3242[[#This Row],[Player]],WR!B:O,9,FALSE)</f>
        <v>#N/A</v>
      </c>
      <c r="AN211" s="57" t="e">
        <f>VLOOKUP(TableWRRanks3242[[#This Row],[Player]],WR!B:O,13,FALSE)</f>
        <v>#N/A</v>
      </c>
      <c r="AO211" s="125" t="str">
        <f>IF(VLOOKUP(TableWRRanks3242[[#This Row],[RK]],'Ranks w Proj'!AD:AO,12,FALSE)&lt;0,0,VLOOKUP(TableWRRanks3242[[#This Row],[RK]],'Ranks w Proj'!AD:AO,12,FALSE))</f>
        <v/>
      </c>
    </row>
    <row r="212" spans="30:41" x14ac:dyDescent="0.2">
      <c r="AD212">
        <v>211</v>
      </c>
      <c r="AE212" t="e">
        <f>VLOOKUP(TableWRRanks3242[[#This Row],[RK]],Rankings!A:T,13,FALSE)</f>
        <v>#N/A</v>
      </c>
      <c r="AF212" t="str">
        <f>IFERROR(INDEX(TableWRCalcPts[TM],MATCH(TableWRRanks3242[[#This Row],[Player]],TableWRCalcPts[PLAYER],0)),"")</f>
        <v/>
      </c>
      <c r="AG212" t="str">
        <f>IFERROR(INDEX(TableWRCalcPts[BYE],MATCH(TableWRRanks3242[[#This Row],[Player]],TableWRCalcPts[PLAYER],0)),"")</f>
        <v/>
      </c>
      <c r="AH212" s="83" t="e">
        <f>VLOOKUP(TableWRRanks3242[[#This Row],[Player]],WR!B:O,4,FALSE)</f>
        <v>#N/A</v>
      </c>
      <c r="AI212" s="83" t="e">
        <f>VLOOKUP(TableWRRanks3242[[#This Row],[Player]],WR!B:O,5,FALSE)</f>
        <v>#N/A</v>
      </c>
      <c r="AJ212" s="83" t="e">
        <f>VLOOKUP(TableWRRanks3242[[#This Row],[Player]],WR!B:O,6,FALSE)</f>
        <v>#N/A</v>
      </c>
      <c r="AK212" s="83" t="e">
        <f>VLOOKUP(TableWRRanks3242[[#This Row],[Player]],WR!B:O,7,FALSE)</f>
        <v>#N/A</v>
      </c>
      <c r="AL212" s="83" t="e">
        <f>VLOOKUP(TableWRRanks3242[[#This Row],[Player]],WR!B:O,8,FALSE)</f>
        <v>#N/A</v>
      </c>
      <c r="AM212" s="83" t="e">
        <f>VLOOKUP(TableWRRanks3242[[#This Row],[Player]],WR!B:O,9,FALSE)</f>
        <v>#N/A</v>
      </c>
      <c r="AN212" s="57" t="e">
        <f>VLOOKUP(TableWRRanks3242[[#This Row],[Player]],WR!B:O,13,FALSE)</f>
        <v>#N/A</v>
      </c>
      <c r="AO212" s="125" t="str">
        <f>IF(VLOOKUP(TableWRRanks3242[[#This Row],[RK]],'Ranks w Proj'!AD:AO,12,FALSE)&lt;0,0,VLOOKUP(TableWRRanks3242[[#This Row],[RK]],'Ranks w Proj'!AD:AO,12,FALSE))</f>
        <v/>
      </c>
    </row>
    <row r="213" spans="30:41" x14ac:dyDescent="0.2">
      <c r="AD213">
        <v>212</v>
      </c>
      <c r="AE213" t="e">
        <f>VLOOKUP(TableWRRanks3242[[#This Row],[RK]],Rankings!A:T,13,FALSE)</f>
        <v>#N/A</v>
      </c>
      <c r="AF213" t="str">
        <f>IFERROR(INDEX(TableWRCalcPts[TM],MATCH(TableWRRanks3242[[#This Row],[Player]],TableWRCalcPts[PLAYER],0)),"")</f>
        <v/>
      </c>
      <c r="AG213" t="str">
        <f>IFERROR(INDEX(TableWRCalcPts[BYE],MATCH(TableWRRanks3242[[#This Row],[Player]],TableWRCalcPts[PLAYER],0)),"")</f>
        <v/>
      </c>
      <c r="AH213" s="83" t="e">
        <f>VLOOKUP(TableWRRanks3242[[#This Row],[Player]],WR!B:O,4,FALSE)</f>
        <v>#N/A</v>
      </c>
      <c r="AI213" s="83" t="e">
        <f>VLOOKUP(TableWRRanks3242[[#This Row],[Player]],WR!B:O,5,FALSE)</f>
        <v>#N/A</v>
      </c>
      <c r="AJ213" s="83" t="e">
        <f>VLOOKUP(TableWRRanks3242[[#This Row],[Player]],WR!B:O,6,FALSE)</f>
        <v>#N/A</v>
      </c>
      <c r="AK213" s="83" t="e">
        <f>VLOOKUP(TableWRRanks3242[[#This Row],[Player]],WR!B:O,7,FALSE)</f>
        <v>#N/A</v>
      </c>
      <c r="AL213" s="83" t="e">
        <f>VLOOKUP(TableWRRanks3242[[#This Row],[Player]],WR!B:O,8,FALSE)</f>
        <v>#N/A</v>
      </c>
      <c r="AM213" s="83" t="e">
        <f>VLOOKUP(TableWRRanks3242[[#This Row],[Player]],WR!B:O,9,FALSE)</f>
        <v>#N/A</v>
      </c>
      <c r="AN213" s="57" t="e">
        <f>VLOOKUP(TableWRRanks3242[[#This Row],[Player]],WR!B:O,13,FALSE)</f>
        <v>#N/A</v>
      </c>
      <c r="AO213" s="125" t="str">
        <f>IF(VLOOKUP(TableWRRanks3242[[#This Row],[RK]],'Ranks w Proj'!AD:AO,12,FALSE)&lt;0,0,VLOOKUP(TableWRRanks3242[[#This Row],[RK]],'Ranks w Proj'!AD:AO,12,FALSE))</f>
        <v/>
      </c>
    </row>
    <row r="214" spans="30:41" x14ac:dyDescent="0.2">
      <c r="AD214">
        <v>213</v>
      </c>
      <c r="AE214" t="e">
        <f>VLOOKUP(TableWRRanks3242[[#This Row],[RK]],Rankings!A:T,13,FALSE)</f>
        <v>#N/A</v>
      </c>
      <c r="AF214" t="str">
        <f>IFERROR(INDEX(TableWRCalcPts[TM],MATCH(TableWRRanks3242[[#This Row],[Player]],TableWRCalcPts[PLAYER],0)),"")</f>
        <v/>
      </c>
      <c r="AG214" t="str">
        <f>IFERROR(INDEX(TableWRCalcPts[BYE],MATCH(TableWRRanks3242[[#This Row],[Player]],TableWRCalcPts[PLAYER],0)),"")</f>
        <v/>
      </c>
      <c r="AH214" s="83" t="e">
        <f>VLOOKUP(TableWRRanks3242[[#This Row],[Player]],WR!B:O,4,FALSE)</f>
        <v>#N/A</v>
      </c>
      <c r="AI214" s="83" t="e">
        <f>VLOOKUP(TableWRRanks3242[[#This Row],[Player]],WR!B:O,5,FALSE)</f>
        <v>#N/A</v>
      </c>
      <c r="AJ214" s="83" t="e">
        <f>VLOOKUP(TableWRRanks3242[[#This Row],[Player]],WR!B:O,6,FALSE)</f>
        <v>#N/A</v>
      </c>
      <c r="AK214" s="83" t="e">
        <f>VLOOKUP(TableWRRanks3242[[#This Row],[Player]],WR!B:O,7,FALSE)</f>
        <v>#N/A</v>
      </c>
      <c r="AL214" s="83" t="e">
        <f>VLOOKUP(TableWRRanks3242[[#This Row],[Player]],WR!B:O,8,FALSE)</f>
        <v>#N/A</v>
      </c>
      <c r="AM214" s="83" t="e">
        <f>VLOOKUP(TableWRRanks3242[[#This Row],[Player]],WR!B:O,9,FALSE)</f>
        <v>#N/A</v>
      </c>
      <c r="AN214" s="57" t="e">
        <f>VLOOKUP(TableWRRanks3242[[#This Row],[Player]],WR!B:O,13,FALSE)</f>
        <v>#N/A</v>
      </c>
      <c r="AO214" s="125" t="str">
        <f>IF(VLOOKUP(TableWRRanks3242[[#This Row],[RK]],'Ranks w Proj'!AD:AO,12,FALSE)&lt;0,0,VLOOKUP(TableWRRanks3242[[#This Row],[RK]],'Ranks w Proj'!AD:AO,12,FALSE))</f>
        <v/>
      </c>
    </row>
    <row r="215" spans="30:41" x14ac:dyDescent="0.2">
      <c r="AD215">
        <v>214</v>
      </c>
      <c r="AE215" t="e">
        <f>VLOOKUP(TableWRRanks3242[[#This Row],[RK]],Rankings!A:T,13,FALSE)</f>
        <v>#N/A</v>
      </c>
      <c r="AF215" t="str">
        <f>IFERROR(INDEX(TableWRCalcPts[TM],MATCH(TableWRRanks3242[[#This Row],[Player]],TableWRCalcPts[PLAYER],0)),"")</f>
        <v/>
      </c>
      <c r="AG215" t="str">
        <f>IFERROR(INDEX(TableWRCalcPts[BYE],MATCH(TableWRRanks3242[[#This Row],[Player]],TableWRCalcPts[PLAYER],0)),"")</f>
        <v/>
      </c>
      <c r="AH215" s="83" t="e">
        <f>VLOOKUP(TableWRRanks3242[[#This Row],[Player]],WR!B:O,4,FALSE)</f>
        <v>#N/A</v>
      </c>
      <c r="AI215" s="83" t="e">
        <f>VLOOKUP(TableWRRanks3242[[#This Row],[Player]],WR!B:O,5,FALSE)</f>
        <v>#N/A</v>
      </c>
      <c r="AJ215" s="83" t="e">
        <f>VLOOKUP(TableWRRanks3242[[#This Row],[Player]],WR!B:O,6,FALSE)</f>
        <v>#N/A</v>
      </c>
      <c r="AK215" s="83" t="e">
        <f>VLOOKUP(TableWRRanks3242[[#This Row],[Player]],WR!B:O,7,FALSE)</f>
        <v>#N/A</v>
      </c>
      <c r="AL215" s="83" t="e">
        <f>VLOOKUP(TableWRRanks3242[[#This Row],[Player]],WR!B:O,8,FALSE)</f>
        <v>#N/A</v>
      </c>
      <c r="AM215" s="83" t="e">
        <f>VLOOKUP(TableWRRanks3242[[#This Row],[Player]],WR!B:O,9,FALSE)</f>
        <v>#N/A</v>
      </c>
      <c r="AN215" s="57" t="e">
        <f>VLOOKUP(TableWRRanks3242[[#This Row],[Player]],WR!B:O,13,FALSE)</f>
        <v>#N/A</v>
      </c>
      <c r="AO215" s="125" t="str">
        <f>IF(VLOOKUP(TableWRRanks3242[[#This Row],[RK]],'Ranks w Proj'!AD:AO,12,FALSE)&lt;0,0,VLOOKUP(TableWRRanks3242[[#This Row],[RK]],'Ranks w Proj'!AD:AO,12,FALSE))</f>
        <v/>
      </c>
    </row>
    <row r="216" spans="30:41" x14ac:dyDescent="0.2">
      <c r="AD216">
        <v>215</v>
      </c>
      <c r="AE216" t="e">
        <f>VLOOKUP(TableWRRanks3242[[#This Row],[RK]],Rankings!A:T,13,FALSE)</f>
        <v>#N/A</v>
      </c>
      <c r="AF216" t="str">
        <f>IFERROR(INDEX(TableWRCalcPts[TM],MATCH(TableWRRanks3242[[#This Row],[Player]],TableWRCalcPts[PLAYER],0)),"")</f>
        <v/>
      </c>
      <c r="AG216" t="str">
        <f>IFERROR(INDEX(TableWRCalcPts[BYE],MATCH(TableWRRanks3242[[#This Row],[Player]],TableWRCalcPts[PLAYER],0)),"")</f>
        <v/>
      </c>
      <c r="AH216" s="83" t="e">
        <f>VLOOKUP(TableWRRanks3242[[#This Row],[Player]],WR!B:O,4,FALSE)</f>
        <v>#N/A</v>
      </c>
      <c r="AI216" s="83" t="e">
        <f>VLOOKUP(TableWRRanks3242[[#This Row],[Player]],WR!B:O,5,FALSE)</f>
        <v>#N/A</v>
      </c>
      <c r="AJ216" s="83" t="e">
        <f>VLOOKUP(TableWRRanks3242[[#This Row],[Player]],WR!B:O,6,FALSE)</f>
        <v>#N/A</v>
      </c>
      <c r="AK216" s="83" t="e">
        <f>VLOOKUP(TableWRRanks3242[[#This Row],[Player]],WR!B:O,7,FALSE)</f>
        <v>#N/A</v>
      </c>
      <c r="AL216" s="83" t="e">
        <f>VLOOKUP(TableWRRanks3242[[#This Row],[Player]],WR!B:O,8,FALSE)</f>
        <v>#N/A</v>
      </c>
      <c r="AM216" s="83" t="e">
        <f>VLOOKUP(TableWRRanks3242[[#This Row],[Player]],WR!B:O,9,FALSE)</f>
        <v>#N/A</v>
      </c>
      <c r="AN216" s="57" t="e">
        <f>VLOOKUP(TableWRRanks3242[[#This Row],[Player]],WR!B:O,13,FALSE)</f>
        <v>#N/A</v>
      </c>
      <c r="AO216" s="125" t="str">
        <f>IF(VLOOKUP(TableWRRanks3242[[#This Row],[RK]],'Ranks w Proj'!AD:AO,12,FALSE)&lt;0,0,VLOOKUP(TableWRRanks3242[[#This Row],[RK]],'Ranks w Proj'!AD:AO,12,FALSE))</f>
        <v/>
      </c>
    </row>
    <row r="217" spans="30:41" x14ac:dyDescent="0.2">
      <c r="AD217">
        <v>216</v>
      </c>
      <c r="AE217" t="e">
        <f>VLOOKUP(TableWRRanks3242[[#This Row],[RK]],Rankings!A:T,13,FALSE)</f>
        <v>#N/A</v>
      </c>
      <c r="AF217" t="str">
        <f>IFERROR(INDEX(TableWRCalcPts[TM],MATCH(TableWRRanks3242[[#This Row],[Player]],TableWRCalcPts[PLAYER],0)),"")</f>
        <v/>
      </c>
      <c r="AG217" t="str">
        <f>IFERROR(INDEX(TableWRCalcPts[BYE],MATCH(TableWRRanks3242[[#This Row],[Player]],TableWRCalcPts[PLAYER],0)),"")</f>
        <v/>
      </c>
      <c r="AH217" s="83" t="e">
        <f>VLOOKUP(TableWRRanks3242[[#This Row],[Player]],WR!B:O,4,FALSE)</f>
        <v>#N/A</v>
      </c>
      <c r="AI217" s="83" t="e">
        <f>VLOOKUP(TableWRRanks3242[[#This Row],[Player]],WR!B:O,5,FALSE)</f>
        <v>#N/A</v>
      </c>
      <c r="AJ217" s="83" t="e">
        <f>VLOOKUP(TableWRRanks3242[[#This Row],[Player]],WR!B:O,6,FALSE)</f>
        <v>#N/A</v>
      </c>
      <c r="AK217" s="83" t="e">
        <f>VLOOKUP(TableWRRanks3242[[#This Row],[Player]],WR!B:O,7,FALSE)</f>
        <v>#N/A</v>
      </c>
      <c r="AL217" s="83" t="e">
        <f>VLOOKUP(TableWRRanks3242[[#This Row],[Player]],WR!B:O,8,FALSE)</f>
        <v>#N/A</v>
      </c>
      <c r="AM217" s="83" t="e">
        <f>VLOOKUP(TableWRRanks3242[[#This Row],[Player]],WR!B:O,9,FALSE)</f>
        <v>#N/A</v>
      </c>
      <c r="AN217" s="57" t="e">
        <f>VLOOKUP(TableWRRanks3242[[#This Row],[Player]],WR!B:O,13,FALSE)</f>
        <v>#N/A</v>
      </c>
      <c r="AO217" s="125" t="str">
        <f>IF(VLOOKUP(TableWRRanks3242[[#This Row],[RK]],'Ranks w Proj'!AD:AO,12,FALSE)&lt;0,0,VLOOKUP(TableWRRanks3242[[#This Row],[RK]],'Ranks w Proj'!AD:AO,12,FALSE))</f>
        <v/>
      </c>
    </row>
    <row r="218" spans="30:41" x14ac:dyDescent="0.2">
      <c r="AD218">
        <v>217</v>
      </c>
      <c r="AE218" t="e">
        <f>VLOOKUP(TableWRRanks3242[[#This Row],[RK]],Rankings!A:T,13,FALSE)</f>
        <v>#N/A</v>
      </c>
      <c r="AF218" t="str">
        <f>IFERROR(INDEX(TableWRCalcPts[TM],MATCH(TableWRRanks3242[[#This Row],[Player]],TableWRCalcPts[PLAYER],0)),"")</f>
        <v/>
      </c>
      <c r="AG218" t="str">
        <f>IFERROR(INDEX(TableWRCalcPts[BYE],MATCH(TableWRRanks3242[[#This Row],[Player]],TableWRCalcPts[PLAYER],0)),"")</f>
        <v/>
      </c>
      <c r="AH218" s="83" t="e">
        <f>VLOOKUP(TableWRRanks3242[[#This Row],[Player]],WR!B:O,4,FALSE)</f>
        <v>#N/A</v>
      </c>
      <c r="AI218" s="83" t="e">
        <f>VLOOKUP(TableWRRanks3242[[#This Row],[Player]],WR!B:O,5,FALSE)</f>
        <v>#N/A</v>
      </c>
      <c r="AJ218" s="83" t="e">
        <f>VLOOKUP(TableWRRanks3242[[#This Row],[Player]],WR!B:O,6,FALSE)</f>
        <v>#N/A</v>
      </c>
      <c r="AK218" s="83" t="e">
        <f>VLOOKUP(TableWRRanks3242[[#This Row],[Player]],WR!B:O,7,FALSE)</f>
        <v>#N/A</v>
      </c>
      <c r="AL218" s="83" t="e">
        <f>VLOOKUP(TableWRRanks3242[[#This Row],[Player]],WR!B:O,8,FALSE)</f>
        <v>#N/A</v>
      </c>
      <c r="AM218" s="83" t="e">
        <f>VLOOKUP(TableWRRanks3242[[#This Row],[Player]],WR!B:O,9,FALSE)</f>
        <v>#N/A</v>
      </c>
      <c r="AN218" s="57" t="e">
        <f>VLOOKUP(TableWRRanks3242[[#This Row],[Player]],WR!B:O,13,FALSE)</f>
        <v>#N/A</v>
      </c>
      <c r="AO218" s="125" t="str">
        <f>IF(VLOOKUP(TableWRRanks3242[[#This Row],[RK]],'Ranks w Proj'!AD:AO,12,FALSE)&lt;0,0,VLOOKUP(TableWRRanks3242[[#This Row],[RK]],'Ranks w Proj'!AD:AO,12,FALSE))</f>
        <v/>
      </c>
    </row>
    <row r="219" spans="30:41" x14ac:dyDescent="0.2">
      <c r="AD219">
        <v>218</v>
      </c>
      <c r="AE219" t="e">
        <f>VLOOKUP(TableWRRanks3242[[#This Row],[RK]],Rankings!A:T,13,FALSE)</f>
        <v>#N/A</v>
      </c>
      <c r="AF219" t="str">
        <f>IFERROR(INDEX(TableWRCalcPts[TM],MATCH(TableWRRanks3242[[#This Row],[Player]],TableWRCalcPts[PLAYER],0)),"")</f>
        <v/>
      </c>
      <c r="AG219" t="str">
        <f>IFERROR(INDEX(TableWRCalcPts[BYE],MATCH(TableWRRanks3242[[#This Row],[Player]],TableWRCalcPts[PLAYER],0)),"")</f>
        <v/>
      </c>
      <c r="AH219" s="83" t="e">
        <f>VLOOKUP(TableWRRanks3242[[#This Row],[Player]],WR!B:O,4,FALSE)</f>
        <v>#N/A</v>
      </c>
      <c r="AI219" s="83" t="e">
        <f>VLOOKUP(TableWRRanks3242[[#This Row],[Player]],WR!B:O,5,FALSE)</f>
        <v>#N/A</v>
      </c>
      <c r="AJ219" s="83" t="e">
        <f>VLOOKUP(TableWRRanks3242[[#This Row],[Player]],WR!B:O,6,FALSE)</f>
        <v>#N/A</v>
      </c>
      <c r="AK219" s="83" t="e">
        <f>VLOOKUP(TableWRRanks3242[[#This Row],[Player]],WR!B:O,7,FALSE)</f>
        <v>#N/A</v>
      </c>
      <c r="AL219" s="83" t="e">
        <f>VLOOKUP(TableWRRanks3242[[#This Row],[Player]],WR!B:O,8,FALSE)</f>
        <v>#N/A</v>
      </c>
      <c r="AM219" s="83" t="e">
        <f>VLOOKUP(TableWRRanks3242[[#This Row],[Player]],WR!B:O,9,FALSE)</f>
        <v>#N/A</v>
      </c>
      <c r="AN219" s="57" t="e">
        <f>VLOOKUP(TableWRRanks3242[[#This Row],[Player]],WR!B:O,13,FALSE)</f>
        <v>#N/A</v>
      </c>
      <c r="AO219" s="125" t="str">
        <f>IF(VLOOKUP(TableWRRanks3242[[#This Row],[RK]],'Ranks w Proj'!AD:AO,12,FALSE)&lt;0,0,VLOOKUP(TableWRRanks3242[[#This Row],[RK]],'Ranks w Proj'!AD:AO,12,FALSE))</f>
        <v/>
      </c>
    </row>
    <row r="220" spans="30:41" x14ac:dyDescent="0.2">
      <c r="AD220">
        <v>219</v>
      </c>
      <c r="AE220" t="e">
        <f>VLOOKUP(TableWRRanks3242[[#This Row],[RK]],Rankings!A:T,13,FALSE)</f>
        <v>#N/A</v>
      </c>
      <c r="AF220" t="str">
        <f>IFERROR(INDEX(TableWRCalcPts[TM],MATCH(TableWRRanks3242[[#This Row],[Player]],TableWRCalcPts[PLAYER],0)),"")</f>
        <v/>
      </c>
      <c r="AG220" t="str">
        <f>IFERROR(INDEX(TableWRCalcPts[BYE],MATCH(TableWRRanks3242[[#This Row],[Player]],TableWRCalcPts[PLAYER],0)),"")</f>
        <v/>
      </c>
      <c r="AH220" s="83" t="e">
        <f>VLOOKUP(TableWRRanks3242[[#This Row],[Player]],WR!B:O,4,FALSE)</f>
        <v>#N/A</v>
      </c>
      <c r="AI220" s="83" t="e">
        <f>VLOOKUP(TableWRRanks3242[[#This Row],[Player]],WR!B:O,5,FALSE)</f>
        <v>#N/A</v>
      </c>
      <c r="AJ220" s="83" t="e">
        <f>VLOOKUP(TableWRRanks3242[[#This Row],[Player]],WR!B:O,6,FALSE)</f>
        <v>#N/A</v>
      </c>
      <c r="AK220" s="83" t="e">
        <f>VLOOKUP(TableWRRanks3242[[#This Row],[Player]],WR!B:O,7,FALSE)</f>
        <v>#N/A</v>
      </c>
      <c r="AL220" s="83" t="e">
        <f>VLOOKUP(TableWRRanks3242[[#This Row],[Player]],WR!B:O,8,FALSE)</f>
        <v>#N/A</v>
      </c>
      <c r="AM220" s="83" t="e">
        <f>VLOOKUP(TableWRRanks3242[[#This Row],[Player]],WR!B:O,9,FALSE)</f>
        <v>#N/A</v>
      </c>
      <c r="AN220" s="57" t="e">
        <f>VLOOKUP(TableWRRanks3242[[#This Row],[Player]],WR!B:O,13,FALSE)</f>
        <v>#N/A</v>
      </c>
      <c r="AO220" s="125" t="str">
        <f>IF(VLOOKUP(TableWRRanks3242[[#This Row],[RK]],'Ranks w Proj'!AD:AO,12,FALSE)&lt;0,0,VLOOKUP(TableWRRanks3242[[#This Row],[RK]],'Ranks w Proj'!AD:AO,12,FALSE))</f>
        <v/>
      </c>
    </row>
    <row r="221" spans="30:41" x14ac:dyDescent="0.2">
      <c r="AD221">
        <v>220</v>
      </c>
      <c r="AE221" t="e">
        <f>VLOOKUP(TableWRRanks3242[[#This Row],[RK]],Rankings!A:T,13,FALSE)</f>
        <v>#N/A</v>
      </c>
      <c r="AF221" t="str">
        <f>IFERROR(INDEX(TableWRCalcPts[TM],MATCH(TableWRRanks3242[[#This Row],[Player]],TableWRCalcPts[PLAYER],0)),"")</f>
        <v/>
      </c>
      <c r="AG221" t="str">
        <f>IFERROR(INDEX(TableWRCalcPts[BYE],MATCH(TableWRRanks3242[[#This Row],[Player]],TableWRCalcPts[PLAYER],0)),"")</f>
        <v/>
      </c>
      <c r="AH221" s="83" t="e">
        <f>VLOOKUP(TableWRRanks3242[[#This Row],[Player]],WR!B:O,4,FALSE)</f>
        <v>#N/A</v>
      </c>
      <c r="AI221" s="83" t="e">
        <f>VLOOKUP(TableWRRanks3242[[#This Row],[Player]],WR!B:O,5,FALSE)</f>
        <v>#N/A</v>
      </c>
      <c r="AJ221" s="83" t="e">
        <f>VLOOKUP(TableWRRanks3242[[#This Row],[Player]],WR!B:O,6,FALSE)</f>
        <v>#N/A</v>
      </c>
      <c r="AK221" s="83" t="e">
        <f>VLOOKUP(TableWRRanks3242[[#This Row],[Player]],WR!B:O,7,FALSE)</f>
        <v>#N/A</v>
      </c>
      <c r="AL221" s="83" t="e">
        <f>VLOOKUP(TableWRRanks3242[[#This Row],[Player]],WR!B:O,8,FALSE)</f>
        <v>#N/A</v>
      </c>
      <c r="AM221" s="83" t="e">
        <f>VLOOKUP(TableWRRanks3242[[#This Row],[Player]],WR!B:O,9,FALSE)</f>
        <v>#N/A</v>
      </c>
      <c r="AN221" s="57" t="e">
        <f>VLOOKUP(TableWRRanks3242[[#This Row],[Player]],WR!B:O,13,FALSE)</f>
        <v>#N/A</v>
      </c>
      <c r="AO221" s="125" t="str">
        <f>IF(VLOOKUP(TableWRRanks3242[[#This Row],[RK]],'Ranks w Proj'!AD:AO,12,FALSE)&lt;0,0,VLOOKUP(TableWRRanks3242[[#This Row],[RK]],'Ranks w Proj'!AD:AO,12,FALSE))</f>
        <v/>
      </c>
    </row>
  </sheetData>
  <sheetProtection sheet="1" objects="1" scenarios="1" sort="0" autoFilter="0"/>
  <protectedRanges>
    <protectedRange sqref="A1:AZ239" name="QBRanks_1"/>
  </protectedRanges>
  <pageMargins left="0.7" right="0.7" top="0.75" bottom="0.75" header="0.3" footer="0.3"/>
  <pageSetup orientation="portrait" horizontalDpi="90" verticalDpi="90" r:id="rId1"/>
  <tableParts count="4"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0000"/>
  </sheetPr>
  <dimension ref="A1:AN64"/>
  <sheetViews>
    <sheetView showGridLines="0" zoomScale="85" zoomScaleNormal="85"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defaultColWidth="8.7109375" defaultRowHeight="12.75" x14ac:dyDescent="0.2"/>
  <cols>
    <col min="1" max="1" width="22.5703125" style="17" customWidth="1"/>
    <col min="2" max="3" width="8.7109375" style="18"/>
    <col min="4" max="13" width="8.7109375" style="23"/>
    <col min="14" max="15" width="8.7109375" style="18"/>
    <col min="16" max="16" width="4.7109375" style="18" customWidth="1"/>
    <col min="17" max="18" width="8.7109375" style="26"/>
    <col min="19" max="19" width="8.7109375" style="23"/>
    <col min="20" max="21" width="8.7109375" style="26"/>
    <col min="22" max="23" width="8.7109375" style="25"/>
    <col min="24" max="25" width="8.7109375" style="26"/>
    <col min="26" max="26" width="8.7109375" style="25"/>
    <col min="27" max="27" width="8.7109375" style="18"/>
    <col min="28" max="28" width="0" style="18" hidden="1" customWidth="1"/>
    <col min="29" max="29" width="8.7109375" style="26"/>
    <col min="30" max="30" width="4.7109375" style="17" customWidth="1"/>
    <col min="31" max="32" width="8.7109375" style="18"/>
    <col min="33" max="16384" width="8.7109375" style="17"/>
  </cols>
  <sheetData>
    <row r="1" spans="1:40" s="16" customFormat="1" ht="25.5" customHeight="1" x14ac:dyDescent="0.2">
      <c r="A1" s="16" t="s">
        <v>0</v>
      </c>
      <c r="B1" s="15" t="s">
        <v>8</v>
      </c>
      <c r="C1" s="16" t="s">
        <v>122</v>
      </c>
      <c r="D1" s="145" t="s">
        <v>210</v>
      </c>
      <c r="E1" s="145" t="s">
        <v>1</v>
      </c>
      <c r="F1" s="145" t="s">
        <v>213</v>
      </c>
      <c r="G1" s="145" t="s">
        <v>228</v>
      </c>
      <c r="H1" s="145" t="s">
        <v>2</v>
      </c>
      <c r="I1" s="145" t="s">
        <v>229</v>
      </c>
      <c r="J1" s="145" t="s">
        <v>217</v>
      </c>
      <c r="K1" s="145" t="s">
        <v>230</v>
      </c>
      <c r="L1" s="145" t="s">
        <v>219</v>
      </c>
      <c r="M1" s="145" t="s">
        <v>4</v>
      </c>
      <c r="N1" s="145" t="s">
        <v>223</v>
      </c>
      <c r="O1" s="145" t="s">
        <v>231</v>
      </c>
      <c r="Q1" s="149" t="s">
        <v>281</v>
      </c>
      <c r="R1" s="143" t="s">
        <v>232</v>
      </c>
      <c r="S1" s="144" t="s">
        <v>451</v>
      </c>
      <c r="T1" s="143" t="s">
        <v>205</v>
      </c>
      <c r="U1" s="143" t="s">
        <v>209</v>
      </c>
      <c r="V1" s="137" t="s">
        <v>280</v>
      </c>
      <c r="W1" s="151" t="s">
        <v>282</v>
      </c>
      <c r="X1" s="143" t="s">
        <v>233</v>
      </c>
      <c r="Y1" s="178" t="s">
        <v>234</v>
      </c>
      <c r="Z1" s="137" t="s">
        <v>235</v>
      </c>
      <c r="AA1" s="149" t="s">
        <v>236</v>
      </c>
      <c r="AB1" s="149" t="s">
        <v>237</v>
      </c>
      <c r="AC1" s="14" t="s">
        <v>262</v>
      </c>
      <c r="AE1" s="136" t="s">
        <v>283</v>
      </c>
      <c r="AF1" s="137" t="s">
        <v>284</v>
      </c>
      <c r="AG1" s="136" t="s">
        <v>285</v>
      </c>
      <c r="AH1" s="136" t="s">
        <v>450</v>
      </c>
      <c r="AN1" s="16" t="s">
        <v>87</v>
      </c>
    </row>
    <row r="2" spans="1:40" x14ac:dyDescent="0.2">
      <c r="A2" s="17" t="s">
        <v>85</v>
      </c>
      <c r="B2" s="18" t="s">
        <v>9</v>
      </c>
      <c r="C2" s="18">
        <f>VLOOKUP($AN$1,DST!C:D,2,FALSE)</f>
        <v>11</v>
      </c>
      <c r="D2" s="146">
        <f>D$32*Q2</f>
        <v>559.60424999999998</v>
      </c>
      <c r="E2" s="146">
        <f>D2*R2</f>
        <v>371.58671883620764</v>
      </c>
      <c r="F2" s="146">
        <f>E2*S2</f>
        <v>3930.5007768321898</v>
      </c>
      <c r="G2" s="146">
        <f>D2*T2</f>
        <v>23.615299350000001</v>
      </c>
      <c r="H2" s="146">
        <f>E2*U2</f>
        <v>7.2136997399817471</v>
      </c>
      <c r="I2" s="146">
        <f>D$35*W2</f>
        <v>81.721710000000002</v>
      </c>
      <c r="J2" s="146">
        <f>I2*V2</f>
        <v>451.92105630000003</v>
      </c>
      <c r="K2" s="146">
        <f>I2*X2</f>
        <v>4.2646741716559298</v>
      </c>
      <c r="L2" s="147"/>
      <c r="M2" s="147"/>
      <c r="N2" s="147"/>
      <c r="O2" s="147"/>
      <c r="Q2" s="150">
        <f>(AE2/SUM(AE$2:AE$25))</f>
        <v>0.93</v>
      </c>
      <c r="R2" s="19">
        <v>0.66401697062916809</v>
      </c>
      <c r="S2" s="107">
        <v>10.577613724038189</v>
      </c>
      <c r="T2" s="19">
        <v>4.2200000000000001E-2</v>
      </c>
      <c r="U2" s="19">
        <v>1.9413233504616958E-2</v>
      </c>
      <c r="V2" s="107">
        <v>5.53</v>
      </c>
      <c r="W2" s="150">
        <f>(AF2/SUM(AF$2:AF$20))*0.98</f>
        <v>0.1764</v>
      </c>
      <c r="X2" s="19">
        <v>5.218532715059352E-2</v>
      </c>
      <c r="Y2" s="21"/>
      <c r="Z2" s="22"/>
      <c r="AA2" s="1"/>
      <c r="AB2" s="1"/>
      <c r="AC2" s="1"/>
      <c r="AE2" s="19">
        <v>0.93</v>
      </c>
      <c r="AF2" s="19">
        <v>0.18</v>
      </c>
      <c r="AG2" s="168"/>
      <c r="AH2" s="168"/>
    </row>
    <row r="3" spans="1:40" x14ac:dyDescent="0.2">
      <c r="A3" s="17" t="s">
        <v>691</v>
      </c>
      <c r="B3" s="18" t="s">
        <v>9</v>
      </c>
      <c r="C3" s="18">
        <f>VLOOKUP($AN$1,DST!C:D,2,FALSE)</f>
        <v>11</v>
      </c>
      <c r="D3" s="146">
        <f>D$32*Q3</f>
        <v>42.120750000000001</v>
      </c>
      <c r="E3" s="146">
        <f t="shared" ref="E3:F4" si="0">D3*R3</f>
        <v>26.8730385</v>
      </c>
      <c r="F3" s="146">
        <f t="shared" si="0"/>
        <v>280.55452193999997</v>
      </c>
      <c r="G3" s="146">
        <f t="shared" ref="G3:G4" si="1">D3*T3</f>
        <v>1.6326024684650131</v>
      </c>
      <c r="H3" s="146">
        <f t="shared" ref="H3:H4" si="2">E3*U3</f>
        <v>0.64495292400000004</v>
      </c>
      <c r="I3" s="146">
        <f>D$35*W3</f>
        <v>0</v>
      </c>
      <c r="J3" s="146">
        <f>I3*V3</f>
        <v>0</v>
      </c>
      <c r="K3" s="146">
        <f>I3*X3</f>
        <v>0</v>
      </c>
      <c r="L3" s="147"/>
      <c r="M3" s="147"/>
      <c r="N3" s="147"/>
      <c r="O3" s="147"/>
      <c r="Q3" s="150">
        <f>(AE3/SUM(AE$2:AE$25))</f>
        <v>7.0000000000000007E-2</v>
      </c>
      <c r="R3" s="19">
        <v>0.63800000000000001</v>
      </c>
      <c r="S3" s="107">
        <v>10.44</v>
      </c>
      <c r="T3" s="19">
        <v>3.8760052194346327E-2</v>
      </c>
      <c r="U3" s="19">
        <v>2.4E-2</v>
      </c>
      <c r="V3" s="107">
        <v>3.9482758620689653</v>
      </c>
      <c r="W3" s="150">
        <f>(AF3/SUM(AF$2:AF$20))*0.98</f>
        <v>0</v>
      </c>
      <c r="X3" s="19">
        <v>3.4482758620689655E-2</v>
      </c>
      <c r="Y3" s="21"/>
      <c r="Z3" s="22"/>
      <c r="AA3" s="1"/>
      <c r="AB3" s="1"/>
      <c r="AC3" s="1"/>
      <c r="AE3" s="19">
        <v>7.0000000000000007E-2</v>
      </c>
      <c r="AF3" s="19">
        <v>0</v>
      </c>
      <c r="AG3" s="168"/>
      <c r="AH3" s="168"/>
    </row>
    <row r="4" spans="1:40" x14ac:dyDescent="0.2">
      <c r="B4" s="18" t="s">
        <v>9</v>
      </c>
      <c r="C4" s="18">
        <f>VLOOKUP($AN$1,DST!C:D,2,FALSE)</f>
        <v>11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>
        <v>0</v>
      </c>
      <c r="AF4" s="19">
        <v>0</v>
      </c>
      <c r="AG4" s="168"/>
      <c r="AH4" s="168"/>
    </row>
    <row r="5" spans="1:40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40" x14ac:dyDescent="0.2">
      <c r="A6" s="17" t="s">
        <v>65</v>
      </c>
      <c r="B6" s="18" t="s">
        <v>207</v>
      </c>
      <c r="C6" s="18">
        <f>VLOOKUP($AN$1,DST!C:D,2,FALSE)</f>
        <v>11</v>
      </c>
      <c r="D6" s="147"/>
      <c r="E6" s="147"/>
      <c r="F6" s="147"/>
      <c r="G6" s="147"/>
      <c r="H6" s="147"/>
      <c r="I6" s="146">
        <f t="shared" ref="I6:I11" si="3">D$35*W6</f>
        <v>204.30427500000002</v>
      </c>
      <c r="J6" s="146">
        <f>I6*V6</f>
        <v>907.11098100000015</v>
      </c>
      <c r="K6" s="146">
        <f>I6*X6</f>
        <v>7.2119409074999998</v>
      </c>
      <c r="L6" s="146">
        <f>((D$2+D$3+D$4)*AA6)</f>
        <v>50.123692500000004</v>
      </c>
      <c r="M6" s="146">
        <f t="shared" ref="M6:N11" si="4">L6*Y6</f>
        <v>40.499943540000004</v>
      </c>
      <c r="N6" s="146">
        <f t="shared" si="4"/>
        <v>275.47818585613362</v>
      </c>
      <c r="O6" s="146">
        <f>(M6*AH6)</f>
        <v>1.6604976851400002</v>
      </c>
      <c r="Q6" s="13"/>
      <c r="R6" s="139"/>
      <c r="S6" s="138"/>
      <c r="T6" s="139"/>
      <c r="U6" s="139"/>
      <c r="V6" s="107">
        <v>4.4400000000000004</v>
      </c>
      <c r="W6" s="150">
        <f t="shared" ref="W6:W11" si="5">(AF6/SUM(AF$2:AF$20))*0.98</f>
        <v>0.441</v>
      </c>
      <c r="X6" s="19">
        <v>3.5299999999999998E-2</v>
      </c>
      <c r="Y6" s="19">
        <v>0.80800000000000005</v>
      </c>
      <c r="Z6" s="20">
        <v>6.8019399973744656</v>
      </c>
      <c r="AA6" s="150">
        <f t="shared" ref="AA6:AA11" si="6">(AG6/SUM(AG$6:AG$25))*0.98</f>
        <v>8.3299999999999999E-2</v>
      </c>
      <c r="AB6" s="7">
        <v>6.8949109856088334E-2</v>
      </c>
      <c r="AC6" s="150">
        <f t="shared" ref="AC6:AC11" si="7">(AH6/SUM(AH$6:AH$25))*0.98</f>
        <v>5.4124490807841791E-2</v>
      </c>
      <c r="AE6" s="168"/>
      <c r="AF6" s="19">
        <v>0.45</v>
      </c>
      <c r="AG6" s="19">
        <v>8.5000000000000006E-2</v>
      </c>
      <c r="AH6" s="19">
        <v>4.1000000000000002E-2</v>
      </c>
    </row>
    <row r="7" spans="1:40" x14ac:dyDescent="0.2">
      <c r="A7" s="17" t="s">
        <v>594</v>
      </c>
      <c r="B7" s="18" t="s">
        <v>207</v>
      </c>
      <c r="C7" s="18">
        <f>VLOOKUP($AN$1,DST!C:D,2,FALSE)</f>
        <v>11</v>
      </c>
      <c r="D7" s="147"/>
      <c r="E7" s="147"/>
      <c r="F7" s="147"/>
      <c r="G7" s="147"/>
      <c r="H7" s="147"/>
      <c r="I7" s="146">
        <f t="shared" si="3"/>
        <v>147.09907800000002</v>
      </c>
      <c r="J7" s="146">
        <f>I7*V7</f>
        <v>647.23594320000018</v>
      </c>
      <c r="K7" s="146">
        <f>I7*X7</f>
        <v>4.898399297400001</v>
      </c>
      <c r="L7" s="146">
        <f>((D$2+D$3+D$4)*AA7)</f>
        <v>23.587620000000001</v>
      </c>
      <c r="M7" s="146">
        <f t="shared" si="4"/>
        <v>17.619952140000002</v>
      </c>
      <c r="N7" s="146">
        <f t="shared" si="4"/>
        <v>128.09008415144487</v>
      </c>
      <c r="O7" s="146">
        <f t="shared" ref="O7:O11" si="8">(M7*AH7)</f>
        <v>0.69665028805866713</v>
      </c>
      <c r="Q7" s="13"/>
      <c r="R7" s="139"/>
      <c r="S7" s="138"/>
      <c r="T7" s="139"/>
      <c r="U7" s="139"/>
      <c r="V7" s="107">
        <v>4.4000000000000004</v>
      </c>
      <c r="W7" s="150">
        <f t="shared" si="5"/>
        <v>0.31752000000000002</v>
      </c>
      <c r="X7" s="19">
        <v>3.3300000000000003E-2</v>
      </c>
      <c r="Y7" s="19">
        <v>0.74700000000000011</v>
      </c>
      <c r="Z7" s="20">
        <v>7.2696045445356621</v>
      </c>
      <c r="AA7" s="150">
        <f t="shared" si="6"/>
        <v>3.9199999999999999E-2</v>
      </c>
      <c r="AB7" s="7">
        <v>0.11375359040554218</v>
      </c>
      <c r="AC7" s="150">
        <f t="shared" si="7"/>
        <v>5.2193937779114657E-2</v>
      </c>
      <c r="AE7" s="168"/>
      <c r="AF7" s="19">
        <v>0.32400000000000001</v>
      </c>
      <c r="AG7" s="19">
        <v>0.04</v>
      </c>
      <c r="AH7" s="19">
        <v>3.953758117635086E-2</v>
      </c>
    </row>
    <row r="8" spans="1:40" x14ac:dyDescent="0.2">
      <c r="A8" s="17" t="s">
        <v>161</v>
      </c>
      <c r="B8" s="18" t="s">
        <v>207</v>
      </c>
      <c r="C8" s="18">
        <f>VLOOKUP($AN$1,DST!C:D,2,FALSE)</f>
        <v>11</v>
      </c>
      <c r="D8" s="147"/>
      <c r="E8" s="147"/>
      <c r="F8" s="147"/>
      <c r="G8" s="147"/>
      <c r="H8" s="147"/>
      <c r="I8" s="146">
        <f t="shared" ref="I8" si="9">D$35*W8</f>
        <v>9.5341995000000015</v>
      </c>
      <c r="J8" s="146">
        <f>I8*V8</f>
        <v>39.259643773836316</v>
      </c>
      <c r="K8" s="146">
        <f>I8*X8</f>
        <v>0.28602598500000004</v>
      </c>
      <c r="L8" s="146">
        <f>((D$2+D$3+D$4)*AA8)</f>
        <v>5.8969050000000003</v>
      </c>
      <c r="M8" s="146">
        <f t="shared" ref="M8" si="10">L8*Y8</f>
        <v>4.4226787500000002</v>
      </c>
      <c r="N8" s="146">
        <f t="shared" ref="N8" si="11">M8*Z8</f>
        <v>29.094790592495798</v>
      </c>
      <c r="O8" s="146">
        <f t="shared" ref="O8" si="12">(M8*AH8)</f>
        <v>0.17690715000000001</v>
      </c>
      <c r="Q8" s="13"/>
      <c r="R8" s="139"/>
      <c r="S8" s="138"/>
      <c r="T8" s="139"/>
      <c r="U8" s="139"/>
      <c r="V8" s="107">
        <v>4.1177703250111675</v>
      </c>
      <c r="W8" s="150">
        <f t="shared" ref="W8:W10" si="13">(AF8/SUM(AF$2:AF$20))*0.98</f>
        <v>2.0580000000000001E-2</v>
      </c>
      <c r="X8" s="19">
        <v>0.03</v>
      </c>
      <c r="Y8" s="19">
        <v>0.75</v>
      </c>
      <c r="Z8" s="20">
        <v>6.5785448677446441</v>
      </c>
      <c r="AA8" s="150">
        <f t="shared" ref="AA8" si="14">(AG8/SUM(AG$6:AG$25))*0.98</f>
        <v>9.7999999999999997E-3</v>
      </c>
      <c r="AB8" s="7">
        <v>0.11375359040554218</v>
      </c>
      <c r="AC8" s="150">
        <f t="shared" ref="AC8" si="15">(AH8/SUM(AH$6:AH$25))*0.98</f>
        <v>5.280438127594321E-2</v>
      </c>
      <c r="AE8" s="168"/>
      <c r="AF8" s="19">
        <v>2.1000000000000001E-2</v>
      </c>
      <c r="AG8" s="19">
        <v>0.01</v>
      </c>
      <c r="AH8" s="19">
        <v>0.04</v>
      </c>
    </row>
    <row r="9" spans="1:40" x14ac:dyDescent="0.2">
      <c r="A9" s="17" t="s">
        <v>704</v>
      </c>
      <c r="B9" s="18" t="s">
        <v>207</v>
      </c>
      <c r="C9" s="18">
        <f>VLOOKUP($AN$1,DST!C:D,2,FALSE)</f>
        <v>11</v>
      </c>
      <c r="D9" s="147"/>
      <c r="E9" s="147"/>
      <c r="F9" s="147"/>
      <c r="G9" s="147"/>
      <c r="H9" s="147"/>
      <c r="I9" s="146">
        <f t="shared" si="3"/>
        <v>6.8101425000000004</v>
      </c>
      <c r="J9" s="146">
        <f t="shared" ref="J9:J11" si="16">I9*V9</f>
        <v>27.989685675000004</v>
      </c>
      <c r="K9" s="146">
        <f t="shared" ref="K9:K11" si="17">I9*X9</f>
        <v>0.20430427500000001</v>
      </c>
      <c r="L9" s="146">
        <f t="shared" ref="L9:L11" si="18">((D$2+D$3+D$4)*AA9)</f>
        <v>5.8969050000000003</v>
      </c>
      <c r="M9" s="146">
        <f t="shared" si="4"/>
        <v>4.5406168500000001</v>
      </c>
      <c r="N9" s="146">
        <f t="shared" si="4"/>
        <v>30.694569906000002</v>
      </c>
      <c r="O9" s="146">
        <f t="shared" si="8"/>
        <v>0.18162467400000001</v>
      </c>
      <c r="Q9" s="13"/>
      <c r="R9" s="139"/>
      <c r="S9" s="138"/>
      <c r="T9" s="139"/>
      <c r="U9" s="139"/>
      <c r="V9" s="107">
        <v>4.1100000000000003</v>
      </c>
      <c r="W9" s="150">
        <f t="shared" si="13"/>
        <v>1.47E-2</v>
      </c>
      <c r="X9" s="19">
        <v>0.03</v>
      </c>
      <c r="Y9" s="19">
        <v>0.77</v>
      </c>
      <c r="Z9" s="20">
        <v>6.76</v>
      </c>
      <c r="AA9" s="150">
        <f t="shared" si="6"/>
        <v>9.7999999999999997E-3</v>
      </c>
      <c r="AB9" s="7">
        <v>4.7188203192819848E-3</v>
      </c>
      <c r="AC9" s="150">
        <f t="shared" si="7"/>
        <v>5.280438127594321E-2</v>
      </c>
      <c r="AE9" s="168"/>
      <c r="AF9" s="19">
        <v>1.4999999999999999E-2</v>
      </c>
      <c r="AG9" s="19">
        <v>0.01</v>
      </c>
      <c r="AH9" s="19">
        <v>0.04</v>
      </c>
    </row>
    <row r="10" spans="1:40" x14ac:dyDescent="0.2">
      <c r="B10" s="18" t="s">
        <v>207</v>
      </c>
      <c r="C10" s="18">
        <f>VLOOKUP($AN$1,DST!C:D,2,FALSE)</f>
        <v>11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16"/>
        <v>0</v>
      </c>
      <c r="K10" s="146">
        <f t="shared" si="17"/>
        <v>0</v>
      </c>
      <c r="L10" s="146">
        <f t="shared" si="18"/>
        <v>0</v>
      </c>
      <c r="M10" s="146">
        <f t="shared" si="4"/>
        <v>0</v>
      </c>
      <c r="N10" s="146">
        <f t="shared" si="4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13"/>
        <v>0</v>
      </c>
      <c r="X10" s="19">
        <v>0</v>
      </c>
      <c r="Y10" s="19">
        <v>0</v>
      </c>
      <c r="Z10" s="20">
        <v>0</v>
      </c>
      <c r="AA10" s="150">
        <f t="shared" si="6"/>
        <v>0</v>
      </c>
      <c r="AB10" s="7"/>
      <c r="AC10" s="150">
        <f t="shared" si="7"/>
        <v>0</v>
      </c>
      <c r="AE10" s="168"/>
      <c r="AF10" s="19">
        <v>0</v>
      </c>
      <c r="AG10" s="19">
        <v>0</v>
      </c>
      <c r="AH10" s="19">
        <v>0</v>
      </c>
    </row>
    <row r="11" spans="1:40" x14ac:dyDescent="0.2">
      <c r="B11" s="18" t="s">
        <v>207</v>
      </c>
      <c r="C11" s="18">
        <f>VLOOKUP($AN$1,DST!C:D,2,FALSE)</f>
        <v>11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16"/>
        <v>0</v>
      </c>
      <c r="K11" s="146">
        <f t="shared" si="17"/>
        <v>0</v>
      </c>
      <c r="L11" s="146">
        <f t="shared" si="18"/>
        <v>0</v>
      </c>
      <c r="M11" s="146">
        <f t="shared" si="4"/>
        <v>0</v>
      </c>
      <c r="N11" s="146">
        <f t="shared" si="4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5"/>
        <v>0</v>
      </c>
      <c r="X11" s="19">
        <v>0</v>
      </c>
      <c r="Y11" s="19">
        <v>0</v>
      </c>
      <c r="Z11" s="20">
        <v>0</v>
      </c>
      <c r="AA11" s="150">
        <f t="shared" si="6"/>
        <v>0</v>
      </c>
      <c r="AB11" s="7"/>
      <c r="AC11" s="150">
        <f t="shared" si="7"/>
        <v>0</v>
      </c>
      <c r="AE11" s="168"/>
      <c r="AF11" s="19">
        <v>0</v>
      </c>
      <c r="AG11" s="19">
        <v>0</v>
      </c>
      <c r="AH11" s="19">
        <v>0</v>
      </c>
    </row>
    <row r="12" spans="1:40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40" x14ac:dyDescent="0.2">
      <c r="A13" s="17" t="s">
        <v>577</v>
      </c>
      <c r="B13" s="18" t="s">
        <v>208</v>
      </c>
      <c r="C13" s="18">
        <f>VLOOKUP($AN$1,DST!C:D,2,FALSE)</f>
        <v>11</v>
      </c>
      <c r="D13" s="147"/>
      <c r="E13" s="147"/>
      <c r="F13" s="147"/>
      <c r="G13" s="147"/>
      <c r="H13" s="147"/>
      <c r="I13" s="146">
        <f t="shared" ref="I13:I20" si="19">D$35*W13</f>
        <v>0</v>
      </c>
      <c r="J13" s="146">
        <f t="shared" ref="J13:J20" si="20">I13*V13</f>
        <v>0</v>
      </c>
      <c r="K13" s="146">
        <f t="shared" ref="K13:K20" si="21">I13*X13</f>
        <v>0</v>
      </c>
      <c r="L13" s="146">
        <f t="shared" ref="L13:L20" si="22">((D$2+D$3+D$4)*AA13)</f>
        <v>137.98757700000002</v>
      </c>
      <c r="M13" s="146">
        <f t="shared" ref="M13:N20" si="23">L13*Y13</f>
        <v>86.380223201999996</v>
      </c>
      <c r="N13" s="146">
        <f t="shared" si="23"/>
        <v>1130.7171217141799</v>
      </c>
      <c r="O13" s="146">
        <f t="shared" ref="O13:O20" si="24">(M13*AH13)</f>
        <v>6.644399453026943</v>
      </c>
      <c r="Q13" s="13"/>
      <c r="R13" s="139"/>
      <c r="S13" s="138"/>
      <c r="T13" s="139"/>
      <c r="U13" s="139"/>
      <c r="V13" s="107">
        <v>5.0199999999999996</v>
      </c>
      <c r="W13" s="150">
        <f t="shared" ref="W13:W20" si="25">(AF13/SUM(AF$2:AF$20))*0.98</f>
        <v>0</v>
      </c>
      <c r="X13" s="19">
        <v>0</v>
      </c>
      <c r="Y13" s="19">
        <v>0.62599999999999989</v>
      </c>
      <c r="Z13" s="20">
        <v>13.09</v>
      </c>
      <c r="AA13" s="150">
        <f t="shared" ref="AA13:AA20" si="26">(AG13/SUM(AG$6:AG$25))*0.98</f>
        <v>0.22932</v>
      </c>
      <c r="AB13" s="7">
        <v>0.26977139264554484</v>
      </c>
      <c r="AC13" s="150">
        <f t="shared" ref="AC13:AC20" si="27">(AH13/SUM(AH$6:AH$25))*0.98</f>
        <v>0.10154332469332511</v>
      </c>
      <c r="AE13" s="168"/>
      <c r="AF13" s="19">
        <v>0</v>
      </c>
      <c r="AG13" s="19">
        <v>0.23400000000000001</v>
      </c>
      <c r="AH13" s="19">
        <v>7.6920378377455995E-2</v>
      </c>
    </row>
    <row r="14" spans="1:40" x14ac:dyDescent="0.2">
      <c r="A14" s="17" t="s">
        <v>472</v>
      </c>
      <c r="B14" s="18" t="s">
        <v>208</v>
      </c>
      <c r="C14" s="18">
        <f>VLOOKUP($AN$1,DST!C:D,2,FALSE)</f>
        <v>11</v>
      </c>
      <c r="D14" s="147"/>
      <c r="E14" s="147"/>
      <c r="F14" s="147"/>
      <c r="G14" s="147"/>
      <c r="H14" s="147"/>
      <c r="I14" s="146">
        <f t="shared" si="19"/>
        <v>0</v>
      </c>
      <c r="J14" s="146">
        <f t="shared" si="20"/>
        <v>0</v>
      </c>
      <c r="K14" s="146">
        <f t="shared" si="21"/>
        <v>0</v>
      </c>
      <c r="L14" s="146">
        <f t="shared" si="22"/>
        <v>82.556670000000011</v>
      </c>
      <c r="M14" s="146">
        <f t="shared" si="23"/>
        <v>49.781672010000008</v>
      </c>
      <c r="N14" s="146">
        <f t="shared" si="23"/>
        <v>619.78181652450007</v>
      </c>
      <c r="O14" s="146">
        <f t="shared" si="24"/>
        <v>3.7336254007500003</v>
      </c>
      <c r="Q14" s="13"/>
      <c r="R14" s="139"/>
      <c r="S14" s="138"/>
      <c r="T14" s="139"/>
      <c r="U14" s="139"/>
      <c r="V14" s="107">
        <v>5.0199999999999996</v>
      </c>
      <c r="W14" s="150">
        <f t="shared" si="25"/>
        <v>0</v>
      </c>
      <c r="X14" s="19">
        <v>0</v>
      </c>
      <c r="Y14" s="19">
        <v>0.60299999999999998</v>
      </c>
      <c r="Z14" s="20">
        <v>12.45</v>
      </c>
      <c r="AA14" s="150">
        <f t="shared" si="26"/>
        <v>0.13720000000000002</v>
      </c>
      <c r="AB14" s="7">
        <v>0.26977139264554484</v>
      </c>
      <c r="AC14" s="150">
        <f t="shared" si="27"/>
        <v>9.9008214892393517E-2</v>
      </c>
      <c r="AE14" s="168"/>
      <c r="AF14" s="19">
        <v>0</v>
      </c>
      <c r="AG14" s="19">
        <v>0.14000000000000001</v>
      </c>
      <c r="AH14" s="19">
        <v>7.4999999999999997E-2</v>
      </c>
    </row>
    <row r="15" spans="1:40" x14ac:dyDescent="0.2">
      <c r="A15" s="17" t="s">
        <v>463</v>
      </c>
      <c r="B15" s="18" t="s">
        <v>208</v>
      </c>
      <c r="C15" s="18">
        <f>VLOOKUP($AN$1,DST!C:D,2,FALSE)</f>
        <v>11</v>
      </c>
      <c r="D15" s="147"/>
      <c r="E15" s="147"/>
      <c r="F15" s="147"/>
      <c r="G15" s="147"/>
      <c r="H15" s="147"/>
      <c r="I15" s="146">
        <f t="shared" si="19"/>
        <v>4.540095</v>
      </c>
      <c r="J15" s="146">
        <f t="shared" si="20"/>
        <v>22.7912769</v>
      </c>
      <c r="K15" s="146">
        <f t="shared" si="21"/>
        <v>1.8917865093866917E-2</v>
      </c>
      <c r="L15" s="146">
        <f t="shared" si="22"/>
        <v>89.043265500000004</v>
      </c>
      <c r="M15" s="146">
        <f t="shared" si="23"/>
        <v>57.878122575000006</v>
      </c>
      <c r="N15" s="146">
        <f t="shared" si="23"/>
        <v>613.56250624091058</v>
      </c>
      <c r="O15" s="146">
        <f t="shared" si="24"/>
        <v>3.7041998448000006</v>
      </c>
      <c r="Q15" s="13"/>
      <c r="R15" s="139"/>
      <c r="S15" s="138"/>
      <c r="T15" s="139"/>
      <c r="U15" s="139"/>
      <c r="V15" s="107">
        <v>5.0199999999999996</v>
      </c>
      <c r="W15" s="150">
        <f t="shared" si="25"/>
        <v>9.7999999999999997E-3</v>
      </c>
      <c r="X15" s="19">
        <v>4.1668434457576148E-3</v>
      </c>
      <c r="Y15" s="19">
        <v>0.65</v>
      </c>
      <c r="Z15" s="20">
        <v>10.600940026101227</v>
      </c>
      <c r="AA15" s="150">
        <f t="shared" si="26"/>
        <v>0.14798</v>
      </c>
      <c r="AB15" s="7">
        <v>0.12971605405131142</v>
      </c>
      <c r="AC15" s="150">
        <f t="shared" si="27"/>
        <v>8.4487010041509145E-2</v>
      </c>
      <c r="AE15" s="168"/>
      <c r="AF15" s="19">
        <v>0.01</v>
      </c>
      <c r="AG15" s="19">
        <v>0.151</v>
      </c>
      <c r="AH15" s="19">
        <v>6.4000000000000001E-2</v>
      </c>
    </row>
    <row r="16" spans="1:40" x14ac:dyDescent="0.2">
      <c r="A16" s="17" t="s">
        <v>641</v>
      </c>
      <c r="B16" s="18" t="s">
        <v>208</v>
      </c>
      <c r="C16" s="18">
        <f>VLOOKUP($AN$1,DST!C:D,2,FALSE)</f>
        <v>11</v>
      </c>
      <c r="D16" s="147"/>
      <c r="E16" s="147"/>
      <c r="F16" s="147"/>
      <c r="G16" s="147"/>
      <c r="H16" s="147"/>
      <c r="I16" s="146">
        <f t="shared" si="19"/>
        <v>0</v>
      </c>
      <c r="J16" s="146">
        <f t="shared" si="20"/>
        <v>0</v>
      </c>
      <c r="K16" s="146">
        <f t="shared" si="21"/>
        <v>0</v>
      </c>
      <c r="L16" s="146">
        <f t="shared" si="22"/>
        <v>30.663906000000001</v>
      </c>
      <c r="M16" s="146">
        <f t="shared" si="23"/>
        <v>17.723737667999995</v>
      </c>
      <c r="N16" s="146">
        <f t="shared" si="23"/>
        <v>185.05164488064284</v>
      </c>
      <c r="O16" s="146">
        <f t="shared" si="24"/>
        <v>1.1874904237559998</v>
      </c>
      <c r="Q16" s="13"/>
      <c r="R16" s="139"/>
      <c r="S16" s="138"/>
      <c r="T16" s="139"/>
      <c r="U16" s="139"/>
      <c r="V16" s="107">
        <v>0</v>
      </c>
      <c r="W16" s="150">
        <f t="shared" si="25"/>
        <v>0</v>
      </c>
      <c r="X16" s="19">
        <v>0</v>
      </c>
      <c r="Y16" s="19">
        <v>0.57799999999999985</v>
      </c>
      <c r="Z16" s="20">
        <v>10.44089279287582</v>
      </c>
      <c r="AA16" s="150">
        <f t="shared" si="26"/>
        <v>5.0959999999999998E-2</v>
      </c>
      <c r="AB16" s="7">
        <v>2.8390581729766013E-2</v>
      </c>
      <c r="AC16" s="150">
        <f t="shared" si="27"/>
        <v>8.8447338637204886E-2</v>
      </c>
      <c r="AE16" s="168"/>
      <c r="AF16" s="19">
        <v>0</v>
      </c>
      <c r="AG16" s="19">
        <v>5.1999999999999998E-2</v>
      </c>
      <c r="AH16" s="19">
        <v>6.7000000000000004E-2</v>
      </c>
    </row>
    <row r="17" spans="1:34" x14ac:dyDescent="0.2">
      <c r="A17" s="17" t="s">
        <v>536</v>
      </c>
      <c r="B17" s="18" t="s">
        <v>208</v>
      </c>
      <c r="C17" s="18">
        <f>VLOOKUP($AN$1,DST!C:D,2,FALSE)</f>
        <v>11</v>
      </c>
      <c r="D17" s="147"/>
      <c r="E17" s="147"/>
      <c r="F17" s="147"/>
      <c r="G17" s="147"/>
      <c r="H17" s="147"/>
      <c r="I17" s="146">
        <f t="shared" si="19"/>
        <v>0</v>
      </c>
      <c r="J17" s="146">
        <f t="shared" si="20"/>
        <v>0</v>
      </c>
      <c r="K17" s="146">
        <f t="shared" si="21"/>
        <v>0</v>
      </c>
      <c r="L17" s="146">
        <f t="shared" si="22"/>
        <v>12.973191</v>
      </c>
      <c r="M17" s="146">
        <f t="shared" si="23"/>
        <v>7.7839145999999992</v>
      </c>
      <c r="N17" s="146">
        <f t="shared" si="23"/>
        <v>86.479291205999985</v>
      </c>
      <c r="O17" s="146">
        <f t="shared" si="24"/>
        <v>0.40409979546640457</v>
      </c>
      <c r="Q17" s="13"/>
      <c r="R17" s="139"/>
      <c r="S17" s="138"/>
      <c r="T17" s="139"/>
      <c r="U17" s="139"/>
      <c r="V17" s="107">
        <v>5.0199999999999996</v>
      </c>
      <c r="W17" s="150">
        <f t="shared" si="25"/>
        <v>0</v>
      </c>
      <c r="X17" s="19">
        <v>0</v>
      </c>
      <c r="Y17" s="19">
        <v>0.6</v>
      </c>
      <c r="Z17" s="20">
        <v>11.11</v>
      </c>
      <c r="AA17" s="150">
        <f t="shared" si="26"/>
        <v>2.1559999999999999E-2</v>
      </c>
      <c r="AB17" s="7">
        <v>0.12797452401887696</v>
      </c>
      <c r="AC17" s="150">
        <f t="shared" si="27"/>
        <v>6.8533124943774101E-2</v>
      </c>
      <c r="AE17" s="168"/>
      <c r="AF17" s="19">
        <v>0</v>
      </c>
      <c r="AG17" s="19">
        <v>2.1999999999999999E-2</v>
      </c>
      <c r="AH17" s="19">
        <v>5.1914726231246759E-2</v>
      </c>
    </row>
    <row r="18" spans="1:34" x14ac:dyDescent="0.2">
      <c r="A18" s="17" t="s">
        <v>440</v>
      </c>
      <c r="B18" s="18" t="s">
        <v>208</v>
      </c>
      <c r="C18" s="18">
        <f>VLOOKUP($AN$1,DST!C:D,2,FALSE)</f>
        <v>11</v>
      </c>
      <c r="D18" s="147"/>
      <c r="E18" s="147"/>
      <c r="F18" s="147"/>
      <c r="G18" s="147"/>
      <c r="H18" s="147"/>
      <c r="I18" s="146">
        <f t="shared" si="19"/>
        <v>0</v>
      </c>
      <c r="J18" s="146">
        <f t="shared" si="20"/>
        <v>0</v>
      </c>
      <c r="K18" s="146">
        <f t="shared" si="21"/>
        <v>0</v>
      </c>
      <c r="L18" s="146">
        <f t="shared" si="22"/>
        <v>8.2556670000000008</v>
      </c>
      <c r="M18" s="146">
        <f t="shared" si="23"/>
        <v>4.7965425269999988</v>
      </c>
      <c r="N18" s="146">
        <f t="shared" si="23"/>
        <v>52.522140670649982</v>
      </c>
      <c r="O18" s="146">
        <f t="shared" si="24"/>
        <v>0.28779255161999989</v>
      </c>
      <c r="Q18" s="13"/>
      <c r="R18" s="139"/>
      <c r="S18" s="138"/>
      <c r="T18" s="139"/>
      <c r="U18" s="139"/>
      <c r="V18" s="107">
        <v>5.0199999999999996</v>
      </c>
      <c r="W18" s="150">
        <f t="shared" si="25"/>
        <v>0</v>
      </c>
      <c r="X18" s="19">
        <v>0</v>
      </c>
      <c r="Y18" s="19">
        <v>0.58099999999999985</v>
      </c>
      <c r="Z18" s="20">
        <v>10.95</v>
      </c>
      <c r="AA18" s="150">
        <f t="shared" si="26"/>
        <v>1.372E-2</v>
      </c>
      <c r="AB18" s="7">
        <v>0.10081793453823511</v>
      </c>
      <c r="AC18" s="150">
        <f t="shared" si="27"/>
        <v>7.9206571913914808E-2</v>
      </c>
      <c r="AE18" s="168"/>
      <c r="AF18" s="19">
        <v>0</v>
      </c>
      <c r="AG18" s="19">
        <v>1.4E-2</v>
      </c>
      <c r="AH18" s="19">
        <v>0.06</v>
      </c>
    </row>
    <row r="19" spans="1:34" x14ac:dyDescent="0.2">
      <c r="B19" s="18" t="s">
        <v>208</v>
      </c>
      <c r="C19" s="18">
        <f>VLOOKUP($AN$1,DST!C:D,2,FALSE)</f>
        <v>11</v>
      </c>
      <c r="D19" s="147"/>
      <c r="E19" s="147"/>
      <c r="F19" s="147"/>
      <c r="G19" s="147"/>
      <c r="H19" s="147"/>
      <c r="I19" s="146">
        <f t="shared" si="19"/>
        <v>0</v>
      </c>
      <c r="J19" s="146">
        <f t="shared" si="20"/>
        <v>0</v>
      </c>
      <c r="K19" s="146">
        <f t="shared" si="21"/>
        <v>0</v>
      </c>
      <c r="L19" s="146">
        <f t="shared" si="22"/>
        <v>0</v>
      </c>
      <c r="M19" s="146">
        <f t="shared" si="23"/>
        <v>0</v>
      </c>
      <c r="N19" s="146">
        <f t="shared" si="23"/>
        <v>0</v>
      </c>
      <c r="O19" s="146">
        <f t="shared" si="24"/>
        <v>0</v>
      </c>
      <c r="Q19" s="13"/>
      <c r="R19" s="139"/>
      <c r="S19" s="138"/>
      <c r="T19" s="139"/>
      <c r="U19" s="139"/>
      <c r="V19" s="107">
        <v>0</v>
      </c>
      <c r="W19" s="150">
        <f t="shared" si="25"/>
        <v>0</v>
      </c>
      <c r="X19" s="19">
        <v>0</v>
      </c>
      <c r="Y19" s="19">
        <v>0</v>
      </c>
      <c r="Z19" s="20">
        <v>0</v>
      </c>
      <c r="AA19" s="150">
        <f t="shared" si="26"/>
        <v>0</v>
      </c>
      <c r="AB19" s="7"/>
      <c r="AC19" s="150">
        <f t="shared" si="27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208</v>
      </c>
      <c r="C20" s="18">
        <f>VLOOKUP($AN$1,DST!C:D,2,FALSE)</f>
        <v>11</v>
      </c>
      <c r="D20" s="147"/>
      <c r="E20" s="147"/>
      <c r="F20" s="147"/>
      <c r="G20" s="147"/>
      <c r="H20" s="147"/>
      <c r="I20" s="146">
        <f t="shared" si="19"/>
        <v>0</v>
      </c>
      <c r="J20" s="146">
        <f t="shared" si="20"/>
        <v>0</v>
      </c>
      <c r="K20" s="146">
        <f t="shared" si="21"/>
        <v>0</v>
      </c>
      <c r="L20" s="146">
        <f t="shared" si="22"/>
        <v>0</v>
      </c>
      <c r="M20" s="146">
        <f t="shared" si="23"/>
        <v>0</v>
      </c>
      <c r="N20" s="146">
        <f t="shared" si="23"/>
        <v>0</v>
      </c>
      <c r="O20" s="146">
        <f t="shared" si="24"/>
        <v>0</v>
      </c>
      <c r="Q20" s="13"/>
      <c r="R20" s="139"/>
      <c r="S20" s="138"/>
      <c r="T20" s="139"/>
      <c r="U20" s="139"/>
      <c r="V20" s="107">
        <v>0</v>
      </c>
      <c r="W20" s="150">
        <f t="shared" si="25"/>
        <v>0</v>
      </c>
      <c r="X20" s="19">
        <v>0</v>
      </c>
      <c r="Y20" s="19">
        <v>0</v>
      </c>
      <c r="Z20" s="20">
        <v>0</v>
      </c>
      <c r="AA20" s="150">
        <f t="shared" si="26"/>
        <v>0</v>
      </c>
      <c r="AB20" s="7"/>
      <c r="AC20" s="150">
        <f t="shared" si="27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448</v>
      </c>
      <c r="B22" s="18" t="s">
        <v>10</v>
      </c>
      <c r="C22" s="18">
        <f>VLOOKUP($AN$1,DST!C:D,2,FALSE)</f>
        <v>11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122.0659335</v>
      </c>
      <c r="M22" s="146">
        <f t="shared" ref="M22:N25" si="28">L22*Y22</f>
        <v>88.986065521499981</v>
      </c>
      <c r="N22" s="146">
        <f t="shared" si="28"/>
        <v>913.88689290580476</v>
      </c>
      <c r="O22" s="146">
        <f t="shared" ref="O22:O25" si="29">(M22*AH22)</f>
        <v>5.6951081933759991</v>
      </c>
      <c r="Q22" s="13"/>
      <c r="R22" s="139"/>
      <c r="S22" s="138"/>
      <c r="T22" s="139"/>
      <c r="U22" s="139"/>
      <c r="V22" s="140"/>
      <c r="W22" s="154"/>
      <c r="X22" s="139"/>
      <c r="Y22" s="19">
        <v>0.72899999999999987</v>
      </c>
      <c r="Z22" s="20">
        <v>10.27</v>
      </c>
      <c r="AA22" s="150">
        <f>(AG22/SUM(AG$6:AG$25))*0.98</f>
        <v>0.20285999999999998</v>
      </c>
      <c r="AB22" s="7">
        <v>4.7611960208794789E-2</v>
      </c>
      <c r="AC22" s="150">
        <f>(AH22/SUM(AH$6:AH$25))*0.98</f>
        <v>8.4487010041509145E-2</v>
      </c>
      <c r="AE22" s="168"/>
      <c r="AF22" s="168"/>
      <c r="AG22" s="19">
        <v>0.20699999999999999</v>
      </c>
      <c r="AH22" s="19">
        <v>6.4000000000000001E-2</v>
      </c>
    </row>
    <row r="23" spans="1:34" x14ac:dyDescent="0.2">
      <c r="A23" s="17" t="s">
        <v>593</v>
      </c>
      <c r="B23" s="18" t="s">
        <v>10</v>
      </c>
      <c r="C23" s="18">
        <f>VLOOKUP($AN$1,DST!C:D,2,FALSE)</f>
        <v>11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5.8969050000000003</v>
      </c>
      <c r="M23" s="146">
        <f t="shared" si="28"/>
        <v>3.9686170649999997</v>
      </c>
      <c r="N23" s="146">
        <f t="shared" si="28"/>
        <v>38.256669855700601</v>
      </c>
      <c r="O23" s="146">
        <f t="shared" si="29"/>
        <v>0.25796010922500001</v>
      </c>
      <c r="Q23" s="13"/>
      <c r="R23" s="139"/>
      <c r="S23" s="138"/>
      <c r="T23" s="139"/>
      <c r="U23" s="139"/>
      <c r="V23" s="140"/>
      <c r="W23" s="154"/>
      <c r="X23" s="139"/>
      <c r="Y23" s="19">
        <v>0.67299999999999993</v>
      </c>
      <c r="Z23" s="20">
        <v>9.6397987583870357</v>
      </c>
      <c r="AA23" s="150">
        <f>(AG23/SUM(AG$6:AG$25))*0.98</f>
        <v>9.7999999999999997E-3</v>
      </c>
      <c r="AB23" s="7">
        <v>2.8953817101297047E-2</v>
      </c>
      <c r="AC23" s="150">
        <f>(AH23/SUM(AH$6:AH$25))*0.98</f>
        <v>8.5807119573407725E-2</v>
      </c>
      <c r="AE23" s="168"/>
      <c r="AF23" s="168"/>
      <c r="AG23" s="19">
        <v>0.01</v>
      </c>
      <c r="AH23" s="19">
        <v>6.5000000000000002E-2</v>
      </c>
    </row>
    <row r="24" spans="1:34" x14ac:dyDescent="0.2">
      <c r="A24" s="17" t="s">
        <v>548</v>
      </c>
      <c r="B24" s="18" t="s">
        <v>10</v>
      </c>
      <c r="C24" s="18">
        <f>VLOOKUP($AN$1,DST!C:D,2,FALSE)</f>
        <v>11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14.742262500000001</v>
      </c>
      <c r="M24" s="146">
        <f t="shared" ref="M24" si="30">L24*Y24</f>
        <v>9.8773158750000007</v>
      </c>
      <c r="N24" s="146">
        <f t="shared" ref="N24" si="31">M24*Z24</f>
        <v>99.563344020000002</v>
      </c>
      <c r="O24" s="146">
        <f t="shared" ref="O24" si="32">(M24*AH24)</f>
        <v>0.57278511638731122</v>
      </c>
      <c r="Q24" s="13"/>
      <c r="R24" s="139"/>
      <c r="S24" s="138"/>
      <c r="T24" s="139"/>
      <c r="U24" s="139"/>
      <c r="V24" s="140"/>
      <c r="W24" s="154"/>
      <c r="X24" s="139"/>
      <c r="Y24" s="19">
        <v>0.67</v>
      </c>
      <c r="Z24" s="20">
        <v>10.08</v>
      </c>
      <c r="AA24" s="150">
        <f>(AG24/SUM(AG$6:AG$25))*0.98</f>
        <v>2.4500000000000001E-2</v>
      </c>
      <c r="AB24" s="7">
        <v>2.8953817101297047E-2</v>
      </c>
      <c r="AC24" s="150">
        <f>(AH24/SUM(AH$6:AH$25))*0.98</f>
        <v>7.6553094124118731E-2</v>
      </c>
      <c r="AE24" s="168"/>
      <c r="AF24" s="168"/>
      <c r="AG24" s="19">
        <v>2.5000000000000001E-2</v>
      </c>
      <c r="AH24" s="19">
        <v>5.7989956344016505E-2</v>
      </c>
    </row>
    <row r="25" spans="1:34" x14ac:dyDescent="0.2">
      <c r="B25" s="18" t="s">
        <v>10</v>
      </c>
      <c r="C25" s="18">
        <f>VLOOKUP($AN$1,DST!C:D,2,FALSE)</f>
        <v>11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28"/>
        <v>0</v>
      </c>
      <c r="N25" s="146">
        <f t="shared" si="28"/>
        <v>0</v>
      </c>
      <c r="O25" s="146">
        <f t="shared" si="29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/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8" t="s">
        <v>264</v>
      </c>
      <c r="X27" s="30"/>
      <c r="Y27" s="30"/>
      <c r="Z27" s="31"/>
      <c r="AA27" s="8" t="s">
        <v>264</v>
      </c>
      <c r="AB27" s="8" t="s">
        <v>264</v>
      </c>
      <c r="AC27" s="8" t="s">
        <v>264</v>
      </c>
      <c r="AD27" s="32"/>
      <c r="AE27" s="8" t="s">
        <v>264</v>
      </c>
      <c r="AF27" s="8" t="s">
        <v>264</v>
      </c>
      <c r="AG27" s="8" t="s">
        <v>264</v>
      </c>
    </row>
    <row r="28" spans="1:34" s="27" customFormat="1" x14ac:dyDescent="0.2">
      <c r="A28" s="33" t="s">
        <v>265</v>
      </c>
      <c r="B28" s="28"/>
      <c r="C28" s="28"/>
      <c r="D28" s="34" t="s">
        <v>269</v>
      </c>
      <c r="E28" s="34" t="s">
        <v>266</v>
      </c>
      <c r="F28" s="155" t="s">
        <v>267</v>
      </c>
      <c r="G28" s="34" t="s">
        <v>286</v>
      </c>
      <c r="H28" s="34" t="s">
        <v>268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0.98000000000000009</v>
      </c>
      <c r="X28" s="30"/>
      <c r="Y28" s="30"/>
      <c r="Z28" s="31"/>
      <c r="AA28" s="150">
        <f>SUM(AA6:AA25)</f>
        <v>0.98</v>
      </c>
      <c r="AB28" s="150">
        <f>SUM(AB2:AB4,AB6:AB11,AB13:AB20,AB22:AB25)</f>
        <v>1.3331365850271231</v>
      </c>
      <c r="AC28" s="150">
        <f>SUM(AC6:AC25)</f>
        <v>0.98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</v>
      </c>
    </row>
    <row r="29" spans="1:34" s="27" customFormat="1" x14ac:dyDescent="0.2">
      <c r="B29" s="28"/>
      <c r="C29" s="28"/>
      <c r="D29" s="46">
        <v>1065</v>
      </c>
      <c r="E29" s="47">
        <v>0.56499999999999995</v>
      </c>
      <c r="F29" s="2">
        <f>1-E29</f>
        <v>0.43500000000000005</v>
      </c>
      <c r="G29" s="106">
        <v>4.55</v>
      </c>
      <c r="H29" s="126">
        <v>3.6499999999999998E-2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33" t="s">
        <v>265</v>
      </c>
      <c r="B31" s="28"/>
      <c r="C31" s="28"/>
      <c r="D31" s="155" t="s">
        <v>278</v>
      </c>
      <c r="E31" s="155" t="s">
        <v>1</v>
      </c>
      <c r="F31" s="155" t="s">
        <v>263</v>
      </c>
      <c r="G31" s="155" t="s">
        <v>137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B32" s="28"/>
      <c r="C32" s="28"/>
      <c r="D32" s="156">
        <f>D29*E29</f>
        <v>601.72499999999991</v>
      </c>
      <c r="E32" s="156">
        <f>SUM(E2:E4)</f>
        <v>398.45975733620764</v>
      </c>
      <c r="F32" s="156">
        <f>SUM(F2:F4)</f>
        <v>4211.0552987721894</v>
      </c>
      <c r="G32" s="156">
        <f>SUM(G2:G4)</f>
        <v>25.247901818465014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B33" s="28"/>
      <c r="C33" s="28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33" t="s">
        <v>265</v>
      </c>
      <c r="B34" s="28"/>
      <c r="C34" s="28"/>
      <c r="D34" s="155" t="s">
        <v>270</v>
      </c>
      <c r="E34" s="155" t="s">
        <v>263</v>
      </c>
      <c r="F34" s="155" t="s">
        <v>137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B35" s="28"/>
      <c r="C35" s="28"/>
      <c r="D35" s="156">
        <f>D29*F29</f>
        <v>463.27500000000003</v>
      </c>
      <c r="E35" s="156">
        <f>D35*G29</f>
        <v>2107.9012499999999</v>
      </c>
      <c r="F35" s="156">
        <f>D35*H29</f>
        <v>16.909537499999999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36" t="s">
        <v>279</v>
      </c>
      <c r="B37" s="37"/>
      <c r="C37" s="37"/>
      <c r="D37" s="145" t="s">
        <v>273</v>
      </c>
      <c r="E37" s="145" t="s">
        <v>274</v>
      </c>
      <c r="F37" s="145" t="s">
        <v>275</v>
      </c>
      <c r="G37" s="145" t="s">
        <v>271</v>
      </c>
      <c r="H37" s="145" t="s">
        <v>272</v>
      </c>
      <c r="I37" s="145" t="s">
        <v>276</v>
      </c>
      <c r="J37" s="145" t="s">
        <v>277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3.5" thickBot="1" x14ac:dyDescent="0.25">
      <c r="D38" s="157">
        <f>SUM(I2:I20)</f>
        <v>454.0095</v>
      </c>
      <c r="E38" s="157">
        <f>SUM(J2:J4,J6:J11,J13:J20)</f>
        <v>2096.3085868488365</v>
      </c>
      <c r="F38" s="157">
        <f>SUM(K2:K4,K6:K11,K13:K20)</f>
        <v>16.884262501649797</v>
      </c>
      <c r="G38" s="157">
        <f>SUM(L6:L11,L13:L20,L22:L25)</f>
        <v>589.69050000000004</v>
      </c>
      <c r="H38" s="157">
        <f>SUM(M6:M11,M13:M20,M22:M25)</f>
        <v>394.25940232350007</v>
      </c>
      <c r="I38" s="157">
        <f>SUM(N6:N11,N13:N20,N22:N25)</f>
        <v>4203.1790585244635</v>
      </c>
      <c r="J38" s="157">
        <f>SUM(O6:O11,O13:O20,O22:O25)</f>
        <v>25.203140685606328</v>
      </c>
      <c r="V38" s="181"/>
      <c r="X38" s="30"/>
      <c r="Y38" s="30"/>
      <c r="Z38" s="181"/>
      <c r="AH38" s="30"/>
    </row>
    <row r="39" spans="1:34" ht="13.5" thickTop="1" x14ac:dyDescent="0.2">
      <c r="D39" s="158">
        <f>D35-D38</f>
        <v>9.2655000000000314</v>
      </c>
      <c r="E39" s="158">
        <f>E35-E38</f>
        <v>11.592663151163379</v>
      </c>
      <c r="F39" s="158">
        <f>F35-F38</f>
        <v>2.5274998350202083E-2</v>
      </c>
      <c r="G39" s="158">
        <f>SUM(D2:D4)-G38</f>
        <v>12.03449999999998</v>
      </c>
      <c r="H39" s="158">
        <f>E32-H38</f>
        <v>4.2003550127075755</v>
      </c>
      <c r="I39" s="158">
        <f>F32-I38</f>
        <v>7.8762402477259457</v>
      </c>
      <c r="J39" s="158">
        <f>G32-J38</f>
        <v>4.4761132858685215E-2</v>
      </c>
      <c r="V39" s="181"/>
      <c r="X39" s="30"/>
      <c r="Y39" s="30"/>
      <c r="Z39" s="181"/>
      <c r="AH39" s="30"/>
    </row>
    <row r="40" spans="1:34" x14ac:dyDescent="0.2">
      <c r="N40" s="23"/>
      <c r="O40" s="23"/>
      <c r="V40" s="181"/>
      <c r="X40" s="30"/>
      <c r="Y40" s="30"/>
      <c r="Z40" s="181"/>
      <c r="AH40" s="30"/>
    </row>
    <row r="41" spans="1:34" x14ac:dyDescent="0.2">
      <c r="V41" s="181"/>
      <c r="X41" s="30"/>
      <c r="Y41" s="30"/>
      <c r="Z41" s="181"/>
      <c r="AH41" s="30"/>
    </row>
    <row r="42" spans="1:34" x14ac:dyDescent="0.2">
      <c r="N42" s="23"/>
      <c r="O42" s="23"/>
      <c r="V42" s="181"/>
      <c r="X42" s="30"/>
      <c r="Y42" s="30"/>
      <c r="Z42" s="181"/>
      <c r="AH42" s="30"/>
    </row>
    <row r="43" spans="1:34" x14ac:dyDescent="0.2">
      <c r="V43" s="181"/>
      <c r="X43" s="30"/>
      <c r="Y43" s="30"/>
      <c r="Z43" s="181"/>
      <c r="AH43" s="30"/>
    </row>
    <row r="44" spans="1:34" x14ac:dyDescent="0.2">
      <c r="V44" s="181"/>
      <c r="X44" s="30"/>
      <c r="Y44" s="30"/>
      <c r="Z44" s="181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sortState xmlns:xlrd2="http://schemas.microsoft.com/office/spreadsheetml/2017/richdata2" ref="A13:AH20">
    <sortCondition descending="1" ref="N13:N20"/>
  </sortState>
  <conditionalFormatting sqref="D39:J39">
    <cfRule type="cellIs" dxfId="95" priority="1" operator="lessThan">
      <formula>0</formula>
    </cfRule>
  </conditionalFormatting>
  <conditionalFormatting sqref="W28">
    <cfRule type="cellIs" dxfId="94" priority="2" operator="greaterThan">
      <formula>1</formula>
    </cfRule>
  </conditionalFormatting>
  <conditionalFormatting sqref="AA28:AG28">
    <cfRule type="cellIs" dxfId="93" priority="3" operator="greaterThan">
      <formula>1</formula>
    </cfRule>
  </conditionalFormatting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CC0000"/>
  </sheetPr>
  <dimension ref="A1:AN76"/>
  <sheetViews>
    <sheetView showGridLines="0" zoomScale="85" zoomScaleNormal="85"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defaultColWidth="8.7109375" defaultRowHeight="12.75" x14ac:dyDescent="0.2"/>
  <cols>
    <col min="1" max="1" width="22.5703125" style="17" customWidth="1"/>
    <col min="2" max="3" width="8.7109375" style="18"/>
    <col min="4" max="13" width="8.7109375" style="23"/>
    <col min="14" max="15" width="8.7109375" style="18"/>
    <col min="16" max="16" width="4.7109375" style="18" customWidth="1"/>
    <col min="17" max="18" width="8.7109375" style="26"/>
    <col min="19" max="19" width="8.7109375" style="23"/>
    <col min="20" max="21" width="8.7109375" style="26"/>
    <col min="22" max="23" width="8.7109375" style="25"/>
    <col min="24" max="25" width="8.7109375" style="26"/>
    <col min="26" max="26" width="8.7109375" style="25"/>
    <col min="27" max="27" width="8.7109375" style="18"/>
    <col min="28" max="28" width="0" style="18" hidden="1" customWidth="1"/>
    <col min="29" max="29" width="8.7109375" style="26"/>
    <col min="30" max="30" width="4.7109375" style="17" customWidth="1"/>
    <col min="31" max="32" width="8.7109375" style="18"/>
    <col min="33" max="16384" width="8.7109375" style="17"/>
  </cols>
  <sheetData>
    <row r="1" spans="1:40" s="15" customFormat="1" ht="25.5" customHeight="1" x14ac:dyDescent="0.2">
      <c r="A1" s="15" t="s">
        <v>0</v>
      </c>
      <c r="B1" s="15" t="s">
        <v>8</v>
      </c>
      <c r="C1" s="15" t="s">
        <v>122</v>
      </c>
      <c r="D1" s="159" t="s">
        <v>210</v>
      </c>
      <c r="E1" s="159" t="s">
        <v>1</v>
      </c>
      <c r="F1" s="159" t="s">
        <v>213</v>
      </c>
      <c r="G1" s="159" t="s">
        <v>228</v>
      </c>
      <c r="H1" s="159" t="s">
        <v>2</v>
      </c>
      <c r="I1" s="159" t="s">
        <v>229</v>
      </c>
      <c r="J1" s="159" t="s">
        <v>217</v>
      </c>
      <c r="K1" s="159" t="s">
        <v>230</v>
      </c>
      <c r="L1" s="159" t="s">
        <v>219</v>
      </c>
      <c r="M1" s="159" t="s">
        <v>4</v>
      </c>
      <c r="N1" s="159" t="s">
        <v>223</v>
      </c>
      <c r="O1" s="159" t="s">
        <v>231</v>
      </c>
      <c r="Q1" s="160" t="s">
        <v>281</v>
      </c>
      <c r="R1" s="133" t="s">
        <v>232</v>
      </c>
      <c r="S1" s="134" t="s">
        <v>451</v>
      </c>
      <c r="T1" s="133" t="s">
        <v>205</v>
      </c>
      <c r="U1" s="133" t="s">
        <v>209</v>
      </c>
      <c r="V1" s="135" t="s">
        <v>280</v>
      </c>
      <c r="W1" s="161" t="s">
        <v>282</v>
      </c>
      <c r="X1" s="133" t="s">
        <v>233</v>
      </c>
      <c r="Y1" s="179" t="s">
        <v>234</v>
      </c>
      <c r="Z1" s="135" t="s">
        <v>235</v>
      </c>
      <c r="AA1" s="160" t="s">
        <v>236</v>
      </c>
      <c r="AB1" s="160" t="s">
        <v>237</v>
      </c>
      <c r="AC1" s="10" t="s">
        <v>262</v>
      </c>
      <c r="AE1" s="136" t="s">
        <v>283</v>
      </c>
      <c r="AF1" s="137" t="s">
        <v>284</v>
      </c>
      <c r="AG1" s="136" t="s">
        <v>285</v>
      </c>
      <c r="AH1" s="136" t="s">
        <v>450</v>
      </c>
      <c r="AN1" s="15" t="s">
        <v>88</v>
      </c>
    </row>
    <row r="2" spans="1:40" x14ac:dyDescent="0.2">
      <c r="A2" s="17" t="s">
        <v>80</v>
      </c>
      <c r="B2" s="18" t="s">
        <v>9</v>
      </c>
      <c r="C2" s="18">
        <f>VLOOKUP($AN$1,DST!C:D,2,FALSE)</f>
        <v>12</v>
      </c>
      <c r="D2" s="146">
        <f>D$32*Q2</f>
        <v>575.13455999999996</v>
      </c>
      <c r="E2" s="146">
        <f>D2*R2</f>
        <v>378.22168752758637</v>
      </c>
      <c r="F2" s="146">
        <f>E2*S2</f>
        <v>4296.5983703133807</v>
      </c>
      <c r="G2" s="146">
        <f>D2*T2</f>
        <v>29.504507705665819</v>
      </c>
      <c r="H2" s="146">
        <f>E2*U2</f>
        <v>6.1493485989509153</v>
      </c>
      <c r="I2" s="146">
        <f>D$35*W2</f>
        <v>25.820726400000002</v>
      </c>
      <c r="J2" s="146">
        <f>I2*V2</f>
        <v>78.244311871374677</v>
      </c>
      <c r="K2" s="146">
        <f>I2*X2</f>
        <v>1.2190807392656713</v>
      </c>
      <c r="L2" s="147"/>
      <c r="M2" s="147"/>
      <c r="N2" s="147"/>
      <c r="O2" s="147"/>
      <c r="Q2" s="150">
        <f>(AE2/SUM(AE$2:AE$25))</f>
        <v>0.98</v>
      </c>
      <c r="R2" s="19">
        <v>0.65762295266621851</v>
      </c>
      <c r="S2" s="107">
        <v>11.36</v>
      </c>
      <c r="T2" s="19">
        <v>5.1300182179394367E-2</v>
      </c>
      <c r="U2" s="19">
        <v>1.6258582735297008E-2</v>
      </c>
      <c r="V2" s="107">
        <v>3.0302908856729402</v>
      </c>
      <c r="W2" s="150">
        <f>(AF2/SUM(AF$2:AF$20))*0.98</f>
        <v>5.8799999999999998E-2</v>
      </c>
      <c r="X2" s="19">
        <v>4.7213262724695122E-2</v>
      </c>
      <c r="Y2" s="21"/>
      <c r="Z2" s="22"/>
      <c r="AA2" s="1"/>
      <c r="AB2" s="1"/>
      <c r="AC2" s="1"/>
      <c r="AE2" s="19">
        <v>0.98</v>
      </c>
      <c r="AF2" s="19">
        <v>0.06</v>
      </c>
      <c r="AG2" s="168"/>
      <c r="AH2" s="168"/>
    </row>
    <row r="3" spans="1:40" x14ac:dyDescent="0.2">
      <c r="A3" s="17" t="s">
        <v>178</v>
      </c>
      <c r="B3" s="18" t="s">
        <v>9</v>
      </c>
      <c r="C3" s="18">
        <f>VLOOKUP($AN$1,DST!C:D,2,FALSE)</f>
        <v>12</v>
      </c>
      <c r="D3" s="146">
        <f>D$32*Q3</f>
        <v>11.737439999999999</v>
      </c>
      <c r="E3" s="146">
        <f t="shared" ref="E3:F4" si="0">D3*R3</f>
        <v>7.3476374399999997</v>
      </c>
      <c r="F3" s="146">
        <f t="shared" si="0"/>
        <v>79.354484352</v>
      </c>
      <c r="G3" s="146">
        <f t="shared" ref="G3:G4" si="1">D3*T3</f>
        <v>0.51644735999999991</v>
      </c>
      <c r="H3" s="146">
        <f t="shared" ref="H3:H4" si="2">E3*U3</f>
        <v>0.114990525936</v>
      </c>
      <c r="I3" s="146">
        <f>D$35*W3</f>
        <v>2.1517272000000003</v>
      </c>
      <c r="J3" s="146">
        <f>I3*V3</f>
        <v>12.221810496000002</v>
      </c>
      <c r="K3" s="146">
        <f>I3*X3</f>
        <v>2.3668999200000002E-2</v>
      </c>
      <c r="L3" s="147"/>
      <c r="M3" s="147"/>
      <c r="N3" s="147"/>
      <c r="O3" s="147"/>
      <c r="Q3" s="150">
        <f>(AE3/SUM(AE$2:AE$25))</f>
        <v>0.02</v>
      </c>
      <c r="R3" s="19">
        <v>0.626</v>
      </c>
      <c r="S3" s="107">
        <v>10.8</v>
      </c>
      <c r="T3" s="19">
        <v>4.3999999999999997E-2</v>
      </c>
      <c r="U3" s="19">
        <v>1.5650000000000001E-2</v>
      </c>
      <c r="V3" s="107">
        <v>5.68</v>
      </c>
      <c r="W3" s="150">
        <f>(AF3/SUM(AF$2:AF$20))*0.98</f>
        <v>4.8999999999999998E-3</v>
      </c>
      <c r="X3" s="19">
        <v>1.0999999999999999E-2</v>
      </c>
      <c r="Y3" s="21"/>
      <c r="Z3" s="22"/>
      <c r="AA3" s="1"/>
      <c r="AB3" s="1"/>
      <c r="AC3" s="1"/>
      <c r="AE3" s="19">
        <v>0.02</v>
      </c>
      <c r="AF3" s="19">
        <v>5.0000000000000001E-3</v>
      </c>
      <c r="AG3" s="168"/>
      <c r="AH3" s="168"/>
    </row>
    <row r="4" spans="1:40" x14ac:dyDescent="0.2">
      <c r="A4" s="17" t="s">
        <v>579</v>
      </c>
      <c r="B4" s="18" t="s">
        <v>9</v>
      </c>
      <c r="C4" s="18">
        <f>VLOOKUP($AN$1,DST!C:D,2,FALSE)</f>
        <v>12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0.61699999999999999</v>
      </c>
      <c r="S4" s="107">
        <v>11.03</v>
      </c>
      <c r="T4" s="19">
        <v>4.4999999999999998E-2</v>
      </c>
      <c r="U4" s="19">
        <v>2.5000000000000001E-2</v>
      </c>
      <c r="V4" s="107">
        <v>2.4</v>
      </c>
      <c r="W4" s="150">
        <f>(AF4/SUM(AF$2:AF$20))*0.98</f>
        <v>0</v>
      </c>
      <c r="X4" s="19">
        <v>0.02</v>
      </c>
      <c r="Y4" s="21"/>
      <c r="Z4" s="22"/>
      <c r="AA4" s="1"/>
      <c r="AB4" s="1"/>
      <c r="AC4" s="1"/>
      <c r="AE4" s="19">
        <v>0</v>
      </c>
      <c r="AF4" s="19">
        <v>0</v>
      </c>
      <c r="AG4" s="168"/>
      <c r="AH4" s="168"/>
    </row>
    <row r="5" spans="1:40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40" x14ac:dyDescent="0.2">
      <c r="A6" s="17" t="s">
        <v>473</v>
      </c>
      <c r="B6" s="18" t="s">
        <v>207</v>
      </c>
      <c r="C6" s="18">
        <f>VLOOKUP($AN$1,DST!C:D,2,FALSE)</f>
        <v>12</v>
      </c>
      <c r="D6" s="147"/>
      <c r="E6" s="147"/>
      <c r="F6" s="147"/>
      <c r="G6" s="147"/>
      <c r="H6" s="147"/>
      <c r="I6" s="146">
        <f t="shared" ref="I6:I11" si="3">D$35*W6</f>
        <v>262.51071840000003</v>
      </c>
      <c r="J6" s="146">
        <f>I6*V6</f>
        <v>1198.3646580486595</v>
      </c>
      <c r="K6" s="146">
        <f>I6*X6</f>
        <v>9.7128965808000007</v>
      </c>
      <c r="L6" s="146">
        <f>((D$2+D$3+D$4)*AA6)</f>
        <v>51.762110399999997</v>
      </c>
      <c r="M6" s="146">
        <f t="shared" ref="M6:N11" si="4">L6*Y6</f>
        <v>38.562772247999987</v>
      </c>
      <c r="N6" s="146">
        <f t="shared" si="4"/>
        <v>320.68214668517703</v>
      </c>
      <c r="O6" s="146">
        <f>M6*AH6</f>
        <v>2.6969384384134791</v>
      </c>
      <c r="Q6" s="13"/>
      <c r="R6" s="139"/>
      <c r="S6" s="138"/>
      <c r="T6" s="139"/>
      <c r="U6" s="139"/>
      <c r="V6" s="107">
        <v>4.5650122987460442</v>
      </c>
      <c r="W6" s="150">
        <f t="shared" ref="W6:W11" si="5">(AF6/SUM(AF$2:AF$20))*0.98</f>
        <v>0.5978</v>
      </c>
      <c r="X6" s="19">
        <v>3.6999999999999998E-2</v>
      </c>
      <c r="Y6" s="19">
        <v>0.74499999999999977</v>
      </c>
      <c r="Z6" s="20">
        <v>8.3158478499120054</v>
      </c>
      <c r="AA6" s="150">
        <f t="shared" ref="AA6:AA11" si="6">(AG6/SUM(AG$6:AG$25))*0.98</f>
        <v>8.8200000000000001E-2</v>
      </c>
      <c r="AB6" s="7">
        <v>0.10241586707245035</v>
      </c>
      <c r="AC6" s="150">
        <f t="shared" ref="AC6:AC11" si="7">(AH6/SUM(AH$6:AH$25))*0.98</f>
        <v>9.5351217438348568E-2</v>
      </c>
      <c r="AE6" s="168"/>
      <c r="AF6" s="19">
        <v>0.61</v>
      </c>
      <c r="AG6" s="19">
        <v>0.09</v>
      </c>
      <c r="AH6" s="19">
        <v>6.9936321514160654E-2</v>
      </c>
    </row>
    <row r="7" spans="1:40" x14ac:dyDescent="0.2">
      <c r="A7" s="172" t="s">
        <v>401</v>
      </c>
      <c r="B7" s="18" t="s">
        <v>207</v>
      </c>
      <c r="C7" s="18">
        <f>VLOOKUP($AN$1,DST!C:D,2,FALSE)</f>
        <v>12</v>
      </c>
      <c r="D7" s="147"/>
      <c r="E7" s="147"/>
      <c r="F7" s="147"/>
      <c r="G7" s="147"/>
      <c r="H7" s="147"/>
      <c r="I7" s="146">
        <f t="shared" si="3"/>
        <v>116.19326880000001</v>
      </c>
      <c r="J7" s="146">
        <f>I7*V7</f>
        <v>493.82139240000004</v>
      </c>
      <c r="K7" s="146">
        <f>I7*X7</f>
        <v>4.0667644080000009</v>
      </c>
      <c r="L7" s="146">
        <f>((D$2+D$3+D$4)*AA7)</f>
        <v>32.782669919999996</v>
      </c>
      <c r="M7" s="146">
        <f t="shared" si="4"/>
        <v>26.193353266079999</v>
      </c>
      <c r="N7" s="146">
        <f t="shared" si="4"/>
        <v>210.51857801746371</v>
      </c>
      <c r="O7" s="146">
        <f t="shared" ref="O7:O11" si="8">M7*AH7</f>
        <v>1.3485057381283587</v>
      </c>
      <c r="Q7" s="13"/>
      <c r="R7" s="139"/>
      <c r="S7" s="138"/>
      <c r="T7" s="139"/>
      <c r="U7" s="139"/>
      <c r="V7" s="107">
        <v>4.25</v>
      </c>
      <c r="W7" s="150">
        <f t="shared" si="5"/>
        <v>0.2646</v>
      </c>
      <c r="X7" s="19">
        <v>3.5000000000000003E-2</v>
      </c>
      <c r="Y7" s="19">
        <v>0.79900000000000004</v>
      </c>
      <c r="Z7" s="20">
        <v>8.037099178518778</v>
      </c>
      <c r="AA7" s="150">
        <f t="shared" si="6"/>
        <v>5.586E-2</v>
      </c>
      <c r="AB7" s="7">
        <v>1.6834405145425353E-2</v>
      </c>
      <c r="AC7" s="150">
        <f t="shared" si="7"/>
        <v>7.0191602123736929E-2</v>
      </c>
      <c r="AE7" s="168"/>
      <c r="AF7" s="19">
        <v>0.27</v>
      </c>
      <c r="AG7" s="19">
        <v>5.7000000000000002E-2</v>
      </c>
      <c r="AH7" s="19">
        <v>5.1482745428957873E-2</v>
      </c>
    </row>
    <row r="8" spans="1:40" x14ac:dyDescent="0.2">
      <c r="A8" s="176" t="s">
        <v>596</v>
      </c>
      <c r="B8" s="18" t="s">
        <v>207</v>
      </c>
      <c r="C8" s="18">
        <f>VLOOKUP($AN$1,DST!C:D,2,FALSE)</f>
        <v>12</v>
      </c>
      <c r="D8" s="147"/>
      <c r="E8" s="147"/>
      <c r="F8" s="147"/>
      <c r="G8" s="147"/>
      <c r="H8" s="147"/>
      <c r="I8" s="146">
        <f t="shared" si="3"/>
        <v>23.668999200000002</v>
      </c>
      <c r="J8" s="146">
        <f>I8*V8</f>
        <v>99.40979664000001</v>
      </c>
      <c r="K8" s="146">
        <f>I8*X8</f>
        <v>0.75740797440000007</v>
      </c>
      <c r="L8" s="146">
        <f>((D$2+D$3+D$4)*AA8)</f>
        <v>9.2021529599999994</v>
      </c>
      <c r="M8" s="146">
        <f t="shared" si="4"/>
        <v>7.6653934156800005</v>
      </c>
      <c r="N8" s="146">
        <f t="shared" si="4"/>
        <v>58.141832834291641</v>
      </c>
      <c r="O8" s="146">
        <f t="shared" si="8"/>
        <v>0.29701834920485048</v>
      </c>
      <c r="Q8" s="13"/>
      <c r="R8" s="139"/>
      <c r="S8" s="138"/>
      <c r="T8" s="139"/>
      <c r="U8" s="139"/>
      <c r="V8" s="107">
        <v>4.2</v>
      </c>
      <c r="W8" s="150">
        <f t="shared" si="5"/>
        <v>5.3899999999999997E-2</v>
      </c>
      <c r="X8" s="19">
        <v>3.2000000000000001E-2</v>
      </c>
      <c r="Y8" s="19">
        <v>0.83300000000000007</v>
      </c>
      <c r="Z8" s="20">
        <v>7.5849770104896637</v>
      </c>
      <c r="AA8" s="150">
        <f t="shared" si="6"/>
        <v>1.5679999999999999E-2</v>
      </c>
      <c r="AB8" s="7">
        <v>3.4364046000666143E-2</v>
      </c>
      <c r="AC8" s="150">
        <f t="shared" si="7"/>
        <v>5.2828987522296783E-2</v>
      </c>
      <c r="AE8" s="168"/>
      <c r="AF8" s="19">
        <v>5.5E-2</v>
      </c>
      <c r="AG8" s="19">
        <v>1.6E-2</v>
      </c>
      <c r="AH8" s="19">
        <v>3.8747958923710614E-2</v>
      </c>
    </row>
    <row r="9" spans="1:40" x14ac:dyDescent="0.2">
      <c r="A9" s="172"/>
      <c r="B9" s="18" t="s">
        <v>207</v>
      </c>
      <c r="C9" s="18">
        <f>VLOOKUP($AN$1,DST!C:D,2,FALSE)</f>
        <v>12</v>
      </c>
      <c r="D9" s="147"/>
      <c r="E9" s="147"/>
      <c r="F9" s="147"/>
      <c r="G9" s="147"/>
      <c r="H9" s="147"/>
      <c r="I9" s="146">
        <f t="shared" si="3"/>
        <v>0</v>
      </c>
      <c r="J9" s="146">
        <f t="shared" ref="J9:J11" si="9">I9*V9</f>
        <v>0</v>
      </c>
      <c r="K9" s="146">
        <f t="shared" ref="K9:K11" si="10">I9*X9</f>
        <v>0</v>
      </c>
      <c r="L9" s="146">
        <f t="shared" ref="L9:L11" si="11">((D$2+D$3+D$4)*AA9)</f>
        <v>0</v>
      </c>
      <c r="M9" s="146">
        <f t="shared" si="4"/>
        <v>0</v>
      </c>
      <c r="N9" s="146">
        <f t="shared" si="4"/>
        <v>0</v>
      </c>
      <c r="O9" s="146">
        <f t="shared" si="8"/>
        <v>0</v>
      </c>
      <c r="Q9" s="13"/>
      <c r="R9" s="139"/>
      <c r="S9" s="138"/>
      <c r="T9" s="139"/>
      <c r="U9" s="139"/>
      <c r="V9" s="107">
        <v>0</v>
      </c>
      <c r="W9" s="150">
        <f t="shared" si="5"/>
        <v>0</v>
      </c>
      <c r="X9" s="19">
        <v>0</v>
      </c>
      <c r="Y9" s="19">
        <v>0</v>
      </c>
      <c r="Z9" s="20">
        <v>0</v>
      </c>
      <c r="AA9" s="150">
        <f t="shared" si="6"/>
        <v>0</v>
      </c>
      <c r="AB9" s="7">
        <v>9.0147436135723479E-3</v>
      </c>
      <c r="AC9" s="150">
        <f t="shared" si="7"/>
        <v>0</v>
      </c>
      <c r="AE9" s="168"/>
      <c r="AF9" s="19">
        <v>0</v>
      </c>
      <c r="AG9" s="19">
        <v>0</v>
      </c>
      <c r="AH9" s="19">
        <v>0</v>
      </c>
    </row>
    <row r="10" spans="1:40" x14ac:dyDescent="0.2">
      <c r="A10" s="172"/>
      <c r="B10" s="18" t="s">
        <v>207</v>
      </c>
      <c r="C10" s="18">
        <f>VLOOKUP($AN$1,DST!C:D,2,FALSE)</f>
        <v>12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9"/>
        <v>0</v>
      </c>
      <c r="K10" s="146">
        <f t="shared" si="10"/>
        <v>0</v>
      </c>
      <c r="L10" s="146">
        <f t="shared" si="11"/>
        <v>0</v>
      </c>
      <c r="M10" s="146">
        <f t="shared" si="4"/>
        <v>0</v>
      </c>
      <c r="N10" s="146">
        <f t="shared" si="4"/>
        <v>0</v>
      </c>
      <c r="O10" s="146">
        <f t="shared" si="8"/>
        <v>0</v>
      </c>
      <c r="Q10" s="13"/>
      <c r="R10" s="139"/>
      <c r="S10" s="138"/>
      <c r="T10" s="139"/>
      <c r="U10" s="139"/>
      <c r="V10" s="107">
        <v>0</v>
      </c>
      <c r="W10" s="150">
        <f t="shared" si="5"/>
        <v>0</v>
      </c>
      <c r="X10" s="19">
        <v>0</v>
      </c>
      <c r="Y10" s="19">
        <v>0</v>
      </c>
      <c r="Z10" s="20">
        <v>0</v>
      </c>
      <c r="AA10" s="150">
        <f t="shared" si="6"/>
        <v>0</v>
      </c>
      <c r="AB10" s="7">
        <v>5.6836923515051971E-3</v>
      </c>
      <c r="AC10" s="150">
        <f t="shared" si="7"/>
        <v>0</v>
      </c>
      <c r="AE10" s="168"/>
      <c r="AF10" s="19">
        <v>0</v>
      </c>
      <c r="AG10" s="19">
        <v>0</v>
      </c>
      <c r="AH10" s="19">
        <v>0</v>
      </c>
    </row>
    <row r="11" spans="1:40" x14ac:dyDescent="0.2">
      <c r="A11" s="172"/>
      <c r="B11" s="18" t="s">
        <v>207</v>
      </c>
      <c r="C11" s="18">
        <f>VLOOKUP($AN$1,DST!C:D,2,FALSE)</f>
        <v>12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9"/>
        <v>0</v>
      </c>
      <c r="K11" s="146">
        <f t="shared" si="10"/>
        <v>0</v>
      </c>
      <c r="L11" s="146">
        <f t="shared" si="11"/>
        <v>0</v>
      </c>
      <c r="M11" s="146">
        <f t="shared" si="4"/>
        <v>0</v>
      </c>
      <c r="N11" s="146">
        <f t="shared" si="4"/>
        <v>0</v>
      </c>
      <c r="O11" s="146">
        <f t="shared" si="8"/>
        <v>0</v>
      </c>
      <c r="Q11" s="13"/>
      <c r="R11" s="139"/>
      <c r="S11" s="138"/>
      <c r="T11" s="139"/>
      <c r="U11" s="139"/>
      <c r="V11" s="107">
        <v>0</v>
      </c>
      <c r="W11" s="150">
        <f t="shared" si="5"/>
        <v>0</v>
      </c>
      <c r="X11" s="19">
        <v>0</v>
      </c>
      <c r="Y11" s="19">
        <v>0</v>
      </c>
      <c r="Z11" s="20">
        <v>0</v>
      </c>
      <c r="AA11" s="150">
        <f t="shared" si="6"/>
        <v>0</v>
      </c>
      <c r="AB11" s="7"/>
      <c r="AC11" s="150">
        <f t="shared" si="7"/>
        <v>0</v>
      </c>
      <c r="AE11" s="168"/>
      <c r="AF11" s="19">
        <v>0</v>
      </c>
      <c r="AG11" s="19">
        <v>0</v>
      </c>
      <c r="AH11" s="19">
        <v>0</v>
      </c>
    </row>
    <row r="12" spans="1:40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40" x14ac:dyDescent="0.2">
      <c r="A13" s="17" t="s">
        <v>388</v>
      </c>
      <c r="B13" s="18" t="s">
        <v>208</v>
      </c>
      <c r="C13" s="18">
        <f>VLOOKUP($AN$1,DST!C:D,2,FALSE)</f>
        <v>12</v>
      </c>
      <c r="D13" s="147"/>
      <c r="E13" s="147"/>
      <c r="F13" s="147"/>
      <c r="G13" s="147"/>
      <c r="H13" s="147"/>
      <c r="I13" s="146">
        <f t="shared" ref="I13:I20" si="12">D$35*W13</f>
        <v>0</v>
      </c>
      <c r="J13" s="146">
        <f t="shared" ref="J13:J20" si="13">I13*V13</f>
        <v>0</v>
      </c>
      <c r="K13" s="146">
        <f t="shared" ref="K13:K20" si="14">I13*X13</f>
        <v>0</v>
      </c>
      <c r="L13" s="146">
        <f t="shared" ref="L13:L20" si="15">((D$2+D$3+D$4)*AA13)</f>
        <v>131.13067967999999</v>
      </c>
      <c r="M13" s="146">
        <f t="shared" ref="M13:N14" si="16">L13*Y13</f>
        <v>85.366072471680013</v>
      </c>
      <c r="N13" s="146">
        <f t="shared" si="16"/>
        <v>1097.8076919858049</v>
      </c>
      <c r="O13" s="146">
        <f t="shared" ref="O13:O20" si="17">M13*AH13</f>
        <v>7.597580449979521</v>
      </c>
      <c r="Q13" s="13"/>
      <c r="R13" s="139"/>
      <c r="S13" s="138"/>
      <c r="T13" s="139"/>
      <c r="U13" s="139"/>
      <c r="V13" s="107">
        <v>5.0199999999999996</v>
      </c>
      <c r="W13" s="150">
        <f t="shared" ref="W13:W20" si="18">(AF13/SUM(AF$2:AF$20))*0.98</f>
        <v>0</v>
      </c>
      <c r="X13" s="19">
        <v>0</v>
      </c>
      <c r="Y13" s="19">
        <v>0.65100000000000013</v>
      </c>
      <c r="Z13" s="20">
        <v>12.86</v>
      </c>
      <c r="AA13" s="150">
        <f t="shared" ref="AA13:AA20" si="19">(AG13/SUM(AG$6:AG$25))*0.98</f>
        <v>0.22344</v>
      </c>
      <c r="AB13" s="7">
        <v>0.20587017634578869</v>
      </c>
      <c r="AC13" s="150">
        <f t="shared" ref="AC13:AC20" si="20">(AH13/SUM(AH$6:AH$25))*0.98</f>
        <v>0.12134264668602467</v>
      </c>
      <c r="AE13" s="168"/>
      <c r="AF13" s="19">
        <v>0</v>
      </c>
      <c r="AG13" s="19">
        <v>0.22800000000000001</v>
      </c>
      <c r="AH13" s="19">
        <v>8.8999999999999996E-2</v>
      </c>
    </row>
    <row r="14" spans="1:40" x14ac:dyDescent="0.2">
      <c r="A14" s="17" t="s">
        <v>194</v>
      </c>
      <c r="B14" s="18" t="s">
        <v>208</v>
      </c>
      <c r="C14" s="18">
        <f>VLOOKUP($AN$1,DST!C:D,2,FALSE)</f>
        <v>12</v>
      </c>
      <c r="D14" s="147"/>
      <c r="E14" s="147"/>
      <c r="F14" s="147"/>
      <c r="G14" s="147"/>
      <c r="H14" s="147"/>
      <c r="I14" s="146">
        <f t="shared" si="12"/>
        <v>0</v>
      </c>
      <c r="J14" s="146">
        <f t="shared" si="13"/>
        <v>0</v>
      </c>
      <c r="K14" s="146">
        <f t="shared" si="14"/>
        <v>0</v>
      </c>
      <c r="L14" s="146">
        <f t="shared" si="15"/>
        <v>98.923144319999992</v>
      </c>
      <c r="M14" s="146">
        <f t="shared" si="16"/>
        <v>59.74957916927999</v>
      </c>
      <c r="N14" s="146">
        <f t="shared" si="16"/>
        <v>827.53167149452781</v>
      </c>
      <c r="O14" s="146">
        <f t="shared" si="17"/>
        <v>5.7651925180693366</v>
      </c>
      <c r="Q14" s="13"/>
      <c r="R14" s="139"/>
      <c r="S14" s="138"/>
      <c r="T14" s="139"/>
      <c r="U14" s="139"/>
      <c r="V14" s="107">
        <v>3.51</v>
      </c>
      <c r="W14" s="150">
        <f t="shared" si="18"/>
        <v>0</v>
      </c>
      <c r="X14" s="19">
        <v>9.1743119266055051E-3</v>
      </c>
      <c r="Y14" s="19">
        <v>0.60399999999999998</v>
      </c>
      <c r="Z14" s="20">
        <v>13.85</v>
      </c>
      <c r="AA14" s="150">
        <f t="shared" si="19"/>
        <v>0.16855999999999999</v>
      </c>
      <c r="AB14" s="7">
        <v>0.15289666611219216</v>
      </c>
      <c r="AC14" s="150">
        <f t="shared" si="20"/>
        <v>0.13155350401829119</v>
      </c>
      <c r="AE14" s="168"/>
      <c r="AF14" s="19">
        <v>0</v>
      </c>
      <c r="AG14" s="19">
        <v>0.17199999999999999</v>
      </c>
      <c r="AH14" s="19">
        <v>9.6489257300635303E-2</v>
      </c>
    </row>
    <row r="15" spans="1:40" x14ac:dyDescent="0.2">
      <c r="A15" s="17" t="s">
        <v>549</v>
      </c>
      <c r="B15" s="18" t="s">
        <v>208</v>
      </c>
      <c r="C15" s="18">
        <f>VLOOKUP($AN$1,DST!C:D,2,FALSE)</f>
        <v>12</v>
      </c>
      <c r="D15" s="147"/>
      <c r="E15" s="147"/>
      <c r="F15" s="147"/>
      <c r="G15" s="147"/>
      <c r="H15" s="147"/>
      <c r="I15" s="146">
        <f t="shared" si="12"/>
        <v>0</v>
      </c>
      <c r="J15" s="146">
        <f t="shared" si="13"/>
        <v>0</v>
      </c>
      <c r="K15" s="146">
        <f t="shared" si="14"/>
        <v>0</v>
      </c>
      <c r="L15" s="146">
        <f t="shared" si="15"/>
        <v>62.114532479999994</v>
      </c>
      <c r="M15" s="146">
        <f t="shared" ref="M15:N20" si="21">L15*Y15</f>
        <v>44.039203528319995</v>
      </c>
      <c r="N15" s="146">
        <f t="shared" si="21"/>
        <v>445.29635845007732</v>
      </c>
      <c r="O15" s="146">
        <f t="shared" si="17"/>
        <v>2.9466040126420627</v>
      </c>
      <c r="Q15" s="13"/>
      <c r="R15" s="139"/>
      <c r="S15" s="138"/>
      <c r="T15" s="139"/>
      <c r="U15" s="139"/>
      <c r="V15" s="107">
        <v>4.97</v>
      </c>
      <c r="W15" s="150">
        <f t="shared" si="18"/>
        <v>0</v>
      </c>
      <c r="X15" s="19">
        <v>6.915629322268327E-3</v>
      </c>
      <c r="Y15" s="19">
        <v>0.70899999999999996</v>
      </c>
      <c r="Z15" s="20">
        <v>10.111362667213625</v>
      </c>
      <c r="AA15" s="150">
        <f t="shared" si="19"/>
        <v>0.10584</v>
      </c>
      <c r="AB15" s="7">
        <v>0.10227292908389216</v>
      </c>
      <c r="AC15" s="150">
        <f t="shared" si="20"/>
        <v>9.1223299575103792E-2</v>
      </c>
      <c r="AE15" s="168"/>
      <c r="AF15" s="19">
        <v>0</v>
      </c>
      <c r="AG15" s="19">
        <v>0.108</v>
      </c>
      <c r="AH15" s="19">
        <v>6.6908658117470488E-2</v>
      </c>
    </row>
    <row r="16" spans="1:40" x14ac:dyDescent="0.2">
      <c r="A16" s="17" t="s">
        <v>389</v>
      </c>
      <c r="B16" s="18" t="s">
        <v>208</v>
      </c>
      <c r="C16" s="18">
        <f>VLOOKUP($AN$1,DST!C:D,2,FALSE)</f>
        <v>12</v>
      </c>
      <c r="D16" s="147"/>
      <c r="E16" s="147"/>
      <c r="F16" s="147"/>
      <c r="G16" s="147"/>
      <c r="H16" s="147"/>
      <c r="I16" s="146">
        <f t="shared" si="12"/>
        <v>0</v>
      </c>
      <c r="J16" s="146">
        <f t="shared" si="13"/>
        <v>0</v>
      </c>
      <c r="K16" s="146">
        <f t="shared" si="14"/>
        <v>0</v>
      </c>
      <c r="L16" s="146">
        <f t="shared" si="15"/>
        <v>21.855113279999994</v>
      </c>
      <c r="M16" s="146">
        <f t="shared" si="21"/>
        <v>13.419039553919996</v>
      </c>
      <c r="N16" s="146">
        <f t="shared" si="21"/>
        <v>162.90714018458877</v>
      </c>
      <c r="O16" s="146">
        <f t="shared" si="17"/>
        <v>0.95316022224302988</v>
      </c>
      <c r="Q16" s="13"/>
      <c r="R16" s="139"/>
      <c r="S16" s="138"/>
      <c r="T16" s="139"/>
      <c r="U16" s="139"/>
      <c r="V16" s="107">
        <v>5.0199999999999996</v>
      </c>
      <c r="W16" s="150">
        <f t="shared" si="18"/>
        <v>0</v>
      </c>
      <c r="X16" s="19">
        <v>7.2463768115942021E-3</v>
      </c>
      <c r="Y16" s="19">
        <v>0.61399999999999999</v>
      </c>
      <c r="Z16" s="20">
        <v>12.14</v>
      </c>
      <c r="AA16" s="150">
        <f t="shared" si="19"/>
        <v>3.7239999999999995E-2</v>
      </c>
      <c r="AB16" s="7">
        <v>4.4906581143286987E-2</v>
      </c>
      <c r="AC16" s="150">
        <f t="shared" si="20"/>
        <v>9.6842932892185041E-2</v>
      </c>
      <c r="AE16" s="168"/>
      <c r="AF16" s="19">
        <v>0</v>
      </c>
      <c r="AG16" s="19">
        <v>3.7999999999999999E-2</v>
      </c>
      <c r="AH16" s="19">
        <v>7.1030435405832815E-2</v>
      </c>
    </row>
    <row r="17" spans="1:34" x14ac:dyDescent="0.2">
      <c r="A17" s="17" t="s">
        <v>595</v>
      </c>
      <c r="B17" s="18" t="s">
        <v>208</v>
      </c>
      <c r="C17" s="18">
        <f>VLOOKUP($AN$1,DST!C:D,2,FALSE)</f>
        <v>12</v>
      </c>
      <c r="D17" s="147"/>
      <c r="E17" s="147"/>
      <c r="F17" s="147"/>
      <c r="G17" s="147"/>
      <c r="H17" s="147"/>
      <c r="I17" s="146">
        <f t="shared" si="12"/>
        <v>0</v>
      </c>
      <c r="J17" s="146">
        <f t="shared" si="13"/>
        <v>0</v>
      </c>
      <c r="K17" s="146">
        <f t="shared" si="14"/>
        <v>0</v>
      </c>
      <c r="L17" s="146">
        <f t="shared" si="15"/>
        <v>17.82917136</v>
      </c>
      <c r="M17" s="146">
        <f t="shared" si="21"/>
        <v>11.642448898080001</v>
      </c>
      <c r="N17" s="146">
        <f t="shared" si="21"/>
        <v>112.93175431137601</v>
      </c>
      <c r="O17" s="146">
        <f t="shared" si="17"/>
        <v>0.90811101405024008</v>
      </c>
      <c r="Q17" s="13"/>
      <c r="R17" s="139"/>
      <c r="S17" s="138"/>
      <c r="T17" s="139"/>
      <c r="U17" s="139"/>
      <c r="V17" s="107">
        <v>5.0199999999999996</v>
      </c>
      <c r="W17" s="150">
        <f t="shared" si="18"/>
        <v>0</v>
      </c>
      <c r="X17" s="19">
        <v>0</v>
      </c>
      <c r="Y17" s="19">
        <v>0.65300000000000002</v>
      </c>
      <c r="Z17" s="20">
        <v>9.6999999999999993</v>
      </c>
      <c r="AA17" s="150">
        <f t="shared" si="19"/>
        <v>3.0380000000000001E-2</v>
      </c>
      <c r="AB17" s="7">
        <v>2.1429158079693849E-2</v>
      </c>
      <c r="AC17" s="150">
        <f t="shared" si="20"/>
        <v>0.10634524091584184</v>
      </c>
      <c r="AE17" s="168"/>
      <c r="AF17" s="19">
        <v>0</v>
      </c>
      <c r="AG17" s="19">
        <v>3.1E-2</v>
      </c>
      <c r="AH17" s="19">
        <v>7.8E-2</v>
      </c>
    </row>
    <row r="18" spans="1:34" x14ac:dyDescent="0.2">
      <c r="B18" s="18" t="s">
        <v>208</v>
      </c>
      <c r="C18" s="18">
        <f>VLOOKUP($AN$1,DST!C:D,2,FALSE)</f>
        <v>12</v>
      </c>
      <c r="D18" s="147"/>
      <c r="E18" s="147"/>
      <c r="F18" s="147"/>
      <c r="G18" s="147"/>
      <c r="H18" s="147"/>
      <c r="I18" s="146">
        <f t="shared" si="12"/>
        <v>0</v>
      </c>
      <c r="J18" s="146">
        <f t="shared" si="13"/>
        <v>0</v>
      </c>
      <c r="K18" s="146">
        <f t="shared" si="14"/>
        <v>0</v>
      </c>
      <c r="L18" s="146">
        <f t="shared" si="15"/>
        <v>0</v>
      </c>
      <c r="M18" s="146">
        <f t="shared" si="21"/>
        <v>0</v>
      </c>
      <c r="N18" s="146">
        <f t="shared" si="21"/>
        <v>0</v>
      </c>
      <c r="O18" s="146">
        <f t="shared" si="17"/>
        <v>0</v>
      </c>
      <c r="Q18" s="13"/>
      <c r="R18" s="139"/>
      <c r="S18" s="138"/>
      <c r="T18" s="139"/>
      <c r="U18" s="139"/>
      <c r="V18" s="107">
        <v>5.0199999999999996</v>
      </c>
      <c r="W18" s="150">
        <f t="shared" si="18"/>
        <v>0</v>
      </c>
      <c r="X18" s="19">
        <v>0</v>
      </c>
      <c r="Y18" s="19">
        <v>0</v>
      </c>
      <c r="Z18" s="20">
        <v>0</v>
      </c>
      <c r="AA18" s="150">
        <f t="shared" si="19"/>
        <v>0</v>
      </c>
      <c r="AB18" s="7">
        <v>1.115758719853931E-2</v>
      </c>
      <c r="AC18" s="150">
        <f t="shared" si="20"/>
        <v>0</v>
      </c>
      <c r="AE18" s="168"/>
      <c r="AF18" s="19">
        <v>0</v>
      </c>
      <c r="AG18" s="19">
        <v>0</v>
      </c>
      <c r="AH18" s="19">
        <v>0</v>
      </c>
    </row>
    <row r="19" spans="1:34" x14ac:dyDescent="0.2">
      <c r="B19" s="18" t="s">
        <v>208</v>
      </c>
      <c r="C19" s="18">
        <f>VLOOKUP($AN$1,DST!C:D,2,FALSE)</f>
        <v>12</v>
      </c>
      <c r="D19" s="147"/>
      <c r="E19" s="147"/>
      <c r="F19" s="147"/>
      <c r="G19" s="147"/>
      <c r="H19" s="147"/>
      <c r="I19" s="146">
        <f t="shared" si="12"/>
        <v>0</v>
      </c>
      <c r="J19" s="146">
        <f t="shared" si="13"/>
        <v>0</v>
      </c>
      <c r="K19" s="146">
        <f t="shared" si="14"/>
        <v>0</v>
      </c>
      <c r="L19" s="146">
        <f t="shared" si="15"/>
        <v>0</v>
      </c>
      <c r="M19" s="146">
        <f t="shared" si="21"/>
        <v>0</v>
      </c>
      <c r="N19" s="146">
        <f t="shared" si="21"/>
        <v>0</v>
      </c>
      <c r="O19" s="146">
        <f t="shared" si="17"/>
        <v>0</v>
      </c>
      <c r="Q19" s="13"/>
      <c r="R19" s="139"/>
      <c r="S19" s="138"/>
      <c r="T19" s="139"/>
      <c r="U19" s="139"/>
      <c r="V19" s="107">
        <v>0</v>
      </c>
      <c r="W19" s="150">
        <f t="shared" si="18"/>
        <v>0</v>
      </c>
      <c r="X19" s="19">
        <v>0</v>
      </c>
      <c r="Y19" s="19">
        <v>0</v>
      </c>
      <c r="Z19" s="20">
        <v>0</v>
      </c>
      <c r="AA19" s="150">
        <f t="shared" si="19"/>
        <v>0</v>
      </c>
      <c r="AB19" s="7"/>
      <c r="AC19" s="150">
        <f t="shared" si="20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208</v>
      </c>
      <c r="C20" s="18">
        <f>VLOOKUP($AN$1,DST!C:D,2,FALSE)</f>
        <v>12</v>
      </c>
      <c r="D20" s="147"/>
      <c r="E20" s="147"/>
      <c r="F20" s="147"/>
      <c r="G20" s="147"/>
      <c r="H20" s="147"/>
      <c r="I20" s="146">
        <f t="shared" si="12"/>
        <v>0</v>
      </c>
      <c r="J20" s="146">
        <f t="shared" si="13"/>
        <v>0</v>
      </c>
      <c r="K20" s="146">
        <f t="shared" si="14"/>
        <v>0</v>
      </c>
      <c r="L20" s="146">
        <f t="shared" si="15"/>
        <v>0</v>
      </c>
      <c r="M20" s="146">
        <f t="shared" si="21"/>
        <v>0</v>
      </c>
      <c r="N20" s="146">
        <f t="shared" si="21"/>
        <v>0</v>
      </c>
      <c r="O20" s="146">
        <f t="shared" si="17"/>
        <v>0</v>
      </c>
      <c r="Q20" s="13"/>
      <c r="R20" s="139"/>
      <c r="S20" s="138"/>
      <c r="T20" s="139"/>
      <c r="U20" s="139"/>
      <c r="V20" s="107">
        <v>0</v>
      </c>
      <c r="W20" s="150">
        <f t="shared" si="18"/>
        <v>0</v>
      </c>
      <c r="X20" s="19">
        <v>0</v>
      </c>
      <c r="Y20" s="19">
        <v>0</v>
      </c>
      <c r="Z20" s="20">
        <v>0</v>
      </c>
      <c r="AA20" s="150">
        <f t="shared" si="19"/>
        <v>0</v>
      </c>
      <c r="AB20" s="7"/>
      <c r="AC20" s="150">
        <f t="shared" si="20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179</v>
      </c>
      <c r="B22" s="18" t="s">
        <v>10</v>
      </c>
      <c r="C22" s="18">
        <f>VLOOKUP($AN$1,DST!C:D,2,FALSE)</f>
        <v>12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126.52960319999998</v>
      </c>
      <c r="M22" s="146">
        <f t="shared" ref="M22:N25" si="22">L22*Y22</f>
        <v>78.70141319039999</v>
      </c>
      <c r="N22" s="146">
        <f t="shared" si="22"/>
        <v>1000.294961649984</v>
      </c>
      <c r="O22" s="146">
        <f t="shared" ref="O22:O25" si="23">M22*AH22</f>
        <v>6.3748144684223993</v>
      </c>
      <c r="Q22" s="13"/>
      <c r="R22" s="139"/>
      <c r="S22" s="138"/>
      <c r="T22" s="139"/>
      <c r="U22" s="139"/>
      <c r="V22" s="140"/>
      <c r="W22" s="154"/>
      <c r="X22" s="139"/>
      <c r="Y22" s="19">
        <v>0.622</v>
      </c>
      <c r="Z22" s="20">
        <v>12.71</v>
      </c>
      <c r="AA22" s="150">
        <f>(AG22/SUM(AG$6:AG$25))*0.98</f>
        <v>0.21559999999999999</v>
      </c>
      <c r="AB22" s="7">
        <v>0.15309603149915491</v>
      </c>
      <c r="AC22" s="150">
        <f>(AH22/SUM(AH$6:AH$25))*0.98</f>
        <v>0.11043544248952808</v>
      </c>
      <c r="AE22" s="168"/>
      <c r="AF22" s="168"/>
      <c r="AG22" s="19">
        <v>0.22</v>
      </c>
      <c r="AH22" s="19">
        <v>8.1000000000000003E-2</v>
      </c>
    </row>
    <row r="23" spans="1:34" x14ac:dyDescent="0.2">
      <c r="A23" s="17" t="s">
        <v>185</v>
      </c>
      <c r="B23" s="18" t="s">
        <v>10</v>
      </c>
      <c r="C23" s="18">
        <f>VLOOKUP($AN$1,DST!C:D,2,FALSE)</f>
        <v>12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23.005382399999998</v>
      </c>
      <c r="M23" s="146">
        <f t="shared" si="22"/>
        <v>14.723444735999994</v>
      </c>
      <c r="N23" s="146">
        <f t="shared" si="22"/>
        <v>136.21587343973044</v>
      </c>
      <c r="O23" s="146">
        <f t="shared" si="23"/>
        <v>1.1218617632780226</v>
      </c>
      <c r="Q23" s="13"/>
      <c r="R23" s="139"/>
      <c r="S23" s="138"/>
      <c r="T23" s="139"/>
      <c r="U23" s="139"/>
      <c r="V23" s="140"/>
      <c r="W23" s="154"/>
      <c r="X23" s="139"/>
      <c r="Y23" s="19">
        <v>0.63999999999999979</v>
      </c>
      <c r="Z23" s="20">
        <v>9.2516307074982116</v>
      </c>
      <c r="AA23" s="150">
        <f>(AG23/SUM(AG$6:AG$25))*0.98</f>
        <v>3.9199999999999999E-2</v>
      </c>
      <c r="AB23" s="7">
        <v>9.595419253822994E-2</v>
      </c>
      <c r="AC23" s="150">
        <f>(AH23/SUM(AH$6:AH$25))*0.98</f>
        <v>0.10388512633864319</v>
      </c>
      <c r="AE23" s="168"/>
      <c r="AF23" s="168"/>
      <c r="AG23" s="19">
        <v>0.04</v>
      </c>
      <c r="AH23" s="19">
        <v>7.6195603908844875E-2</v>
      </c>
    </row>
    <row r="24" spans="1:34" x14ac:dyDescent="0.2">
      <c r="B24" s="18" t="s">
        <v>10</v>
      </c>
      <c r="C24" s="18">
        <f>VLOOKUP($AN$1,DST!C:D,2,FALSE)</f>
        <v>12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0</v>
      </c>
      <c r="M24" s="146">
        <f t="shared" si="22"/>
        <v>0</v>
      </c>
      <c r="N24" s="146">
        <f t="shared" si="22"/>
        <v>0</v>
      </c>
      <c r="O24" s="146">
        <f t="shared" si="23"/>
        <v>0</v>
      </c>
      <c r="Q24" s="13"/>
      <c r="R24" s="139"/>
      <c r="S24" s="138"/>
      <c r="T24" s="139"/>
      <c r="U24" s="139"/>
      <c r="V24" s="140"/>
      <c r="W24" s="154"/>
      <c r="X24" s="139"/>
      <c r="Y24" s="19">
        <v>0</v>
      </c>
      <c r="Z24" s="20">
        <v>0</v>
      </c>
      <c r="AA24" s="150">
        <f>(AG24/SUM(AG$6:AG$25))*0.98</f>
        <v>0</v>
      </c>
      <c r="AB24" s="7">
        <v>8.8918704301745796E-3</v>
      </c>
      <c r="AC24" s="150">
        <f>(AH24/SUM(AH$6:AH$25))*0.98</f>
        <v>0</v>
      </c>
      <c r="AE24" s="168"/>
      <c r="AF24" s="168"/>
      <c r="AG24" s="19">
        <v>0</v>
      </c>
      <c r="AH24" s="19">
        <v>0</v>
      </c>
    </row>
    <row r="25" spans="1:34" x14ac:dyDescent="0.2">
      <c r="B25" s="18" t="s">
        <v>10</v>
      </c>
      <c r="C25" s="18">
        <f>VLOOKUP($AN$1,DST!C:D,2,FALSE)</f>
        <v>12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22"/>
        <v>0</v>
      </c>
      <c r="N25" s="146">
        <f t="shared" si="22"/>
        <v>0</v>
      </c>
      <c r="O25" s="146">
        <f t="shared" si="23"/>
        <v>0</v>
      </c>
      <c r="Q25" s="13"/>
      <c r="R25" s="139"/>
      <c r="S25" s="138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1.0212053385428152E-2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2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29"/>
      <c r="T27" s="30"/>
      <c r="U27" s="30"/>
      <c r="V27" s="31"/>
      <c r="W27" s="9" t="s">
        <v>264</v>
      </c>
      <c r="X27" s="30"/>
      <c r="Y27" s="30"/>
      <c r="Z27" s="31"/>
      <c r="AA27" s="9" t="s">
        <v>264</v>
      </c>
      <c r="AB27" s="9" t="s">
        <v>264</v>
      </c>
      <c r="AC27" s="9" t="s">
        <v>264</v>
      </c>
      <c r="AD27" s="44"/>
      <c r="AE27" s="9" t="s">
        <v>264</v>
      </c>
      <c r="AF27" s="9" t="s">
        <v>264</v>
      </c>
      <c r="AG27" s="9" t="s">
        <v>264</v>
      </c>
    </row>
    <row r="28" spans="1:34" s="27" customFormat="1" x14ac:dyDescent="0.2">
      <c r="A28" s="45" t="s">
        <v>265</v>
      </c>
      <c r="B28" s="28"/>
      <c r="C28" s="28"/>
      <c r="D28" s="34" t="s">
        <v>269</v>
      </c>
      <c r="E28" s="34" t="s">
        <v>266</v>
      </c>
      <c r="F28" s="155" t="s">
        <v>267</v>
      </c>
      <c r="G28" s="34" t="s">
        <v>286</v>
      </c>
      <c r="H28" s="34" t="s">
        <v>268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29"/>
      <c r="T28" s="30"/>
      <c r="U28" s="30"/>
      <c r="V28" s="31"/>
      <c r="W28" s="150">
        <f>SUM(W2:W4,W6:W25)</f>
        <v>0.97999999999999987</v>
      </c>
      <c r="X28" s="30"/>
      <c r="Y28" s="30"/>
      <c r="Z28" s="31"/>
      <c r="AA28" s="150">
        <f>SUM(AA6:AA25)</f>
        <v>0.98</v>
      </c>
      <c r="AB28" s="150">
        <f>SUM(AB2:AB4,AB6:AB11,AB13:AB20,AB22:AB25)</f>
        <v>0.97500000000000009</v>
      </c>
      <c r="AC28" s="150">
        <f>SUM(AC6:AC25)</f>
        <v>0.98000000000000009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</v>
      </c>
    </row>
    <row r="29" spans="1:34" s="27" customFormat="1" x14ac:dyDescent="0.2">
      <c r="A29" s="43"/>
      <c r="B29" s="28"/>
      <c r="C29" s="28"/>
      <c r="D29" s="46">
        <v>1026</v>
      </c>
      <c r="E29" s="47">
        <v>0.57199999999999995</v>
      </c>
      <c r="F29" s="2">
        <f>1-E29</f>
        <v>0.42800000000000005</v>
      </c>
      <c r="G29" s="106">
        <v>4.3</v>
      </c>
      <c r="H29" s="126">
        <v>3.5999999999999997E-2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29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29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265</v>
      </c>
      <c r="B31" s="28"/>
      <c r="C31" s="28"/>
      <c r="D31" s="162" t="s">
        <v>278</v>
      </c>
      <c r="E31" s="162" t="s">
        <v>1</v>
      </c>
      <c r="F31" s="162" t="s">
        <v>263</v>
      </c>
      <c r="G31" s="162" t="s">
        <v>137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29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586.87199999999996</v>
      </c>
      <c r="E32" s="156">
        <f>SUM(E2:E4)</f>
        <v>385.56932496758634</v>
      </c>
      <c r="F32" s="156">
        <f>SUM(F2:F4)</f>
        <v>4375.952854665381</v>
      </c>
      <c r="G32" s="156">
        <f>SUM(G2:G4)</f>
        <v>30.02095506566582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265</v>
      </c>
      <c r="B34" s="28"/>
      <c r="C34" s="28"/>
      <c r="D34" s="162" t="s">
        <v>270</v>
      </c>
      <c r="E34" s="162" t="s">
        <v>263</v>
      </c>
      <c r="F34" s="162" t="s">
        <v>137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439.12800000000004</v>
      </c>
      <c r="E35" s="156">
        <f>D35*G29</f>
        <v>1888.2504000000001</v>
      </c>
      <c r="F35" s="156">
        <f>D35*H29</f>
        <v>15.808608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29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29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279</v>
      </c>
      <c r="B37" s="37"/>
      <c r="C37" s="37"/>
      <c r="D37" s="164" t="s">
        <v>273</v>
      </c>
      <c r="E37" s="164" t="s">
        <v>274</v>
      </c>
      <c r="F37" s="164" t="s">
        <v>275</v>
      </c>
      <c r="G37" s="164" t="s">
        <v>271</v>
      </c>
      <c r="H37" s="164" t="s">
        <v>272</v>
      </c>
      <c r="I37" s="160" t="s">
        <v>276</v>
      </c>
      <c r="J37" s="160" t="s">
        <v>277</v>
      </c>
      <c r="P37" s="37"/>
      <c r="Q37" s="39"/>
      <c r="R37" s="39"/>
      <c r="S37" s="40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3.5" thickBot="1" x14ac:dyDescent="0.25">
      <c r="D38" s="157">
        <f>SUM(I2:I20)</f>
        <v>430.34544000000005</v>
      </c>
      <c r="E38" s="157">
        <f>SUM(J2:J4,J6:J11,J13:J20)</f>
        <v>1882.0619694560341</v>
      </c>
      <c r="F38" s="157">
        <f>SUM(K2:K4,K6:K11,K13:K20)</f>
        <v>15.779818701665672</v>
      </c>
      <c r="G38" s="157">
        <f>SUM(L6:L11,L13:L20,L22:L25)</f>
        <v>575.13455999999996</v>
      </c>
      <c r="H38" s="157">
        <f>SUM(M6:M11,M13:M20,M22:M25)</f>
        <v>380.06272047743994</v>
      </c>
      <c r="I38" s="157">
        <f>SUM(N6:N11,N13:N20,N22:N25)</f>
        <v>4372.3280090530216</v>
      </c>
      <c r="J38" s="157">
        <f>SUM(O6:O11,O13:O20,O22:O25)</f>
        <v>30.009786974431304</v>
      </c>
      <c r="V38" s="181"/>
      <c r="X38" s="30"/>
      <c r="Y38" s="30"/>
      <c r="Z38" s="181"/>
      <c r="AH38" s="30"/>
    </row>
    <row r="39" spans="1:34" ht="13.5" thickTop="1" x14ac:dyDescent="0.2">
      <c r="D39" s="158">
        <f>D35-D38</f>
        <v>8.7825599999999895</v>
      </c>
      <c r="E39" s="158">
        <f>E35-E38</f>
        <v>6.1884305439659784</v>
      </c>
      <c r="F39" s="158">
        <f>F35-F38</f>
        <v>2.878929833432764E-2</v>
      </c>
      <c r="G39" s="158">
        <f>SUM(D2:D4)-G38</f>
        <v>11.737439999999992</v>
      </c>
      <c r="H39" s="158">
        <f>E32-H38</f>
        <v>5.5066044901464011</v>
      </c>
      <c r="I39" s="158">
        <f>F32-I38</f>
        <v>3.6248456123594224</v>
      </c>
      <c r="J39" s="158">
        <f>G32-J38</f>
        <v>1.1168091234516453E-2</v>
      </c>
      <c r="V39" s="181"/>
      <c r="X39" s="30"/>
      <c r="Y39" s="30"/>
      <c r="Z39" s="181"/>
      <c r="AH39" s="30"/>
    </row>
    <row r="40" spans="1:34" x14ac:dyDescent="0.2">
      <c r="V40" s="181"/>
      <c r="X40" s="30"/>
      <c r="Y40" s="30"/>
      <c r="Z40" s="181"/>
      <c r="AH40" s="30"/>
    </row>
    <row r="41" spans="1:34" x14ac:dyDescent="0.2">
      <c r="V41" s="181"/>
      <c r="X41" s="30"/>
      <c r="Y41" s="30"/>
      <c r="Z41" s="181"/>
      <c r="AA41" s="17"/>
      <c r="AB41" s="17"/>
      <c r="AC41" s="17"/>
      <c r="AE41" s="17"/>
      <c r="AF41" s="17"/>
      <c r="AH41" s="30"/>
    </row>
    <row r="42" spans="1:34" x14ac:dyDescent="0.2">
      <c r="V42" s="181"/>
      <c r="X42" s="30"/>
      <c r="Y42" s="30"/>
      <c r="Z42" s="181"/>
      <c r="AA42" s="17"/>
      <c r="AB42" s="17"/>
      <c r="AC42" s="17"/>
      <c r="AE42" s="17"/>
      <c r="AF42" s="17"/>
      <c r="AH42" s="30"/>
    </row>
    <row r="43" spans="1:34" x14ac:dyDescent="0.2">
      <c r="V43" s="181"/>
      <c r="X43" s="30"/>
      <c r="Y43" s="30"/>
      <c r="Z43" s="181"/>
      <c r="AA43" s="17"/>
      <c r="AB43" s="17"/>
      <c r="AC43" s="17"/>
      <c r="AE43" s="17"/>
      <c r="AF43" s="17"/>
      <c r="AH43" s="30"/>
    </row>
    <row r="44" spans="1:34" x14ac:dyDescent="0.2">
      <c r="V44" s="181"/>
      <c r="X44" s="30"/>
      <c r="Y44" s="30"/>
      <c r="Z44" s="181"/>
      <c r="AA44" s="17"/>
      <c r="AB44" s="17"/>
      <c r="AC44" s="17"/>
      <c r="AE44" s="17"/>
      <c r="AF44" s="17"/>
      <c r="AH44" s="30"/>
    </row>
    <row r="45" spans="1:34" x14ac:dyDescent="0.2">
      <c r="V45" s="181"/>
      <c r="X45" s="30"/>
      <c r="Y45" s="30"/>
      <c r="Z45" s="181"/>
      <c r="AA45" s="17"/>
      <c r="AB45" s="17"/>
      <c r="AC45" s="17"/>
      <c r="AE45" s="17"/>
      <c r="AF45" s="17"/>
      <c r="AH45" s="30"/>
    </row>
    <row r="46" spans="1:34" x14ac:dyDescent="0.2">
      <c r="V46" s="181"/>
      <c r="X46" s="30"/>
      <c r="Y46" s="30"/>
      <c r="Z46" s="181"/>
      <c r="AA46" s="17"/>
      <c r="AB46" s="17"/>
      <c r="AC46" s="17"/>
      <c r="AE46" s="17"/>
      <c r="AF46" s="17"/>
      <c r="AH46" s="30"/>
    </row>
    <row r="47" spans="1:34" x14ac:dyDescent="0.2">
      <c r="V47" s="181"/>
      <c r="X47" s="30"/>
      <c r="Y47" s="30"/>
      <c r="Z47" s="181"/>
      <c r="AA47" s="17"/>
      <c r="AB47" s="17"/>
      <c r="AC47" s="17"/>
      <c r="AE47" s="17"/>
      <c r="AF47" s="17"/>
      <c r="AH47" s="30"/>
    </row>
    <row r="48" spans="1:34" x14ac:dyDescent="0.2">
      <c r="V48" s="181"/>
      <c r="X48" s="30"/>
      <c r="Y48" s="30"/>
      <c r="Z48" s="181"/>
      <c r="AA48" s="17"/>
      <c r="AB48" s="17"/>
      <c r="AC48" s="17"/>
      <c r="AE48" s="17"/>
      <c r="AF48" s="17"/>
      <c r="AH48" s="30"/>
    </row>
    <row r="49" spans="22:34" x14ac:dyDescent="0.2">
      <c r="V49" s="181"/>
      <c r="X49" s="30"/>
      <c r="Y49" s="30"/>
      <c r="Z49" s="181"/>
      <c r="AA49" s="17"/>
      <c r="AB49" s="17"/>
      <c r="AC49" s="17"/>
      <c r="AE49" s="17"/>
      <c r="AF49" s="17"/>
      <c r="AH49" s="30"/>
    </row>
    <row r="50" spans="22:34" x14ac:dyDescent="0.2">
      <c r="V50" s="181"/>
      <c r="X50" s="30"/>
      <c r="Y50" s="30"/>
      <c r="Z50" s="181"/>
      <c r="AA50" s="17"/>
      <c r="AB50" s="17"/>
      <c r="AC50" s="17"/>
      <c r="AE50" s="17"/>
      <c r="AF50" s="17"/>
      <c r="AH50" s="30"/>
    </row>
    <row r="51" spans="22:34" x14ac:dyDescent="0.2">
      <c r="X51" s="25"/>
      <c r="Y51" s="30"/>
      <c r="Z51" s="181"/>
      <c r="AA51" s="17"/>
      <c r="AB51" s="17"/>
      <c r="AC51" s="17"/>
      <c r="AE51" s="17"/>
      <c r="AF51" s="17"/>
      <c r="AH51" s="30"/>
    </row>
    <row r="52" spans="22:34" x14ac:dyDescent="0.2">
      <c r="X52" s="25"/>
      <c r="Y52" s="30"/>
      <c r="Z52" s="181"/>
      <c r="AA52" s="17"/>
      <c r="AB52" s="17"/>
      <c r="AC52" s="17"/>
      <c r="AE52" s="17"/>
      <c r="AF52" s="17"/>
      <c r="AH52" s="30"/>
    </row>
    <row r="53" spans="22:34" x14ac:dyDescent="0.2">
      <c r="X53" s="25"/>
      <c r="Y53" s="30"/>
      <c r="Z53" s="181"/>
      <c r="AA53" s="17"/>
      <c r="AB53" s="17"/>
      <c r="AC53" s="17"/>
      <c r="AE53" s="17"/>
      <c r="AF53" s="17"/>
      <c r="AH53" s="30"/>
    </row>
    <row r="54" spans="22:34" x14ac:dyDescent="0.2">
      <c r="X54" s="25"/>
      <c r="Y54" s="30"/>
      <c r="Z54" s="181"/>
      <c r="AA54" s="17"/>
      <c r="AB54" s="17"/>
      <c r="AC54" s="17"/>
      <c r="AE54" s="17"/>
      <c r="AF54" s="17"/>
      <c r="AH54" s="30"/>
    </row>
    <row r="55" spans="22:34" x14ac:dyDescent="0.2">
      <c r="X55" s="25"/>
      <c r="Y55" s="30"/>
      <c r="Z55" s="181"/>
      <c r="AA55" s="17"/>
      <c r="AB55" s="17"/>
      <c r="AC55" s="17"/>
      <c r="AE55" s="17"/>
      <c r="AF55" s="17"/>
      <c r="AH55" s="30"/>
    </row>
    <row r="56" spans="22:34" x14ac:dyDescent="0.2">
      <c r="X56" s="25"/>
      <c r="Y56" s="25"/>
      <c r="AA56" s="17"/>
      <c r="AB56" s="17"/>
      <c r="AC56" s="17"/>
      <c r="AE56" s="17"/>
      <c r="AF56" s="17"/>
      <c r="AH56" s="25"/>
    </row>
    <row r="57" spans="22:34" x14ac:dyDescent="0.2">
      <c r="X57" s="25"/>
      <c r="Y57" s="25"/>
      <c r="AA57" s="17"/>
      <c r="AB57" s="17"/>
      <c r="AC57" s="17"/>
      <c r="AE57" s="17"/>
      <c r="AF57" s="17"/>
      <c r="AH57" s="25"/>
    </row>
    <row r="58" spans="22:34" x14ac:dyDescent="0.2">
      <c r="X58" s="25"/>
      <c r="Y58" s="25"/>
      <c r="AA58" s="17"/>
      <c r="AB58" s="17"/>
      <c r="AC58" s="17"/>
      <c r="AE58" s="17"/>
      <c r="AF58" s="17"/>
      <c r="AH58" s="25"/>
    </row>
    <row r="59" spans="22:34" x14ac:dyDescent="0.2">
      <c r="X59" s="25"/>
      <c r="Y59" s="25"/>
      <c r="AA59" s="17"/>
      <c r="AB59" s="17"/>
      <c r="AC59" s="17"/>
      <c r="AE59" s="17"/>
      <c r="AF59" s="17"/>
      <c r="AH59" s="25"/>
    </row>
    <row r="60" spans="22:34" x14ac:dyDescent="0.2">
      <c r="X60" s="17"/>
      <c r="Y60" s="25"/>
      <c r="AA60" s="17"/>
      <c r="AB60" s="17"/>
      <c r="AC60" s="17"/>
      <c r="AE60" s="17"/>
      <c r="AF60" s="17"/>
      <c r="AH60" s="25"/>
    </row>
    <row r="61" spans="22:34" x14ac:dyDescent="0.2">
      <c r="X61" s="17"/>
      <c r="Y61" s="25"/>
      <c r="AA61" s="17"/>
      <c r="AB61" s="17"/>
      <c r="AC61" s="17"/>
      <c r="AE61" s="17"/>
      <c r="AF61" s="17"/>
      <c r="AH61" s="25"/>
    </row>
    <row r="62" spans="22:34" x14ac:dyDescent="0.2">
      <c r="X62" s="17"/>
      <c r="Y62" s="25"/>
      <c r="AA62" s="17"/>
      <c r="AB62" s="17"/>
      <c r="AC62" s="17"/>
      <c r="AE62" s="17"/>
      <c r="AF62" s="17"/>
      <c r="AH62" s="25"/>
    </row>
    <row r="63" spans="22:34" x14ac:dyDescent="0.2">
      <c r="X63" s="17"/>
      <c r="Y63" s="25"/>
      <c r="AA63" s="17"/>
      <c r="AB63" s="17"/>
      <c r="AC63" s="17"/>
      <c r="AE63" s="17"/>
      <c r="AF63" s="17"/>
      <c r="AH63" s="25"/>
    </row>
    <row r="64" spans="22:34" x14ac:dyDescent="0.2">
      <c r="X64" s="17"/>
      <c r="Y64" s="25"/>
      <c r="AA64" s="17"/>
      <c r="AB64" s="17"/>
      <c r="AC64" s="17"/>
      <c r="AE64" s="17"/>
      <c r="AF64" s="17"/>
      <c r="AH64" s="25"/>
    </row>
    <row r="65" spans="24:32" x14ac:dyDescent="0.2">
      <c r="X65" s="17"/>
      <c r="Y65" s="18"/>
      <c r="Z65" s="18"/>
      <c r="AA65" s="17"/>
      <c r="AB65" s="17"/>
      <c r="AC65" s="17"/>
      <c r="AE65" s="17"/>
      <c r="AF65" s="17"/>
    </row>
    <row r="66" spans="24:32" x14ac:dyDescent="0.2">
      <c r="X66" s="17"/>
      <c r="Y66" s="18"/>
      <c r="Z66" s="18"/>
      <c r="AA66" s="17"/>
      <c r="AB66" s="17"/>
      <c r="AC66" s="17"/>
      <c r="AE66" s="17"/>
      <c r="AF66" s="17"/>
    </row>
    <row r="67" spans="24:32" x14ac:dyDescent="0.2">
      <c r="X67" s="17"/>
      <c r="Y67" s="18"/>
      <c r="Z67" s="18"/>
      <c r="AA67" s="17"/>
      <c r="AB67" s="17"/>
      <c r="AC67" s="17"/>
      <c r="AE67" s="17"/>
      <c r="AF67" s="17"/>
    </row>
    <row r="68" spans="24:32" x14ac:dyDescent="0.2">
      <c r="X68" s="17"/>
      <c r="Y68" s="18"/>
      <c r="Z68" s="18"/>
      <c r="AA68" s="17"/>
      <c r="AB68" s="17"/>
      <c r="AC68" s="17"/>
      <c r="AE68" s="17"/>
      <c r="AF68" s="17"/>
    </row>
    <row r="69" spans="24:32" x14ac:dyDescent="0.2">
      <c r="X69" s="17"/>
      <c r="Y69" s="18"/>
      <c r="Z69" s="18"/>
      <c r="AA69" s="17"/>
      <c r="AB69" s="17"/>
      <c r="AC69" s="17"/>
      <c r="AE69" s="17"/>
      <c r="AF69" s="17"/>
    </row>
    <row r="70" spans="24:32" x14ac:dyDescent="0.2">
      <c r="X70" s="17"/>
      <c r="Y70" s="18"/>
      <c r="Z70" s="18"/>
      <c r="AA70" s="17"/>
      <c r="AB70" s="17"/>
      <c r="AC70" s="17"/>
      <c r="AE70" s="17"/>
      <c r="AF70" s="17"/>
    </row>
    <row r="71" spans="24:32" x14ac:dyDescent="0.2">
      <c r="X71" s="17"/>
      <c r="Y71" s="18"/>
      <c r="Z71" s="18"/>
      <c r="AA71" s="17"/>
      <c r="AB71" s="17"/>
      <c r="AC71" s="17"/>
      <c r="AE71" s="17"/>
      <c r="AF71" s="17"/>
    </row>
    <row r="72" spans="24:32" x14ac:dyDescent="0.2">
      <c r="X72" s="17"/>
      <c r="Y72" s="18"/>
      <c r="Z72" s="18"/>
      <c r="AA72" s="17"/>
      <c r="AB72" s="17"/>
      <c r="AC72" s="17"/>
      <c r="AE72" s="17"/>
      <c r="AF72" s="17"/>
    </row>
    <row r="73" spans="24:32" x14ac:dyDescent="0.2">
      <c r="X73" s="17"/>
      <c r="Y73" s="18"/>
      <c r="Z73" s="18"/>
      <c r="AA73" s="17"/>
      <c r="AB73" s="17"/>
      <c r="AC73" s="17"/>
      <c r="AE73" s="17"/>
      <c r="AF73" s="17"/>
    </row>
    <row r="74" spans="24:32" x14ac:dyDescent="0.2">
      <c r="X74" s="17"/>
      <c r="Y74" s="18"/>
      <c r="Z74" s="18"/>
      <c r="AA74" s="17"/>
      <c r="AB74" s="17"/>
      <c r="AC74" s="17"/>
      <c r="AE74" s="17"/>
      <c r="AF74" s="17"/>
    </row>
    <row r="75" spans="24:32" x14ac:dyDescent="0.2">
      <c r="X75" s="17"/>
      <c r="Y75" s="18"/>
      <c r="Z75" s="18"/>
      <c r="AA75" s="17"/>
      <c r="AB75" s="17"/>
      <c r="AC75" s="17"/>
      <c r="AE75" s="17"/>
      <c r="AF75" s="17"/>
    </row>
    <row r="76" spans="24:32" x14ac:dyDescent="0.2">
      <c r="X76" s="17"/>
      <c r="Y76" s="18"/>
      <c r="Z76" s="18"/>
      <c r="AA76" s="17"/>
      <c r="AB76" s="17"/>
      <c r="AC76" s="17"/>
      <c r="AE76" s="17"/>
      <c r="AF76" s="17"/>
    </row>
  </sheetData>
  <sheetProtection selectLockedCells="1"/>
  <conditionalFormatting sqref="D39:J39">
    <cfRule type="cellIs" dxfId="92" priority="1" operator="lessThan">
      <formula>0</formula>
    </cfRule>
  </conditionalFormatting>
  <conditionalFormatting sqref="W28">
    <cfRule type="cellIs" dxfId="91" priority="2" operator="greaterThan">
      <formula>1</formula>
    </cfRule>
  </conditionalFormatting>
  <conditionalFormatting sqref="AA28:AG28">
    <cfRule type="cellIs" dxfId="90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580167"/>
  </sheetPr>
  <dimension ref="A1:AN64"/>
  <sheetViews>
    <sheetView showGridLines="0" zoomScale="85" zoomScaleNormal="85"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defaultColWidth="8.7109375" defaultRowHeight="12.75" x14ac:dyDescent="0.2"/>
  <cols>
    <col min="1" max="1" width="22.5703125" style="17" customWidth="1"/>
    <col min="2" max="3" width="8.7109375" style="18"/>
    <col min="4" max="13" width="8.7109375" style="23"/>
    <col min="14" max="15" width="8.7109375" style="18"/>
    <col min="16" max="16" width="4.7109375" style="18" customWidth="1"/>
    <col min="17" max="18" width="8.7109375" style="26"/>
    <col min="19" max="19" width="8.7109375" style="25"/>
    <col min="20" max="21" width="8.7109375" style="26"/>
    <col min="22" max="23" width="8.7109375" style="25"/>
    <col min="24" max="25" width="8.7109375" style="26"/>
    <col min="26" max="26" width="8.7109375" style="25"/>
    <col min="27" max="27" width="8.7109375" style="18"/>
    <col min="28" max="28" width="0" style="18" hidden="1" customWidth="1"/>
    <col min="29" max="29" width="8.7109375" style="26"/>
    <col min="30" max="30" width="4.7109375" style="17" customWidth="1"/>
    <col min="31" max="32" width="8.7109375" style="18"/>
    <col min="33" max="16384" width="8.7109375" style="17"/>
  </cols>
  <sheetData>
    <row r="1" spans="1:40" s="15" customFormat="1" ht="25.5" customHeight="1" x14ac:dyDescent="0.2">
      <c r="A1" s="15" t="s">
        <v>0</v>
      </c>
      <c r="B1" s="15" t="s">
        <v>8</v>
      </c>
      <c r="C1" s="15" t="s">
        <v>122</v>
      </c>
      <c r="D1" s="159" t="s">
        <v>210</v>
      </c>
      <c r="E1" s="159" t="s">
        <v>1</v>
      </c>
      <c r="F1" s="159" t="s">
        <v>213</v>
      </c>
      <c r="G1" s="159" t="s">
        <v>228</v>
      </c>
      <c r="H1" s="159" t="s">
        <v>2</v>
      </c>
      <c r="I1" s="159" t="s">
        <v>229</v>
      </c>
      <c r="J1" s="159" t="s">
        <v>217</v>
      </c>
      <c r="K1" s="159" t="s">
        <v>230</v>
      </c>
      <c r="L1" s="159" t="s">
        <v>219</v>
      </c>
      <c r="M1" s="159" t="s">
        <v>4</v>
      </c>
      <c r="N1" s="159" t="s">
        <v>223</v>
      </c>
      <c r="O1" s="159" t="s">
        <v>231</v>
      </c>
      <c r="Q1" s="160" t="s">
        <v>281</v>
      </c>
      <c r="R1" s="133" t="s">
        <v>232</v>
      </c>
      <c r="S1" s="135" t="s">
        <v>451</v>
      </c>
      <c r="T1" s="133" t="s">
        <v>205</v>
      </c>
      <c r="U1" s="133" t="s">
        <v>209</v>
      </c>
      <c r="V1" s="135" t="s">
        <v>280</v>
      </c>
      <c r="W1" s="161" t="s">
        <v>282</v>
      </c>
      <c r="X1" s="133" t="s">
        <v>233</v>
      </c>
      <c r="Y1" s="179" t="s">
        <v>234</v>
      </c>
      <c r="Z1" s="135" t="s">
        <v>235</v>
      </c>
      <c r="AA1" s="160" t="s">
        <v>236</v>
      </c>
      <c r="AB1" s="160" t="s">
        <v>237</v>
      </c>
      <c r="AC1" s="10" t="s">
        <v>262</v>
      </c>
      <c r="AE1" s="136" t="s">
        <v>283</v>
      </c>
      <c r="AF1" s="137" t="s">
        <v>284</v>
      </c>
      <c r="AG1" s="136" t="s">
        <v>285</v>
      </c>
      <c r="AH1" s="136" t="s">
        <v>450</v>
      </c>
      <c r="AN1" s="15" t="s">
        <v>89</v>
      </c>
    </row>
    <row r="2" spans="1:40" x14ac:dyDescent="0.2">
      <c r="A2" s="17" t="s">
        <v>19</v>
      </c>
      <c r="B2" s="18" t="s">
        <v>9</v>
      </c>
      <c r="C2" s="18">
        <f>VLOOKUP($AN$1,DST!C:D,2,FALSE)</f>
        <v>14</v>
      </c>
      <c r="D2" s="146">
        <f>D$32*Q2</f>
        <v>513.14440000000002</v>
      </c>
      <c r="E2" s="146">
        <f>D2*R2</f>
        <v>338.15568117642169</v>
      </c>
      <c r="F2" s="146">
        <f>E2*S2</f>
        <v>3938.5025075402932</v>
      </c>
      <c r="G2" s="146">
        <f>D2*T2</f>
        <v>27.00731983910633</v>
      </c>
      <c r="H2" s="146">
        <f>E2*U2</f>
        <v>6.5285855002725803</v>
      </c>
      <c r="I2" s="146">
        <f>D$35*W2</f>
        <v>147.03669120000001</v>
      </c>
      <c r="J2" s="146">
        <f>I2*V2</f>
        <v>855.45770716797324</v>
      </c>
      <c r="K2" s="146">
        <f>I2*X2</f>
        <v>5.464757583408181</v>
      </c>
      <c r="L2" s="147"/>
      <c r="M2" s="147"/>
      <c r="N2" s="147"/>
      <c r="O2" s="147"/>
      <c r="Q2" s="150">
        <f>(AE2/SUM(AE$2:AE$25))</f>
        <v>0.95</v>
      </c>
      <c r="R2" s="19">
        <v>0.65898737504768967</v>
      </c>
      <c r="S2" s="107">
        <v>11.647009725930076</v>
      </c>
      <c r="T2" s="19">
        <v>5.2631032978448816E-2</v>
      </c>
      <c r="U2" s="19">
        <v>1.9306449258992352E-2</v>
      </c>
      <c r="V2" s="107">
        <v>5.8179880150075984</v>
      </c>
      <c r="W2" s="150">
        <f>(AF2/SUM(AF$2:AF$20))*0.98</f>
        <v>0.27440000000000003</v>
      </c>
      <c r="X2" s="19">
        <v>3.7165945035956986E-2</v>
      </c>
      <c r="Y2" s="21"/>
      <c r="Z2" s="22"/>
      <c r="AA2" s="1"/>
      <c r="AB2" s="1"/>
      <c r="AC2" s="1"/>
      <c r="AE2" s="19">
        <v>0.95</v>
      </c>
      <c r="AF2" s="19">
        <v>0.28000000000000003</v>
      </c>
      <c r="AG2" s="168"/>
      <c r="AH2" s="168"/>
    </row>
    <row r="3" spans="1:40" x14ac:dyDescent="0.2">
      <c r="A3" s="17" t="s">
        <v>550</v>
      </c>
      <c r="B3" s="18" t="s">
        <v>9</v>
      </c>
      <c r="C3" s="18">
        <f>VLOOKUP($AN$1,DST!C:D,2,FALSE)</f>
        <v>14</v>
      </c>
      <c r="D3" s="146">
        <f>D$32*Q3</f>
        <v>27.007600000000004</v>
      </c>
      <c r="E3" s="146">
        <f t="shared" ref="E3:F4" si="0">D3*R3</f>
        <v>16.768955016033789</v>
      </c>
      <c r="F3" s="146">
        <f t="shared" si="0"/>
        <v>155.59096621381255</v>
      </c>
      <c r="G3" s="146">
        <f t="shared" ref="G3:G4" si="1">D3*T3</f>
        <v>1.133631850193759</v>
      </c>
      <c r="H3" s="146">
        <f t="shared" ref="H3:H4" si="2">E3*U3</f>
        <v>0.31743578080914431</v>
      </c>
      <c r="I3" s="146">
        <f>D$35*W3</f>
        <v>2.6256551999999997</v>
      </c>
      <c r="J3" s="146">
        <f>I3*V3</f>
        <v>9.9377476512431109</v>
      </c>
      <c r="K3" s="146">
        <f>I3*X3</f>
        <v>8.5903673531190453E-2</v>
      </c>
      <c r="L3" s="147"/>
      <c r="M3" s="147"/>
      <c r="N3" s="147"/>
      <c r="O3" s="147"/>
      <c r="Q3" s="150">
        <f>(AE3/SUM(AE$2:AE$25))</f>
        <v>0.05</v>
      </c>
      <c r="R3" s="19">
        <v>0.62089763681459242</v>
      </c>
      <c r="S3" s="107">
        <v>9.2785129463966491</v>
      </c>
      <c r="T3" s="19">
        <v>4.1974549763539107E-2</v>
      </c>
      <c r="U3" s="19">
        <v>1.8929967938110942E-2</v>
      </c>
      <c r="V3" s="107">
        <v>3.7848639270088134</v>
      </c>
      <c r="W3" s="150">
        <f>(AF3/SUM(AF$2:AF$20))*0.98</f>
        <v>4.8999999999999998E-3</v>
      </c>
      <c r="X3" s="19">
        <v>3.2717042790382553E-2</v>
      </c>
      <c r="Y3" s="21"/>
      <c r="Z3" s="22"/>
      <c r="AA3" s="1"/>
      <c r="AB3" s="1"/>
      <c r="AC3" s="1"/>
      <c r="AE3" s="19">
        <v>0.05</v>
      </c>
      <c r="AF3" s="19">
        <v>5.0000000000000001E-3</v>
      </c>
      <c r="AG3" s="168"/>
      <c r="AH3" s="168"/>
    </row>
    <row r="4" spans="1:40" x14ac:dyDescent="0.2">
      <c r="B4" s="18" t="s">
        <v>9</v>
      </c>
      <c r="C4" s="18">
        <f>VLOOKUP($AN$1,DST!C:D,2,FALSE)</f>
        <v>14</v>
      </c>
      <c r="D4" s="146">
        <f>D$32*Q4</f>
        <v>0</v>
      </c>
      <c r="E4" s="146">
        <f t="shared" si="0"/>
        <v>0</v>
      </c>
      <c r="F4" s="146">
        <f t="shared" si="0"/>
        <v>0</v>
      </c>
      <c r="G4" s="146">
        <f t="shared" si="1"/>
        <v>0</v>
      </c>
      <c r="H4" s="146">
        <f t="shared" si="2"/>
        <v>0</v>
      </c>
      <c r="I4" s="146">
        <f>D$35*W4</f>
        <v>0</v>
      </c>
      <c r="J4" s="146">
        <f>I4*V4</f>
        <v>0</v>
      </c>
      <c r="K4" s="146">
        <f>I4*X4</f>
        <v>0</v>
      </c>
      <c r="L4" s="147"/>
      <c r="M4" s="147"/>
      <c r="N4" s="147"/>
      <c r="O4" s="147"/>
      <c r="Q4" s="150">
        <f>(AE4/SUM(AE$2:AE$25))</f>
        <v>0</v>
      </c>
      <c r="R4" s="19">
        <v>0</v>
      </c>
      <c r="S4" s="107">
        <v>0</v>
      </c>
      <c r="T4" s="19">
        <v>0</v>
      </c>
      <c r="U4" s="19">
        <v>0</v>
      </c>
      <c r="V4" s="107">
        <v>0</v>
      </c>
      <c r="W4" s="150">
        <f>(AF4/SUM(AF$2:AF$20))*0.98</f>
        <v>0</v>
      </c>
      <c r="X4" s="19">
        <v>0</v>
      </c>
      <c r="Y4" s="21"/>
      <c r="Z4" s="22"/>
      <c r="AA4" s="1"/>
      <c r="AB4" s="1"/>
      <c r="AC4" s="1"/>
      <c r="AE4" s="19">
        <v>0</v>
      </c>
      <c r="AF4" s="19">
        <v>0</v>
      </c>
      <c r="AG4" s="168"/>
      <c r="AH4" s="168"/>
    </row>
    <row r="5" spans="1:40" x14ac:dyDescent="0.2"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Q5" s="3"/>
      <c r="W5" s="152"/>
      <c r="AA5" s="6"/>
      <c r="AB5" s="6"/>
      <c r="AC5" s="3"/>
      <c r="AE5" s="124"/>
      <c r="AF5" s="169"/>
      <c r="AG5" s="124"/>
      <c r="AH5" s="124"/>
    </row>
    <row r="6" spans="1:40" x14ac:dyDescent="0.2">
      <c r="A6" s="17" t="s">
        <v>57</v>
      </c>
      <c r="B6" s="18" t="s">
        <v>207</v>
      </c>
      <c r="C6" s="18">
        <f>VLOOKUP($AN$1,DST!C:D,2,FALSE)</f>
        <v>14</v>
      </c>
      <c r="D6" s="147"/>
      <c r="E6" s="147"/>
      <c r="F6" s="147"/>
      <c r="G6" s="147"/>
      <c r="H6" s="147"/>
      <c r="I6" s="146">
        <f t="shared" ref="I6:I11" si="3">D$35*W6</f>
        <v>259.41473375999999</v>
      </c>
      <c r="J6" s="146">
        <f t="shared" ref="J6:J11" si="4">I6*V6</f>
        <v>1168.9415810283683</v>
      </c>
      <c r="K6" s="146">
        <f t="shared" ref="K6:K11" si="5">I6*X6</f>
        <v>13.723039415904001</v>
      </c>
      <c r="L6" s="146">
        <f t="shared" ref="L6:L11" si="6">((D$2+D$3+D$4)*AA6)</f>
        <v>31.760937600000002</v>
      </c>
      <c r="M6" s="146">
        <f t="shared" ref="M6:N11" si="7">L6*Y6</f>
        <v>23.820703200000001</v>
      </c>
      <c r="N6" s="146">
        <f t="shared" si="7"/>
        <v>192.46229869443019</v>
      </c>
      <c r="O6" s="146">
        <f t="shared" ref="O6:O11" si="8">M6*AH6</f>
        <v>0.86370982678436103</v>
      </c>
      <c r="Q6" s="13"/>
      <c r="R6" s="139"/>
      <c r="S6" s="140"/>
      <c r="T6" s="139"/>
      <c r="U6" s="139"/>
      <c r="V6" s="107">
        <v>4.5060724349983365</v>
      </c>
      <c r="W6" s="150">
        <f t="shared" ref="W6:W11" si="9">(AF6/SUM(AF$2:AF$20))*0.98</f>
        <v>0.48411999999999999</v>
      </c>
      <c r="X6" s="19">
        <v>5.2900000000000003E-2</v>
      </c>
      <c r="Y6" s="19">
        <v>0.75</v>
      </c>
      <c r="Z6" s="20">
        <v>8.0796228842828697</v>
      </c>
      <c r="AA6" s="150">
        <f t="shared" ref="AA6:AA11" si="10">(AG6/SUM(AG$6:AG$25))*0.98</f>
        <v>5.8799999999999998E-2</v>
      </c>
      <c r="AB6" s="7">
        <v>7.4425001523669182E-2</v>
      </c>
      <c r="AC6" s="150">
        <f t="shared" ref="AC6:AC11" si="11">(AH6/SUM(AH$6:AH$25))*0.98</f>
        <v>4.2931666643177976E-2</v>
      </c>
      <c r="AE6" s="168"/>
      <c r="AF6" s="19">
        <v>0.49399999999999999</v>
      </c>
      <c r="AG6" s="19">
        <v>0.06</v>
      </c>
      <c r="AH6" s="19">
        <v>3.6258787976685802E-2</v>
      </c>
    </row>
    <row r="7" spans="1:40" x14ac:dyDescent="0.2">
      <c r="A7" s="176" t="s">
        <v>637</v>
      </c>
      <c r="B7" s="18" t="s">
        <v>207</v>
      </c>
      <c r="C7" s="18">
        <f>VLOOKUP($AN$1,DST!C:D,2,FALSE)</f>
        <v>14</v>
      </c>
      <c r="D7" s="147"/>
      <c r="E7" s="147"/>
      <c r="F7" s="147"/>
      <c r="G7" s="147"/>
      <c r="H7" s="147"/>
      <c r="I7" s="146">
        <f t="shared" si="3"/>
        <v>50.412579839999992</v>
      </c>
      <c r="J7" s="146">
        <f t="shared" si="4"/>
        <v>229.37850225896884</v>
      </c>
      <c r="K7" s="146">
        <f t="shared" si="5"/>
        <v>2.2685660927999995</v>
      </c>
      <c r="L7" s="146">
        <f t="shared" si="6"/>
        <v>5.2934896</v>
      </c>
      <c r="M7" s="146">
        <f t="shared" si="7"/>
        <v>3.9701171999999998</v>
      </c>
      <c r="N7" s="146">
        <f t="shared" si="7"/>
        <v>32.043357909012151</v>
      </c>
      <c r="O7" s="146">
        <f t="shared" si="8"/>
        <v>0.15086445359999998</v>
      </c>
      <c r="Q7" s="13"/>
      <c r="R7" s="139"/>
      <c r="S7" s="140"/>
      <c r="T7" s="139"/>
      <c r="U7" s="139"/>
      <c r="V7" s="107">
        <v>4.5500250728483422</v>
      </c>
      <c r="W7" s="150">
        <f t="shared" si="9"/>
        <v>9.4079999999999997E-2</v>
      </c>
      <c r="X7" s="19">
        <v>4.4999999999999998E-2</v>
      </c>
      <c r="Y7" s="19">
        <v>0.75</v>
      </c>
      <c r="Z7" s="20">
        <v>8.0711365168293145</v>
      </c>
      <c r="AA7" s="150">
        <f t="shared" si="10"/>
        <v>9.7999999999999997E-3</v>
      </c>
      <c r="AB7" s="7">
        <v>2.7786169029541063E-2</v>
      </c>
      <c r="AC7" s="150">
        <f t="shared" si="11"/>
        <v>4.4993322266859731E-2</v>
      </c>
      <c r="AE7" s="168"/>
      <c r="AF7" s="19">
        <v>9.6000000000000002E-2</v>
      </c>
      <c r="AG7" s="19">
        <v>0.01</v>
      </c>
      <c r="AH7" s="19">
        <v>3.7999999999999999E-2</v>
      </c>
    </row>
    <row r="8" spans="1:40" x14ac:dyDescent="0.2">
      <c r="A8" s="176" t="s">
        <v>530</v>
      </c>
      <c r="B8" s="18" t="s">
        <v>207</v>
      </c>
      <c r="C8" s="18">
        <f>VLOOKUP($AN$1,DST!C:D,2,FALSE)</f>
        <v>14</v>
      </c>
      <c r="D8" s="147"/>
      <c r="E8" s="147"/>
      <c r="F8" s="147"/>
      <c r="G8" s="147"/>
      <c r="H8" s="147"/>
      <c r="I8" s="146">
        <f t="shared" si="3"/>
        <v>31.507862399999997</v>
      </c>
      <c r="J8" s="146">
        <f t="shared" si="4"/>
        <v>158.71783172949858</v>
      </c>
      <c r="K8" s="146">
        <f t="shared" si="5"/>
        <v>1.3548380831999998</v>
      </c>
      <c r="L8" s="146">
        <f t="shared" si="6"/>
        <v>13.233724000000002</v>
      </c>
      <c r="M8" s="146">
        <f t="shared" si="7"/>
        <v>10.282603548000003</v>
      </c>
      <c r="N8" s="146">
        <f t="shared" si="7"/>
        <v>85.253322478722666</v>
      </c>
      <c r="O8" s="146">
        <f t="shared" si="8"/>
        <v>0.43656218640058941</v>
      </c>
      <c r="Q8" s="13"/>
      <c r="R8" s="139"/>
      <c r="S8" s="140"/>
      <c r="T8" s="139"/>
      <c r="U8" s="139"/>
      <c r="V8" s="107">
        <v>5.0374039887104054</v>
      </c>
      <c r="W8" s="150">
        <f t="shared" si="9"/>
        <v>5.8799999999999998E-2</v>
      </c>
      <c r="X8" s="19">
        <v>4.2999999999999997E-2</v>
      </c>
      <c r="Y8" s="19">
        <v>0.77700000000000002</v>
      </c>
      <c r="Z8" s="20">
        <v>8.2910249413734025</v>
      </c>
      <c r="AA8" s="150">
        <f t="shared" si="10"/>
        <v>2.4500000000000001E-2</v>
      </c>
      <c r="AB8" s="7">
        <v>2.7655430004005315E-2</v>
      </c>
      <c r="AC8" s="150">
        <f t="shared" si="11"/>
        <v>5.0269838482039406E-2</v>
      </c>
      <c r="AE8" s="168"/>
      <c r="AF8" s="19">
        <v>0.06</v>
      </c>
      <c r="AG8" s="19">
        <v>2.5000000000000001E-2</v>
      </c>
      <c r="AH8" s="19">
        <v>4.2456386105200181E-2</v>
      </c>
    </row>
    <row r="9" spans="1:40" x14ac:dyDescent="0.2">
      <c r="A9" s="176" t="s">
        <v>544</v>
      </c>
      <c r="B9" s="18" t="s">
        <v>207</v>
      </c>
      <c r="C9" s="18">
        <f>VLOOKUP($AN$1,DST!C:D,2,FALSE)</f>
        <v>14</v>
      </c>
      <c r="D9" s="147"/>
      <c r="E9" s="147"/>
      <c r="F9" s="147"/>
      <c r="G9" s="147"/>
      <c r="H9" s="147"/>
      <c r="I9" s="146">
        <f t="shared" si="3"/>
        <v>26.256551999999999</v>
      </c>
      <c r="J9" s="146">
        <f t="shared" si="4"/>
        <v>120.1320346716457</v>
      </c>
      <c r="K9" s="146">
        <f t="shared" si="5"/>
        <v>1.076518632</v>
      </c>
      <c r="L9" s="146">
        <f t="shared" si="6"/>
        <v>10.5869792</v>
      </c>
      <c r="M9" s="146">
        <f t="shared" si="7"/>
        <v>8.1413870047999986</v>
      </c>
      <c r="N9" s="146">
        <f t="shared" si="7"/>
        <v>61.793127366431989</v>
      </c>
      <c r="O9" s="146">
        <f t="shared" si="8"/>
        <v>0.28464897499032138</v>
      </c>
      <c r="Q9" s="13"/>
      <c r="R9" s="139"/>
      <c r="S9" s="140"/>
      <c r="T9" s="139"/>
      <c r="U9" s="139"/>
      <c r="V9" s="107">
        <v>4.575316464692154</v>
      </c>
      <c r="W9" s="150">
        <f t="shared" si="9"/>
        <v>4.9000000000000002E-2</v>
      </c>
      <c r="X9" s="19">
        <v>4.1000000000000002E-2</v>
      </c>
      <c r="Y9" s="19">
        <v>0.76899999999999991</v>
      </c>
      <c r="Z9" s="20">
        <v>7.59</v>
      </c>
      <c r="AA9" s="150">
        <f t="shared" si="10"/>
        <v>1.9599999999999999E-2</v>
      </c>
      <c r="AB9" s="7">
        <v>1.86198077556744E-2</v>
      </c>
      <c r="AC9" s="150">
        <f t="shared" si="11"/>
        <v>4.139765017641827E-2</v>
      </c>
      <c r="AE9" s="168"/>
      <c r="AF9" s="19">
        <v>0.05</v>
      </c>
      <c r="AG9" s="19">
        <v>0.02</v>
      </c>
      <c r="AH9" s="19">
        <v>3.4963204036670664E-2</v>
      </c>
    </row>
    <row r="10" spans="1:40" x14ac:dyDescent="0.2">
      <c r="A10" s="172"/>
      <c r="B10" s="18" t="s">
        <v>207</v>
      </c>
      <c r="C10" s="18">
        <f>VLOOKUP($AN$1,DST!C:D,2,FALSE)</f>
        <v>14</v>
      </c>
      <c r="D10" s="147"/>
      <c r="E10" s="147"/>
      <c r="F10" s="147"/>
      <c r="G10" s="147"/>
      <c r="H10" s="147"/>
      <c r="I10" s="146">
        <f t="shared" si="3"/>
        <v>0</v>
      </c>
      <c r="J10" s="146">
        <f t="shared" si="4"/>
        <v>0</v>
      </c>
      <c r="K10" s="146">
        <f t="shared" si="5"/>
        <v>0</v>
      </c>
      <c r="L10" s="146">
        <f t="shared" si="6"/>
        <v>0</v>
      </c>
      <c r="M10" s="146">
        <f t="shared" si="7"/>
        <v>0</v>
      </c>
      <c r="N10" s="146">
        <f t="shared" si="7"/>
        <v>0</v>
      </c>
      <c r="O10" s="146">
        <f t="shared" si="8"/>
        <v>0</v>
      </c>
      <c r="Q10" s="13"/>
      <c r="R10" s="139"/>
      <c r="S10" s="140"/>
      <c r="T10" s="139"/>
      <c r="U10" s="139"/>
      <c r="V10" s="107">
        <v>0</v>
      </c>
      <c r="W10" s="150">
        <f t="shared" si="9"/>
        <v>0</v>
      </c>
      <c r="X10" s="19">
        <v>0</v>
      </c>
      <c r="Y10" s="19">
        <v>0</v>
      </c>
      <c r="Z10" s="20">
        <v>0</v>
      </c>
      <c r="AA10" s="150">
        <f t="shared" si="10"/>
        <v>0</v>
      </c>
      <c r="AB10" s="7">
        <v>7.6820007370456802E-3</v>
      </c>
      <c r="AC10" s="150">
        <f t="shared" si="11"/>
        <v>0</v>
      </c>
      <c r="AE10" s="168"/>
      <c r="AF10" s="19">
        <v>0</v>
      </c>
      <c r="AG10" s="19">
        <v>0</v>
      </c>
      <c r="AH10" s="19">
        <v>0</v>
      </c>
    </row>
    <row r="11" spans="1:40" x14ac:dyDescent="0.2">
      <c r="A11" s="172"/>
      <c r="B11" s="18" t="s">
        <v>207</v>
      </c>
      <c r="C11" s="18">
        <f>VLOOKUP($AN$1,DST!C:D,2,FALSE)</f>
        <v>14</v>
      </c>
      <c r="D11" s="147"/>
      <c r="E11" s="147"/>
      <c r="F11" s="147"/>
      <c r="G11" s="147"/>
      <c r="H11" s="147"/>
      <c r="I11" s="146">
        <f t="shared" si="3"/>
        <v>0</v>
      </c>
      <c r="J11" s="146">
        <f t="shared" si="4"/>
        <v>0</v>
      </c>
      <c r="K11" s="146">
        <f t="shared" si="5"/>
        <v>0</v>
      </c>
      <c r="L11" s="146">
        <f t="shared" si="6"/>
        <v>0</v>
      </c>
      <c r="M11" s="146">
        <f t="shared" si="7"/>
        <v>0</v>
      </c>
      <c r="N11" s="146">
        <f t="shared" si="7"/>
        <v>0</v>
      </c>
      <c r="O11" s="146">
        <f t="shared" si="8"/>
        <v>0</v>
      </c>
      <c r="Q11" s="13"/>
      <c r="R11" s="139"/>
      <c r="S11" s="140"/>
      <c r="T11" s="139"/>
      <c r="U11" s="139"/>
      <c r="V11" s="107">
        <v>0</v>
      </c>
      <c r="W11" s="150">
        <f t="shared" si="9"/>
        <v>0</v>
      </c>
      <c r="X11" s="19">
        <v>0</v>
      </c>
      <c r="Y11" s="19">
        <v>0</v>
      </c>
      <c r="Z11" s="20">
        <v>0</v>
      </c>
      <c r="AA11" s="150">
        <f t="shared" si="10"/>
        <v>0</v>
      </c>
      <c r="AB11" s="7"/>
      <c r="AC11" s="150">
        <f t="shared" si="11"/>
        <v>0</v>
      </c>
      <c r="AE11" s="168"/>
      <c r="AF11" s="19">
        <v>0</v>
      </c>
      <c r="AG11" s="19">
        <v>0</v>
      </c>
      <c r="AH11" s="19">
        <v>0</v>
      </c>
    </row>
    <row r="12" spans="1:40" x14ac:dyDescent="0.2"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Q12" s="3"/>
      <c r="W12" s="153"/>
      <c r="AA12" s="152"/>
      <c r="AB12" s="6"/>
      <c r="AC12"/>
      <c r="AE12" s="124"/>
      <c r="AF12" s="124"/>
      <c r="AG12" s="26"/>
      <c r="AH12" s="26"/>
    </row>
    <row r="13" spans="1:40" x14ac:dyDescent="0.2">
      <c r="A13" s="17" t="s">
        <v>474</v>
      </c>
      <c r="B13" s="18" t="s">
        <v>208</v>
      </c>
      <c r="C13" s="18">
        <f>VLOOKUP($AN$1,DST!C:D,2,FALSE)</f>
        <v>14</v>
      </c>
      <c r="D13" s="147"/>
      <c r="E13" s="147"/>
      <c r="F13" s="147"/>
      <c r="G13" s="147"/>
      <c r="H13" s="147"/>
      <c r="I13" s="146">
        <f t="shared" ref="I13:I20" si="12">D$35*W13</f>
        <v>7.8769655999999992</v>
      </c>
      <c r="J13" s="146">
        <f t="shared" ref="J13:J20" si="13">I13*V13</f>
        <v>41.826687335999992</v>
      </c>
      <c r="K13" s="146">
        <f t="shared" ref="K13:K20" si="14">I13*X13</f>
        <v>0.39384828</v>
      </c>
      <c r="L13" s="146">
        <f t="shared" ref="L13:L20" si="15">((D$2+D$3+D$4)*AA13)</f>
        <v>113.81002640000001</v>
      </c>
      <c r="M13" s="146">
        <f t="shared" ref="M13:N20" si="16">L13*Y13</f>
        <v>78.07367811040001</v>
      </c>
      <c r="N13" s="146">
        <f t="shared" si="16"/>
        <v>944.681288460264</v>
      </c>
      <c r="O13" s="146">
        <f t="shared" ref="O13:O20" si="17">M13*AH13</f>
        <v>6.0116732145008003</v>
      </c>
      <c r="Q13" s="13"/>
      <c r="R13" s="139"/>
      <c r="S13" s="140"/>
      <c r="T13" s="139"/>
      <c r="U13" s="139"/>
      <c r="V13" s="107">
        <v>5.31</v>
      </c>
      <c r="W13" s="150">
        <f t="shared" ref="W13:W20" si="18">(AF13/SUM(AF$2:AF$20))*0.98</f>
        <v>1.47E-2</v>
      </c>
      <c r="X13" s="19">
        <v>0.05</v>
      </c>
      <c r="Y13" s="19">
        <v>0.68600000000000005</v>
      </c>
      <c r="Z13" s="20">
        <v>12.099869140588437</v>
      </c>
      <c r="AA13" s="150">
        <f t="shared" ref="AA13:AA20" si="19">(AG13/SUM(AG$6:AG$25))*0.98</f>
        <v>0.2107</v>
      </c>
      <c r="AB13" s="7">
        <v>0.14561096689517464</v>
      </c>
      <c r="AC13" s="150">
        <f t="shared" ref="AC13:AC20" si="20">(AH13/SUM(AH$6:AH$25))*0.98</f>
        <v>9.1170679330215762E-2</v>
      </c>
      <c r="AE13" s="168"/>
      <c r="AF13" s="19">
        <v>1.4999999999999999E-2</v>
      </c>
      <c r="AG13" s="19">
        <v>0.215</v>
      </c>
      <c r="AH13" s="19">
        <v>7.6999999999999999E-2</v>
      </c>
    </row>
    <row r="14" spans="1:40" x14ac:dyDescent="0.2">
      <c r="A14" s="17" t="s">
        <v>192</v>
      </c>
      <c r="B14" s="18" t="s">
        <v>208</v>
      </c>
      <c r="C14" s="18">
        <f>VLOOKUP($AN$1,DST!C:D,2,FALSE)</f>
        <v>14</v>
      </c>
      <c r="D14" s="147"/>
      <c r="E14" s="147"/>
      <c r="F14" s="147"/>
      <c r="G14" s="147"/>
      <c r="H14" s="147"/>
      <c r="I14" s="146">
        <f t="shared" si="12"/>
        <v>0</v>
      </c>
      <c r="J14" s="146">
        <f t="shared" si="13"/>
        <v>0</v>
      </c>
      <c r="K14" s="146">
        <f t="shared" si="14"/>
        <v>0</v>
      </c>
      <c r="L14" s="146">
        <f t="shared" si="15"/>
        <v>79.402343999999999</v>
      </c>
      <c r="M14" s="146">
        <f t="shared" si="16"/>
        <v>47.244394679999992</v>
      </c>
      <c r="N14" s="146">
        <f t="shared" si="16"/>
        <v>615.38894501593722</v>
      </c>
      <c r="O14" s="146">
        <f t="shared" si="17"/>
        <v>3.2126188382399996</v>
      </c>
      <c r="Q14" s="13"/>
      <c r="R14" s="139"/>
      <c r="S14" s="140"/>
      <c r="T14" s="139"/>
      <c r="U14" s="139"/>
      <c r="V14" s="107">
        <v>5.0199999999999996</v>
      </c>
      <c r="W14" s="150">
        <f t="shared" si="18"/>
        <v>0</v>
      </c>
      <c r="X14" s="19">
        <v>0</v>
      </c>
      <c r="Y14" s="19">
        <v>0.59499999999999986</v>
      </c>
      <c r="Z14" s="20">
        <v>13.025649903742979</v>
      </c>
      <c r="AA14" s="150">
        <f t="shared" si="19"/>
        <v>0.14699999999999999</v>
      </c>
      <c r="AB14" s="7">
        <v>0.1296962865312439</v>
      </c>
      <c r="AC14" s="150">
        <f t="shared" si="20"/>
        <v>8.0514366161748993E-2</v>
      </c>
      <c r="AE14" s="168"/>
      <c r="AF14" s="19">
        <v>0</v>
      </c>
      <c r="AG14" s="19">
        <v>0.15</v>
      </c>
      <c r="AH14" s="19">
        <v>6.8000000000000005E-2</v>
      </c>
    </row>
    <row r="15" spans="1:40" x14ac:dyDescent="0.2">
      <c r="A15" s="17" t="s">
        <v>67</v>
      </c>
      <c r="B15" s="18" t="s">
        <v>208</v>
      </c>
      <c r="C15" s="18">
        <f>VLOOKUP($AN$1,DST!C:D,2,FALSE)</f>
        <v>14</v>
      </c>
      <c r="D15" s="147"/>
      <c r="E15" s="147"/>
      <c r="F15" s="147"/>
      <c r="G15" s="147"/>
      <c r="H15" s="147"/>
      <c r="I15" s="146">
        <f t="shared" si="12"/>
        <v>0</v>
      </c>
      <c r="J15" s="146">
        <f t="shared" si="13"/>
        <v>0</v>
      </c>
      <c r="K15" s="146">
        <f t="shared" si="14"/>
        <v>0</v>
      </c>
      <c r="L15" s="146">
        <f t="shared" si="15"/>
        <v>65.109922080000004</v>
      </c>
      <c r="M15" s="146">
        <f t="shared" si="16"/>
        <v>40.30304176752</v>
      </c>
      <c r="N15" s="146">
        <f t="shared" si="16"/>
        <v>486.05468371629121</v>
      </c>
      <c r="O15" s="146">
        <f t="shared" si="17"/>
        <v>3.2645463831691202</v>
      </c>
      <c r="Q15" s="13"/>
      <c r="R15" s="139"/>
      <c r="S15" s="140"/>
      <c r="T15" s="139"/>
      <c r="U15" s="139"/>
      <c r="V15" s="107">
        <v>5.0199999999999996</v>
      </c>
      <c r="W15" s="150">
        <f t="shared" si="18"/>
        <v>0</v>
      </c>
      <c r="X15" s="19">
        <v>0</v>
      </c>
      <c r="Y15" s="19">
        <v>0.61899999999999999</v>
      </c>
      <c r="Z15" s="20">
        <v>12.06</v>
      </c>
      <c r="AA15" s="150">
        <f t="shared" si="19"/>
        <v>0.12053999999999999</v>
      </c>
      <c r="AB15" s="7">
        <v>0.12173525551154903</v>
      </c>
      <c r="AC15" s="150">
        <f t="shared" si="20"/>
        <v>9.5906818516201003E-2</v>
      </c>
      <c r="AE15" s="168"/>
      <c r="AF15" s="19">
        <v>0</v>
      </c>
      <c r="AG15" s="19">
        <v>0.123</v>
      </c>
      <c r="AH15" s="19">
        <v>8.1000000000000003E-2</v>
      </c>
    </row>
    <row r="16" spans="1:40" x14ac:dyDescent="0.2">
      <c r="A16" s="17" t="s">
        <v>597</v>
      </c>
      <c r="B16" s="18" t="s">
        <v>208</v>
      </c>
      <c r="C16" s="18">
        <f>VLOOKUP($AN$1,DST!C:D,2,FALSE)</f>
        <v>14</v>
      </c>
      <c r="D16" s="147"/>
      <c r="E16" s="147"/>
      <c r="F16" s="147"/>
      <c r="G16" s="147"/>
      <c r="H16" s="147"/>
      <c r="I16" s="146">
        <f t="shared" si="12"/>
        <v>0</v>
      </c>
      <c r="J16" s="146">
        <f t="shared" si="13"/>
        <v>0</v>
      </c>
      <c r="K16" s="146">
        <f t="shared" si="14"/>
        <v>0</v>
      </c>
      <c r="L16" s="146">
        <f t="shared" si="15"/>
        <v>12.70437504</v>
      </c>
      <c r="M16" s="146">
        <f t="shared" si="16"/>
        <v>7.4828768985600016</v>
      </c>
      <c r="N16" s="146">
        <f t="shared" si="16"/>
        <v>95.822736749914085</v>
      </c>
      <c r="O16" s="146">
        <f t="shared" si="17"/>
        <v>0.58366439808768011</v>
      </c>
      <c r="Q16" s="13"/>
      <c r="R16" s="139"/>
      <c r="S16" s="140"/>
      <c r="T16" s="139"/>
      <c r="U16" s="139"/>
      <c r="V16" s="107">
        <v>5.0199999999999996</v>
      </c>
      <c r="W16" s="150">
        <f t="shared" si="18"/>
        <v>0</v>
      </c>
      <c r="X16" s="19">
        <v>0</v>
      </c>
      <c r="Y16" s="19">
        <v>0.58900000000000008</v>
      </c>
      <c r="Z16" s="20">
        <v>12.805601114239115</v>
      </c>
      <c r="AA16" s="150">
        <f t="shared" si="19"/>
        <v>2.3519999999999999E-2</v>
      </c>
      <c r="AB16" s="7">
        <v>5.1413104394337189E-2</v>
      </c>
      <c r="AC16" s="150">
        <f t="shared" si="20"/>
        <v>9.2354714126712076E-2</v>
      </c>
      <c r="AE16" s="168"/>
      <c r="AF16" s="19">
        <v>0</v>
      </c>
      <c r="AG16" s="19">
        <v>2.4E-2</v>
      </c>
      <c r="AH16" s="19">
        <v>7.8E-2</v>
      </c>
    </row>
    <row r="17" spans="1:34" x14ac:dyDescent="0.2">
      <c r="A17" s="17" t="s">
        <v>400</v>
      </c>
      <c r="B17" s="18" t="s">
        <v>208</v>
      </c>
      <c r="C17" s="18">
        <f>VLOOKUP($AN$1,DST!C:D,2,FALSE)</f>
        <v>14</v>
      </c>
      <c r="D17" s="147"/>
      <c r="E17" s="147"/>
      <c r="F17" s="147"/>
      <c r="G17" s="147"/>
      <c r="H17" s="147"/>
      <c r="I17" s="146">
        <f t="shared" si="12"/>
        <v>0</v>
      </c>
      <c r="J17" s="146">
        <f t="shared" si="13"/>
        <v>0</v>
      </c>
      <c r="K17" s="146">
        <f t="shared" si="14"/>
        <v>0</v>
      </c>
      <c r="L17" s="146">
        <f t="shared" si="15"/>
        <v>26.996796960000001</v>
      </c>
      <c r="M17" s="146">
        <f t="shared" si="16"/>
        <v>16.252071769920001</v>
      </c>
      <c r="N17" s="146">
        <f t="shared" si="16"/>
        <v>181.77188829902357</v>
      </c>
      <c r="O17" s="146">
        <f t="shared" si="17"/>
        <v>1.2351574545139201</v>
      </c>
      <c r="Q17" s="13"/>
      <c r="R17" s="139"/>
      <c r="S17" s="140"/>
      <c r="T17" s="139"/>
      <c r="U17" s="139"/>
      <c r="V17" s="107">
        <v>5.68</v>
      </c>
      <c r="W17" s="150">
        <f t="shared" si="18"/>
        <v>0</v>
      </c>
      <c r="X17" s="19">
        <v>0</v>
      </c>
      <c r="Y17" s="19">
        <v>0.60199999999999998</v>
      </c>
      <c r="Z17" s="20">
        <v>11.184536400796262</v>
      </c>
      <c r="AA17" s="150">
        <f t="shared" si="19"/>
        <v>4.9979999999999997E-2</v>
      </c>
      <c r="AB17" s="7">
        <v>5.3801420074477219E-2</v>
      </c>
      <c r="AC17" s="150">
        <f t="shared" si="20"/>
        <v>8.9986644533719462E-2</v>
      </c>
      <c r="AE17" s="168"/>
      <c r="AF17" s="19">
        <v>0</v>
      </c>
      <c r="AG17" s="19">
        <v>5.0999999999999997E-2</v>
      </c>
      <c r="AH17" s="19">
        <v>7.5999999999999998E-2</v>
      </c>
    </row>
    <row r="18" spans="1:34" x14ac:dyDescent="0.2">
      <c r="B18" s="18" t="s">
        <v>208</v>
      </c>
      <c r="C18" s="18">
        <f>VLOOKUP($AN$1,DST!C:D,2,FALSE)</f>
        <v>14</v>
      </c>
      <c r="D18" s="147"/>
      <c r="E18" s="147"/>
      <c r="F18" s="147"/>
      <c r="G18" s="147"/>
      <c r="H18" s="147"/>
      <c r="I18" s="146">
        <f t="shared" si="12"/>
        <v>0</v>
      </c>
      <c r="J18" s="146">
        <f t="shared" si="13"/>
        <v>0</v>
      </c>
      <c r="K18" s="146">
        <f t="shared" si="14"/>
        <v>0</v>
      </c>
      <c r="L18" s="146">
        <f t="shared" si="15"/>
        <v>0</v>
      </c>
      <c r="M18" s="146">
        <f t="shared" si="16"/>
        <v>0</v>
      </c>
      <c r="N18" s="146">
        <f t="shared" si="16"/>
        <v>0</v>
      </c>
      <c r="O18" s="146">
        <f t="shared" si="17"/>
        <v>0</v>
      </c>
      <c r="Q18" s="13"/>
      <c r="R18" s="139"/>
      <c r="S18" s="140"/>
      <c r="T18" s="139"/>
      <c r="U18" s="139"/>
      <c r="V18" s="107">
        <v>0</v>
      </c>
      <c r="W18" s="150">
        <f t="shared" si="18"/>
        <v>0</v>
      </c>
      <c r="X18" s="19">
        <v>0</v>
      </c>
      <c r="Y18" s="19">
        <v>0</v>
      </c>
      <c r="Z18" s="20">
        <v>0</v>
      </c>
      <c r="AA18" s="150">
        <f t="shared" si="19"/>
        <v>0</v>
      </c>
      <c r="AB18" s="7">
        <v>6.0690359663566847E-2</v>
      </c>
      <c r="AC18" s="150">
        <f t="shared" si="20"/>
        <v>0</v>
      </c>
      <c r="AE18" s="168"/>
      <c r="AF18" s="19">
        <v>0</v>
      </c>
      <c r="AG18" s="19">
        <v>0</v>
      </c>
      <c r="AH18" s="19">
        <v>0</v>
      </c>
    </row>
    <row r="19" spans="1:34" x14ac:dyDescent="0.2">
      <c r="B19" s="18" t="s">
        <v>208</v>
      </c>
      <c r="C19" s="18">
        <f>VLOOKUP($AN$1,DST!C:D,2,FALSE)</f>
        <v>14</v>
      </c>
      <c r="D19" s="147"/>
      <c r="E19" s="147"/>
      <c r="F19" s="147"/>
      <c r="G19" s="147"/>
      <c r="H19" s="147"/>
      <c r="I19" s="146">
        <f t="shared" si="12"/>
        <v>0</v>
      </c>
      <c r="J19" s="146">
        <f t="shared" si="13"/>
        <v>0</v>
      </c>
      <c r="K19" s="146">
        <f t="shared" si="14"/>
        <v>0</v>
      </c>
      <c r="L19" s="146">
        <f t="shared" si="15"/>
        <v>0</v>
      </c>
      <c r="M19" s="146">
        <f t="shared" si="16"/>
        <v>0</v>
      </c>
      <c r="N19" s="146">
        <f t="shared" si="16"/>
        <v>0</v>
      </c>
      <c r="O19" s="146">
        <f t="shared" si="17"/>
        <v>0</v>
      </c>
      <c r="Q19" s="13"/>
      <c r="R19" s="139"/>
      <c r="S19" s="140"/>
      <c r="T19" s="139"/>
      <c r="U19" s="139"/>
      <c r="V19" s="107">
        <v>0</v>
      </c>
      <c r="W19" s="150">
        <f t="shared" si="18"/>
        <v>0</v>
      </c>
      <c r="X19" s="19">
        <v>0</v>
      </c>
      <c r="Y19" s="19">
        <v>0</v>
      </c>
      <c r="Z19" s="20">
        <v>0</v>
      </c>
      <c r="AA19" s="150">
        <f t="shared" si="19"/>
        <v>0</v>
      </c>
      <c r="AB19" s="7"/>
      <c r="AC19" s="150">
        <f t="shared" si="20"/>
        <v>0</v>
      </c>
      <c r="AE19" s="168"/>
      <c r="AF19" s="19">
        <v>0</v>
      </c>
      <c r="AG19" s="19">
        <v>0</v>
      </c>
      <c r="AH19" s="19">
        <v>0</v>
      </c>
    </row>
    <row r="20" spans="1:34" x14ac:dyDescent="0.2">
      <c r="B20" s="18" t="s">
        <v>208</v>
      </c>
      <c r="C20" s="18">
        <f>VLOOKUP($AN$1,DST!C:D,2,FALSE)</f>
        <v>14</v>
      </c>
      <c r="D20" s="147"/>
      <c r="E20" s="147"/>
      <c r="F20" s="147"/>
      <c r="G20" s="147"/>
      <c r="H20" s="147"/>
      <c r="I20" s="146">
        <f t="shared" si="12"/>
        <v>0</v>
      </c>
      <c r="J20" s="146">
        <f t="shared" si="13"/>
        <v>0</v>
      </c>
      <c r="K20" s="146">
        <f t="shared" si="14"/>
        <v>0</v>
      </c>
      <c r="L20" s="146">
        <f t="shared" si="15"/>
        <v>0</v>
      </c>
      <c r="M20" s="146">
        <f t="shared" si="16"/>
        <v>0</v>
      </c>
      <c r="N20" s="146">
        <f t="shared" si="16"/>
        <v>0</v>
      </c>
      <c r="O20" s="146">
        <f t="shared" si="17"/>
        <v>0</v>
      </c>
      <c r="Q20" s="13"/>
      <c r="R20" s="139"/>
      <c r="S20" s="140"/>
      <c r="T20" s="139"/>
      <c r="U20" s="139"/>
      <c r="V20" s="107">
        <v>0</v>
      </c>
      <c r="W20" s="150">
        <f t="shared" si="18"/>
        <v>0</v>
      </c>
      <c r="X20" s="19">
        <v>0</v>
      </c>
      <c r="Y20" s="19">
        <v>0</v>
      </c>
      <c r="Z20" s="20">
        <v>0</v>
      </c>
      <c r="AA20" s="150">
        <f t="shared" si="19"/>
        <v>0</v>
      </c>
      <c r="AB20" s="7"/>
      <c r="AC20" s="150">
        <f t="shared" si="20"/>
        <v>0</v>
      </c>
      <c r="AE20" s="168"/>
      <c r="AF20" s="19">
        <v>0</v>
      </c>
      <c r="AG20" s="19">
        <v>0</v>
      </c>
      <c r="AH20" s="19">
        <v>0</v>
      </c>
    </row>
    <row r="21" spans="1:34" x14ac:dyDescent="0.2"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Q21" s="3"/>
      <c r="W21" s="153"/>
      <c r="AA21" s="152"/>
      <c r="AB21" s="6"/>
      <c r="AC21"/>
      <c r="AE21" s="124"/>
      <c r="AF21" s="124"/>
      <c r="AG21" s="26"/>
      <c r="AH21" s="26"/>
    </row>
    <row r="22" spans="1:34" x14ac:dyDescent="0.2">
      <c r="A22" s="17" t="s">
        <v>22</v>
      </c>
      <c r="B22" s="18" t="s">
        <v>10</v>
      </c>
      <c r="C22" s="18">
        <f>VLOOKUP($AN$1,DST!C:D,2,FALSE)</f>
        <v>14</v>
      </c>
      <c r="D22" s="147"/>
      <c r="E22" s="147"/>
      <c r="F22" s="147"/>
      <c r="G22" s="147"/>
      <c r="H22" s="147"/>
      <c r="I22" s="147"/>
      <c r="J22" s="147"/>
      <c r="K22" s="147"/>
      <c r="L22" s="146">
        <f>((D$2+D$3+D$4)*AA22)</f>
        <v>116.45677120000001</v>
      </c>
      <c r="M22" s="146">
        <f t="shared" ref="M22:N25" si="21">L22*Y22</f>
        <v>81.51973984</v>
      </c>
      <c r="N22" s="146">
        <f t="shared" si="21"/>
        <v>931.10389580398976</v>
      </c>
      <c r="O22" s="146">
        <f t="shared" ref="O22:O25" si="22">M22*AH22</f>
        <v>8.0704542441600005</v>
      </c>
      <c r="Q22" s="13"/>
      <c r="R22" s="139"/>
      <c r="S22" s="140"/>
      <c r="T22" s="139"/>
      <c r="U22" s="139"/>
      <c r="V22" s="140"/>
      <c r="W22" s="154"/>
      <c r="X22" s="139"/>
      <c r="Y22" s="19">
        <v>0.7</v>
      </c>
      <c r="Z22" s="20">
        <v>11.421821237794443</v>
      </c>
      <c r="AA22" s="150">
        <f>(AG22/SUM(AG$6:AG$25))*0.98</f>
        <v>0.21559999999999999</v>
      </c>
      <c r="AB22" s="7">
        <v>0.18053077737948031</v>
      </c>
      <c r="AC22" s="150">
        <f>(AH22/SUM(AH$6:AH$25))*0.98</f>
        <v>0.11721944485313456</v>
      </c>
      <c r="AE22" s="168"/>
      <c r="AF22" s="168"/>
      <c r="AG22" s="19">
        <v>0.22</v>
      </c>
      <c r="AH22" s="19">
        <v>9.9000000000000005E-2</v>
      </c>
    </row>
    <row r="23" spans="1:34" x14ac:dyDescent="0.2">
      <c r="A23" s="17" t="s">
        <v>403</v>
      </c>
      <c r="B23" s="18" t="s">
        <v>10</v>
      </c>
      <c r="C23" s="18">
        <f>VLOOKUP($AN$1,DST!C:D,2,FALSE)</f>
        <v>14</v>
      </c>
      <c r="D23" s="147"/>
      <c r="E23" s="147"/>
      <c r="F23" s="147"/>
      <c r="G23" s="147"/>
      <c r="H23" s="147"/>
      <c r="I23" s="147"/>
      <c r="J23" s="147"/>
      <c r="K23" s="147"/>
      <c r="L23" s="146">
        <f>((D$2+D$3+D$4)*AA23)</f>
        <v>48.700104320000001</v>
      </c>
      <c r="M23" s="146">
        <f t="shared" si="21"/>
        <v>34.333573545599997</v>
      </c>
      <c r="N23" s="146">
        <f t="shared" si="21"/>
        <v>409.8781154720719</v>
      </c>
      <c r="O23" s="146">
        <f t="shared" si="22"/>
        <v>3.6736923693791996</v>
      </c>
      <c r="Q23" s="13"/>
      <c r="R23" s="139"/>
      <c r="S23" s="140"/>
      <c r="T23" s="139"/>
      <c r="U23" s="139"/>
      <c r="V23" s="140"/>
      <c r="W23" s="154"/>
      <c r="X23" s="139"/>
      <c r="Y23" s="19">
        <v>0.70499999999999996</v>
      </c>
      <c r="Z23" s="20">
        <v>11.93811401331976</v>
      </c>
      <c r="AA23" s="150">
        <f>(AG23/SUM(AG$6:AG$25))*0.98</f>
        <v>9.015999999999999E-2</v>
      </c>
      <c r="AB23" s="7">
        <v>4.7408829825310229E-2</v>
      </c>
      <c r="AC23" s="150">
        <f>(AH23/SUM(AH$6:AH$25))*0.98</f>
        <v>0.12669172322510502</v>
      </c>
      <c r="AE23" s="168"/>
      <c r="AF23" s="168"/>
      <c r="AG23" s="19">
        <v>9.1999999999999998E-2</v>
      </c>
      <c r="AH23" s="19">
        <v>0.107</v>
      </c>
    </row>
    <row r="24" spans="1:34" x14ac:dyDescent="0.2">
      <c r="A24" s="17" t="s">
        <v>402</v>
      </c>
      <c r="B24" s="18" t="s">
        <v>10</v>
      </c>
      <c r="C24" s="18">
        <f>VLOOKUP($AN$1,DST!C:D,2,FALSE)</f>
        <v>14</v>
      </c>
      <c r="D24" s="147"/>
      <c r="E24" s="147"/>
      <c r="F24" s="147"/>
      <c r="G24" s="147"/>
      <c r="H24" s="147"/>
      <c r="I24" s="147"/>
      <c r="J24" s="147"/>
      <c r="K24" s="147"/>
      <c r="L24" s="146">
        <f>((D$2+D$3+D$4)*AA24)</f>
        <v>5.2934896</v>
      </c>
      <c r="M24" s="146">
        <f t="shared" si="21"/>
        <v>3.4725291776000007</v>
      </c>
      <c r="N24" s="146">
        <f t="shared" si="21"/>
        <v>39.430584905367567</v>
      </c>
      <c r="O24" s="146">
        <f t="shared" si="22"/>
        <v>0.31252762598400002</v>
      </c>
      <c r="Q24" s="13"/>
      <c r="R24" s="139"/>
      <c r="S24" s="140"/>
      <c r="T24" s="139"/>
      <c r="U24" s="139"/>
      <c r="V24" s="140"/>
      <c r="W24" s="154"/>
      <c r="X24" s="139"/>
      <c r="Y24" s="19">
        <v>0.65600000000000014</v>
      </c>
      <c r="Z24" s="20">
        <v>11.355004634581521</v>
      </c>
      <c r="AA24" s="150">
        <f>(AG24/SUM(AG$6:AG$25))*0.98</f>
        <v>9.7999999999999997E-3</v>
      </c>
      <c r="AB24" s="7">
        <v>1.1868783100480383E-2</v>
      </c>
      <c r="AC24" s="150">
        <f>(AH24/SUM(AH$6:AH$25))*0.98</f>
        <v>0.10656313168466777</v>
      </c>
      <c r="AE24" s="168"/>
      <c r="AF24" s="168"/>
      <c r="AG24" s="19">
        <v>0.01</v>
      </c>
      <c r="AH24" s="19">
        <v>0.09</v>
      </c>
    </row>
    <row r="25" spans="1:34" x14ac:dyDescent="0.2">
      <c r="B25" s="18" t="s">
        <v>10</v>
      </c>
      <c r="C25" s="18">
        <f>VLOOKUP($AN$1,DST!C:D,2,FALSE)</f>
        <v>14</v>
      </c>
      <c r="D25" s="147"/>
      <c r="E25" s="147"/>
      <c r="F25" s="147"/>
      <c r="G25" s="147"/>
      <c r="H25" s="147"/>
      <c r="I25" s="147"/>
      <c r="J25" s="147"/>
      <c r="K25" s="147"/>
      <c r="L25" s="146">
        <f>((D$2+D$3+D$4)*AA25)</f>
        <v>0</v>
      </c>
      <c r="M25" s="146">
        <f t="shared" si="21"/>
        <v>0</v>
      </c>
      <c r="N25" s="146">
        <f t="shared" si="21"/>
        <v>0</v>
      </c>
      <c r="O25" s="146">
        <f t="shared" si="22"/>
        <v>0</v>
      </c>
      <c r="Q25" s="13"/>
      <c r="R25" s="139"/>
      <c r="S25" s="140"/>
      <c r="T25" s="139"/>
      <c r="U25" s="139"/>
      <c r="V25" s="140"/>
      <c r="W25" s="154"/>
      <c r="X25" s="139"/>
      <c r="Y25" s="19">
        <v>0</v>
      </c>
      <c r="Z25" s="20">
        <v>0</v>
      </c>
      <c r="AA25" s="150">
        <f>(AG25/SUM(AG$6:AG$25))*0.98</f>
        <v>0</v>
      </c>
      <c r="AB25" s="7">
        <v>3.7861891311964935E-3</v>
      </c>
      <c r="AC25" s="150">
        <f>(AH25/SUM(AH$6:AH$25))*0.98</f>
        <v>0</v>
      </c>
      <c r="AE25" s="168"/>
      <c r="AF25" s="168"/>
      <c r="AG25" s="19">
        <v>0</v>
      </c>
      <c r="AH25" s="19">
        <v>0</v>
      </c>
    </row>
    <row r="26" spans="1:34" x14ac:dyDescent="0.2">
      <c r="A26" s="43"/>
      <c r="N26" s="23"/>
      <c r="O26" s="23"/>
      <c r="Q26" s="24"/>
      <c r="R26" s="24"/>
      <c r="T26" s="24"/>
      <c r="U26" s="24"/>
      <c r="W26" s="153"/>
      <c r="X26" s="24"/>
      <c r="Y26" s="24"/>
      <c r="AA26" s="6"/>
      <c r="AB26" s="6"/>
      <c r="AC26" s="4"/>
    </row>
    <row r="27" spans="1:34" s="27" customFormat="1" x14ac:dyDescent="0.2">
      <c r="A27" s="43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8"/>
      <c r="Q27" s="30"/>
      <c r="R27" s="30"/>
      <c r="S27" s="31"/>
      <c r="T27" s="30"/>
      <c r="U27" s="30"/>
      <c r="V27" s="31"/>
      <c r="W27" s="9" t="s">
        <v>264</v>
      </c>
      <c r="X27" s="30"/>
      <c r="Y27" s="30"/>
      <c r="Z27" s="31"/>
      <c r="AA27" s="9" t="s">
        <v>264</v>
      </c>
      <c r="AB27" s="9" t="s">
        <v>264</v>
      </c>
      <c r="AC27" s="9" t="s">
        <v>264</v>
      </c>
      <c r="AD27" s="44"/>
      <c r="AE27" s="9" t="s">
        <v>264</v>
      </c>
      <c r="AF27" s="9" t="s">
        <v>264</v>
      </c>
      <c r="AG27" s="9" t="s">
        <v>264</v>
      </c>
    </row>
    <row r="28" spans="1:34" s="27" customFormat="1" x14ac:dyDescent="0.2">
      <c r="A28" s="45" t="s">
        <v>265</v>
      </c>
      <c r="B28" s="28"/>
      <c r="C28" s="28"/>
      <c r="D28" s="34" t="s">
        <v>269</v>
      </c>
      <c r="E28" s="34" t="s">
        <v>266</v>
      </c>
      <c r="F28" s="155" t="s">
        <v>267</v>
      </c>
      <c r="G28" s="34" t="s">
        <v>286</v>
      </c>
      <c r="H28" s="34" t="s">
        <v>268</v>
      </c>
      <c r="I28" s="29"/>
      <c r="J28" s="29"/>
      <c r="K28" s="29"/>
      <c r="L28" s="29"/>
      <c r="M28" s="29"/>
      <c r="N28" s="29"/>
      <c r="O28" s="29"/>
      <c r="P28" s="28"/>
      <c r="Q28" s="30"/>
      <c r="R28" s="30"/>
      <c r="S28" s="31"/>
      <c r="T28" s="30"/>
      <c r="U28" s="30"/>
      <c r="V28" s="31"/>
      <c r="W28" s="150">
        <f>SUM(W2:W4,W6:W25)</f>
        <v>0.98</v>
      </c>
      <c r="X28" s="30"/>
      <c r="Y28" s="30"/>
      <c r="Z28" s="31"/>
      <c r="AA28" s="150">
        <f>SUM(AA6:AA25)</f>
        <v>0.98000000000000009</v>
      </c>
      <c r="AB28" s="150">
        <f>SUM(AB2:AB4,AB6:AB11,AB13:AB20,AB22:AB25)</f>
        <v>0.96271038155675193</v>
      </c>
      <c r="AC28" s="150">
        <f>SUM(AC6:AC25)</f>
        <v>0.98</v>
      </c>
      <c r="AD28" s="35"/>
      <c r="AE28" s="150">
        <f>SUM(AE2:AE4,AE6:AE25)</f>
        <v>1</v>
      </c>
      <c r="AF28" s="150">
        <f>SUM(AF2:AF4,AF6:AF25)</f>
        <v>1</v>
      </c>
      <c r="AG28" s="150">
        <f>SUM(AG6:AG25)</f>
        <v>1</v>
      </c>
    </row>
    <row r="29" spans="1:34" s="27" customFormat="1" x14ac:dyDescent="0.2">
      <c r="A29" s="43"/>
      <c r="B29" s="28"/>
      <c r="C29" s="28"/>
      <c r="D29" s="46">
        <v>1076</v>
      </c>
      <c r="E29" s="47">
        <v>0.502</v>
      </c>
      <c r="F29" s="2">
        <f>1-E29</f>
        <v>0.498</v>
      </c>
      <c r="G29" s="106">
        <v>4.8499999999999996</v>
      </c>
      <c r="H29" s="126">
        <v>4.5499999999999999E-2</v>
      </c>
      <c r="I29" s="30"/>
      <c r="J29" s="29"/>
      <c r="K29" s="29"/>
      <c r="L29" s="29"/>
      <c r="M29" s="29"/>
      <c r="N29" s="29"/>
      <c r="O29" s="29"/>
      <c r="P29" s="28"/>
      <c r="Q29" s="30"/>
      <c r="R29" s="30"/>
      <c r="S29" s="31"/>
      <c r="T29" s="30"/>
      <c r="U29" s="30"/>
      <c r="V29" s="31"/>
      <c r="W29" s="31"/>
      <c r="X29" s="30"/>
      <c r="Y29" s="30"/>
      <c r="Z29" s="31"/>
      <c r="AA29" s="28"/>
      <c r="AB29" s="28"/>
      <c r="AC29" s="30"/>
      <c r="AE29" s="28"/>
      <c r="AF29" s="28"/>
    </row>
    <row r="30" spans="1:34" s="27" customFormat="1" x14ac:dyDescent="0.2">
      <c r="A30" s="43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8"/>
      <c r="Q30" s="30"/>
      <c r="R30" s="30"/>
      <c r="S30" s="31"/>
      <c r="T30" s="30"/>
      <c r="U30" s="30"/>
      <c r="V30" s="31"/>
      <c r="W30" s="31"/>
      <c r="X30" s="30"/>
      <c r="Y30" s="30"/>
      <c r="Z30" s="31"/>
      <c r="AA30" s="28"/>
      <c r="AB30" s="28"/>
      <c r="AC30" s="30"/>
      <c r="AE30" s="28"/>
      <c r="AF30" s="28"/>
    </row>
    <row r="31" spans="1:34" s="27" customFormat="1" x14ac:dyDescent="0.2">
      <c r="A31" s="45" t="s">
        <v>265</v>
      </c>
      <c r="B31" s="28"/>
      <c r="C31" s="28"/>
      <c r="D31" s="162" t="s">
        <v>278</v>
      </c>
      <c r="E31" s="162" t="s">
        <v>1</v>
      </c>
      <c r="F31" s="162" t="s">
        <v>263</v>
      </c>
      <c r="G31" s="162" t="s">
        <v>137</v>
      </c>
      <c r="H31" s="29"/>
      <c r="I31" s="29"/>
      <c r="J31" s="29"/>
      <c r="K31" s="29"/>
      <c r="L31" s="29"/>
      <c r="M31" s="29"/>
      <c r="N31" s="29"/>
      <c r="O31" s="29"/>
      <c r="P31" s="28"/>
      <c r="Q31" s="30"/>
      <c r="R31" s="30"/>
      <c r="S31" s="31"/>
      <c r="T31" s="30"/>
      <c r="U31" s="30"/>
      <c r="V31" s="31"/>
      <c r="W31" s="31"/>
      <c r="X31" s="30"/>
      <c r="Y31" s="30"/>
      <c r="Z31" s="31"/>
      <c r="AA31" s="28"/>
      <c r="AB31" s="28"/>
      <c r="AC31" s="30"/>
      <c r="AE31" s="28"/>
      <c r="AF31" s="28"/>
    </row>
    <row r="32" spans="1:34" s="27" customFormat="1" x14ac:dyDescent="0.2">
      <c r="A32" s="43"/>
      <c r="B32" s="28"/>
      <c r="C32" s="28"/>
      <c r="D32" s="163">
        <f>D29*E29</f>
        <v>540.15200000000004</v>
      </c>
      <c r="E32" s="156">
        <f>SUM(E2:E4)</f>
        <v>354.92463619245547</v>
      </c>
      <c r="F32" s="156">
        <f>SUM(F2:F4)</f>
        <v>4094.0934737541056</v>
      </c>
      <c r="G32" s="156">
        <f>SUM(G2:G4)</f>
        <v>28.140951689300088</v>
      </c>
      <c r="H32" s="29"/>
      <c r="I32" s="29"/>
      <c r="J32" s="29"/>
      <c r="K32" s="29"/>
      <c r="L32" s="29"/>
      <c r="M32" s="29"/>
      <c r="N32" s="29"/>
      <c r="O32" s="29"/>
      <c r="P32" s="28"/>
      <c r="Q32" s="30"/>
      <c r="R32" s="30"/>
      <c r="S32" s="180"/>
      <c r="T32" s="30"/>
      <c r="U32" s="30"/>
      <c r="V32" s="181"/>
      <c r="W32" s="31"/>
      <c r="X32" s="30"/>
      <c r="Y32" s="30"/>
      <c r="Z32" s="31"/>
      <c r="AA32" s="28"/>
      <c r="AB32" s="28"/>
      <c r="AC32" s="30"/>
      <c r="AE32" s="28"/>
      <c r="AF32" s="28"/>
    </row>
    <row r="33" spans="1:34" s="27" customFormat="1" x14ac:dyDescent="0.2">
      <c r="A33" s="43"/>
      <c r="B33" s="28"/>
      <c r="C33" s="28"/>
      <c r="D33" s="141"/>
      <c r="E33" s="141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8"/>
      <c r="Q33" s="30"/>
      <c r="R33" s="30"/>
      <c r="S33" s="180"/>
      <c r="T33" s="30"/>
      <c r="U33" s="30"/>
      <c r="V33" s="181"/>
      <c r="W33" s="31"/>
      <c r="X33" s="30"/>
      <c r="Y33" s="30"/>
      <c r="Z33" s="31"/>
      <c r="AA33" s="28"/>
      <c r="AB33" s="28"/>
      <c r="AC33" s="30"/>
      <c r="AE33" s="28"/>
      <c r="AF33" s="28"/>
    </row>
    <row r="34" spans="1:34" s="27" customFormat="1" x14ac:dyDescent="0.2">
      <c r="A34" s="45" t="s">
        <v>265</v>
      </c>
      <c r="B34" s="28"/>
      <c r="C34" s="28"/>
      <c r="D34" s="162" t="s">
        <v>270</v>
      </c>
      <c r="E34" s="162" t="s">
        <v>263</v>
      </c>
      <c r="F34" s="162" t="s">
        <v>137</v>
      </c>
      <c r="G34" s="29"/>
      <c r="H34" s="29"/>
      <c r="I34" s="29"/>
      <c r="J34" s="29"/>
      <c r="K34" s="29"/>
      <c r="L34" s="29"/>
      <c r="M34" s="29"/>
      <c r="N34" s="29"/>
      <c r="O34" s="29"/>
      <c r="P34" s="28"/>
      <c r="Q34" s="30"/>
      <c r="R34" s="30"/>
      <c r="S34" s="180"/>
      <c r="T34" s="30"/>
      <c r="U34" s="30"/>
      <c r="V34" s="181"/>
      <c r="W34" s="31"/>
      <c r="X34" s="30"/>
      <c r="Y34" s="30"/>
      <c r="Z34" s="31"/>
      <c r="AA34" s="28"/>
      <c r="AB34" s="28"/>
      <c r="AC34" s="30"/>
      <c r="AE34" s="28"/>
      <c r="AF34" s="28"/>
    </row>
    <row r="35" spans="1:34" s="27" customFormat="1" x14ac:dyDescent="0.2">
      <c r="A35" s="43"/>
      <c r="B35" s="28"/>
      <c r="C35" s="28"/>
      <c r="D35" s="163">
        <f>D29*F29</f>
        <v>535.84799999999996</v>
      </c>
      <c r="E35" s="156">
        <f>D35*G29</f>
        <v>2598.8627999999994</v>
      </c>
      <c r="F35" s="156">
        <f>D35*H29</f>
        <v>24.381083999999998</v>
      </c>
      <c r="G35" s="29"/>
      <c r="H35" s="29"/>
      <c r="I35" s="29"/>
      <c r="J35" s="29"/>
      <c r="K35" s="29"/>
      <c r="L35" s="29"/>
      <c r="M35" s="29"/>
      <c r="N35" s="29"/>
      <c r="O35" s="29"/>
      <c r="P35" s="28"/>
      <c r="Q35" s="30"/>
      <c r="R35" s="30"/>
      <c r="S35" s="31"/>
      <c r="T35" s="30"/>
      <c r="U35" s="30"/>
      <c r="V35" s="181"/>
      <c r="W35" s="31"/>
      <c r="X35" s="30"/>
      <c r="Y35" s="30"/>
      <c r="Z35" s="31"/>
      <c r="AA35" s="28"/>
      <c r="AB35" s="28"/>
      <c r="AC35" s="30"/>
      <c r="AE35" s="28"/>
      <c r="AF35" s="28"/>
    </row>
    <row r="36" spans="1:34" s="27" customFormat="1" x14ac:dyDescent="0.2">
      <c r="A36" s="43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8"/>
      <c r="Q36" s="30"/>
      <c r="R36" s="30"/>
      <c r="S36" s="31"/>
      <c r="T36" s="30"/>
      <c r="U36" s="30"/>
      <c r="V36" s="181"/>
      <c r="W36" s="31"/>
      <c r="X36" s="30"/>
      <c r="Y36" s="30"/>
      <c r="Z36" s="181"/>
      <c r="AA36" s="28"/>
      <c r="AB36" s="28"/>
      <c r="AC36" s="30"/>
      <c r="AE36" s="28"/>
      <c r="AF36" s="28"/>
      <c r="AH36" s="30"/>
    </row>
    <row r="37" spans="1:34" s="38" customFormat="1" ht="25.5" customHeight="1" x14ac:dyDescent="0.2">
      <c r="A37" s="48" t="s">
        <v>279</v>
      </c>
      <c r="B37" s="37"/>
      <c r="C37" s="37"/>
      <c r="D37" s="164" t="s">
        <v>273</v>
      </c>
      <c r="E37" s="164" t="s">
        <v>274</v>
      </c>
      <c r="F37" s="164" t="s">
        <v>275</v>
      </c>
      <c r="G37" s="164" t="s">
        <v>271</v>
      </c>
      <c r="H37" s="164" t="s">
        <v>272</v>
      </c>
      <c r="I37" s="160" t="s">
        <v>276</v>
      </c>
      <c r="J37" s="160" t="s">
        <v>277</v>
      </c>
      <c r="P37" s="37"/>
      <c r="Q37" s="39"/>
      <c r="R37" s="39"/>
      <c r="S37" s="41"/>
      <c r="T37" s="39"/>
      <c r="U37" s="39"/>
      <c r="V37" s="181"/>
      <c r="W37" s="41"/>
      <c r="X37" s="30"/>
      <c r="Y37" s="30"/>
      <c r="Z37" s="181"/>
      <c r="AA37" s="37"/>
      <c r="AB37" s="37"/>
      <c r="AC37" s="39"/>
      <c r="AE37" s="37"/>
      <c r="AF37" s="37"/>
      <c r="AH37" s="30"/>
    </row>
    <row r="38" spans="1:34" ht="13.5" thickBot="1" x14ac:dyDescent="0.25">
      <c r="D38" s="157">
        <f>SUM(I2:I20)</f>
        <v>525.13103999999998</v>
      </c>
      <c r="E38" s="157">
        <f>SUM(J2:J4,J6:J11,J13:J20)</f>
        <v>2584.392091843697</v>
      </c>
      <c r="F38" s="157">
        <f>SUM(K2:K4,K6:K11,K13:K20)</f>
        <v>24.367471760843372</v>
      </c>
      <c r="G38" s="157">
        <f>SUM(L6:L11,L13:L20,L22:L25)</f>
        <v>529.34896000000003</v>
      </c>
      <c r="H38" s="157">
        <f>SUM(M6:M11,M13:M20,M22:M25)</f>
        <v>354.89671674240003</v>
      </c>
      <c r="I38" s="157">
        <f>SUM(N6:N11,N13:N20,N22:N25)</f>
        <v>4075.684244871456</v>
      </c>
      <c r="J38" s="157">
        <f>SUM(O6:O11,O13:O20,O22:O25)</f>
        <v>28.100119969809992</v>
      </c>
      <c r="V38" s="181"/>
      <c r="X38" s="30"/>
      <c r="Y38" s="30"/>
      <c r="Z38" s="181"/>
      <c r="AH38" s="30"/>
    </row>
    <row r="39" spans="1:34" ht="13.5" thickTop="1" x14ac:dyDescent="0.2">
      <c r="D39" s="158">
        <f>D35-D38</f>
        <v>10.716959999999972</v>
      </c>
      <c r="E39" s="158">
        <f>E35-E38</f>
        <v>14.470708156302408</v>
      </c>
      <c r="F39" s="158">
        <f>F35-F38</f>
        <v>1.361223915662535E-2</v>
      </c>
      <c r="G39" s="158">
        <f>SUM(D2:D4)-G38</f>
        <v>10.80304000000001</v>
      </c>
      <c r="H39" s="158">
        <f>E32-H38</f>
        <v>2.7919450055435391E-2</v>
      </c>
      <c r="I39" s="158">
        <f>F32-I38</f>
        <v>18.409228882649586</v>
      </c>
      <c r="J39" s="158">
        <f>G32-J38</f>
        <v>4.0831719490096674E-2</v>
      </c>
      <c r="V39" s="181"/>
      <c r="X39" s="30"/>
      <c r="Y39" s="30"/>
      <c r="Z39" s="181"/>
      <c r="AH39" s="30"/>
    </row>
    <row r="40" spans="1:34" x14ac:dyDescent="0.2">
      <c r="V40" s="181"/>
      <c r="X40" s="30"/>
      <c r="Y40" s="30"/>
      <c r="Z40" s="181"/>
      <c r="AH40" s="30"/>
    </row>
    <row r="41" spans="1:34" x14ac:dyDescent="0.2">
      <c r="V41" s="181"/>
      <c r="X41" s="30"/>
      <c r="Y41" s="30"/>
      <c r="Z41" s="181"/>
      <c r="AH41" s="30"/>
    </row>
    <row r="42" spans="1:34" x14ac:dyDescent="0.2">
      <c r="V42" s="181"/>
      <c r="X42" s="30"/>
      <c r="Y42" s="30"/>
      <c r="Z42" s="181"/>
      <c r="AH42" s="30"/>
    </row>
    <row r="43" spans="1:34" x14ac:dyDescent="0.2">
      <c r="V43" s="181"/>
      <c r="X43" s="30"/>
      <c r="Y43" s="30"/>
      <c r="Z43" s="181"/>
      <c r="AH43" s="30"/>
    </row>
    <row r="44" spans="1:34" x14ac:dyDescent="0.2">
      <c r="V44" s="181"/>
      <c r="X44" s="30"/>
      <c r="Y44" s="30"/>
      <c r="Z44" s="181"/>
      <c r="AH44" s="30"/>
    </row>
    <row r="45" spans="1:34" x14ac:dyDescent="0.2">
      <c r="V45" s="181"/>
      <c r="X45" s="30"/>
      <c r="Y45" s="30"/>
      <c r="Z45" s="181"/>
      <c r="AH45" s="30"/>
    </row>
    <row r="46" spans="1:34" x14ac:dyDescent="0.2">
      <c r="V46" s="181"/>
      <c r="X46" s="30"/>
      <c r="Y46" s="30"/>
      <c r="Z46" s="181"/>
      <c r="AH46" s="30"/>
    </row>
    <row r="47" spans="1:34" x14ac:dyDescent="0.2">
      <c r="V47" s="181"/>
      <c r="X47" s="30"/>
      <c r="Y47" s="30"/>
      <c r="Z47" s="181"/>
      <c r="AH47" s="30"/>
    </row>
    <row r="48" spans="1:34" x14ac:dyDescent="0.2">
      <c r="V48" s="181"/>
      <c r="X48" s="30"/>
      <c r="Y48" s="30"/>
      <c r="Z48" s="181"/>
      <c r="AH48" s="30"/>
    </row>
    <row r="49" spans="22:34" x14ac:dyDescent="0.2">
      <c r="V49" s="181"/>
      <c r="X49" s="30"/>
      <c r="Y49" s="30"/>
      <c r="Z49" s="181"/>
      <c r="AH49" s="30"/>
    </row>
    <row r="50" spans="22:34" x14ac:dyDescent="0.2">
      <c r="V50" s="181"/>
      <c r="X50" s="30"/>
      <c r="Y50" s="30"/>
      <c r="Z50" s="181"/>
      <c r="AH50" s="30"/>
    </row>
    <row r="51" spans="22:34" x14ac:dyDescent="0.2">
      <c r="X51" s="25"/>
      <c r="Y51" s="30"/>
      <c r="Z51" s="181"/>
      <c r="AH51" s="30"/>
    </row>
    <row r="52" spans="22:34" x14ac:dyDescent="0.2">
      <c r="X52" s="25"/>
      <c r="Y52" s="30"/>
      <c r="Z52" s="181"/>
      <c r="AH52" s="30"/>
    </row>
    <row r="53" spans="22:34" x14ac:dyDescent="0.2">
      <c r="X53" s="25"/>
      <c r="Y53" s="30"/>
      <c r="Z53" s="181"/>
      <c r="AH53" s="30"/>
    </row>
    <row r="54" spans="22:34" x14ac:dyDescent="0.2">
      <c r="X54" s="25"/>
      <c r="Y54" s="30"/>
      <c r="Z54" s="181"/>
      <c r="AH54" s="30"/>
    </row>
    <row r="55" spans="22:34" x14ac:dyDescent="0.2">
      <c r="X55" s="25"/>
      <c r="Y55" s="30"/>
      <c r="Z55" s="181"/>
      <c r="AH55" s="30"/>
    </row>
    <row r="56" spans="22:34" x14ac:dyDescent="0.2">
      <c r="X56" s="25"/>
      <c r="Y56" s="25"/>
      <c r="AH56" s="25"/>
    </row>
    <row r="57" spans="22:34" x14ac:dyDescent="0.2">
      <c r="X57" s="25"/>
      <c r="Y57" s="25"/>
      <c r="AH57" s="25"/>
    </row>
    <row r="58" spans="22:34" x14ac:dyDescent="0.2">
      <c r="X58" s="25"/>
      <c r="Y58" s="25"/>
      <c r="AH58" s="25"/>
    </row>
    <row r="59" spans="22:34" x14ac:dyDescent="0.2">
      <c r="X59" s="25"/>
      <c r="Y59" s="25"/>
      <c r="AH59" s="25"/>
    </row>
    <row r="60" spans="22:34" x14ac:dyDescent="0.2">
      <c r="Y60" s="25"/>
      <c r="AH60" s="25"/>
    </row>
    <row r="61" spans="22:34" x14ac:dyDescent="0.2">
      <c r="Y61" s="25"/>
      <c r="AH61" s="25"/>
    </row>
    <row r="62" spans="22:34" x14ac:dyDescent="0.2">
      <c r="Y62" s="25"/>
      <c r="AH62" s="25"/>
    </row>
    <row r="63" spans="22:34" x14ac:dyDescent="0.2">
      <c r="Y63" s="25"/>
      <c r="AH63" s="25"/>
    </row>
    <row r="64" spans="22:34" x14ac:dyDescent="0.2">
      <c r="Y64" s="25"/>
      <c r="AH64" s="25"/>
    </row>
  </sheetData>
  <sheetProtection selectLockedCells="1"/>
  <sortState xmlns:xlrd2="http://schemas.microsoft.com/office/spreadsheetml/2017/richdata2" ref="A13:AH20">
    <sortCondition descending="1" ref="N13:N20"/>
  </sortState>
  <conditionalFormatting sqref="D39:J39">
    <cfRule type="cellIs" dxfId="89" priority="1" operator="lessThan">
      <formula>0</formula>
    </cfRule>
  </conditionalFormatting>
  <conditionalFormatting sqref="W28">
    <cfRule type="cellIs" dxfId="88" priority="2" operator="greaterThan">
      <formula>1</formula>
    </cfRule>
  </conditionalFormatting>
  <conditionalFormatting sqref="AA28:AG28">
    <cfRule type="cellIs" dxfId="87" priority="3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46</vt:i4>
      </vt:variant>
      <vt:variant>
        <vt:lpstr>Named Ranges</vt:lpstr>
      </vt:variant>
      <vt:variant>
        <vt:i4>42</vt:i4>
      </vt:variant>
    </vt:vector>
  </HeadingPairs>
  <TitlesOfParts>
    <vt:vector size="88" baseType="lpstr">
      <vt:lpstr>Instructions</vt:lpstr>
      <vt:lpstr>Settings</vt:lpstr>
      <vt:lpstr>POS Ranks</vt:lpstr>
      <vt:lpstr>OVR &amp; VORP Ranks</vt:lpstr>
      <vt:lpstr>Ranks w Proj</vt:lpstr>
      <vt:lpstr>Jake's Ranks</vt:lpstr>
      <vt:lpstr>ARI</vt:lpstr>
      <vt:lpstr>ATL</vt:lpstr>
      <vt:lpstr>BAL</vt:lpstr>
      <vt:lpstr>BUF</vt:lpstr>
      <vt:lpstr>CAR</vt:lpstr>
      <vt:lpstr>CHI</vt:lpstr>
      <vt:lpstr>CIN</vt:lpstr>
      <vt:lpstr>CLE</vt:lpstr>
      <vt:lpstr>DAL</vt:lpstr>
      <vt:lpstr>DEN</vt:lpstr>
      <vt:lpstr>DET</vt:lpstr>
      <vt:lpstr>GB</vt:lpstr>
      <vt:lpstr>HOU</vt:lpstr>
      <vt:lpstr>IND</vt:lpstr>
      <vt:lpstr>JAX</vt:lpstr>
      <vt:lpstr>KC</vt:lpstr>
      <vt:lpstr>LV</vt:lpstr>
      <vt:lpstr>LAC</vt:lpstr>
      <vt:lpstr>LAR</vt:lpstr>
      <vt:lpstr>MIA</vt:lpstr>
      <vt:lpstr>MIN</vt:lpstr>
      <vt:lpstr>NE</vt:lpstr>
      <vt:lpstr>NO</vt:lpstr>
      <vt:lpstr>NYG</vt:lpstr>
      <vt:lpstr>NYJ</vt:lpstr>
      <vt:lpstr>PHI</vt:lpstr>
      <vt:lpstr>PIT</vt:lpstr>
      <vt:lpstr>SF</vt:lpstr>
      <vt:lpstr>SEA</vt:lpstr>
      <vt:lpstr>TB</vt:lpstr>
      <vt:lpstr>TEN</vt:lpstr>
      <vt:lpstr>WSH</vt:lpstr>
      <vt:lpstr>DST</vt:lpstr>
      <vt:lpstr>Calculated Points</vt:lpstr>
      <vt:lpstr>Rankings</vt:lpstr>
      <vt:lpstr>QB</vt:lpstr>
      <vt:lpstr>RB</vt:lpstr>
      <vt:lpstr>WR</vt:lpstr>
      <vt:lpstr>TE</vt:lpstr>
      <vt:lpstr>DST1</vt:lpstr>
      <vt:lpstr>COMPLETIONS</vt:lpstr>
      <vt:lpstr>DEF_0_PTS_ALLOW</vt:lpstr>
      <vt:lpstr>DEF_1_6_PTS_ALLOW</vt:lpstr>
      <vt:lpstr>DEF_14_21_PTS_ALLOW</vt:lpstr>
      <vt:lpstr>DEF_22_27_PTS_ALLOW</vt:lpstr>
      <vt:lpstr>DEF_28_35_PTS_ALLOW</vt:lpstr>
      <vt:lpstr>DEF_35__PTS_ALLOW</vt:lpstr>
      <vt:lpstr>DEF_7_13_PTS_ALLOW</vt:lpstr>
      <vt:lpstr>DEF_FORCE_FUMBLE</vt:lpstr>
      <vt:lpstr>DEF_INT</vt:lpstr>
      <vt:lpstr>DEF_RECOVER_FUMBLE</vt:lpstr>
      <vt:lpstr>DEF_SACKS</vt:lpstr>
      <vt:lpstr>DEF_SAFETIES</vt:lpstr>
      <vt:lpstr>DEF_TOUCHDOWN</vt:lpstr>
      <vt:lpstr>FLEXVORPCalc</vt:lpstr>
      <vt:lpstr>INTERCEPTIONS</vt:lpstr>
      <vt:lpstr>PASS_ATTEMPTS</vt:lpstr>
      <vt:lpstr>PASS_TDS</vt:lpstr>
      <vt:lpstr>PASS_YARDS</vt:lpstr>
      <vt:lpstr>QBVORPCalc</vt:lpstr>
      <vt:lpstr>RBVORPCalc</vt:lpstr>
      <vt:lpstr>RECEPTIONS_RB</vt:lpstr>
      <vt:lpstr>RECEPTIONS_TE</vt:lpstr>
      <vt:lpstr>RECEPTIONS_WR</vt:lpstr>
      <vt:lpstr>RECV_TDS</vt:lpstr>
      <vt:lpstr>RECV_YARDS</vt:lpstr>
      <vt:lpstr>RUSH_ATTEMPTS</vt:lpstr>
      <vt:lpstr>RUSH_TDS</vt:lpstr>
      <vt:lpstr>RUSH_YARDS</vt:lpstr>
      <vt:lpstr>SFLEXVORPCalc</vt:lpstr>
      <vt:lpstr>STARTING_DST</vt:lpstr>
      <vt:lpstr>STARTING_FLEX</vt:lpstr>
      <vt:lpstr>STARTING_QB</vt:lpstr>
      <vt:lpstr>STARTING_RB</vt:lpstr>
      <vt:lpstr>STARTING_SUPERFLEX</vt:lpstr>
      <vt:lpstr>STARTING_TE</vt:lpstr>
      <vt:lpstr>STARTING_WR</vt:lpstr>
      <vt:lpstr>TARGETS</vt:lpstr>
      <vt:lpstr>TEAMS</vt:lpstr>
      <vt:lpstr>TEVORPCalc</vt:lpstr>
      <vt:lpstr>WRTEVORPCalc</vt:lpstr>
      <vt:lpstr>WRVORPCalc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</dc:creator>
  <cp:lastModifiedBy>Jake C</cp:lastModifiedBy>
  <dcterms:created xsi:type="dcterms:W3CDTF">2019-06-07T20:23:38Z</dcterms:created>
  <dcterms:modified xsi:type="dcterms:W3CDTF">2024-09-02T16:43:09Z</dcterms:modified>
</cp:coreProperties>
</file>